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79F49075-B997-4F79-8782-196361696B45}" xr6:coauthVersionLast="45" xr6:coauthVersionMax="45" xr10:uidLastSave="{00000000-0000-0000-0000-000000000000}"/>
  <bookViews>
    <workbookView xWindow="-28920" yWindow="-120" windowWidth="29040" windowHeight="15840" tabRatio="824" activeTab="3" xr2:uid="{00000000-000D-0000-FFFF-FFFF00000000}"/>
  </bookViews>
  <sheets>
    <sheet name="Extents" sheetId="4" r:id="rId1"/>
    <sheet name="LineSegment" sheetId="12" r:id="rId2"/>
    <sheet name="Shapes" sheetId="13" r:id="rId3"/>
    <sheet name="Transformations" sheetId="14" r:id="rId4"/>
    <sheet name="Fillets &amp; Chamfers" sheetId="15" r:id="rId5"/>
    <sheet name="Arc Types" sheetId="16" r:id="rId6"/>
    <sheet name="Other Features" sheetId="1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9" i="14" l="1"/>
  <c r="AB70" i="14"/>
  <c r="AB71" i="14"/>
  <c r="AB68" i="14"/>
  <c r="M71" i="14"/>
  <c r="N71" i="14"/>
  <c r="N69" i="14"/>
  <c r="M69" i="14"/>
  <c r="M68" i="14"/>
  <c r="N70" i="14"/>
  <c r="N68" i="14"/>
  <c r="M70" i="14"/>
  <c r="L71" i="14"/>
  <c r="L69" i="14"/>
  <c r="K71" i="14"/>
  <c r="K69" i="14"/>
  <c r="L70" i="14"/>
  <c r="K70" i="14"/>
  <c r="L68" i="14"/>
  <c r="K68" i="14"/>
  <c r="A68" i="14"/>
  <c r="B68" i="14"/>
  <c r="C68" i="14"/>
  <c r="D68" i="14"/>
  <c r="A69" i="14"/>
  <c r="B69" i="14"/>
  <c r="C69" i="14"/>
  <c r="D69" i="14"/>
  <c r="A70" i="14"/>
  <c r="B70" i="14"/>
  <c r="C70" i="14"/>
  <c r="D70" i="14"/>
  <c r="A71" i="14"/>
  <c r="B71" i="14"/>
  <c r="C71" i="14"/>
  <c r="D71" i="14"/>
  <c r="AD37" i="14"/>
  <c r="AD38" i="14"/>
  <c r="AD39" i="14"/>
  <c r="AD40" i="14"/>
  <c r="AD41" i="14"/>
  <c r="AD42" i="14"/>
  <c r="AD43" i="14"/>
  <c r="AD36" i="14"/>
  <c r="I41" i="14"/>
  <c r="J41" i="14"/>
  <c r="N41" i="14" s="1"/>
  <c r="P41" i="14" s="1"/>
  <c r="K41" i="14"/>
  <c r="L41" i="14"/>
  <c r="I42" i="14"/>
  <c r="J42" i="14"/>
  <c r="K42" i="14"/>
  <c r="L42" i="14"/>
  <c r="I43" i="14"/>
  <c r="J43" i="14"/>
  <c r="K43" i="14"/>
  <c r="L43" i="14"/>
  <c r="L40" i="14"/>
  <c r="K40" i="14"/>
  <c r="J40" i="14"/>
  <c r="I40" i="14"/>
  <c r="I37" i="14"/>
  <c r="J37" i="14"/>
  <c r="K37" i="14"/>
  <c r="L37" i="14"/>
  <c r="I38" i="14"/>
  <c r="J38" i="14"/>
  <c r="K38" i="14"/>
  <c r="L38" i="14"/>
  <c r="I39" i="14"/>
  <c r="J39" i="14"/>
  <c r="K39" i="14"/>
  <c r="L39" i="14"/>
  <c r="L36" i="14"/>
  <c r="K36" i="14"/>
  <c r="J36" i="14"/>
  <c r="I36" i="14"/>
  <c r="M36" i="14" s="1"/>
  <c r="R36" i="14" s="1"/>
  <c r="D43" i="14"/>
  <c r="C43" i="14"/>
  <c r="B43" i="14"/>
  <c r="A43" i="14"/>
  <c r="D42" i="14"/>
  <c r="C42" i="14"/>
  <c r="B42" i="14"/>
  <c r="A42" i="14"/>
  <c r="D41" i="14"/>
  <c r="C41" i="14"/>
  <c r="B41" i="14"/>
  <c r="A41" i="14"/>
  <c r="N40" i="14"/>
  <c r="P40" i="14" s="1"/>
  <c r="W35" i="14"/>
  <c r="X35" i="14"/>
  <c r="Y35" i="14"/>
  <c r="Z35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AD26" i="14"/>
  <c r="AD27" i="14"/>
  <c r="AD28" i="14"/>
  <c r="AD29" i="14"/>
  <c r="AD30" i="14"/>
  <c r="AD31" i="14"/>
  <c r="AD32" i="14"/>
  <c r="AD33" i="14"/>
  <c r="AD34" i="14"/>
  <c r="AD35" i="14"/>
  <c r="AE26" i="14"/>
  <c r="AE27" i="14"/>
  <c r="AE28" i="14"/>
  <c r="AE29" i="14"/>
  <c r="AE30" i="14"/>
  <c r="AE31" i="14"/>
  <c r="AE32" i="14"/>
  <c r="AE33" i="14"/>
  <c r="AE34" i="14"/>
  <c r="AE35" i="14"/>
  <c r="AF26" i="14"/>
  <c r="AF27" i="14"/>
  <c r="AF28" i="14"/>
  <c r="AF29" i="14"/>
  <c r="AF30" i="14"/>
  <c r="AF31" i="14"/>
  <c r="AF32" i="14"/>
  <c r="AF33" i="14"/>
  <c r="AF34" i="14"/>
  <c r="AF35" i="14"/>
  <c r="Z49" i="14"/>
  <c r="Z50" i="14"/>
  <c r="Z51" i="14"/>
  <c r="Z52" i="14"/>
  <c r="Z53" i="14"/>
  <c r="Z54" i="14"/>
  <c r="Z55" i="14"/>
  <c r="Z48" i="14"/>
  <c r="AA48" i="14"/>
  <c r="AA49" i="14"/>
  <c r="AA50" i="14"/>
  <c r="AA51" i="14"/>
  <c r="AA52" i="14"/>
  <c r="AA53" i="14"/>
  <c r="AA54" i="14"/>
  <c r="AA55" i="14"/>
  <c r="AB48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15" i="14"/>
  <c r="AA15" i="14"/>
  <c r="AB15" i="14"/>
  <c r="AC26" i="14"/>
  <c r="Z6" i="14"/>
  <c r="AA6" i="14"/>
  <c r="Z7" i="14"/>
  <c r="AA7" i="14"/>
  <c r="Z8" i="14"/>
  <c r="AA8" i="14"/>
  <c r="Z9" i="14"/>
  <c r="AA9" i="14"/>
  <c r="Z10" i="14"/>
  <c r="AA10" i="14"/>
  <c r="Z5" i="14"/>
  <c r="AA5" i="14"/>
  <c r="AB5" i="14"/>
  <c r="AD60" i="14"/>
  <c r="AC61" i="14"/>
  <c r="AC62" i="14"/>
  <c r="AC63" i="14"/>
  <c r="AC64" i="14"/>
  <c r="AC65" i="14"/>
  <c r="AC66" i="14"/>
  <c r="AC67" i="14"/>
  <c r="AC60" i="14"/>
  <c r="AB61" i="14"/>
  <c r="AB62" i="14"/>
  <c r="AB63" i="14"/>
  <c r="AB64" i="14"/>
  <c r="AB65" i="14"/>
  <c r="AB66" i="14"/>
  <c r="AB67" i="14"/>
  <c r="AB60" i="14"/>
  <c r="AD61" i="14"/>
  <c r="AD62" i="14"/>
  <c r="AD63" i="14"/>
  <c r="AD64" i="14"/>
  <c r="AD65" i="14"/>
  <c r="AD66" i="14"/>
  <c r="AD67" i="14"/>
  <c r="AA60" i="14"/>
  <c r="AC48" i="14"/>
  <c r="AA61" i="14"/>
  <c r="AA62" i="14"/>
  <c r="AA63" i="14"/>
  <c r="AA64" i="14"/>
  <c r="AA65" i="14"/>
  <c r="AA66" i="14"/>
  <c r="AA67" i="14"/>
  <c r="AC27" i="14"/>
  <c r="AC28" i="14"/>
  <c r="AC29" i="14"/>
  <c r="AC30" i="14"/>
  <c r="AC31" i="14"/>
  <c r="AC32" i="14"/>
  <c r="AC33" i="14"/>
  <c r="AC34" i="14"/>
  <c r="AC35" i="14"/>
  <c r="H35" i="14"/>
  <c r="G35" i="14"/>
  <c r="F35" i="14"/>
  <c r="E35" i="14"/>
  <c r="D35" i="14"/>
  <c r="C35" i="14"/>
  <c r="B35" i="14"/>
  <c r="A35" i="14"/>
  <c r="H34" i="14"/>
  <c r="G34" i="14"/>
  <c r="F34" i="14"/>
  <c r="E34" i="14"/>
  <c r="D34" i="14"/>
  <c r="C34" i="14"/>
  <c r="B34" i="14"/>
  <c r="A34" i="14"/>
  <c r="K26" i="14"/>
  <c r="M26" i="14" s="1"/>
  <c r="R26" i="14" s="1"/>
  <c r="L26" i="14"/>
  <c r="N26" i="14" s="1"/>
  <c r="P26" i="14" s="1"/>
  <c r="S26" i="14" s="1"/>
  <c r="U48" i="14"/>
  <c r="S48" i="14"/>
  <c r="Q48" i="14"/>
  <c r="O48" i="14"/>
  <c r="M48" i="14"/>
  <c r="T48" i="14"/>
  <c r="R48" i="14"/>
  <c r="P48" i="14"/>
  <c r="N48" i="14"/>
  <c r="L48" i="14"/>
  <c r="I53" i="12"/>
  <c r="J55" i="14"/>
  <c r="I55" i="14"/>
  <c r="H55" i="14"/>
  <c r="G55" i="14"/>
  <c r="F55" i="14"/>
  <c r="E55" i="14"/>
  <c r="D55" i="14"/>
  <c r="C55" i="14"/>
  <c r="B55" i="14"/>
  <c r="A55" i="14"/>
  <c r="J54" i="14"/>
  <c r="I54" i="14"/>
  <c r="H54" i="14"/>
  <c r="G54" i="14"/>
  <c r="F54" i="14"/>
  <c r="E54" i="14"/>
  <c r="D54" i="14"/>
  <c r="C54" i="14"/>
  <c r="B54" i="14"/>
  <c r="A54" i="14"/>
  <c r="J53" i="14"/>
  <c r="I53" i="14"/>
  <c r="H53" i="14"/>
  <c r="G53" i="14"/>
  <c r="F53" i="14"/>
  <c r="E53" i="14"/>
  <c r="D53" i="14"/>
  <c r="C53" i="14"/>
  <c r="B53" i="14"/>
  <c r="A53" i="14"/>
  <c r="J52" i="14"/>
  <c r="I52" i="14"/>
  <c r="H52" i="14"/>
  <c r="G52" i="14"/>
  <c r="F52" i="14"/>
  <c r="E52" i="14"/>
  <c r="D52" i="14"/>
  <c r="C52" i="14"/>
  <c r="B52" i="14"/>
  <c r="A52" i="14"/>
  <c r="J67" i="14"/>
  <c r="I67" i="14"/>
  <c r="H67" i="14"/>
  <c r="G67" i="14"/>
  <c r="F67" i="14"/>
  <c r="E67" i="14"/>
  <c r="D67" i="14"/>
  <c r="C67" i="14"/>
  <c r="B67" i="14"/>
  <c r="A67" i="14"/>
  <c r="J65" i="14"/>
  <c r="I65" i="14"/>
  <c r="H65" i="14"/>
  <c r="G65" i="14"/>
  <c r="F65" i="14"/>
  <c r="E65" i="14"/>
  <c r="D65" i="14"/>
  <c r="C65" i="14"/>
  <c r="B65" i="14"/>
  <c r="A65" i="14"/>
  <c r="J66" i="14"/>
  <c r="I66" i="14"/>
  <c r="H66" i="14"/>
  <c r="G66" i="14"/>
  <c r="F66" i="14"/>
  <c r="E66" i="14"/>
  <c r="D66" i="14"/>
  <c r="C66" i="14"/>
  <c r="B66" i="14"/>
  <c r="A66" i="14"/>
  <c r="J64" i="14"/>
  <c r="I64" i="14"/>
  <c r="H64" i="14"/>
  <c r="G64" i="14"/>
  <c r="F64" i="14"/>
  <c r="E64" i="14"/>
  <c r="D64" i="14"/>
  <c r="C64" i="14"/>
  <c r="B64" i="14"/>
  <c r="A64" i="14"/>
  <c r="H33" i="14"/>
  <c r="G33" i="14"/>
  <c r="F33" i="14"/>
  <c r="E33" i="14"/>
  <c r="D33" i="14"/>
  <c r="C33" i="14"/>
  <c r="B33" i="14"/>
  <c r="A33" i="14"/>
  <c r="H32" i="14"/>
  <c r="G32" i="14"/>
  <c r="F32" i="14"/>
  <c r="E32" i="14"/>
  <c r="D32" i="14"/>
  <c r="C32" i="14"/>
  <c r="B32" i="14"/>
  <c r="A32" i="14"/>
  <c r="H31" i="14"/>
  <c r="G31" i="14"/>
  <c r="F31" i="14"/>
  <c r="E31" i="14"/>
  <c r="D31" i="14"/>
  <c r="C31" i="14"/>
  <c r="B31" i="14"/>
  <c r="A31" i="14"/>
  <c r="H30" i="14"/>
  <c r="G30" i="14"/>
  <c r="F30" i="14"/>
  <c r="E30" i="14"/>
  <c r="D30" i="14"/>
  <c r="C30" i="14"/>
  <c r="B30" i="14"/>
  <c r="A30" i="14"/>
  <c r="H21" i="14"/>
  <c r="G21" i="14"/>
  <c r="F21" i="14"/>
  <c r="E21" i="14"/>
  <c r="D21" i="14"/>
  <c r="M21" i="14" s="1"/>
  <c r="C21" i="14"/>
  <c r="L21" i="14" s="1"/>
  <c r="B21" i="14"/>
  <c r="K21" i="14" s="1"/>
  <c r="A21" i="14"/>
  <c r="J21" i="14" s="1"/>
  <c r="H20" i="14"/>
  <c r="Q20" i="14" s="1"/>
  <c r="G20" i="14"/>
  <c r="P20" i="14" s="1"/>
  <c r="F20" i="14"/>
  <c r="O20" i="14" s="1"/>
  <c r="E20" i="14"/>
  <c r="N20" i="14" s="1"/>
  <c r="D20" i="14"/>
  <c r="M20" i="14" s="1"/>
  <c r="C20" i="14"/>
  <c r="L20" i="14" s="1"/>
  <c r="B20" i="14"/>
  <c r="K20" i="14" s="1"/>
  <c r="A20" i="14"/>
  <c r="J20" i="14" s="1"/>
  <c r="H19" i="14"/>
  <c r="Q19" i="14" s="1"/>
  <c r="G19" i="14"/>
  <c r="P19" i="14" s="1"/>
  <c r="F19" i="14"/>
  <c r="O19" i="14" s="1"/>
  <c r="E19" i="14"/>
  <c r="N19" i="14" s="1"/>
  <c r="D19" i="14"/>
  <c r="C19" i="14"/>
  <c r="L19" i="14" s="1"/>
  <c r="B19" i="14"/>
  <c r="K19" i="14" s="1"/>
  <c r="A19" i="14"/>
  <c r="J19" i="14" s="1"/>
  <c r="Q21" i="14"/>
  <c r="P21" i="14"/>
  <c r="O21" i="14"/>
  <c r="N21" i="14"/>
  <c r="M19" i="14"/>
  <c r="K15" i="14"/>
  <c r="L15" i="14"/>
  <c r="M15" i="14"/>
  <c r="N15" i="14"/>
  <c r="O15" i="14"/>
  <c r="P15" i="14"/>
  <c r="Q15" i="14"/>
  <c r="J15" i="14"/>
  <c r="R5" i="14"/>
  <c r="Q5" i="14"/>
  <c r="P5" i="14"/>
  <c r="O5" i="14"/>
  <c r="N5" i="14"/>
  <c r="M5" i="14"/>
  <c r="L5" i="14"/>
  <c r="K5" i="14"/>
  <c r="H10" i="14"/>
  <c r="R10" i="14" s="1"/>
  <c r="H9" i="14"/>
  <c r="R9" i="14" s="1"/>
  <c r="F10" i="14"/>
  <c r="P10" i="14" s="1"/>
  <c r="F9" i="14"/>
  <c r="P9" i="14" s="1"/>
  <c r="D10" i="14"/>
  <c r="N10" i="14" s="1"/>
  <c r="D9" i="14"/>
  <c r="N9" i="14" s="1"/>
  <c r="B10" i="14"/>
  <c r="L10" i="14" s="1"/>
  <c r="B9" i="14"/>
  <c r="L9" i="14" s="1"/>
  <c r="G9" i="14"/>
  <c r="Q9" i="14" s="1"/>
  <c r="E9" i="14"/>
  <c r="O9" i="14" s="1"/>
  <c r="C9" i="14"/>
  <c r="M9" i="14" s="1"/>
  <c r="A9" i="14"/>
  <c r="K9" i="14" s="1"/>
  <c r="G8" i="14"/>
  <c r="Q8" i="14" s="1"/>
  <c r="E8" i="14"/>
  <c r="O8" i="14" s="1"/>
  <c r="C8" i="14"/>
  <c r="M8" i="14" s="1"/>
  <c r="A8" i="14"/>
  <c r="K8" i="14" s="1"/>
  <c r="A7" i="14"/>
  <c r="K7" i="14" s="1"/>
  <c r="B7" i="14"/>
  <c r="L7" i="14" s="1"/>
  <c r="C7" i="14"/>
  <c r="M7" i="14" s="1"/>
  <c r="D7" i="14"/>
  <c r="N7" i="14" s="1"/>
  <c r="E7" i="14"/>
  <c r="O7" i="14" s="1"/>
  <c r="F7" i="14"/>
  <c r="P7" i="14" s="1"/>
  <c r="G7" i="14"/>
  <c r="Q7" i="14" s="1"/>
  <c r="H7" i="14"/>
  <c r="R7" i="14" s="1"/>
  <c r="B8" i="14"/>
  <c r="L8" i="14" s="1"/>
  <c r="D8" i="14"/>
  <c r="N8" i="14" s="1"/>
  <c r="F8" i="14"/>
  <c r="P8" i="14" s="1"/>
  <c r="H8" i="14"/>
  <c r="R8" i="14" s="1"/>
  <c r="A10" i="14"/>
  <c r="K10" i="14" s="1"/>
  <c r="C10" i="14"/>
  <c r="M10" i="14" s="1"/>
  <c r="E10" i="14"/>
  <c r="O10" i="14" s="1"/>
  <c r="G10" i="14"/>
  <c r="Q10" i="14" s="1"/>
  <c r="B6" i="14"/>
  <c r="L6" i="14" s="1"/>
  <c r="C6" i="14"/>
  <c r="M6" i="14" s="1"/>
  <c r="D6" i="14"/>
  <c r="N6" i="14" s="1"/>
  <c r="E6" i="14"/>
  <c r="O6" i="14" s="1"/>
  <c r="F6" i="14"/>
  <c r="P6" i="14" s="1"/>
  <c r="G6" i="14"/>
  <c r="Q6" i="14" s="1"/>
  <c r="H6" i="14"/>
  <c r="R6" i="14" s="1"/>
  <c r="B61" i="14"/>
  <c r="C61" i="14"/>
  <c r="D61" i="14"/>
  <c r="E61" i="14"/>
  <c r="F61" i="14"/>
  <c r="G61" i="14"/>
  <c r="H61" i="14"/>
  <c r="I61" i="14"/>
  <c r="J61" i="14"/>
  <c r="B62" i="14"/>
  <c r="C62" i="14"/>
  <c r="D62" i="14"/>
  <c r="E62" i="14"/>
  <c r="F62" i="14"/>
  <c r="G62" i="14"/>
  <c r="H62" i="14"/>
  <c r="I62" i="14"/>
  <c r="J62" i="14"/>
  <c r="B63" i="14"/>
  <c r="C63" i="14"/>
  <c r="D63" i="14"/>
  <c r="E63" i="14"/>
  <c r="F63" i="14"/>
  <c r="G63" i="14"/>
  <c r="H63" i="14"/>
  <c r="I63" i="14"/>
  <c r="J63" i="14"/>
  <c r="A62" i="14"/>
  <c r="A63" i="14"/>
  <c r="A61" i="14"/>
  <c r="A50" i="14"/>
  <c r="B50" i="14"/>
  <c r="C50" i="14"/>
  <c r="D50" i="14"/>
  <c r="E50" i="14"/>
  <c r="P50" i="14" s="1"/>
  <c r="F50" i="14"/>
  <c r="G50" i="14"/>
  <c r="H50" i="14"/>
  <c r="I50" i="14"/>
  <c r="J50" i="14"/>
  <c r="A51" i="14"/>
  <c r="B51" i="14"/>
  <c r="C51" i="14"/>
  <c r="D51" i="14"/>
  <c r="E51" i="14"/>
  <c r="F51" i="14"/>
  <c r="G51" i="14"/>
  <c r="H51" i="14"/>
  <c r="I51" i="14"/>
  <c r="J51" i="14"/>
  <c r="B49" i="14"/>
  <c r="C49" i="14"/>
  <c r="D49" i="14"/>
  <c r="E49" i="14"/>
  <c r="F49" i="14"/>
  <c r="G49" i="14"/>
  <c r="H49" i="14"/>
  <c r="I49" i="14"/>
  <c r="J49" i="14"/>
  <c r="A49" i="14"/>
  <c r="A28" i="14"/>
  <c r="B28" i="14"/>
  <c r="C28" i="14"/>
  <c r="D28" i="14"/>
  <c r="E28" i="14"/>
  <c r="F28" i="14"/>
  <c r="G28" i="14"/>
  <c r="H28" i="14"/>
  <c r="A29" i="14"/>
  <c r="B29" i="14"/>
  <c r="C29" i="14"/>
  <c r="D29" i="14"/>
  <c r="E29" i="14"/>
  <c r="F29" i="14"/>
  <c r="G29" i="14"/>
  <c r="H29" i="14"/>
  <c r="B27" i="14"/>
  <c r="C27" i="14"/>
  <c r="D27" i="14"/>
  <c r="E27" i="14"/>
  <c r="F27" i="14"/>
  <c r="G27" i="14"/>
  <c r="H27" i="14"/>
  <c r="A27" i="14"/>
  <c r="A17" i="14"/>
  <c r="J17" i="14" s="1"/>
  <c r="B17" i="14"/>
  <c r="K17" i="14" s="1"/>
  <c r="C17" i="14"/>
  <c r="L17" i="14" s="1"/>
  <c r="D17" i="14"/>
  <c r="M17" i="14" s="1"/>
  <c r="E17" i="14"/>
  <c r="N17" i="14" s="1"/>
  <c r="F17" i="14"/>
  <c r="O17" i="14" s="1"/>
  <c r="G17" i="14"/>
  <c r="P17" i="14" s="1"/>
  <c r="H17" i="14"/>
  <c r="Q17" i="14" s="1"/>
  <c r="A18" i="14"/>
  <c r="J18" i="14" s="1"/>
  <c r="B18" i="14"/>
  <c r="K18" i="14" s="1"/>
  <c r="C18" i="14"/>
  <c r="L18" i="14" s="1"/>
  <c r="D18" i="14"/>
  <c r="M18" i="14" s="1"/>
  <c r="E18" i="14"/>
  <c r="N18" i="14" s="1"/>
  <c r="F18" i="14"/>
  <c r="O18" i="14" s="1"/>
  <c r="G18" i="14"/>
  <c r="P18" i="14" s="1"/>
  <c r="H18" i="14"/>
  <c r="Q18" i="14" s="1"/>
  <c r="B16" i="14"/>
  <c r="K16" i="14" s="1"/>
  <c r="C16" i="14"/>
  <c r="L16" i="14" s="1"/>
  <c r="D16" i="14"/>
  <c r="M16" i="14" s="1"/>
  <c r="E16" i="14"/>
  <c r="N16" i="14" s="1"/>
  <c r="F16" i="14"/>
  <c r="O16" i="14" s="1"/>
  <c r="G16" i="14"/>
  <c r="P16" i="14" s="1"/>
  <c r="H16" i="14"/>
  <c r="Q16" i="14" s="1"/>
  <c r="A16" i="14"/>
  <c r="J16" i="14" s="1"/>
  <c r="A6" i="14"/>
  <c r="K6" i="14" s="1"/>
  <c r="N42" i="14" l="1"/>
  <c r="P42" i="14" s="1"/>
  <c r="U42" i="14" s="1"/>
  <c r="U41" i="14"/>
  <c r="N43" i="14"/>
  <c r="P43" i="14" s="1"/>
  <c r="S43" i="14" s="1"/>
  <c r="N37" i="14"/>
  <c r="P37" i="14" s="1"/>
  <c r="U37" i="14" s="1"/>
  <c r="N39" i="14"/>
  <c r="P39" i="14" s="1"/>
  <c r="U39" i="14" s="1"/>
  <c r="N36" i="14"/>
  <c r="P36" i="14" s="1"/>
  <c r="S36" i="14" s="1"/>
  <c r="M42" i="14"/>
  <c r="R42" i="14" s="1"/>
  <c r="V42" i="14" s="1"/>
  <c r="S40" i="14"/>
  <c r="U40" i="14"/>
  <c r="M41" i="14"/>
  <c r="R41" i="14" s="1"/>
  <c r="U43" i="14"/>
  <c r="M40" i="14"/>
  <c r="R40" i="14" s="1"/>
  <c r="S42" i="14"/>
  <c r="T43" i="14"/>
  <c r="S41" i="14"/>
  <c r="M43" i="14"/>
  <c r="R43" i="14" s="1"/>
  <c r="V43" i="14" s="1"/>
  <c r="U36" i="14"/>
  <c r="M38" i="14"/>
  <c r="R38" i="14" s="1"/>
  <c r="N38" i="14"/>
  <c r="P38" i="14" s="1"/>
  <c r="T36" i="14"/>
  <c r="V36" i="14"/>
  <c r="M37" i="14"/>
  <c r="R37" i="14" s="1"/>
  <c r="T37" i="14" s="1"/>
  <c r="L28" i="14"/>
  <c r="N28" i="14" s="1"/>
  <c r="P28" i="14" s="1"/>
  <c r="I35" i="14"/>
  <c r="L27" i="14"/>
  <c r="N27" i="14" s="1"/>
  <c r="P27" i="14" s="1"/>
  <c r="K29" i="14"/>
  <c r="M29" i="14" s="1"/>
  <c r="R29" i="14" s="1"/>
  <c r="K28" i="14"/>
  <c r="M28" i="14" s="1"/>
  <c r="R28" i="14" s="1"/>
  <c r="L30" i="14"/>
  <c r="N30" i="14" s="1"/>
  <c r="P30" i="14" s="1"/>
  <c r="L32" i="14"/>
  <c r="N32" i="14" s="1"/>
  <c r="P32" i="14" s="1"/>
  <c r="L34" i="14"/>
  <c r="J35" i="14"/>
  <c r="N35" i="14" s="1"/>
  <c r="P35" i="14" s="1"/>
  <c r="U35" i="14" s="1"/>
  <c r="N52" i="14"/>
  <c r="T53" i="14"/>
  <c r="R54" i="14"/>
  <c r="P55" i="14"/>
  <c r="K27" i="14"/>
  <c r="M27" i="14" s="1"/>
  <c r="R27" i="14" s="1"/>
  <c r="K30" i="14"/>
  <c r="M30" i="14" s="1"/>
  <c r="R30" i="14" s="1"/>
  <c r="K31" i="14"/>
  <c r="M31" i="14" s="1"/>
  <c r="R31" i="14" s="1"/>
  <c r="K32" i="14"/>
  <c r="M32" i="14" s="1"/>
  <c r="R32" i="14" s="1"/>
  <c r="K33" i="14"/>
  <c r="M33" i="14" s="1"/>
  <c r="R33" i="14" s="1"/>
  <c r="X33" i="14" s="1"/>
  <c r="L52" i="14"/>
  <c r="T52" i="14"/>
  <c r="R53" i="14"/>
  <c r="P54" i="14"/>
  <c r="L33" i="14"/>
  <c r="N33" i="14" s="1"/>
  <c r="P33" i="14" s="1"/>
  <c r="L29" i="14"/>
  <c r="N29" i="14" s="1"/>
  <c r="P29" i="14" s="1"/>
  <c r="K34" i="14"/>
  <c r="M34" i="14" s="1"/>
  <c r="R34" i="14" s="1"/>
  <c r="Z34" i="14" s="1"/>
  <c r="I34" i="14"/>
  <c r="S52" i="14"/>
  <c r="Q53" i="14"/>
  <c r="O54" i="14"/>
  <c r="L35" i="14"/>
  <c r="L31" i="14"/>
  <c r="N31" i="14" s="1"/>
  <c r="P31" i="14" s="1"/>
  <c r="Y31" i="14" s="1"/>
  <c r="J34" i="14"/>
  <c r="N51" i="14"/>
  <c r="L49" i="14"/>
  <c r="K35" i="14"/>
  <c r="M35" i="14" s="1"/>
  <c r="R35" i="14" s="1"/>
  <c r="V35" i="14" s="1"/>
  <c r="N34" i="14"/>
  <c r="P34" i="14" s="1"/>
  <c r="W34" i="14" s="1"/>
  <c r="M55" i="14"/>
  <c r="U55" i="14"/>
  <c r="P51" i="14"/>
  <c r="R50" i="14"/>
  <c r="N55" i="14"/>
  <c r="AB10" i="14"/>
  <c r="AB18" i="14"/>
  <c r="AC15" i="14"/>
  <c r="P49" i="14"/>
  <c r="W31" i="14"/>
  <c r="P52" i="14"/>
  <c r="N53" i="14"/>
  <c r="L54" i="14"/>
  <c r="T54" i="14"/>
  <c r="R55" i="14"/>
  <c r="L55" i="14"/>
  <c r="T49" i="14"/>
  <c r="T51" i="14"/>
  <c r="N54" i="14"/>
  <c r="AB9" i="14"/>
  <c r="AC6" i="14"/>
  <c r="R51" i="14"/>
  <c r="L50" i="14"/>
  <c r="S31" i="14"/>
  <c r="AB8" i="14"/>
  <c r="AC21" i="14"/>
  <c r="L51" i="14"/>
  <c r="AC7" i="14"/>
  <c r="U50" i="14"/>
  <c r="Q49" i="14"/>
  <c r="P53" i="14"/>
  <c r="AB7" i="14"/>
  <c r="AB21" i="14"/>
  <c r="AC20" i="14"/>
  <c r="AC17" i="14"/>
  <c r="N50" i="14"/>
  <c r="AB16" i="14"/>
  <c r="R49" i="14"/>
  <c r="N49" i="14"/>
  <c r="U31" i="14"/>
  <c r="O52" i="14"/>
  <c r="M53" i="14"/>
  <c r="U53" i="14"/>
  <c r="S54" i="14"/>
  <c r="Q55" i="14"/>
  <c r="L53" i="14"/>
  <c r="AB6" i="14"/>
  <c r="AB20" i="14"/>
  <c r="AC19" i="14"/>
  <c r="AC5" i="14"/>
  <c r="M49" i="14"/>
  <c r="T55" i="14"/>
  <c r="R52" i="14"/>
  <c r="AC10" i="14"/>
  <c r="AB19" i="14"/>
  <c r="AC18" i="14"/>
  <c r="AC9" i="14"/>
  <c r="AC8" i="14"/>
  <c r="AB17" i="14"/>
  <c r="AC16" i="14"/>
  <c r="U26" i="14"/>
  <c r="T50" i="14"/>
  <c r="Q51" i="14"/>
  <c r="S50" i="14"/>
  <c r="U49" i="14"/>
  <c r="T32" i="14"/>
  <c r="T33" i="14"/>
  <c r="O55" i="14"/>
  <c r="Q54" i="14"/>
  <c r="S53" i="14"/>
  <c r="U52" i="14"/>
  <c r="M52" i="14"/>
  <c r="O51" i="14"/>
  <c r="Q50" i="14"/>
  <c r="S49" i="14"/>
  <c r="U51" i="14"/>
  <c r="M51" i="14"/>
  <c r="O50" i="14"/>
  <c r="S55" i="14"/>
  <c r="U54" i="14"/>
  <c r="M54" i="14"/>
  <c r="O53" i="14"/>
  <c r="Q52" i="14"/>
  <c r="S51" i="14"/>
  <c r="M50" i="14"/>
  <c r="O49" i="14"/>
  <c r="T30" i="14"/>
  <c r="S30" i="14"/>
  <c r="V31" i="14"/>
  <c r="S32" i="14"/>
  <c r="S33" i="14"/>
  <c r="W33" i="14"/>
  <c r="U33" i="14"/>
  <c r="Y33" i="14"/>
  <c r="V33" i="14"/>
  <c r="U32" i="14"/>
  <c r="W32" i="14"/>
  <c r="Y32" i="14"/>
  <c r="AL200" i="13"/>
  <c r="AK200" i="13"/>
  <c r="AJ200" i="13"/>
  <c r="AI200" i="13"/>
  <c r="AH200" i="13"/>
  <c r="AH201" i="13" s="1"/>
  <c r="AH203" i="13" s="1"/>
  <c r="AH204" i="13" s="1"/>
  <c r="AG200" i="13"/>
  <c r="X199" i="13"/>
  <c r="X201" i="13" s="1"/>
  <c r="T42" i="14" l="1"/>
  <c r="S39" i="14"/>
  <c r="S37" i="14"/>
  <c r="T40" i="14"/>
  <c r="V40" i="14"/>
  <c r="T41" i="14"/>
  <c r="V41" i="14"/>
  <c r="V37" i="14"/>
  <c r="S38" i="14"/>
  <c r="V38" i="14"/>
  <c r="T38" i="14"/>
  <c r="M39" i="14"/>
  <c r="R39" i="14" s="1"/>
  <c r="U38" i="14"/>
  <c r="AC54" i="14"/>
  <c r="U34" i="14"/>
  <c r="AB52" i="14"/>
  <c r="AB55" i="14"/>
  <c r="S35" i="14"/>
  <c r="AC55" i="14"/>
  <c r="S34" i="14"/>
  <c r="T34" i="14"/>
  <c r="X34" i="14"/>
  <c r="V34" i="14"/>
  <c r="Y34" i="14"/>
  <c r="T35" i="14"/>
  <c r="AB51" i="14"/>
  <c r="AB53" i="14"/>
  <c r="AC50" i="14"/>
  <c r="X32" i="14"/>
  <c r="AB49" i="14"/>
  <c r="AC49" i="14"/>
  <c r="AC51" i="14"/>
  <c r="AC53" i="14"/>
  <c r="AC52" i="14"/>
  <c r="AB50" i="14"/>
  <c r="V32" i="14"/>
  <c r="AB54" i="14"/>
  <c r="Z33" i="14"/>
  <c r="V26" i="14"/>
  <c r="T26" i="14"/>
  <c r="Z32" i="14"/>
  <c r="W30" i="14"/>
  <c r="Y30" i="14"/>
  <c r="Z30" i="14"/>
  <c r="X30" i="14"/>
  <c r="V30" i="14"/>
  <c r="U30" i="14"/>
  <c r="Z31" i="14"/>
  <c r="T31" i="14"/>
  <c r="X31" i="14"/>
  <c r="V27" i="14"/>
  <c r="W26" i="14"/>
  <c r="Z26" i="14"/>
  <c r="X26" i="14"/>
  <c r="X200" i="13"/>
  <c r="Y26" i="14"/>
  <c r="AH205" i="13"/>
  <c r="AL201" i="13"/>
  <c r="AL203" i="13" s="1"/>
  <c r="AL204" i="13" s="1"/>
  <c r="AL202" i="13"/>
  <c r="AK201" i="13"/>
  <c r="AK203" i="13" s="1"/>
  <c r="AK204" i="13" s="1"/>
  <c r="AK202" i="13"/>
  <c r="AJ201" i="13"/>
  <c r="AJ203" i="13" s="1"/>
  <c r="AJ204" i="13" s="1"/>
  <c r="AI201" i="13"/>
  <c r="AI203" i="13" s="1"/>
  <c r="AI204" i="13" s="1"/>
  <c r="AH202" i="13"/>
  <c r="AG201" i="13"/>
  <c r="AG203" i="13" s="1"/>
  <c r="AG204" i="13" s="1"/>
  <c r="T39" i="14" l="1"/>
  <c r="V39" i="14"/>
  <c r="Z27" i="14"/>
  <c r="X27" i="14"/>
  <c r="T27" i="14"/>
  <c r="Z29" i="14"/>
  <c r="T28" i="14"/>
  <c r="AI205" i="13"/>
  <c r="U27" i="14"/>
  <c r="W27" i="14"/>
  <c r="S27" i="14"/>
  <c r="Y27" i="14"/>
  <c r="AG205" i="13"/>
  <c r="AG202" i="13"/>
  <c r="AL205" i="13"/>
  <c r="AK205" i="13"/>
  <c r="AJ205" i="13"/>
  <c r="AJ202" i="13"/>
  <c r="AI202" i="13"/>
  <c r="W28" i="14" l="1"/>
  <c r="T29" i="14"/>
  <c r="V28" i="14"/>
  <c r="X29" i="14"/>
  <c r="Y28" i="14"/>
  <c r="U28" i="14"/>
  <c r="V29" i="14"/>
  <c r="S28" i="14"/>
  <c r="Z28" i="14"/>
  <c r="X28" i="14"/>
  <c r="Y29" i="14" l="1"/>
  <c r="U29" i="14"/>
  <c r="W29" i="14"/>
  <c r="S29" i="14"/>
  <c r="AZ190" i="13"/>
  <c r="E190" i="13"/>
  <c r="C190" i="13"/>
  <c r="B190" i="13"/>
  <c r="AS188" i="13"/>
  <c r="AM191" i="13"/>
  <c r="G191" i="13"/>
  <c r="J191" i="13" s="1"/>
  <c r="AS191" i="13" s="1"/>
  <c r="T192" i="13"/>
  <c r="AO192" i="13"/>
  <c r="BB190" i="13"/>
  <c r="BB183" i="13"/>
  <c r="BB184" i="13"/>
  <c r="BB185" i="13"/>
  <c r="BB186" i="13"/>
  <c r="BB187" i="13"/>
  <c r="BB188" i="13"/>
  <c r="BB189" i="13"/>
  <c r="BB191" i="13"/>
  <c r="BB192" i="13"/>
  <c r="BB182" i="13"/>
  <c r="AZ192" i="13"/>
  <c r="AT192" i="13"/>
  <c r="AU192" i="13" s="1"/>
  <c r="I192" i="13"/>
  <c r="AS192" i="13" s="1"/>
  <c r="C192" i="13"/>
  <c r="J192" i="13" s="1"/>
  <c r="I189" i="13"/>
  <c r="K189" i="13" s="1"/>
  <c r="J189" i="13"/>
  <c r="BC189" i="13" s="1"/>
  <c r="AT189" i="13"/>
  <c r="AV189" i="13" s="1"/>
  <c r="BA189" i="13"/>
  <c r="AZ189" i="13"/>
  <c r="H189" i="13"/>
  <c r="AO189" i="13" s="1"/>
  <c r="I188" i="13"/>
  <c r="AB188" i="13" s="1"/>
  <c r="J188" i="13"/>
  <c r="U188" i="13" s="1"/>
  <c r="AT188" i="13"/>
  <c r="AU188" i="13" s="1"/>
  <c r="BA188" i="13"/>
  <c r="AZ188" i="13"/>
  <c r="H188" i="13"/>
  <c r="T188" i="13" s="1"/>
  <c r="BA187" i="13"/>
  <c r="AZ187" i="13"/>
  <c r="AT187" i="13"/>
  <c r="AV187" i="13" s="1"/>
  <c r="H187" i="13"/>
  <c r="AC187" i="13" s="1"/>
  <c r="J187" i="13"/>
  <c r="I187" i="13"/>
  <c r="AB187" i="13" s="1"/>
  <c r="BA186" i="13"/>
  <c r="AZ186" i="13"/>
  <c r="AT186" i="13"/>
  <c r="AV186" i="13" s="1"/>
  <c r="H186" i="13"/>
  <c r="J186" i="13"/>
  <c r="I186" i="13"/>
  <c r="AB186" i="13" s="1"/>
  <c r="AV192" i="13" l="1"/>
  <c r="AM186" i="13"/>
  <c r="AU189" i="13"/>
  <c r="AM192" i="13"/>
  <c r="AO191" i="13"/>
  <c r="AM188" i="13"/>
  <c r="AS189" i="13"/>
  <c r="AC186" i="13"/>
  <c r="AO186" i="13"/>
  <c r="BC188" i="13"/>
  <c r="BA192" i="13"/>
  <c r="AS186" i="13"/>
  <c r="BD188" i="13"/>
  <c r="T186" i="13"/>
  <c r="H192" i="13"/>
  <c r="AC192" i="13" s="1"/>
  <c r="AM187" i="13"/>
  <c r="T187" i="13"/>
  <c r="W192" i="13"/>
  <c r="AO187" i="13"/>
  <c r="AS187" i="13"/>
  <c r="AM189" i="13"/>
  <c r="AJ188" i="13"/>
  <c r="AO188" i="13" s="1"/>
  <c r="AB189" i="13"/>
  <c r="T189" i="13"/>
  <c r="BD189" i="13"/>
  <c r="BE189" i="13" s="1"/>
  <c r="I190" i="13"/>
  <c r="BA190" i="13"/>
  <c r="H190" i="13"/>
  <c r="AT190" i="13"/>
  <c r="AV190" i="13" s="1"/>
  <c r="J190" i="13"/>
  <c r="Y192" i="13"/>
  <c r="Z192" i="13"/>
  <c r="AA192" i="13"/>
  <c r="K192" i="13"/>
  <c r="N192" i="13" s="1"/>
  <c r="AB192" i="13"/>
  <c r="AJ192" i="13"/>
  <c r="AK192" i="13" s="1"/>
  <c r="AL192" i="13" s="1"/>
  <c r="AP192" i="13"/>
  <c r="L192" i="13"/>
  <c r="O192" i="13" s="1"/>
  <c r="U192" i="13"/>
  <c r="M192" i="13"/>
  <c r="P192" i="13" s="1"/>
  <c r="BA191" i="13"/>
  <c r="AA189" i="13"/>
  <c r="Z189" i="13"/>
  <c r="AA188" i="13"/>
  <c r="W188" i="13"/>
  <c r="AT191" i="13"/>
  <c r="AV191" i="13" s="1"/>
  <c r="I191" i="13"/>
  <c r="N189" i="13"/>
  <c r="X188" i="13"/>
  <c r="L188" i="13"/>
  <c r="O188" i="13" s="1"/>
  <c r="K188" i="13"/>
  <c r="N188" i="13" s="1"/>
  <c r="Y189" i="13"/>
  <c r="M189" i="13"/>
  <c r="P189" i="13" s="1"/>
  <c r="X189" i="13"/>
  <c r="W189" i="13"/>
  <c r="L189" i="13"/>
  <c r="O189" i="13" s="1"/>
  <c r="AJ189" i="13"/>
  <c r="AQ189" i="13" s="1"/>
  <c r="V189" i="13"/>
  <c r="AC189" i="13"/>
  <c r="U189" i="13"/>
  <c r="Z188" i="13"/>
  <c r="Y188" i="13"/>
  <c r="M188" i="13"/>
  <c r="P188" i="13" s="1"/>
  <c r="AV188" i="13"/>
  <c r="V188" i="13"/>
  <c r="AC188" i="13"/>
  <c r="Y187" i="13"/>
  <c r="AA186" i="13"/>
  <c r="AA187" i="13"/>
  <c r="X187" i="13"/>
  <c r="L187" i="13"/>
  <c r="O187" i="13" s="1"/>
  <c r="AJ187" i="13"/>
  <c r="AK187" i="13" s="1"/>
  <c r="AL187" i="13" s="1"/>
  <c r="AU187" i="13"/>
  <c r="M187" i="13"/>
  <c r="P187" i="13" s="1"/>
  <c r="Z187" i="13"/>
  <c r="V187" i="13"/>
  <c r="K187" i="13"/>
  <c r="N187" i="13" s="1"/>
  <c r="W187" i="13"/>
  <c r="U187" i="13"/>
  <c r="W186" i="13"/>
  <c r="AU186" i="13"/>
  <c r="AJ186" i="13"/>
  <c r="AK186" i="13" s="1"/>
  <c r="AL186" i="13" s="1"/>
  <c r="M186" i="13"/>
  <c r="P186" i="13" s="1"/>
  <c r="V186" i="13"/>
  <c r="X186" i="13"/>
  <c r="L186" i="13"/>
  <c r="O186" i="13" s="1"/>
  <c r="K186" i="13"/>
  <c r="N186" i="13" s="1"/>
  <c r="U186" i="13"/>
  <c r="Y186" i="13"/>
  <c r="Z186" i="13"/>
  <c r="K190" i="13" l="1"/>
  <c r="BE188" i="13"/>
  <c r="AM190" i="13"/>
  <c r="AO190" i="13"/>
  <c r="AS190" i="13"/>
  <c r="X192" i="13"/>
  <c r="BD191" i="13"/>
  <c r="V192" i="13"/>
  <c r="BC190" i="13"/>
  <c r="T190" i="13"/>
  <c r="AA190" i="13"/>
  <c r="BD190" i="13"/>
  <c r="AE192" i="13"/>
  <c r="L190" i="13"/>
  <c r="O190" i="13" s="1"/>
  <c r="U190" i="13"/>
  <c r="N190" i="13"/>
  <c r="Z190" i="13"/>
  <c r="Y190" i="13"/>
  <c r="W190" i="13"/>
  <c r="AU190" i="13"/>
  <c r="X190" i="13"/>
  <c r="AJ190" i="13"/>
  <c r="AK190" i="13" s="1"/>
  <c r="AL190" i="13" s="1"/>
  <c r="AR190" i="13" s="1"/>
  <c r="V190" i="13"/>
  <c r="AC190" i="13"/>
  <c r="AB190" i="13"/>
  <c r="M190" i="13"/>
  <c r="P190" i="13" s="1"/>
  <c r="AX192" i="13"/>
  <c r="AW192" i="13"/>
  <c r="AN192" i="13"/>
  <c r="S192" i="13"/>
  <c r="R192" i="13"/>
  <c r="Q192" i="13"/>
  <c r="AR192" i="13"/>
  <c r="AD192" i="13"/>
  <c r="AQ192" i="13"/>
  <c r="AF192" i="13"/>
  <c r="AU191" i="13"/>
  <c r="H191" i="13"/>
  <c r="T191" i="13" s="1"/>
  <c r="AZ191" i="13"/>
  <c r="AX188" i="13"/>
  <c r="AW188" i="13"/>
  <c r="AP189" i="13"/>
  <c r="AK189" i="13"/>
  <c r="AL189" i="13" s="1"/>
  <c r="AF189" i="13" s="1"/>
  <c r="AW189" i="13"/>
  <c r="AX189" i="13"/>
  <c r="AP188" i="13"/>
  <c r="AK188" i="13"/>
  <c r="AL188" i="13" s="1"/>
  <c r="AF188" i="13" s="1"/>
  <c r="AQ188" i="13"/>
  <c r="AE186" i="13"/>
  <c r="AN187" i="13"/>
  <c r="S187" i="13"/>
  <c r="Q187" i="13"/>
  <c r="R187" i="13"/>
  <c r="AE187" i="13"/>
  <c r="AX187" i="13"/>
  <c r="AW187" i="13"/>
  <c r="AD187" i="13"/>
  <c r="AH187" i="13" s="1"/>
  <c r="AQ187" i="13"/>
  <c r="AR187" i="13"/>
  <c r="AF187" i="13"/>
  <c r="AP187" i="13"/>
  <c r="AN186" i="13"/>
  <c r="Q186" i="13"/>
  <c r="S186" i="13"/>
  <c r="R186" i="13"/>
  <c r="AQ186" i="13"/>
  <c r="AF186" i="13"/>
  <c r="AH186" i="13" s="1"/>
  <c r="AW186" i="13"/>
  <c r="AX186" i="13"/>
  <c r="AD186" i="13"/>
  <c r="AR186" i="13"/>
  <c r="AP186" i="13"/>
  <c r="W191" i="13" l="1"/>
  <c r="BC191" i="13"/>
  <c r="BE191" i="13" s="1"/>
  <c r="BE190" i="13"/>
  <c r="AP190" i="13"/>
  <c r="AE190" i="13"/>
  <c r="R190" i="13"/>
  <c r="S190" i="13"/>
  <c r="AX190" i="13"/>
  <c r="AN190" i="13"/>
  <c r="Q190" i="13"/>
  <c r="AF190" i="13"/>
  <c r="AH190" i="13" s="1"/>
  <c r="AD190" i="13"/>
  <c r="AW190" i="13"/>
  <c r="AQ190" i="13"/>
  <c r="AI192" i="13"/>
  <c r="AG192" i="13"/>
  <c r="AH192" i="13"/>
  <c r="AJ191" i="13"/>
  <c r="AQ191" i="13" s="1"/>
  <c r="AC191" i="13"/>
  <c r="AA191" i="13"/>
  <c r="V191" i="13"/>
  <c r="L191" i="13"/>
  <c r="O191" i="13" s="1"/>
  <c r="Y191" i="13"/>
  <c r="U191" i="13"/>
  <c r="M191" i="13"/>
  <c r="P191" i="13" s="1"/>
  <c r="X191" i="13"/>
  <c r="AB191" i="13"/>
  <c r="Z191" i="13"/>
  <c r="K191" i="13"/>
  <c r="N191" i="13" s="1"/>
  <c r="S189" i="13"/>
  <c r="AR189" i="13"/>
  <c r="AN189" i="13"/>
  <c r="Q189" i="13"/>
  <c r="R189" i="13"/>
  <c r="AE189" i="13"/>
  <c r="AH189" i="13" s="1"/>
  <c r="AD189" i="13"/>
  <c r="AI189" i="13" s="1"/>
  <c r="AD188" i="13"/>
  <c r="AI188" i="13" s="1"/>
  <c r="Q188" i="13"/>
  <c r="R188" i="13"/>
  <c r="AN188" i="13"/>
  <c r="S188" i="13"/>
  <c r="AR188" i="13"/>
  <c r="AE188" i="13"/>
  <c r="AH188" i="13" s="1"/>
  <c r="AG187" i="13"/>
  <c r="AI187" i="13"/>
  <c r="AG186" i="13"/>
  <c r="AI186" i="13"/>
  <c r="AG190" i="13" l="1"/>
  <c r="AG189" i="13"/>
  <c r="AI190" i="13"/>
  <c r="AG188" i="13"/>
  <c r="AP191" i="13"/>
  <c r="AK191" i="13"/>
  <c r="AL191" i="13" s="1"/>
  <c r="AE191" i="13" s="1"/>
  <c r="AX191" i="13"/>
  <c r="AW191" i="13"/>
  <c r="AD191" i="13" l="1"/>
  <c r="AI191" i="13" s="1"/>
  <c r="AH191" i="13"/>
  <c r="S191" i="13"/>
  <c r="R191" i="13"/>
  <c r="Q191" i="13"/>
  <c r="AR191" i="13"/>
  <c r="AN191" i="13"/>
  <c r="AF191" i="13"/>
  <c r="AG191" i="13" s="1"/>
  <c r="AT183" i="13" l="1"/>
  <c r="AV183" i="13" s="1"/>
  <c r="AT182" i="13"/>
  <c r="AU182" i="13" s="1"/>
  <c r="AZ183" i="13"/>
  <c r="BA183" i="13"/>
  <c r="AZ184" i="13"/>
  <c r="AZ185" i="13"/>
  <c r="BA182" i="13"/>
  <c r="AZ182" i="13"/>
  <c r="AU183" i="13" l="1"/>
  <c r="AV182" i="13"/>
  <c r="G185" i="13"/>
  <c r="H185" i="13"/>
  <c r="H183" i="13"/>
  <c r="J183" i="13"/>
  <c r="AS183" i="13" s="1"/>
  <c r="I183" i="13"/>
  <c r="AB183" i="13" s="1"/>
  <c r="G184" i="13"/>
  <c r="H184" i="13"/>
  <c r="H182" i="13"/>
  <c r="J182" i="13"/>
  <c r="I182" i="13"/>
  <c r="AB182" i="13" s="1"/>
  <c r="AO183" i="13" l="1"/>
  <c r="T183" i="13"/>
  <c r="AM183" i="13"/>
  <c r="X183" i="13"/>
  <c r="AC183" i="13"/>
  <c r="AA183" i="13"/>
  <c r="AC182" i="13"/>
  <c r="AA182" i="13"/>
  <c r="BA184" i="13"/>
  <c r="AT184" i="13"/>
  <c r="AV184" i="13" s="1"/>
  <c r="AU184" i="13"/>
  <c r="BA185" i="13"/>
  <c r="AT185" i="13"/>
  <c r="AU185" i="13" s="1"/>
  <c r="M183" i="13"/>
  <c r="P183" i="13" s="1"/>
  <c r="I184" i="13"/>
  <c r="U183" i="13"/>
  <c r="Z182" i="13"/>
  <c r="Y182" i="13"/>
  <c r="X182" i="13"/>
  <c r="M182" i="13"/>
  <c r="P182" i="13" s="1"/>
  <c r="Z183" i="13"/>
  <c r="W182" i="13"/>
  <c r="Y183" i="13"/>
  <c r="V183" i="13"/>
  <c r="AJ182" i="13"/>
  <c r="AK182" i="13" s="1"/>
  <c r="AL182" i="13" s="1"/>
  <c r="K182" i="13"/>
  <c r="N182" i="13" s="1"/>
  <c r="U182" i="13"/>
  <c r="W183" i="13"/>
  <c r="L182" i="13"/>
  <c r="O182" i="13" s="1"/>
  <c r="V182" i="13"/>
  <c r="L183" i="13"/>
  <c r="O183" i="13" s="1"/>
  <c r="AJ183" i="13"/>
  <c r="AK183" i="13" s="1"/>
  <c r="AL183" i="13" s="1"/>
  <c r="AN183" i="13" s="1"/>
  <c r="K183" i="13"/>
  <c r="N183" i="13" s="1"/>
  <c r="J184" i="13"/>
  <c r="E168" i="13"/>
  <c r="G168" i="13" s="1"/>
  <c r="E169" i="13"/>
  <c r="F169" i="13" s="1"/>
  <c r="E170" i="13"/>
  <c r="G170" i="13" s="1"/>
  <c r="E171" i="13"/>
  <c r="F171" i="13" s="1"/>
  <c r="E172" i="13"/>
  <c r="G172" i="13" s="1"/>
  <c r="E173" i="13"/>
  <c r="F173" i="13" s="1"/>
  <c r="E174" i="13"/>
  <c r="G174" i="13" s="1"/>
  <c r="E175" i="13"/>
  <c r="F175" i="13" s="1"/>
  <c r="E176" i="13"/>
  <c r="G176" i="13" s="1"/>
  <c r="E167" i="13"/>
  <c r="G167" i="13" s="1"/>
  <c r="E148" i="13"/>
  <c r="G148" i="13" s="1"/>
  <c r="E149" i="13"/>
  <c r="F149" i="13" s="1"/>
  <c r="E150" i="13"/>
  <c r="G150" i="13" s="1"/>
  <c r="E151" i="13"/>
  <c r="F151" i="13" s="1"/>
  <c r="E152" i="13"/>
  <c r="G152" i="13" s="1"/>
  <c r="E153" i="13"/>
  <c r="F153" i="13" s="1"/>
  <c r="E154" i="13"/>
  <c r="G154" i="13" s="1"/>
  <c r="E147" i="13"/>
  <c r="G147" i="13" s="1"/>
  <c r="E130" i="13"/>
  <c r="F130" i="13" s="1"/>
  <c r="E131" i="13"/>
  <c r="F131" i="13" s="1"/>
  <c r="E132" i="13"/>
  <c r="G132" i="13" s="1"/>
  <c r="E133" i="13"/>
  <c r="F133" i="13" s="1"/>
  <c r="E134" i="13"/>
  <c r="F134" i="13" s="1"/>
  <c r="E129" i="13"/>
  <c r="G129" i="13" s="1"/>
  <c r="E113" i="13"/>
  <c r="F113" i="13" s="1"/>
  <c r="E114" i="13"/>
  <c r="G114" i="13" s="1"/>
  <c r="E115" i="13"/>
  <c r="F115" i="13" s="1"/>
  <c r="E116" i="13"/>
  <c r="G116" i="13" s="1"/>
  <c r="E112" i="13"/>
  <c r="G112" i="13" s="1"/>
  <c r="G164" i="13"/>
  <c r="F164" i="13"/>
  <c r="B163" i="13"/>
  <c r="B162" i="13" s="1"/>
  <c r="G144" i="13"/>
  <c r="F144" i="13"/>
  <c r="B143" i="13"/>
  <c r="E144" i="13" s="1"/>
  <c r="G126" i="13"/>
  <c r="F126" i="13"/>
  <c r="B125" i="13"/>
  <c r="B108" i="13"/>
  <c r="C106" i="13" s="1"/>
  <c r="F109" i="13"/>
  <c r="G109" i="13"/>
  <c r="E100" i="13"/>
  <c r="F100" i="13" s="1"/>
  <c r="E97" i="13"/>
  <c r="G97" i="13" s="1"/>
  <c r="E98" i="13"/>
  <c r="G98" i="13" s="1"/>
  <c r="E99" i="13"/>
  <c r="G99" i="13" s="1"/>
  <c r="E96" i="13"/>
  <c r="F96" i="13" s="1"/>
  <c r="F101" i="13" s="1"/>
  <c r="B92" i="13"/>
  <c r="F93" i="13"/>
  <c r="G93" i="13"/>
  <c r="B81" i="13"/>
  <c r="B84" i="13" s="1"/>
  <c r="B85" i="13"/>
  <c r="H84" i="13" s="1"/>
  <c r="B80" i="13"/>
  <c r="B82" i="13" s="1"/>
  <c r="B83" i="13" s="1"/>
  <c r="B70" i="13"/>
  <c r="B76" i="13" s="1"/>
  <c r="B75" i="13"/>
  <c r="B74" i="13"/>
  <c r="B61" i="13"/>
  <c r="B62" i="13" s="1"/>
  <c r="B65" i="13"/>
  <c r="B64" i="13"/>
  <c r="B63" i="13"/>
  <c r="B53" i="13"/>
  <c r="B54" i="13" s="1"/>
  <c r="B52" i="13"/>
  <c r="B51" i="13"/>
  <c r="B44" i="13"/>
  <c r="B43" i="13"/>
  <c r="B42" i="13"/>
  <c r="B41" i="13"/>
  <c r="B30" i="13"/>
  <c r="B32" i="13" s="1"/>
  <c r="B34" i="13"/>
  <c r="B33" i="13"/>
  <c r="B31" i="13"/>
  <c r="B25" i="13"/>
  <c r="B24" i="13"/>
  <c r="B23" i="13"/>
  <c r="B22" i="13"/>
  <c r="AA184" i="13" l="1"/>
  <c r="AM184" i="13"/>
  <c r="AO184" i="13"/>
  <c r="AS184" i="13"/>
  <c r="T184" i="13"/>
  <c r="AD182" i="13"/>
  <c r="AH182" i="13" s="1"/>
  <c r="AB184" i="13"/>
  <c r="AC184" i="13"/>
  <c r="AV185" i="13"/>
  <c r="AE182" i="13"/>
  <c r="AE183" i="13"/>
  <c r="AQ182" i="13"/>
  <c r="AP183" i="13"/>
  <c r="R182" i="13"/>
  <c r="AN182" i="13"/>
  <c r="AR183" i="13"/>
  <c r="AW183" i="13"/>
  <c r="AX183" i="13"/>
  <c r="AQ183" i="13"/>
  <c r="AW182" i="13"/>
  <c r="AX182" i="13"/>
  <c r="AP182" i="13"/>
  <c r="AR182" i="13"/>
  <c r="F154" i="13"/>
  <c r="AF183" i="13"/>
  <c r="M184" i="13"/>
  <c r="P184" i="13" s="1"/>
  <c r="AD183" i="13"/>
  <c r="AI183" i="13" s="1"/>
  <c r="F150" i="13"/>
  <c r="AF182" i="13"/>
  <c r="F23" i="13"/>
  <c r="E42" i="13"/>
  <c r="Z184" i="13"/>
  <c r="F152" i="13"/>
  <c r="K184" i="13"/>
  <c r="N184" i="13" s="1"/>
  <c r="S183" i="13"/>
  <c r="Q183" i="13"/>
  <c r="R183" i="13"/>
  <c r="Q182" i="13"/>
  <c r="S182" i="13"/>
  <c r="D42" i="13"/>
  <c r="F174" i="13"/>
  <c r="G169" i="13"/>
  <c r="G173" i="13"/>
  <c r="E109" i="13"/>
  <c r="G153" i="13"/>
  <c r="Y184" i="13"/>
  <c r="U184" i="13"/>
  <c r="X184" i="13"/>
  <c r="L184" i="13"/>
  <c r="O184" i="13" s="1"/>
  <c r="W184" i="13"/>
  <c r="AJ184" i="13"/>
  <c r="AK184" i="13" s="1"/>
  <c r="AL184" i="13" s="1"/>
  <c r="AN184" i="13" s="1"/>
  <c r="V184" i="13"/>
  <c r="G115" i="13"/>
  <c r="G84" i="13"/>
  <c r="G149" i="13"/>
  <c r="F176" i="13"/>
  <c r="F170" i="13"/>
  <c r="G113" i="13"/>
  <c r="F129" i="13"/>
  <c r="F135" i="13" s="1"/>
  <c r="G155" i="13"/>
  <c r="F172" i="13"/>
  <c r="G177" i="13"/>
  <c r="F42" i="13"/>
  <c r="F147" i="13"/>
  <c r="F155" i="13" s="1"/>
  <c r="F168" i="13"/>
  <c r="F167" i="13"/>
  <c r="F177" i="13" s="1"/>
  <c r="B55" i="13"/>
  <c r="G134" i="13"/>
  <c r="F148" i="13"/>
  <c r="G175" i="13"/>
  <c r="G171" i="13"/>
  <c r="G151" i="13"/>
  <c r="G74" i="13"/>
  <c r="F97" i="13"/>
  <c r="G133" i="13"/>
  <c r="F116" i="13"/>
  <c r="F132" i="13"/>
  <c r="D63" i="13"/>
  <c r="F32" i="13"/>
  <c r="G131" i="13"/>
  <c r="G130" i="13"/>
  <c r="G135" i="13"/>
  <c r="F114" i="13"/>
  <c r="F112" i="13"/>
  <c r="F117" i="13" s="1"/>
  <c r="D74" i="13"/>
  <c r="G96" i="13"/>
  <c r="G101" i="13" s="1"/>
  <c r="B142" i="13"/>
  <c r="D144" i="13" s="1"/>
  <c r="G100" i="13"/>
  <c r="F63" i="13"/>
  <c r="F99" i="13"/>
  <c r="F98" i="13"/>
  <c r="E126" i="13"/>
  <c r="C123" i="13"/>
  <c r="B124" i="13"/>
  <c r="D164" i="13"/>
  <c r="C161" i="13"/>
  <c r="E164" i="13"/>
  <c r="C141" i="13"/>
  <c r="G117" i="13"/>
  <c r="B107" i="13"/>
  <c r="D109" i="13" s="1"/>
  <c r="E93" i="13"/>
  <c r="B91" i="13"/>
  <c r="D93" i="13" s="1"/>
  <c r="C90" i="13"/>
  <c r="B86" i="13"/>
  <c r="D84" i="13" s="1"/>
  <c r="B72" i="13"/>
  <c r="B73" i="13" s="1"/>
  <c r="E74" i="13" s="1"/>
  <c r="F74" i="13"/>
  <c r="D52" i="13"/>
  <c r="E52" i="13"/>
  <c r="E63" i="13"/>
  <c r="B66" i="13"/>
  <c r="G63" i="13" s="1"/>
  <c r="F52" i="13"/>
  <c r="D23" i="13"/>
  <c r="D32" i="13"/>
  <c r="G32" i="13"/>
  <c r="E23" i="13"/>
  <c r="E32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3" i="13"/>
  <c r="G13" i="13"/>
  <c r="F13" i="13"/>
  <c r="E13" i="13"/>
  <c r="H12" i="13"/>
  <c r="G12" i="13"/>
  <c r="F12" i="13"/>
  <c r="E12" i="13"/>
  <c r="H11" i="13"/>
  <c r="G11" i="13"/>
  <c r="F11" i="13"/>
  <c r="E11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AG183" i="13" l="1"/>
  <c r="AH183" i="13"/>
  <c r="AI182" i="13"/>
  <c r="AG182" i="13"/>
  <c r="AP184" i="13"/>
  <c r="AR184" i="13"/>
  <c r="AW184" i="13"/>
  <c r="AX184" i="13"/>
  <c r="AQ184" i="13"/>
  <c r="AE184" i="13"/>
  <c r="AF184" i="13"/>
  <c r="AD184" i="13"/>
  <c r="R184" i="13"/>
  <c r="Q184" i="13"/>
  <c r="S184" i="13"/>
  <c r="J5" i="13"/>
  <c r="J7" i="13"/>
  <c r="I5" i="13"/>
  <c r="I7" i="13"/>
  <c r="I9" i="13"/>
  <c r="D126" i="13"/>
  <c r="F84" i="13"/>
  <c r="E84" i="13"/>
  <c r="J16" i="13"/>
  <c r="J12" i="13"/>
  <c r="J14" i="13"/>
  <c r="I4" i="13"/>
  <c r="I6" i="13"/>
  <c r="J4" i="13"/>
  <c r="J6" i="13"/>
  <c r="J8" i="13"/>
  <c r="I8" i="13"/>
  <c r="J9" i="13"/>
  <c r="I11" i="13"/>
  <c r="I13" i="13"/>
  <c r="J11" i="13"/>
  <c r="I12" i="13"/>
  <c r="J13" i="13"/>
  <c r="I14" i="13"/>
  <c r="J15" i="13"/>
  <c r="I15" i="13"/>
  <c r="I16" i="13"/>
  <c r="J81" i="12"/>
  <c r="I84" i="12"/>
  <c r="K84" i="12"/>
  <c r="K79" i="12"/>
  <c r="J79" i="12"/>
  <c r="I79" i="12"/>
  <c r="H79" i="12"/>
  <c r="G66" i="12"/>
  <c r="F66" i="12"/>
  <c r="H53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I66" i="12"/>
  <c r="H66" i="12"/>
  <c r="G87" i="12"/>
  <c r="H87" i="12" s="1"/>
  <c r="G86" i="12"/>
  <c r="J86" i="12" s="1"/>
  <c r="G85" i="12"/>
  <c r="H85" i="12" s="1"/>
  <c r="G84" i="12"/>
  <c r="J84" i="12" s="1"/>
  <c r="G83" i="12"/>
  <c r="H83" i="12" s="1"/>
  <c r="G82" i="12"/>
  <c r="J82" i="12" s="1"/>
  <c r="G81" i="12"/>
  <c r="H81" i="12" s="1"/>
  <c r="G80" i="12"/>
  <c r="J80" i="12" s="1"/>
  <c r="E74" i="12"/>
  <c r="F74" i="12" s="1"/>
  <c r="E73" i="12"/>
  <c r="F73" i="12" s="1"/>
  <c r="E72" i="12"/>
  <c r="F72" i="12" s="1"/>
  <c r="E71" i="12"/>
  <c r="G71" i="12" s="1"/>
  <c r="E70" i="12"/>
  <c r="F70" i="12" s="1"/>
  <c r="E69" i="12"/>
  <c r="G69" i="12" s="1"/>
  <c r="E68" i="12"/>
  <c r="F68" i="12" s="1"/>
  <c r="E67" i="12"/>
  <c r="F67" i="12" s="1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G53" i="12"/>
  <c r="F53" i="12"/>
  <c r="E61" i="12"/>
  <c r="H61" i="12" s="1"/>
  <c r="E60" i="12"/>
  <c r="H60" i="12" s="1"/>
  <c r="E59" i="12"/>
  <c r="H59" i="12" s="1"/>
  <c r="E58" i="12"/>
  <c r="H58" i="12" s="1"/>
  <c r="E57" i="12"/>
  <c r="H57" i="12" s="1"/>
  <c r="E56" i="12"/>
  <c r="H56" i="12" s="1"/>
  <c r="E55" i="12"/>
  <c r="H55" i="12" s="1"/>
  <c r="E54" i="12"/>
  <c r="H54" i="12" s="1"/>
  <c r="J85" i="12" l="1"/>
  <c r="K83" i="12"/>
  <c r="K81" i="12"/>
  <c r="K87" i="12"/>
  <c r="J87" i="12"/>
  <c r="K85" i="12"/>
  <c r="AG184" i="13"/>
  <c r="AH184" i="13"/>
  <c r="AI184" i="13"/>
  <c r="I86" i="12"/>
  <c r="I82" i="12"/>
  <c r="I80" i="12"/>
  <c r="H86" i="12"/>
  <c r="H84" i="12"/>
  <c r="H82" i="12"/>
  <c r="H80" i="12"/>
  <c r="I87" i="12"/>
  <c r="I85" i="12"/>
  <c r="I83" i="12"/>
  <c r="I81" i="12"/>
  <c r="J83" i="12"/>
  <c r="K86" i="12"/>
  <c r="K82" i="12"/>
  <c r="K80" i="12"/>
  <c r="K9" i="13"/>
  <c r="M9" i="13" s="1"/>
  <c r="K7" i="13"/>
  <c r="M7" i="13" s="1"/>
  <c r="K11" i="13"/>
  <c r="K5" i="13"/>
  <c r="M5" i="13" s="1"/>
  <c r="K14" i="13"/>
  <c r="K16" i="13"/>
  <c r="M16" i="13" s="1"/>
  <c r="K13" i="13"/>
  <c r="M13" i="13" s="1"/>
  <c r="K12" i="13"/>
  <c r="L12" i="13" s="1"/>
  <c r="K8" i="13"/>
  <c r="M8" i="13" s="1"/>
  <c r="K6" i="13"/>
  <c r="K15" i="13"/>
  <c r="L15" i="13" s="1"/>
  <c r="K4" i="13"/>
  <c r="M4" i="13" s="1"/>
  <c r="F71" i="12"/>
  <c r="I59" i="12"/>
  <c r="I55" i="12"/>
  <c r="G67" i="12"/>
  <c r="I61" i="12"/>
  <c r="G74" i="12"/>
  <c r="G73" i="12"/>
  <c r="I60" i="12"/>
  <c r="I57" i="12"/>
  <c r="I56" i="12"/>
  <c r="G70" i="12"/>
  <c r="F69" i="12"/>
  <c r="I58" i="12"/>
  <c r="I54" i="12"/>
  <c r="G72" i="12"/>
  <c r="G68" i="12"/>
  <c r="L23" i="12"/>
  <c r="N23" i="12" s="1"/>
  <c r="E23" i="12"/>
  <c r="G23" i="12" s="1"/>
  <c r="L22" i="12"/>
  <c r="M22" i="12" s="1"/>
  <c r="E22" i="12"/>
  <c r="F22" i="12" s="1"/>
  <c r="L21" i="12"/>
  <c r="M21" i="12" s="1"/>
  <c r="E21" i="12"/>
  <c r="G21" i="12" s="1"/>
  <c r="L20" i="12"/>
  <c r="N20" i="12" s="1"/>
  <c r="E20" i="12"/>
  <c r="F20" i="12" s="1"/>
  <c r="I47" i="12"/>
  <c r="M48" i="12"/>
  <c r="L48" i="12"/>
  <c r="N48" i="12" s="1"/>
  <c r="I48" i="12"/>
  <c r="H48" i="12"/>
  <c r="E48" i="12"/>
  <c r="G48" i="12" s="1"/>
  <c r="E47" i="12"/>
  <c r="F47" i="12" s="1"/>
  <c r="M47" i="12"/>
  <c r="H47" i="12"/>
  <c r="L47" i="12"/>
  <c r="E46" i="12"/>
  <c r="F46" i="12" s="1"/>
  <c r="I46" i="12"/>
  <c r="M46" i="12"/>
  <c r="H46" i="12"/>
  <c r="L46" i="12"/>
  <c r="E45" i="12"/>
  <c r="F45" i="12" s="1"/>
  <c r="I45" i="12"/>
  <c r="M45" i="12"/>
  <c r="H45" i="12"/>
  <c r="L45" i="12"/>
  <c r="I44" i="12"/>
  <c r="H44" i="12"/>
  <c r="E44" i="12"/>
  <c r="F44" i="12" s="1"/>
  <c r="M44" i="12"/>
  <c r="L44" i="12"/>
  <c r="L40" i="12"/>
  <c r="M40" i="12"/>
  <c r="L41" i="12"/>
  <c r="M41" i="12"/>
  <c r="L42" i="12"/>
  <c r="M42" i="12"/>
  <c r="L43" i="12"/>
  <c r="M43" i="12"/>
  <c r="M39" i="12"/>
  <c r="L39" i="12"/>
  <c r="N39" i="12" s="1"/>
  <c r="H40" i="12"/>
  <c r="I40" i="12"/>
  <c r="H41" i="12"/>
  <c r="I41" i="12"/>
  <c r="H42" i="12"/>
  <c r="I42" i="12"/>
  <c r="H43" i="12"/>
  <c r="I43" i="12"/>
  <c r="I39" i="12"/>
  <c r="H39" i="12"/>
  <c r="E40" i="12"/>
  <c r="F40" i="12" s="1"/>
  <c r="E41" i="12"/>
  <c r="F41" i="12" s="1"/>
  <c r="E42" i="12"/>
  <c r="G42" i="12" s="1"/>
  <c r="E43" i="12"/>
  <c r="F43" i="12" s="1"/>
  <c r="E39" i="12"/>
  <c r="F39" i="12" s="1"/>
  <c r="H31" i="12"/>
  <c r="I31" i="12"/>
  <c r="H32" i="12"/>
  <c r="I32" i="12"/>
  <c r="H33" i="12"/>
  <c r="I33" i="12"/>
  <c r="H34" i="12"/>
  <c r="I34" i="12"/>
  <c r="I30" i="12"/>
  <c r="H30" i="12"/>
  <c r="E31" i="12"/>
  <c r="F31" i="12"/>
  <c r="E32" i="12"/>
  <c r="F32" i="12"/>
  <c r="E33" i="12"/>
  <c r="F33" i="12"/>
  <c r="E34" i="12"/>
  <c r="F34" i="12"/>
  <c r="F30" i="12"/>
  <c r="E30" i="12"/>
  <c r="L19" i="12"/>
  <c r="N19" i="12" s="1"/>
  <c r="E19" i="12"/>
  <c r="G19" i="12" s="1"/>
  <c r="L16" i="12"/>
  <c r="N16" i="12" s="1"/>
  <c r="E16" i="12"/>
  <c r="G16" i="12" s="1"/>
  <c r="L18" i="12"/>
  <c r="N18" i="12" s="1"/>
  <c r="E18" i="12"/>
  <c r="G18" i="12" s="1"/>
  <c r="L17" i="12"/>
  <c r="N17" i="12" s="1"/>
  <c r="E17" i="12"/>
  <c r="G17" i="12" s="1"/>
  <c r="L15" i="12"/>
  <c r="N15" i="12" s="1"/>
  <c r="E15" i="12"/>
  <c r="F15" i="12" s="1"/>
  <c r="E4" i="12"/>
  <c r="G4" i="12" s="1"/>
  <c r="K4" i="12" s="1"/>
  <c r="E5" i="12"/>
  <c r="G5" i="12" s="1"/>
  <c r="E6" i="12"/>
  <c r="F6" i="12" s="1"/>
  <c r="E7" i="12"/>
  <c r="G7" i="12" s="1"/>
  <c r="E8" i="12"/>
  <c r="G8" i="12" s="1"/>
  <c r="E9" i="12"/>
  <c r="F9" i="12" s="1"/>
  <c r="E10" i="12"/>
  <c r="G10" i="12" s="1"/>
  <c r="E3" i="12"/>
  <c r="F3" i="12" s="1"/>
  <c r="K19" i="4"/>
  <c r="E9" i="4"/>
  <c r="E10" i="4" s="1"/>
  <c r="E11" i="4" s="1"/>
  <c r="E12" i="4" s="1"/>
  <c r="E4" i="4"/>
  <c r="E5" i="4" s="1"/>
  <c r="E6" i="4" s="1"/>
  <c r="C4" i="4"/>
  <c r="C5" i="4" s="1"/>
  <c r="C6" i="4" s="1"/>
  <c r="D3" i="4"/>
  <c r="D4" i="4" s="1"/>
  <c r="D5" i="4" s="1"/>
  <c r="D6" i="4" s="1"/>
  <c r="C3" i="4"/>
  <c r="E3" i="4"/>
  <c r="G3" i="4" l="1"/>
  <c r="L9" i="13"/>
  <c r="K42" i="12"/>
  <c r="F3" i="4"/>
  <c r="G30" i="12"/>
  <c r="L7" i="13"/>
  <c r="Q7" i="13" s="1"/>
  <c r="L16" i="13"/>
  <c r="Q16" i="13" s="1"/>
  <c r="X11" i="13"/>
  <c r="M12" i="13"/>
  <c r="Q12" i="13" s="1"/>
  <c r="L13" i="13"/>
  <c r="Q13" i="13" s="1"/>
  <c r="L5" i="13"/>
  <c r="Q5" i="13" s="1"/>
  <c r="R5" i="13" s="1"/>
  <c r="M11" i="13"/>
  <c r="X16" i="13"/>
  <c r="L11" i="13"/>
  <c r="X13" i="13"/>
  <c r="X12" i="13"/>
  <c r="L14" i="13"/>
  <c r="M14" i="13"/>
  <c r="X4" i="13"/>
  <c r="L4" i="13"/>
  <c r="X9" i="13"/>
  <c r="X8" i="13"/>
  <c r="L8" i="13"/>
  <c r="Y8" i="13" s="1"/>
  <c r="X7" i="13"/>
  <c r="M6" i="13"/>
  <c r="X6" i="13"/>
  <c r="X14" i="13"/>
  <c r="L6" i="13"/>
  <c r="X5" i="13"/>
  <c r="M15" i="13"/>
  <c r="Q15" i="13" s="1"/>
  <c r="R15" i="13" s="1"/>
  <c r="X15" i="13"/>
  <c r="Q9" i="13"/>
  <c r="R9" i="13" s="1"/>
  <c r="N47" i="12"/>
  <c r="Q47" i="12" s="1"/>
  <c r="F23" i="12"/>
  <c r="G6" i="12"/>
  <c r="K6" i="12" s="1"/>
  <c r="G34" i="12"/>
  <c r="M20" i="12"/>
  <c r="M23" i="12"/>
  <c r="G39" i="12"/>
  <c r="N40" i="12"/>
  <c r="P40" i="12" s="1"/>
  <c r="G20" i="12"/>
  <c r="K40" i="12"/>
  <c r="F48" i="12"/>
  <c r="K43" i="12"/>
  <c r="P39" i="12"/>
  <c r="O39" i="12"/>
  <c r="N22" i="12"/>
  <c r="P23" i="12"/>
  <c r="O23" i="12"/>
  <c r="G22" i="12"/>
  <c r="N21" i="12"/>
  <c r="F21" i="12"/>
  <c r="N42" i="12"/>
  <c r="R42" i="12" s="1"/>
  <c r="N45" i="12"/>
  <c r="O45" i="12" s="1"/>
  <c r="G43" i="12"/>
  <c r="O40" i="12"/>
  <c r="P20" i="12"/>
  <c r="O20" i="12"/>
  <c r="K5" i="12"/>
  <c r="G15" i="12"/>
  <c r="P15" i="12" s="1"/>
  <c r="F5" i="12"/>
  <c r="J5" i="12" s="1"/>
  <c r="M18" i="12"/>
  <c r="G41" i="12"/>
  <c r="N43" i="12"/>
  <c r="Q43" i="12" s="1"/>
  <c r="J6" i="12"/>
  <c r="F4" i="12"/>
  <c r="J4" i="12" s="1"/>
  <c r="M19" i="12"/>
  <c r="G3" i="12"/>
  <c r="M15" i="12"/>
  <c r="G33" i="12"/>
  <c r="K41" i="12"/>
  <c r="Q39" i="12"/>
  <c r="R40" i="12"/>
  <c r="N44" i="12"/>
  <c r="R44" i="12" s="1"/>
  <c r="F10" i="12"/>
  <c r="J10" i="12" s="1"/>
  <c r="F19" i="12"/>
  <c r="R39" i="12"/>
  <c r="G44" i="12"/>
  <c r="N46" i="12"/>
  <c r="P46" i="12" s="1"/>
  <c r="G9" i="12"/>
  <c r="J9" i="12" s="1"/>
  <c r="F18" i="12"/>
  <c r="F8" i="12"/>
  <c r="J8" i="12" s="1"/>
  <c r="F17" i="12"/>
  <c r="N41" i="12"/>
  <c r="G46" i="12"/>
  <c r="G47" i="12"/>
  <c r="F7" i="12"/>
  <c r="J7" i="12" s="1"/>
  <c r="F16" i="12"/>
  <c r="G31" i="12"/>
  <c r="G45" i="12"/>
  <c r="M16" i="12"/>
  <c r="O47" i="12"/>
  <c r="P47" i="12"/>
  <c r="R47" i="12"/>
  <c r="K39" i="12"/>
  <c r="G40" i="12"/>
  <c r="F42" i="12"/>
  <c r="G32" i="12"/>
  <c r="P19" i="12"/>
  <c r="O19" i="12"/>
  <c r="P16" i="12"/>
  <c r="O16" i="12"/>
  <c r="P18" i="12"/>
  <c r="O18" i="12"/>
  <c r="K8" i="12"/>
  <c r="K7" i="12"/>
  <c r="K10" i="12"/>
  <c r="F6" i="4"/>
  <c r="G6" i="4"/>
  <c r="G5" i="4"/>
  <c r="F5" i="4"/>
  <c r="F4" i="4"/>
  <c r="G4" i="4"/>
  <c r="Y4" i="13" l="1"/>
  <c r="O42" i="12"/>
  <c r="F7" i="4"/>
  <c r="Y12" i="13"/>
  <c r="Z12" i="13" s="1"/>
  <c r="AA12" i="13" s="1"/>
  <c r="AB12" i="13" s="1"/>
  <c r="Y16" i="13"/>
  <c r="Z16" i="13" s="1"/>
  <c r="AA16" i="13" s="1"/>
  <c r="AB16" i="13" s="1"/>
  <c r="O15" i="12"/>
  <c r="Q42" i="12"/>
  <c r="Y11" i="13"/>
  <c r="Z11" i="13" s="1"/>
  <c r="AA11" i="13" s="1"/>
  <c r="AB11" i="13" s="1"/>
  <c r="Q11" i="13"/>
  <c r="R11" i="13" s="1"/>
  <c r="Y13" i="13"/>
  <c r="Z13" i="13" s="1"/>
  <c r="AA13" i="13" s="1"/>
  <c r="AB13" i="13" s="1"/>
  <c r="Q14" i="13"/>
  <c r="R14" i="13" s="1"/>
  <c r="T8" i="13"/>
  <c r="U8" i="13" s="1"/>
  <c r="Z4" i="13"/>
  <c r="AA4" i="13" s="1"/>
  <c r="AB4" i="13" s="1"/>
  <c r="Z8" i="13"/>
  <c r="AA8" i="13" s="1"/>
  <c r="AB8" i="13" s="1"/>
  <c r="Y5" i="13"/>
  <c r="Z5" i="13" s="1"/>
  <c r="AA5" i="13" s="1"/>
  <c r="AB5" i="13" s="1"/>
  <c r="Y9" i="13"/>
  <c r="Z9" i="13" s="1"/>
  <c r="AA9" i="13" s="1"/>
  <c r="AB9" i="13" s="1"/>
  <c r="Y14" i="13"/>
  <c r="Z14" i="13" s="1"/>
  <c r="AA14" i="13" s="1"/>
  <c r="AB14" i="13" s="1"/>
  <c r="T16" i="13"/>
  <c r="U16" i="13" s="1"/>
  <c r="S16" i="13"/>
  <c r="Q4" i="13"/>
  <c r="T6" i="13"/>
  <c r="U6" i="13" s="1"/>
  <c r="R7" i="13"/>
  <c r="S8" i="13"/>
  <c r="Y15" i="13"/>
  <c r="Z15" i="13" s="1"/>
  <c r="AA15" i="13" s="1"/>
  <c r="AB15" i="13" s="1"/>
  <c r="S6" i="13"/>
  <c r="Q8" i="13"/>
  <c r="Y7" i="13"/>
  <c r="Z7" i="13" s="1"/>
  <c r="AA7" i="13" s="1"/>
  <c r="AB7" i="13" s="1"/>
  <c r="Q6" i="13"/>
  <c r="Y6" i="13"/>
  <c r="Z6" i="13" s="1"/>
  <c r="AA6" i="13" s="1"/>
  <c r="AB6" i="13" s="1"/>
  <c r="S13" i="13"/>
  <c r="R12" i="13"/>
  <c r="T11" i="13"/>
  <c r="U11" i="13" s="1"/>
  <c r="R16" i="13"/>
  <c r="T14" i="13"/>
  <c r="U14" i="13" s="1"/>
  <c r="R13" i="13"/>
  <c r="T13" i="13"/>
  <c r="U13" i="13" s="1"/>
  <c r="S15" i="13"/>
  <c r="S11" i="13"/>
  <c r="S14" i="13"/>
  <c r="T4" i="13"/>
  <c r="U4" i="13" s="1"/>
  <c r="S4" i="13"/>
  <c r="Q40" i="12"/>
  <c r="O22" i="12"/>
  <c r="P22" i="12"/>
  <c r="O46" i="12"/>
  <c r="O44" i="12"/>
  <c r="Q45" i="12"/>
  <c r="R45" i="12"/>
  <c r="R46" i="12"/>
  <c r="P42" i="12"/>
  <c r="O21" i="12"/>
  <c r="P21" i="12"/>
  <c r="Q44" i="12"/>
  <c r="P44" i="12"/>
  <c r="Q46" i="12"/>
  <c r="P45" i="12"/>
  <c r="P43" i="12"/>
  <c r="K9" i="12"/>
  <c r="O41" i="12"/>
  <c r="Q41" i="12"/>
  <c r="R41" i="12"/>
  <c r="P41" i="12"/>
  <c r="R43" i="12"/>
  <c r="O43" i="12"/>
  <c r="G7" i="4"/>
  <c r="G8" i="4" l="1"/>
  <c r="B12" i="4"/>
  <c r="B9" i="4"/>
  <c r="F8" i="4"/>
  <c r="A9" i="4"/>
  <c r="A10" i="4"/>
  <c r="S12" i="13"/>
  <c r="T12" i="13"/>
  <c r="U12" i="13" s="1"/>
  <c r="T15" i="13"/>
  <c r="U15" i="13" s="1"/>
  <c r="S5" i="13"/>
  <c r="T5" i="13"/>
  <c r="U5" i="13" s="1"/>
  <c r="R4" i="13"/>
  <c r="R8" i="13"/>
  <c r="T9" i="13"/>
  <c r="U9" i="13" s="1"/>
  <c r="S9" i="13"/>
  <c r="R6" i="13"/>
  <c r="S7" i="13"/>
  <c r="T7" i="13"/>
  <c r="U7" i="13" s="1"/>
  <c r="A12" i="4" l="1"/>
  <c r="A11" i="4"/>
  <c r="B11" i="4"/>
  <c r="D9" i="4" s="1"/>
  <c r="D10" i="4" s="1"/>
  <c r="D11" i="4" s="1"/>
  <c r="D12" i="4" s="1"/>
  <c r="B10" i="4"/>
  <c r="I185" i="13"/>
  <c r="T185" i="13" s="1"/>
  <c r="J185" i="13"/>
  <c r="AS185" i="13" l="1"/>
  <c r="AO185" i="13"/>
  <c r="AM185" i="13"/>
  <c r="AB185" i="13"/>
  <c r="AA185" i="13"/>
  <c r="AC185" i="13"/>
  <c r="C9" i="4"/>
  <c r="K185" i="13"/>
  <c r="N185" i="13" s="1"/>
  <c r="AJ185" i="13"/>
  <c r="AK185" i="13" s="1"/>
  <c r="AL185" i="13" s="1"/>
  <c r="AN185" i="13" s="1"/>
  <c r="W185" i="13"/>
  <c r="Z185" i="13"/>
  <c r="V185" i="13"/>
  <c r="Y185" i="13"/>
  <c r="U185" i="13"/>
  <c r="X185" i="13"/>
  <c r="L185" i="13"/>
  <c r="O185" i="13" s="1"/>
  <c r="M185" i="13"/>
  <c r="P185" i="13" s="1"/>
  <c r="AE185" i="13" l="1"/>
  <c r="AH185" i="13" s="1"/>
  <c r="AP185" i="13"/>
  <c r="AR185" i="13"/>
  <c r="AQ185" i="13"/>
  <c r="C10" i="4"/>
  <c r="F9" i="4"/>
  <c r="G9" i="4"/>
  <c r="AW185" i="13"/>
  <c r="AX185" i="13"/>
  <c r="AF185" i="13"/>
  <c r="AG185" i="13" s="1"/>
  <c r="AD185" i="13"/>
  <c r="AI185" i="13" s="1"/>
  <c r="S185" i="13"/>
  <c r="Q185" i="13"/>
  <c r="R185" i="13"/>
  <c r="C11" i="4" l="1"/>
  <c r="F10" i="4"/>
  <c r="G10" i="4"/>
  <c r="C12" i="4" l="1"/>
  <c r="G11" i="4"/>
  <c r="F11" i="4"/>
  <c r="F12" i="4" l="1"/>
  <c r="F13" i="4" s="1"/>
  <c r="F14" i="4" s="1"/>
  <c r="G12" i="4"/>
  <c r="G13" i="4" s="1"/>
  <c r="G14" i="4" s="1"/>
</calcChain>
</file>

<file path=xl/sharedStrings.xml><?xml version="1.0" encoding="utf-8"?>
<sst xmlns="http://schemas.openxmlformats.org/spreadsheetml/2006/main" count="663" uniqueCount="241">
  <si>
    <t>X</t>
  </si>
  <si>
    <t>Y</t>
  </si>
  <si>
    <t>x</t>
  </si>
  <si>
    <t>y</t>
  </si>
  <si>
    <t>Length</t>
  </si>
  <si>
    <t>x1</t>
  </si>
  <si>
    <t>y1</t>
  </si>
  <si>
    <t>x2</t>
  </si>
  <si>
    <t>y2</t>
  </si>
  <si>
    <t>Rotation(Radians)</t>
  </si>
  <si>
    <t>ResultX</t>
  </si>
  <si>
    <t>ResultY</t>
  </si>
  <si>
    <t>s</t>
  </si>
  <si>
    <t>Rotate</t>
  </si>
  <si>
    <t>Xcenter</t>
  </si>
  <si>
    <t>Ycenter</t>
  </si>
  <si>
    <t>Min</t>
  </si>
  <si>
    <t>Max</t>
  </si>
  <si>
    <t>Intercepts</t>
  </si>
  <si>
    <t>x-intercept</t>
  </si>
  <si>
    <t>y-intercept</t>
  </si>
  <si>
    <t>i coordinate at x-intercept</t>
  </si>
  <si>
    <t>j coordinate at x-intercept</t>
  </si>
  <si>
    <t>i coordinate at y-intercept</t>
  </si>
  <si>
    <t>j coordinate at y-intercept</t>
  </si>
  <si>
    <t>- intercept</t>
  </si>
  <si>
    <t>+ intercept</t>
  </si>
  <si>
    <t>decimal</t>
  </si>
  <si>
    <t>Intersections</t>
  </si>
  <si>
    <t>x-intersection</t>
  </si>
  <si>
    <t>y-intersection</t>
  </si>
  <si>
    <t>slope</t>
  </si>
  <si>
    <t>segment 1</t>
  </si>
  <si>
    <t>segment 2</t>
  </si>
  <si>
    <t>Perpendicular</t>
  </si>
  <si>
    <t>Parallel</t>
  </si>
  <si>
    <t>xo</t>
  </si>
  <si>
    <t>yo</t>
  </si>
  <si>
    <t>deltaX</t>
  </si>
  <si>
    <t>deltaY</t>
  </si>
  <si>
    <t>Length, Xo, Yo</t>
  </si>
  <si>
    <t>X, Y, PointByPathPosition</t>
  </si>
  <si>
    <t>Normal Vector</t>
  </si>
  <si>
    <t>Tangent Vector</t>
  </si>
  <si>
    <t>RotateSegmentFromI</t>
  </si>
  <si>
    <t>I</t>
  </si>
  <si>
    <t>J</t>
  </si>
  <si>
    <t>Rotation</t>
  </si>
  <si>
    <t>I'</t>
  </si>
  <si>
    <t>J'</t>
  </si>
  <si>
    <t>RotateSegmentFromJ</t>
  </si>
  <si>
    <t>RotateSegmentFromPoint</t>
  </si>
  <si>
    <t>Center of Rotation</t>
  </si>
  <si>
    <t>Segment</t>
  </si>
  <si>
    <t>Point</t>
  </si>
  <si>
    <t>xComponent</t>
  </si>
  <si>
    <t>yComponent</t>
  </si>
  <si>
    <t>Magnitude</t>
  </si>
  <si>
    <t>Vector</t>
  </si>
  <si>
    <t>Unit Normal Vector</t>
  </si>
  <si>
    <t>DotProduct</t>
  </si>
  <si>
    <t>Magnitude Product</t>
  </si>
  <si>
    <t>Concavity/Colinearity</t>
  </si>
  <si>
    <t>Angle</t>
  </si>
  <si>
    <t>Radians</t>
  </si>
  <si>
    <t>Degrees</t>
  </si>
  <si>
    <t>Expected</t>
  </si>
  <si>
    <t>CCW</t>
  </si>
  <si>
    <t>CW</t>
  </si>
  <si>
    <t>Kite</t>
  </si>
  <si>
    <t>width</t>
  </si>
  <si>
    <t>height</t>
  </si>
  <si>
    <t>skew</t>
  </si>
  <si>
    <t>g</t>
  </si>
  <si>
    <t>w</t>
  </si>
  <si>
    <t>h</t>
  </si>
  <si>
    <t>q</t>
  </si>
  <si>
    <t>a</t>
  </si>
  <si>
    <t>b</t>
  </si>
  <si>
    <t>Area</t>
  </si>
  <si>
    <t>Rhombus</t>
  </si>
  <si>
    <t>InRadius</t>
  </si>
  <si>
    <t>Trapezoid</t>
  </si>
  <si>
    <t>topWidth</t>
  </si>
  <si>
    <t>bottomWidth</t>
  </si>
  <si>
    <t>Xc</t>
  </si>
  <si>
    <t>Yc</t>
  </si>
  <si>
    <t>b_t</t>
  </si>
  <si>
    <t>b_b</t>
  </si>
  <si>
    <t>Parallelogram</t>
  </si>
  <si>
    <t>Isosceles Trapezoid</t>
  </si>
  <si>
    <t>CircumRadius</t>
  </si>
  <si>
    <t>Rectangle</t>
  </si>
  <si>
    <t>Square</t>
  </si>
  <si>
    <t>Regular Polygon</t>
  </si>
  <si>
    <t># of sides</t>
  </si>
  <si>
    <t>Side Length</t>
  </si>
  <si>
    <t>Perimeter</t>
  </si>
  <si>
    <t>Inside Angle (deg)</t>
  </si>
  <si>
    <t>Total Angle (deg)</t>
  </si>
  <si>
    <t>Vertex</t>
  </si>
  <si>
    <t>Theta_i</t>
  </si>
  <si>
    <t>Decagon</t>
  </si>
  <si>
    <t>Oxagon</t>
  </si>
  <si>
    <t>Hexagon</t>
  </si>
  <si>
    <t>Pentagon</t>
  </si>
  <si>
    <t>Triangle</t>
  </si>
  <si>
    <t>Pt A</t>
  </si>
  <si>
    <t>Pt B</t>
  </si>
  <si>
    <t>Pt C</t>
  </si>
  <si>
    <t>c</t>
  </si>
  <si>
    <t>Side Lengths</t>
  </si>
  <si>
    <t>30-60-90</t>
  </si>
  <si>
    <t>60-60-60</t>
  </si>
  <si>
    <t>Area (K)</t>
  </si>
  <si>
    <t>Altitude</t>
  </si>
  <si>
    <t>Median</t>
  </si>
  <si>
    <t>Angle Bisecor</t>
  </si>
  <si>
    <t>Semiperimeter</t>
  </si>
  <si>
    <t>45-45-90</t>
  </si>
  <si>
    <t>Random</t>
  </si>
  <si>
    <t>Perpendiculat Side Bisector</t>
  </si>
  <si>
    <t>a'</t>
  </si>
  <si>
    <t>b'</t>
  </si>
  <si>
    <t>c'</t>
  </si>
  <si>
    <t>a''</t>
  </si>
  <si>
    <t>b''</t>
  </si>
  <si>
    <t>c''</t>
  </si>
  <si>
    <t>InCenter</t>
  </si>
  <si>
    <t>CircumCenter</t>
  </si>
  <si>
    <t>OrthoCenter</t>
  </si>
  <si>
    <t>Centroid</t>
  </si>
  <si>
    <t>a-Radians</t>
  </si>
  <si>
    <t>b-Radians</t>
  </si>
  <si>
    <t>c-Radians</t>
  </si>
  <si>
    <t>Location</t>
  </si>
  <si>
    <t>Outside</t>
  </si>
  <si>
    <t>On vertex</t>
  </si>
  <si>
    <t>Inside</t>
  </si>
  <si>
    <t>D</t>
  </si>
  <si>
    <t>Right Isosceles</t>
  </si>
  <si>
    <t>Isosceles</t>
  </si>
  <si>
    <t>Right Triangle</t>
  </si>
  <si>
    <t>Triangle 345</t>
  </si>
  <si>
    <t>Triangle 306090</t>
  </si>
  <si>
    <t>Equilateral Triangle</t>
  </si>
  <si>
    <t>e</t>
  </si>
  <si>
    <t>d</t>
  </si>
  <si>
    <t>Sig Figs</t>
  </si>
  <si>
    <t>scale</t>
  </si>
  <si>
    <t>Value</t>
  </si>
  <si>
    <t>Value/scale</t>
  </si>
  <si>
    <t>Result w/ round</t>
  </si>
  <si>
    <t>Result w/o round</t>
  </si>
  <si>
    <t>Result w/ round total</t>
  </si>
  <si>
    <t>Value/scale w round</t>
  </si>
  <si>
    <t>Skew</t>
  </si>
  <si>
    <t>Pt 1</t>
  </si>
  <si>
    <t xml:space="preserve">x </t>
  </si>
  <si>
    <t>Pt 2</t>
  </si>
  <si>
    <t>Pt 3</t>
  </si>
  <si>
    <t>Pt 4</t>
  </si>
  <si>
    <t>Skew X</t>
  </si>
  <si>
    <t>Skew Y</t>
  </si>
  <si>
    <t>lambdaX</t>
  </si>
  <si>
    <t>lambdaY</t>
  </si>
  <si>
    <t>Translate</t>
  </si>
  <si>
    <t>Scale</t>
  </si>
  <si>
    <t>Pt 1.5</t>
  </si>
  <si>
    <t>Mirror</t>
  </si>
  <si>
    <t>Delta x</t>
  </si>
  <si>
    <t>Delta y</t>
  </si>
  <si>
    <t>Test Label</t>
  </si>
  <si>
    <t>Negative x</t>
  </si>
  <si>
    <t>Negative y</t>
  </si>
  <si>
    <t>Default in Quadrant II</t>
  </si>
  <si>
    <t>Default in Quadrant III</t>
  </si>
  <si>
    <t>Default in Quadrant IV</t>
  </si>
  <si>
    <t>Negative</t>
  </si>
  <si>
    <t>Smaller</t>
  </si>
  <si>
    <t>Default - +x, y, Quadrant I</t>
  </si>
  <si>
    <t>Shear -x</t>
  </si>
  <si>
    <t>Shear +x</t>
  </si>
  <si>
    <t>Shear +y</t>
  </si>
  <si>
    <t>Shear -y</t>
  </si>
  <si>
    <t>Shear +x, +y, Quadrant I</t>
  </si>
  <si>
    <t>Shear +x, +y, Quadrant II</t>
  </si>
  <si>
    <t>Shear +x, +y, Quadrant III</t>
  </si>
  <si>
    <t>Shear +x, +y, Quadrant IV</t>
  </si>
  <si>
    <t>Rotation 
(degrees)</t>
  </si>
  <si>
    <t>Mirror Pt 1</t>
  </si>
  <si>
    <t>Mirror Pt 2</t>
  </si>
  <si>
    <t>Mirror about y-axis to Quadrant II</t>
  </si>
  <si>
    <t>Mirror about y-axis to Quadrant II, reversed line</t>
  </si>
  <si>
    <t>Mirror about x-axis to Quadrant IV</t>
  </si>
  <si>
    <t>Mirror about x-axis to Quadrant IV, reversed line</t>
  </si>
  <si>
    <t>Mirror about 45 deg sloped line about shape center</t>
  </si>
  <si>
    <t>Mirror about 45 deg sloped line to quadrant III</t>
  </si>
  <si>
    <t>Mirror about 45 deg sloped line about shape center, reversed line</t>
  </si>
  <si>
    <t>Mirror about 45 deg sloped line to quadrant III, reversed line</t>
  </si>
  <si>
    <t>Rotate + to quadrant II</t>
  </si>
  <si>
    <t>Rotate + to quadrant III</t>
  </si>
  <si>
    <t>Rotate + to quadrant IV</t>
  </si>
  <si>
    <t>Rotate + full circle</t>
  </si>
  <si>
    <t>Rotate - to quadrant II</t>
  </si>
  <si>
    <t>Rotate - to quadrant III</t>
  </si>
  <si>
    <t>Rotate - to quadrant IV</t>
  </si>
  <si>
    <t>Rotate - full circle</t>
  </si>
  <si>
    <t>* All transformation tests are about an origin. To do it about an arbitrary point, merely translate origin to arbitrary point, do transformation, then move origin back by original translation</t>
  </si>
  <si>
    <t>Line Segment</t>
  </si>
  <si>
    <t>Shape</t>
  </si>
  <si>
    <t>Default - larger, Quadrant I</t>
  </si>
  <si>
    <t>PolyLine</t>
  </si>
  <si>
    <t>Union</t>
  </si>
  <si>
    <t>Merge</t>
  </si>
  <si>
    <t>Subtract</t>
  </si>
  <si>
    <t>Parametric Array</t>
  </si>
  <si>
    <t>Object defined by array of objects</t>
  </si>
  <si>
    <t>Array regenerates as main object changed</t>
  </si>
  <si>
    <t>Basis for rebar object?</t>
  </si>
  <si>
    <t>Do tangents with vectors @ positions, not lines</t>
  </si>
  <si>
    <t>Start, End, Tangent, (opt. 2nd Tangent) (similar to fillet)</t>
  </si>
  <si>
    <t>Intersect</t>
  </si>
  <si>
    <t>Intersection</t>
  </si>
  <si>
    <t>Exclusive? Or Unique? (Rather than Combine)</t>
  </si>
  <si>
    <t>Aligned Array</t>
  </si>
  <si>
    <t>For any type of array, choose object line to align with normal of array</t>
  </si>
  <si>
    <t>Non-aligned Array</t>
  </si>
  <si>
    <t>For any type of array, object is positioned on array by specified location (center default), and object orientation is unchanged</t>
  </si>
  <si>
    <t>Stationary Pt</t>
  </si>
  <si>
    <t>Skewing Pt</t>
  </si>
  <si>
    <t>Skew Box</t>
  </si>
  <si>
    <t>Bounding box as skew box</t>
  </si>
  <si>
    <t>I Shear +x</t>
  </si>
  <si>
    <t>I Shear -x</t>
  </si>
  <si>
    <t>I Shear +y</t>
  </si>
  <si>
    <t>I Shear -y</t>
  </si>
  <si>
    <t>I Mirror about y-axis to Quadrant II</t>
  </si>
  <si>
    <t>I Mirror about x-axis to Quadrant IV</t>
  </si>
  <si>
    <t>J Mirror about y-axis to Quadrant II</t>
  </si>
  <si>
    <t>J Mirror about x-axis to Quadrant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</si>
</sst>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ashed">
        <color auto="1"/>
      </left>
      <right/>
      <top style="double">
        <color auto="1"/>
      </top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4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1" fillId="3" borderId="0" xfId="0" applyFont="1" applyFill="1"/>
    <xf numFmtId="164" fontId="0" fillId="3" borderId="0" xfId="0" applyNumberFormat="1" applyFill="1"/>
    <xf numFmtId="0" fontId="2" fillId="0" borderId="1" xfId="0" applyFont="1" applyFill="1" applyBorder="1"/>
    <xf numFmtId="0" fontId="2" fillId="0" borderId="0" xfId="0" applyFont="1" applyFill="1" applyBorder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  <xf numFmtId="165" fontId="0" fillId="0" borderId="0" xfId="0" applyNumberFormat="1"/>
    <xf numFmtId="164" fontId="6" fillId="0" borderId="0" xfId="0" applyNumberFormat="1" applyFon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167" fontId="0" fillId="0" borderId="0" xfId="0" applyNumberFormat="1"/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9" xfId="0" applyFont="1" applyBorder="1"/>
    <xf numFmtId="167" fontId="0" fillId="0" borderId="10" xfId="0" applyNumberFormat="1" applyBorder="1"/>
    <xf numFmtId="0" fontId="0" fillId="0" borderId="8" xfId="0" applyBorder="1"/>
    <xf numFmtId="167" fontId="0" fillId="0" borderId="9" xfId="0" applyNumberFormat="1" applyBorder="1"/>
    <xf numFmtId="167" fontId="0" fillId="0" borderId="8" xfId="0" applyNumberFormat="1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6" fontId="0" fillId="0" borderId="9" xfId="0" applyNumberFormat="1" applyBorder="1"/>
    <xf numFmtId="0" fontId="0" fillId="0" borderId="13" xfId="0" applyBorder="1"/>
    <xf numFmtId="0" fontId="0" fillId="0" borderId="10" xfId="0" applyBorder="1"/>
    <xf numFmtId="0" fontId="0" fillId="0" borderId="5" xfId="0" applyFill="1" applyBorder="1"/>
    <xf numFmtId="0" fontId="5" fillId="0" borderId="5" xfId="0" applyFont="1" applyBorder="1"/>
    <xf numFmtId="0" fontId="0" fillId="0" borderId="15" xfId="0" applyBorder="1"/>
    <xf numFmtId="0" fontId="0" fillId="0" borderId="14" xfId="0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10" xfId="0" applyFill="1" applyBorder="1"/>
    <xf numFmtId="167" fontId="0" fillId="0" borderId="0" xfId="0" applyNumberForma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167" fontId="0" fillId="0" borderId="3" xfId="0" applyNumberFormat="1" applyFill="1" applyBorder="1"/>
    <xf numFmtId="167" fontId="0" fillId="0" borderId="4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/>
    <xf numFmtId="166" fontId="0" fillId="3" borderId="0" xfId="0" applyNumberFormat="1" applyFill="1"/>
    <xf numFmtId="0" fontId="5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5" fillId="4" borderId="3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167" fontId="0" fillId="4" borderId="3" xfId="0" applyNumberFormat="1" applyFill="1" applyBorder="1"/>
    <xf numFmtId="167" fontId="0" fillId="4" borderId="0" xfId="0" applyNumberFormat="1" applyFill="1" applyBorder="1"/>
    <xf numFmtId="167" fontId="0" fillId="4" borderId="4" xfId="0" applyNumberFormat="1" applyFill="1" applyBorder="1"/>
    <xf numFmtId="166" fontId="0" fillId="4" borderId="3" xfId="0" applyNumberFormat="1" applyFill="1" applyBorder="1"/>
    <xf numFmtId="166" fontId="0" fillId="4" borderId="0" xfId="0" applyNumberFormat="1" applyFill="1" applyBorder="1"/>
    <xf numFmtId="166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6" fontId="0" fillId="4" borderId="0" xfId="0" applyNumberFormat="1" applyFill="1"/>
    <xf numFmtId="0" fontId="0" fillId="4" borderId="7" xfId="0" applyFill="1" applyBorder="1"/>
    <xf numFmtId="164" fontId="7" fillId="0" borderId="0" xfId="0" applyNumberFormat="1" applyFont="1"/>
    <xf numFmtId="167" fontId="0" fillId="0" borderId="9" xfId="0" applyNumberFormat="1" applyFill="1" applyBorder="1"/>
    <xf numFmtId="0" fontId="5" fillId="0" borderId="10" xfId="0" applyFont="1" applyFill="1" applyBorder="1"/>
    <xf numFmtId="0" fontId="5" fillId="0" borderId="9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167" fontId="0" fillId="0" borderId="10" xfId="0" applyNumberFormat="1" applyFill="1" applyBorder="1"/>
    <xf numFmtId="167" fontId="0" fillId="0" borderId="8" xfId="0" applyNumberFormat="1" applyFill="1" applyBorder="1"/>
    <xf numFmtId="0" fontId="1" fillId="0" borderId="7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Fill="1" applyBorder="1"/>
    <xf numFmtId="167" fontId="0" fillId="3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" xfId="0" applyBorder="1"/>
    <xf numFmtId="0" fontId="5" fillId="0" borderId="1" xfId="0" applyFont="1" applyBorder="1"/>
    <xf numFmtId="0" fontId="5" fillId="0" borderId="2" xfId="0" applyFont="1" applyBorder="1"/>
    <xf numFmtId="0" fontId="1" fillId="0" borderId="0" xfId="0" applyFont="1" applyAlignment="1">
      <alignment wrapText="1"/>
    </xf>
    <xf numFmtId="0" fontId="0" fillId="5" borderId="0" xfId="0" applyFill="1"/>
    <xf numFmtId="0" fontId="1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0" xfId="0" applyFont="1"/>
    <xf numFmtId="0" fontId="2" fillId="0" borderId="6" xfId="0" applyFont="1" applyBorder="1"/>
    <xf numFmtId="0" fontId="1" fillId="0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2" fillId="6" borderId="1" xfId="0" applyFont="1" applyFill="1" applyBorder="1"/>
    <xf numFmtId="0" fontId="2" fillId="6" borderId="2" xfId="0" applyFont="1" applyFill="1" applyBorder="1"/>
    <xf numFmtId="0" fontId="7" fillId="0" borderId="0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6" xfId="0" applyFont="1" applyBorder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Shapes!$F$96:$F$101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Shapes!$G$96:$G$101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5A6-AA9B-A7DE49B2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Shapes!$F$112:$F$117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Shapes!$G$112:$G$117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E-4A56-8FE0-86FFCDB8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Shapes!$F$129:$F$135</c:f>
              <c:numCache>
                <c:formatCode>General</c:formatCode>
                <c:ptCount val="7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5.0000000000000009</c:v>
                </c:pt>
                <c:pt idx="6">
                  <c:v>10</c:v>
                </c:pt>
              </c:numCache>
            </c:numRef>
          </c:xVal>
          <c:yVal>
            <c:numRef>
              <c:f>Shapes!$G$129:$G$135</c:f>
              <c:numCache>
                <c:formatCode>General</c:formatCode>
                <c:ptCount val="7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-8.6602540378443855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E66-91CD-9621BE3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Shapes!$F$147:$F$155</c:f>
              <c:numCache>
                <c:formatCode>General</c:formatCode>
                <c:ptCount val="9"/>
                <c:pt idx="0">
                  <c:v>10</c:v>
                </c:pt>
                <c:pt idx="1">
                  <c:v>7.0710678118654755</c:v>
                </c:pt>
                <c:pt idx="2">
                  <c:v>6.1257422745431001E-16</c:v>
                </c:pt>
                <c:pt idx="3">
                  <c:v>-7.0710678118654746</c:v>
                </c:pt>
                <c:pt idx="4">
                  <c:v>-10</c:v>
                </c:pt>
                <c:pt idx="5">
                  <c:v>-7.0710678118654773</c:v>
                </c:pt>
                <c:pt idx="6">
                  <c:v>-1.83772268236293E-15</c:v>
                </c:pt>
                <c:pt idx="7">
                  <c:v>7.0710678118654737</c:v>
                </c:pt>
                <c:pt idx="8">
                  <c:v>10</c:v>
                </c:pt>
              </c:numCache>
            </c:numRef>
          </c:xVal>
          <c:yVal>
            <c:numRef>
              <c:f>Shapes!$G$147:$G$155</c:f>
              <c:numCache>
                <c:formatCode>General</c:formatCode>
                <c:ptCount val="9"/>
                <c:pt idx="0">
                  <c:v>0</c:v>
                </c:pt>
                <c:pt idx="1">
                  <c:v>7.0710678118654746</c:v>
                </c:pt>
                <c:pt idx="2">
                  <c:v>10</c:v>
                </c:pt>
                <c:pt idx="3">
                  <c:v>7.0710678118654755</c:v>
                </c:pt>
                <c:pt idx="4">
                  <c:v>1.22514845490862E-15</c:v>
                </c:pt>
                <c:pt idx="5">
                  <c:v>-7.0710678118654746</c:v>
                </c:pt>
                <c:pt idx="6">
                  <c:v>-10</c:v>
                </c:pt>
                <c:pt idx="7">
                  <c:v>-7.0710678118654773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1C0-8842-F6432BC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Shapes!$F$167:$F$177</c:f>
              <c:numCache>
                <c:formatCode>General</c:formatCode>
                <c:ptCount val="11"/>
                <c:pt idx="0">
                  <c:v>10</c:v>
                </c:pt>
                <c:pt idx="1">
                  <c:v>8.0901699437494745</c:v>
                </c:pt>
                <c:pt idx="2">
                  <c:v>3.0901699437494745</c:v>
                </c:pt>
                <c:pt idx="3">
                  <c:v>-3.0901699437494736</c:v>
                </c:pt>
                <c:pt idx="4">
                  <c:v>-8.0901699437494727</c:v>
                </c:pt>
                <c:pt idx="5">
                  <c:v>-10</c:v>
                </c:pt>
                <c:pt idx="6">
                  <c:v>-8.0901699437494763</c:v>
                </c:pt>
                <c:pt idx="7">
                  <c:v>-3.0901699437494754</c:v>
                </c:pt>
                <c:pt idx="8">
                  <c:v>3.0901699437494723</c:v>
                </c:pt>
                <c:pt idx="9">
                  <c:v>8.0901699437494727</c:v>
                </c:pt>
                <c:pt idx="10">
                  <c:v>10</c:v>
                </c:pt>
              </c:numCache>
            </c:numRef>
          </c:xVal>
          <c:yVal>
            <c:numRef>
              <c:f>Shapes!$G$167:$G$177</c:f>
              <c:numCache>
                <c:formatCode>General</c:formatCode>
                <c:ptCount val="11"/>
                <c:pt idx="0">
                  <c:v>0</c:v>
                </c:pt>
                <c:pt idx="1">
                  <c:v>5.8778525229247318</c:v>
                </c:pt>
                <c:pt idx="2">
                  <c:v>9.5105651629515346</c:v>
                </c:pt>
                <c:pt idx="3">
                  <c:v>9.5105651629515364</c:v>
                </c:pt>
                <c:pt idx="4">
                  <c:v>5.8778525229247327</c:v>
                </c:pt>
                <c:pt idx="5">
                  <c:v>1.22514845490862E-15</c:v>
                </c:pt>
                <c:pt idx="6">
                  <c:v>-5.87785252292473</c:v>
                </c:pt>
                <c:pt idx="7">
                  <c:v>-9.5105651629515346</c:v>
                </c:pt>
                <c:pt idx="8">
                  <c:v>-9.5105651629515364</c:v>
                </c:pt>
                <c:pt idx="9">
                  <c:v>-5.8778525229247336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57-8DDC-A702C02F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731520</xdr:colOff>
      <xdr:row>87</xdr:row>
      <xdr:rowOff>148590</xdr:rowOff>
    </xdr:from>
    <xdr:to>
      <xdr:col>20</xdr:col>
      <xdr:colOff>198120</xdr:colOff>
      <xdr:row>102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D9D0B-DC9B-4FC3-B7DC-4FF82513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731520</xdr:colOff>
      <xdr:row>103</xdr:row>
      <xdr:rowOff>148590</xdr:rowOff>
    </xdr:from>
    <xdr:to>
      <xdr:col>20</xdr:col>
      <xdr:colOff>198120</xdr:colOff>
      <xdr:row>118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C18DD-52CA-4810-BFE4-35DC2A24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20</xdr:col>
      <xdr:colOff>251460</xdr:colOff>
      <xdr:row>136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8E087-DF90-4ECA-9009-16DC99CA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20</xdr:col>
      <xdr:colOff>251460</xdr:colOff>
      <xdr:row>155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B1F18-41E4-4E09-AE09-A1A6F677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251460</xdr:colOff>
      <xdr:row>174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AC4A56-5AD7-4799-B036-347A099B3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142354</xdr:colOff>
      <xdr:row>0</xdr:row>
      <xdr:rowOff>67368</xdr:rowOff>
    </xdr:from>
    <xdr:to>
      <xdr:col>14</xdr:col>
      <xdr:colOff>215438</xdr:colOff>
      <xdr:row>36</xdr:row>
      <xdr:rowOff>27017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1CA666-0AC6-4992-9DA5-BB448FD70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188" t="5496" r="80486" b="28959"/>
        <a:stretch/>
      </xdr:blipFill>
      <xdr:spPr>
        <a:xfrm>
          <a:off x="6809854" y="67368"/>
          <a:ext cx="1893398" cy="619609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346363</xdr:colOff>
      <xdr:row>0</xdr:row>
      <xdr:rowOff>0</xdr:rowOff>
    </xdr:from>
    <xdr:to>
      <xdr:col>4</xdr:col>
      <xdr:colOff>477116</xdr:colOff>
      <xdr:row>10</xdr:row>
      <xdr:rowOff>136641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741742-6129-4C51-B218-5C2946B86B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55" t="8310" r="80634" b="72600"/>
        <a:stretch/>
      </xdr:blipFill>
      <xdr:spPr>
        <a:xfrm>
          <a:off x="1558636" y="0"/>
          <a:ext cx="1339215" cy="1864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371301</xdr:colOff>
      <xdr:row>22</xdr:row>
      <xdr:rowOff>74987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98F67-A86F-4FED-B709-DC765E6F53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72" t="5674" r="85171" b="54746"/>
        <a:stretch/>
      </xdr:blipFill>
      <xdr:spPr>
        <a:xfrm>
          <a:off x="0" y="0"/>
          <a:ext cx="1585479" cy="3884987"/>
        </a:xfrm>
        <a:prstGeom prst="rect">
          <a:avLst/>
        </a:prstGeom>
      </xdr:spPr>
    </xdr:pic>
    <xdr:clientData/>
  </xdr:twoCellAnchor>
  <xdr:twoCellAnchor editAs="oneCell">
    <xdr:from>
      <xdr:col>2</xdr:col>
      <xdr:colOff>330951</xdr:colOff>
      <xdr:row>7</xdr:row>
      <xdr:rowOff>163656</xdr:rowOff>
    </xdr:from>
    <xdr:to>
      <xdr:col>10</xdr:col>
      <xdr:colOff>294410</xdr:colOff>
      <xdr:row>34</xdr:row>
      <xdr:rowOff>88495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072950-A853-43FB-A8E3-4188C2961C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885" t="22658" r="61732" b="30480"/>
        <a:stretch/>
      </xdr:blipFill>
      <xdr:spPr>
        <a:xfrm>
          <a:off x="1543224" y="1375929"/>
          <a:ext cx="4814455" cy="4598843"/>
        </a:xfrm>
        <a:prstGeom prst="rect">
          <a:avLst/>
        </a:prstGeom>
      </xdr:spPr>
    </xdr:pic>
    <xdr:clientData/>
  </xdr:twoCellAnchor>
  <xdr:twoCellAnchor editAs="oneCell">
    <xdr:from>
      <xdr:col>18</xdr:col>
      <xdr:colOff>84685</xdr:colOff>
      <xdr:row>0</xdr:row>
      <xdr:rowOff>0</xdr:rowOff>
    </xdr:from>
    <xdr:to>
      <xdr:col>27</xdr:col>
      <xdr:colOff>113607</xdr:colOff>
      <xdr:row>27</xdr:row>
      <xdr:rowOff>74988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E08356-4FB7-44D7-B939-BC82FA69E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492" t="30589" r="60374" b="20946"/>
        <a:stretch/>
      </xdr:blipFill>
      <xdr:spPr>
        <a:xfrm>
          <a:off x="10995140" y="0"/>
          <a:ext cx="5484149" cy="4750897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27</xdr:row>
      <xdr:rowOff>140449</xdr:rowOff>
    </xdr:from>
    <xdr:to>
      <xdr:col>27</xdr:col>
      <xdr:colOff>225135</xdr:colOff>
      <xdr:row>51</xdr:row>
      <xdr:rowOff>155863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011DB1-B457-49EA-89C2-6BFB26676C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417" t="35574" r="59460" b="21802"/>
        <a:stretch/>
      </xdr:blipFill>
      <xdr:spPr>
        <a:xfrm>
          <a:off x="10910454" y="4816358"/>
          <a:ext cx="5680363" cy="4171778"/>
        </a:xfrm>
        <a:prstGeom prst="rect">
          <a:avLst/>
        </a:prstGeom>
      </xdr:spPr>
    </xdr:pic>
    <xdr:clientData/>
  </xdr:twoCellAnchor>
  <xdr:twoCellAnchor editAs="oneCell">
    <xdr:from>
      <xdr:col>28</xdr:col>
      <xdr:colOff>100272</xdr:colOff>
      <xdr:row>0</xdr:row>
      <xdr:rowOff>0</xdr:rowOff>
    </xdr:from>
    <xdr:to>
      <xdr:col>36</xdr:col>
      <xdr:colOff>461876</xdr:colOff>
      <xdr:row>25</xdr:row>
      <xdr:rowOff>100100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B9F918-03A2-425C-8F79-D5FC9B1A2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9121" t="40108" r="62399" b="14614"/>
        <a:stretch/>
      </xdr:blipFill>
      <xdr:spPr>
        <a:xfrm>
          <a:off x="17072090" y="0"/>
          <a:ext cx="5210695" cy="4429645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381001</xdr:colOff>
      <xdr:row>25</xdr:row>
      <xdr:rowOff>169374</xdr:rowOff>
    </xdr:from>
    <xdr:to>
      <xdr:col>36</xdr:col>
      <xdr:colOff>373382</xdr:colOff>
      <xdr:row>50</xdr:row>
      <xdr:rowOff>153960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4AF8AF-D642-46C3-82A6-392F361594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9491" t="45068" r="60592" b="10883"/>
        <a:stretch/>
      </xdr:blipFill>
      <xdr:spPr>
        <a:xfrm>
          <a:off x="16746683" y="4498919"/>
          <a:ext cx="5447608" cy="4314132"/>
        </a:xfrm>
        <a:prstGeom prst="rect">
          <a:avLst/>
        </a:prstGeom>
      </xdr:spPr>
    </xdr:pic>
    <xdr:clientData/>
  </xdr:twoCellAnchor>
  <xdr:twoCellAnchor editAs="oneCell">
    <xdr:from>
      <xdr:col>37</xdr:col>
      <xdr:colOff>38447</xdr:colOff>
      <xdr:row>0</xdr:row>
      <xdr:rowOff>0</xdr:rowOff>
    </xdr:from>
    <xdr:to>
      <xdr:col>45</xdr:col>
      <xdr:colOff>186691</xdr:colOff>
      <xdr:row>28</xdr:row>
      <xdr:rowOff>103909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82234E-4759-4194-AE05-CB49481A52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9320" t="20138" r="63272" b="29319"/>
        <a:stretch/>
      </xdr:blipFill>
      <xdr:spPr>
        <a:xfrm>
          <a:off x="22465492" y="0"/>
          <a:ext cx="4997335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46067</xdr:rowOff>
    </xdr:from>
    <xdr:to>
      <xdr:col>7</xdr:col>
      <xdr:colOff>419446</xdr:colOff>
      <xdr:row>59</xdr:row>
      <xdr:rowOff>3811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518039-F13D-462F-A2EE-61ED8DA89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5877" t="35527" r="68565" b="25934"/>
        <a:stretch/>
      </xdr:blipFill>
      <xdr:spPr>
        <a:xfrm>
          <a:off x="0" y="6453794"/>
          <a:ext cx="4662401" cy="3767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0</xdr:row>
      <xdr:rowOff>0</xdr:rowOff>
    </xdr:from>
    <xdr:to>
      <xdr:col>2</xdr:col>
      <xdr:colOff>478797</xdr:colOff>
      <xdr:row>9</xdr:row>
      <xdr:rowOff>171676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91E02-330E-4211-AD7A-DC8E273B4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335" t="11640" r="66390" b="69908"/>
        <a:stretch/>
      </xdr:blipFill>
      <xdr:spPr>
        <a:xfrm>
          <a:off x="11206" y="0"/>
          <a:ext cx="1683541" cy="1785323"/>
        </a:xfrm>
        <a:prstGeom prst="rect">
          <a:avLst/>
        </a:prstGeom>
      </xdr:spPr>
    </xdr:pic>
    <xdr:clientData/>
  </xdr:twoCellAnchor>
  <xdr:twoCellAnchor editAs="oneCell">
    <xdr:from>
      <xdr:col>2</xdr:col>
      <xdr:colOff>476363</xdr:colOff>
      <xdr:row>0</xdr:row>
      <xdr:rowOff>39109</xdr:rowOff>
    </xdr:from>
    <xdr:to>
      <xdr:col>5</xdr:col>
      <xdr:colOff>41014</xdr:colOff>
      <xdr:row>9</xdr:row>
      <xdr:rowOff>153073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AEAD69-0407-490B-8570-BF137B80E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175" t="9180" r="68226" b="73155"/>
        <a:stretch/>
      </xdr:blipFill>
      <xdr:spPr>
        <a:xfrm>
          <a:off x="1686598" y="39109"/>
          <a:ext cx="1380004" cy="1727611"/>
        </a:xfrm>
        <a:prstGeom prst="rect">
          <a:avLst/>
        </a:prstGeom>
      </xdr:spPr>
    </xdr:pic>
    <xdr:clientData/>
  </xdr:twoCellAnchor>
  <xdr:twoCellAnchor editAs="oneCell">
    <xdr:from>
      <xdr:col>5</xdr:col>
      <xdr:colOff>562200</xdr:colOff>
      <xdr:row>0</xdr:row>
      <xdr:rowOff>0</xdr:rowOff>
    </xdr:from>
    <xdr:to>
      <xdr:col>11</xdr:col>
      <xdr:colOff>569597</xdr:colOff>
      <xdr:row>16</xdr:row>
      <xdr:rowOff>176400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4A444-70E0-4C9B-A738-2C36BB0DE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315" t="21870" r="66279" b="41730"/>
        <a:stretch/>
      </xdr:blipFill>
      <xdr:spPr>
        <a:xfrm>
          <a:off x="3587788" y="0"/>
          <a:ext cx="3638103" cy="3045106"/>
        </a:xfrm>
        <a:prstGeom prst="rect">
          <a:avLst/>
        </a:prstGeom>
      </xdr:spPr>
    </xdr:pic>
    <xdr:clientData/>
  </xdr:twoCellAnchor>
  <xdr:twoCellAnchor editAs="oneCell">
    <xdr:from>
      <xdr:col>22</xdr:col>
      <xdr:colOff>345479</xdr:colOff>
      <xdr:row>0</xdr:row>
      <xdr:rowOff>0</xdr:rowOff>
    </xdr:from>
    <xdr:to>
      <xdr:col>29</xdr:col>
      <xdr:colOff>231739</xdr:colOff>
      <xdr:row>23</xdr:row>
      <xdr:rowOff>65107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A7D1D6-0C29-48AC-9E63-AA9DED0D1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966" t="24079" r="75478" b="32552"/>
        <a:stretch/>
      </xdr:blipFill>
      <xdr:spPr>
        <a:xfrm>
          <a:off x="13658067" y="0"/>
          <a:ext cx="4122084" cy="4233695"/>
        </a:xfrm>
        <a:prstGeom prst="rect">
          <a:avLst/>
        </a:prstGeom>
      </xdr:spPr>
    </xdr:pic>
    <xdr:clientData/>
  </xdr:twoCellAnchor>
  <xdr:twoCellAnchor editAs="oneCell">
    <xdr:from>
      <xdr:col>13</xdr:col>
      <xdr:colOff>22412</xdr:colOff>
      <xdr:row>4</xdr:row>
      <xdr:rowOff>39108</xdr:rowOff>
    </xdr:from>
    <xdr:to>
      <xdr:col>20</xdr:col>
      <xdr:colOff>478017</xdr:colOff>
      <xdr:row>20</xdr:row>
      <xdr:rowOff>1770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A21066-7AAE-4408-9CC3-33620A6DB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8941" y="756284"/>
          <a:ext cx="4691429" cy="2876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67236</xdr:rowOff>
    </xdr:from>
    <xdr:to>
      <xdr:col>9</xdr:col>
      <xdr:colOff>241560</xdr:colOff>
      <xdr:row>37</xdr:row>
      <xdr:rowOff>122653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1B7A61-19FA-4A18-8525-24AE2DD6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490883"/>
          <a:ext cx="5687619" cy="131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1"/>
  <dimension ref="A1:K19"/>
  <sheetViews>
    <sheetView zoomScaleNormal="100" workbookViewId="0">
      <selection activeCell="K19" sqref="K19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2" customFormat="1" x14ac:dyDescent="0.3">
      <c r="A1" s="2" t="s">
        <v>13</v>
      </c>
    </row>
    <row r="2" spans="1:7" x14ac:dyDescent="0.3">
      <c r="A2" s="4" t="s">
        <v>0</v>
      </c>
      <c r="B2" s="4" t="s">
        <v>1</v>
      </c>
      <c r="C2" s="4" t="s">
        <v>14</v>
      </c>
      <c r="D2" s="4" t="s">
        <v>15</v>
      </c>
      <c r="E2" s="4" t="s">
        <v>9</v>
      </c>
      <c r="F2" s="4" t="s">
        <v>10</v>
      </c>
      <c r="G2" s="4" t="s">
        <v>11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 t="shared" ref="C4:E6" si="0">C3</f>
        <v>2.5</v>
      </c>
      <c r="D4">
        <f t="shared" si="0"/>
        <v>2.5</v>
      </c>
      <c r="E4">
        <f t="shared" si="0"/>
        <v>0.78539816339744828</v>
      </c>
      <c r="F4">
        <f>ROUND(((A4-C4)*COS(E4)-(B4-D4)*SIN(E4))+C4,6)</f>
        <v>-2.4497469999999999</v>
      </c>
      <c r="G4">
        <f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si="0"/>
        <v>2.5</v>
      </c>
      <c r="D5">
        <f t="shared" si="0"/>
        <v>2.5</v>
      </c>
      <c r="E5">
        <f t="shared" si="0"/>
        <v>0.78539816339744828</v>
      </c>
      <c r="F5">
        <f>ROUND(((A5-C5)*COS(E5)-(B5-D5)*SIN(E5))+C5,6)</f>
        <v>1.0857859999999999</v>
      </c>
      <c r="G5">
        <f>ROUND(((A5-C5)*SIN(E5)+(B5-D5)*COS(E5))+D5,6)</f>
        <v>7.4497470000000003</v>
      </c>
    </row>
    <row r="6" spans="1:7" x14ac:dyDescent="0.3">
      <c r="A6">
        <v>5</v>
      </c>
      <c r="B6">
        <v>-2</v>
      </c>
      <c r="C6">
        <f t="shared" si="0"/>
        <v>2.5</v>
      </c>
      <c r="D6">
        <f t="shared" si="0"/>
        <v>2.5</v>
      </c>
      <c r="E6">
        <f t="shared" si="0"/>
        <v>0.78539816339744828</v>
      </c>
      <c r="F6">
        <f>ROUND(((A6-C6)*COS(E6)-(B6-D6)*SIN(E6))+C6,6)</f>
        <v>7.4497470000000003</v>
      </c>
      <c r="G6">
        <f>ROUND(((A6-C6)*SIN(E6)+(B6-D6)*COS(E6))+D6,6)</f>
        <v>1.0857859999999999</v>
      </c>
    </row>
    <row r="7" spans="1:7" x14ac:dyDescent="0.3">
      <c r="E7" s="14" t="s">
        <v>16</v>
      </c>
      <c r="F7">
        <f>MIN(F3:F6)</f>
        <v>-2.4497469999999999</v>
      </c>
      <c r="G7">
        <f>MIN(G3:G6)</f>
        <v>-2.4497469999999999</v>
      </c>
    </row>
    <row r="8" spans="1:7" x14ac:dyDescent="0.3">
      <c r="E8" s="14" t="s">
        <v>17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E12" si="1">C9</f>
        <v>2.5000000000000004</v>
      </c>
      <c r="D10">
        <f t="shared" si="1"/>
        <v>2.5000000000000004</v>
      </c>
      <c r="E10">
        <f t="shared" si="1"/>
        <v>5.6548667764616276</v>
      </c>
      <c r="F10">
        <f>ROUND(((A10-C10)*COS(E10)-(B10-D10)*SIN(E10))+C10,6)</f>
        <v>1.4049590000000001</v>
      </c>
      <c r="G10">
        <f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1"/>
        <v>2.5000000000000004</v>
      </c>
      <c r="D11">
        <f t="shared" si="1"/>
        <v>2.5000000000000004</v>
      </c>
      <c r="E11">
        <f t="shared" si="1"/>
        <v>5.6548667764616276</v>
      </c>
      <c r="F11">
        <f>ROUND(((A11-C11)*COS(E11)-(B11-D11)*SIN(E11))+C11,6)</f>
        <v>9.4138179999999991</v>
      </c>
      <c r="G11">
        <f>ROUND(((A11-C11)*SIN(E11)+(B11-D11)*COS(E11))+D11,6)</f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1"/>
        <v>2.5000000000000004</v>
      </c>
      <c r="D12">
        <f t="shared" si="1"/>
        <v>2.5000000000000004</v>
      </c>
      <c r="E12">
        <f t="shared" si="1"/>
        <v>5.6548667764616276</v>
      </c>
      <c r="F12">
        <f>ROUND(((A12-C12)*COS(E12)-(B12-D12)*SIN(E12))+C12,6)</f>
        <v>3.5950410000000002</v>
      </c>
      <c r="G12">
        <f>ROUND(((A12-C12)*SIN(E12)+(B12-D12)*COS(E12))+D12,6)</f>
        <v>-4.413818</v>
      </c>
    </row>
    <row r="13" spans="1:7" x14ac:dyDescent="0.3">
      <c r="E13" s="14" t="s">
        <v>16</v>
      </c>
      <c r="F13">
        <f>MIN(F9:F12)</f>
        <v>-4.413818</v>
      </c>
      <c r="G13">
        <f>MIN(G9:G12)</f>
        <v>-4.413818</v>
      </c>
    </row>
    <row r="14" spans="1:7" x14ac:dyDescent="0.3">
      <c r="E14" s="14" t="s">
        <v>17</v>
      </c>
      <c r="F14">
        <f>MAX(F9:F13)</f>
        <v>9.4138179999999991</v>
      </c>
      <c r="G14">
        <f>MAX(G9:G13)</f>
        <v>9.4138179999999991</v>
      </c>
    </row>
    <row r="19" spans="11:11" x14ac:dyDescent="0.3">
      <c r="K19">
        <f>31/5</f>
        <v>6.2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0A0-5044-4817-9532-D9946D0E8FC8}">
  <sheetPr codeName="Sheet2"/>
  <dimension ref="A1:R87"/>
  <sheetViews>
    <sheetView workbookViewId="0">
      <selection activeCell="K4" sqref="K4"/>
    </sheetView>
  </sheetViews>
  <sheetFormatPr defaultRowHeight="14.4" x14ac:dyDescent="0.3"/>
  <cols>
    <col min="5" max="5" width="12.5546875" bestFit="1" customWidth="1"/>
    <col min="6" max="6" width="12.6640625" bestFit="1" customWidth="1"/>
    <col min="7" max="7" width="12.5546875" bestFit="1" customWidth="1"/>
    <col min="8" max="8" width="13.44140625" customWidth="1"/>
    <col min="9" max="9" width="12.5546875" bestFit="1" customWidth="1"/>
    <col min="10" max="10" width="9.33203125" customWidth="1"/>
    <col min="11" max="11" width="10.33203125" customWidth="1"/>
    <col min="12" max="13" width="11" customWidth="1"/>
    <col min="14" max="14" width="12.88671875" customWidth="1"/>
    <col min="15" max="15" width="12.44140625" bestFit="1" customWidth="1"/>
    <col min="16" max="16" width="12.5546875" bestFit="1" customWidth="1"/>
    <col min="17" max="18" width="9.21875" bestFit="1" customWidth="1"/>
  </cols>
  <sheetData>
    <row r="1" spans="1:17" s="2" customFormat="1" x14ac:dyDescent="0.3">
      <c r="A1" s="2" t="s">
        <v>18</v>
      </c>
    </row>
    <row r="2" spans="1:17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31</v>
      </c>
      <c r="F2" s="4" t="s">
        <v>19</v>
      </c>
      <c r="G2" s="4" t="s">
        <v>20</v>
      </c>
    </row>
    <row r="3" spans="1:17" x14ac:dyDescent="0.3">
      <c r="A3">
        <v>0</v>
      </c>
      <c r="B3">
        <v>0</v>
      </c>
      <c r="C3">
        <v>0</v>
      </c>
      <c r="D3">
        <v>0</v>
      </c>
      <c r="E3" t="e">
        <f>(D3-B3)/(C3-A3)</f>
        <v>#DIV/0!</v>
      </c>
      <c r="F3" t="e">
        <f>A3-B3/E3</f>
        <v>#DIV/0!</v>
      </c>
      <c r="G3" t="e">
        <f>B3-A3*E3</f>
        <v>#DIV/0!</v>
      </c>
    </row>
    <row r="4" spans="1:17" x14ac:dyDescent="0.3">
      <c r="A4">
        <v>1</v>
      </c>
      <c r="B4">
        <v>0</v>
      </c>
      <c r="C4">
        <v>2</v>
      </c>
      <c r="D4">
        <v>3</v>
      </c>
      <c r="E4">
        <f t="shared" ref="E4:E10" si="0">(D4-B4)/(C4-A4)</f>
        <v>3</v>
      </c>
      <c r="F4">
        <f t="shared" ref="F4:F10" si="1">A4-B4/E4</f>
        <v>1</v>
      </c>
      <c r="G4">
        <f t="shared" ref="G4:G10" si="2">B4-A4*E4</f>
        <v>-3</v>
      </c>
      <c r="H4" s="1" t="s">
        <v>21</v>
      </c>
      <c r="J4" t="str">
        <f t="shared" ref="J4:J10" si="3">"[TestCase("&amp;A4&amp;", "&amp;B4&amp;", "&amp;C4&amp;", "&amp;D4&amp;", "&amp;ROUND(F4,6)&amp;")]    // "&amp;H4</f>
        <v>[TestCase(1, 0, 2, 3, 1)]    // i coordinate at x-intercept</v>
      </c>
      <c r="K4" t="str">
        <f t="shared" ref="K4:K10" si="4">"[TestCase("&amp;A4&amp;", "&amp;B4&amp;", "&amp;C4&amp;", "&amp;D4&amp;", "&amp;ROUND(G4,6)&amp;")]    // "&amp;H4</f>
        <v>[TestCase(1, 0, 2, 3, -3)]    // i coordinate at x-intercept</v>
      </c>
    </row>
    <row r="5" spans="1:17" x14ac:dyDescent="0.3">
      <c r="A5">
        <v>1</v>
      </c>
      <c r="B5">
        <v>2</v>
      </c>
      <c r="C5">
        <v>-4</v>
      </c>
      <c r="D5">
        <v>0</v>
      </c>
      <c r="E5">
        <f t="shared" si="0"/>
        <v>0.4</v>
      </c>
      <c r="F5">
        <f t="shared" si="1"/>
        <v>-4</v>
      </c>
      <c r="G5">
        <f t="shared" si="2"/>
        <v>1.6</v>
      </c>
      <c r="H5" s="1" t="s">
        <v>22</v>
      </c>
      <c r="J5" t="str">
        <f t="shared" si="3"/>
        <v>[TestCase(1, 2, -4, 0, -4)]    // j coordinate at x-intercept</v>
      </c>
      <c r="K5" t="str">
        <f t="shared" si="4"/>
        <v>[TestCase(1, 2, -4, 0, 1.6)]    // j coordinate at x-intercept</v>
      </c>
    </row>
    <row r="6" spans="1:17" x14ac:dyDescent="0.3">
      <c r="A6">
        <v>0</v>
      </c>
      <c r="B6">
        <v>1</v>
      </c>
      <c r="C6">
        <v>2</v>
      </c>
      <c r="D6">
        <v>3</v>
      </c>
      <c r="E6">
        <f t="shared" si="0"/>
        <v>1</v>
      </c>
      <c r="F6">
        <f t="shared" si="1"/>
        <v>-1</v>
      </c>
      <c r="G6">
        <f t="shared" si="2"/>
        <v>1</v>
      </c>
      <c r="H6" s="1" t="s">
        <v>23</v>
      </c>
      <c r="J6" t="str">
        <f t="shared" si="3"/>
        <v>[TestCase(0, 1, 2, 3, -1)]    // i coordinate at y-intercept</v>
      </c>
      <c r="K6" t="str">
        <f t="shared" si="4"/>
        <v>[TestCase(0, 1, 2, 3, 1)]    // i coordinate at y-intercept</v>
      </c>
    </row>
    <row r="7" spans="1:17" x14ac:dyDescent="0.3">
      <c r="A7">
        <v>1</v>
      </c>
      <c r="B7">
        <v>2</v>
      </c>
      <c r="C7">
        <v>0</v>
      </c>
      <c r="D7">
        <v>-4</v>
      </c>
      <c r="E7">
        <f t="shared" si="0"/>
        <v>6</v>
      </c>
      <c r="F7">
        <f t="shared" si="1"/>
        <v>0.66666666666666674</v>
      </c>
      <c r="G7">
        <f t="shared" si="2"/>
        <v>-4</v>
      </c>
      <c r="H7" s="1" t="s">
        <v>24</v>
      </c>
      <c r="J7" t="str">
        <f t="shared" si="3"/>
        <v>[TestCase(1, 2, 0, -4, 0.666667)]    // j coordinate at y-intercept</v>
      </c>
      <c r="K7" t="str">
        <f t="shared" si="4"/>
        <v>[TestCase(1, 2, 0, -4, -4)]    // j coordinate at y-intercept</v>
      </c>
    </row>
    <row r="8" spans="1:17" x14ac:dyDescent="0.3">
      <c r="A8">
        <v>1</v>
      </c>
      <c r="B8">
        <v>2</v>
      </c>
      <c r="C8">
        <v>3</v>
      </c>
      <c r="D8">
        <v>4</v>
      </c>
      <c r="E8">
        <f t="shared" si="0"/>
        <v>1</v>
      </c>
      <c r="F8">
        <f t="shared" si="1"/>
        <v>-1</v>
      </c>
      <c r="G8">
        <f t="shared" si="2"/>
        <v>1</v>
      </c>
      <c r="H8" s="1" t="s">
        <v>26</v>
      </c>
      <c r="J8" t="str">
        <f t="shared" si="3"/>
        <v>[TestCase(1, 2, 3, 4, -1)]    // + intercept</v>
      </c>
      <c r="K8" t="str">
        <f t="shared" si="4"/>
        <v>[TestCase(1, 2, 3, 4, 1)]    // + intercept</v>
      </c>
    </row>
    <row r="9" spans="1:17" x14ac:dyDescent="0.3">
      <c r="A9">
        <v>-1</v>
      </c>
      <c r="B9">
        <v>-2</v>
      </c>
      <c r="C9">
        <v>-3</v>
      </c>
      <c r="D9">
        <v>-4</v>
      </c>
      <c r="E9">
        <f t="shared" si="0"/>
        <v>1</v>
      </c>
      <c r="F9">
        <f t="shared" si="1"/>
        <v>1</v>
      </c>
      <c r="G9">
        <f t="shared" si="2"/>
        <v>-1</v>
      </c>
      <c r="H9" s="1" t="s">
        <v>25</v>
      </c>
      <c r="J9" t="str">
        <f t="shared" si="3"/>
        <v>[TestCase(-1, -2, -3, -4, 1)]    // - intercept</v>
      </c>
      <c r="K9" t="str">
        <f t="shared" si="4"/>
        <v>[TestCase(-1, -2, -3, -4, -1)]    // - intercept</v>
      </c>
    </row>
    <row r="10" spans="1:17" x14ac:dyDescent="0.3">
      <c r="A10">
        <v>1.5</v>
      </c>
      <c r="B10">
        <v>2.75</v>
      </c>
      <c r="C10">
        <v>3.75</v>
      </c>
      <c r="D10">
        <v>4.5</v>
      </c>
      <c r="E10">
        <f t="shared" si="0"/>
        <v>0.77777777777777779</v>
      </c>
      <c r="F10">
        <f t="shared" si="1"/>
        <v>-2.0357142857142856</v>
      </c>
      <c r="G10">
        <f t="shared" si="2"/>
        <v>1.5833333333333333</v>
      </c>
      <c r="H10" t="s">
        <v>27</v>
      </c>
      <c r="J10" t="str">
        <f t="shared" si="3"/>
        <v>[TestCase(1.5, 2.75, 3.75, 4.5, -2.035714)]    // decimal</v>
      </c>
      <c r="K10" t="str">
        <f t="shared" si="4"/>
        <v>[TestCase(1.5, 2.75, 3.75, 4.5, 1.583333)]    // decimal</v>
      </c>
    </row>
    <row r="12" spans="1:17" s="2" customFormat="1" x14ac:dyDescent="0.3">
      <c r="A12" s="2" t="s">
        <v>28</v>
      </c>
    </row>
    <row r="13" spans="1:17" s="3" customFormat="1" x14ac:dyDescent="0.3">
      <c r="A13" s="115" t="s">
        <v>32</v>
      </c>
      <c r="B13" s="115"/>
      <c r="C13" s="115"/>
      <c r="D13" s="115"/>
      <c r="E13" s="115"/>
      <c r="F13" s="115"/>
      <c r="G13" s="115"/>
      <c r="H13" s="117" t="s">
        <v>33</v>
      </c>
      <c r="I13" s="118"/>
      <c r="J13" s="118"/>
      <c r="K13" s="118"/>
      <c r="L13" s="118"/>
      <c r="M13" s="118"/>
      <c r="N13" s="119"/>
    </row>
    <row r="14" spans="1:17" x14ac:dyDescent="0.3">
      <c r="A14" s="4" t="s">
        <v>5</v>
      </c>
      <c r="B14" s="4" t="s">
        <v>6</v>
      </c>
      <c r="C14" s="4" t="s">
        <v>7</v>
      </c>
      <c r="D14" s="4" t="s">
        <v>8</v>
      </c>
      <c r="E14" s="4" t="s">
        <v>31</v>
      </c>
      <c r="F14" s="4" t="s">
        <v>19</v>
      </c>
      <c r="G14" s="4" t="s">
        <v>20</v>
      </c>
      <c r="H14" s="6" t="s">
        <v>5</v>
      </c>
      <c r="I14" s="7" t="s">
        <v>6</v>
      </c>
      <c r="J14" s="7" t="s">
        <v>7</v>
      </c>
      <c r="K14" s="7" t="s">
        <v>8</v>
      </c>
      <c r="L14" s="7" t="s">
        <v>31</v>
      </c>
      <c r="M14" s="7" t="s">
        <v>19</v>
      </c>
      <c r="N14" s="9" t="s">
        <v>20</v>
      </c>
      <c r="O14" s="4" t="s">
        <v>29</v>
      </c>
      <c r="P14" s="4" t="s">
        <v>30</v>
      </c>
    </row>
    <row r="15" spans="1:17" x14ac:dyDescent="0.3">
      <c r="A15" s="5">
        <v>0</v>
      </c>
      <c r="B15" s="5">
        <v>0</v>
      </c>
      <c r="C15" s="5">
        <v>0</v>
      </c>
      <c r="D15" s="5">
        <v>0</v>
      </c>
      <c r="E15" t="e">
        <f t="shared" ref="E15:E23" si="5">(D15-B15)/(C15-A15)</f>
        <v>#DIV/0!</v>
      </c>
      <c r="F15" t="e">
        <f>A15-B15/E15</f>
        <v>#DIV/0!</v>
      </c>
      <c r="G15" t="e">
        <f t="shared" ref="G15:G23" si="6">B15-A15*E15</f>
        <v>#DIV/0!</v>
      </c>
      <c r="H15" s="15">
        <v>0</v>
      </c>
      <c r="I15" s="16">
        <v>0</v>
      </c>
      <c r="J15" s="16">
        <v>0</v>
      </c>
      <c r="K15" s="16">
        <v>0</v>
      </c>
      <c r="L15" s="8" t="e">
        <f t="shared" ref="L15:L23" si="7">(K15-I15)/(J15-H15)</f>
        <v>#DIV/0!</v>
      </c>
      <c r="M15" s="8" t="e">
        <f>H15-I15/L15</f>
        <v>#DIV/0!</v>
      </c>
      <c r="N15" s="10" t="e">
        <f t="shared" ref="N15:N23" si="8">I15-H15*L15</f>
        <v>#DIV/0!</v>
      </c>
      <c r="O15" t="e">
        <f>(G15-N15)/(L15-E15)</f>
        <v>#DIV/0!</v>
      </c>
      <c r="P15" t="e">
        <f>G15+E15*(G15-N15)/(L15-E15)</f>
        <v>#DIV/0!</v>
      </c>
    </row>
    <row r="16" spans="1:17" x14ac:dyDescent="0.3">
      <c r="A16" s="5">
        <v>1</v>
      </c>
      <c r="B16" s="5">
        <v>2</v>
      </c>
      <c r="C16" s="5">
        <v>3</v>
      </c>
      <c r="D16" s="5">
        <v>4</v>
      </c>
      <c r="E16">
        <f t="shared" si="5"/>
        <v>1</v>
      </c>
      <c r="F16">
        <f t="shared" ref="F16:F23" si="9">A16-B16/E16</f>
        <v>-1</v>
      </c>
      <c r="G16">
        <f t="shared" si="6"/>
        <v>1</v>
      </c>
      <c r="H16" s="15">
        <v>1</v>
      </c>
      <c r="I16" s="16">
        <v>3</v>
      </c>
      <c r="J16" s="16">
        <v>3</v>
      </c>
      <c r="K16" s="16">
        <v>5</v>
      </c>
      <c r="L16" s="8">
        <f t="shared" si="7"/>
        <v>1</v>
      </c>
      <c r="M16" s="8">
        <f t="shared" ref="M16:M23" si="10">H16-I16/L16</f>
        <v>-2</v>
      </c>
      <c r="N16" s="10">
        <f t="shared" si="8"/>
        <v>2</v>
      </c>
      <c r="O16" t="e">
        <f>(G16-N16)/(L16-E16)</f>
        <v>#DIV/0!</v>
      </c>
      <c r="P16" t="e">
        <f>G16+E16*(G16-N16)/(L16-E16)</f>
        <v>#DIV/0!</v>
      </c>
      <c r="Q16" t="s">
        <v>35</v>
      </c>
    </row>
    <row r="17" spans="1:17" x14ac:dyDescent="0.3">
      <c r="A17" s="5">
        <v>-5</v>
      </c>
      <c r="B17" s="5">
        <v>1</v>
      </c>
      <c r="C17" s="5">
        <v>5</v>
      </c>
      <c r="D17" s="5">
        <v>1</v>
      </c>
      <c r="E17">
        <f t="shared" si="5"/>
        <v>0</v>
      </c>
      <c r="F17" t="e">
        <f t="shared" si="9"/>
        <v>#DIV/0!</v>
      </c>
      <c r="G17">
        <f t="shared" si="6"/>
        <v>1</v>
      </c>
      <c r="H17" s="15">
        <v>3.3</v>
      </c>
      <c r="I17" s="16">
        <v>-2.4</v>
      </c>
      <c r="J17" s="16">
        <v>3.3</v>
      </c>
      <c r="K17" s="16">
        <v>6.6</v>
      </c>
      <c r="L17" s="8" t="e">
        <f t="shared" si="7"/>
        <v>#DIV/0!</v>
      </c>
      <c r="M17" s="16">
        <v>3.3</v>
      </c>
      <c r="N17" s="10" t="e">
        <f t="shared" si="8"/>
        <v>#DIV/0!</v>
      </c>
      <c r="O17" s="5">
        <v>3.3</v>
      </c>
      <c r="P17" s="5">
        <v>1</v>
      </c>
      <c r="Q17" t="s">
        <v>34</v>
      </c>
    </row>
    <row r="18" spans="1:17" x14ac:dyDescent="0.3">
      <c r="A18" s="5">
        <v>1</v>
      </c>
      <c r="B18" s="5">
        <v>2</v>
      </c>
      <c r="C18" s="5">
        <v>3</v>
      </c>
      <c r="D18" s="5">
        <v>4</v>
      </c>
      <c r="E18">
        <f t="shared" si="5"/>
        <v>1</v>
      </c>
      <c r="F18">
        <f t="shared" si="9"/>
        <v>-1</v>
      </c>
      <c r="G18">
        <f t="shared" si="6"/>
        <v>1</v>
      </c>
      <c r="H18" s="15">
        <v>3.3</v>
      </c>
      <c r="I18" s="16">
        <v>-2.4</v>
      </c>
      <c r="J18" s="16">
        <v>-5.7</v>
      </c>
      <c r="K18" s="16">
        <v>6.6</v>
      </c>
      <c r="L18" s="8">
        <f t="shared" si="7"/>
        <v>-1</v>
      </c>
      <c r="M18" s="8">
        <f t="shared" si="10"/>
        <v>0.89999999999999991</v>
      </c>
      <c r="N18" s="10">
        <f t="shared" si="8"/>
        <v>0.89999999999999991</v>
      </c>
      <c r="O18">
        <f t="shared" ref="O18:O23" si="11">(G18-N18)/(L18-E18)</f>
        <v>-5.0000000000000044E-2</v>
      </c>
      <c r="P18">
        <f t="shared" ref="P18:P23" si="12">G18+E18*(G18-N18)/(L18-E18)</f>
        <v>0.95</v>
      </c>
      <c r="Q18" t="s">
        <v>34</v>
      </c>
    </row>
    <row r="19" spans="1:17" x14ac:dyDescent="0.3">
      <c r="A19" s="5">
        <v>1</v>
      </c>
      <c r="B19" s="5">
        <v>2</v>
      </c>
      <c r="C19" s="5">
        <v>3</v>
      </c>
      <c r="D19" s="5">
        <v>4</v>
      </c>
      <c r="E19">
        <f t="shared" si="5"/>
        <v>1</v>
      </c>
      <c r="F19">
        <f t="shared" si="9"/>
        <v>-1</v>
      </c>
      <c r="G19">
        <f t="shared" si="6"/>
        <v>1</v>
      </c>
      <c r="H19" s="15">
        <v>3.3</v>
      </c>
      <c r="I19" s="16">
        <v>-2.4</v>
      </c>
      <c r="J19" s="16">
        <v>-1</v>
      </c>
      <c r="K19" s="16">
        <v>6.6</v>
      </c>
      <c r="L19" s="8">
        <f t="shared" si="7"/>
        <v>-2.0930232558139537</v>
      </c>
      <c r="M19" s="8">
        <f t="shared" si="10"/>
        <v>2.1533333333333333</v>
      </c>
      <c r="N19" s="10">
        <f t="shared" si="8"/>
        <v>4.506976744186046</v>
      </c>
      <c r="O19">
        <f t="shared" si="11"/>
        <v>1.1338345864661652</v>
      </c>
      <c r="P19">
        <f t="shared" si="12"/>
        <v>2.1338345864661652</v>
      </c>
    </row>
    <row r="20" spans="1:17" x14ac:dyDescent="0.3">
      <c r="A20" s="5">
        <v>-5</v>
      </c>
      <c r="B20" s="5">
        <v>6</v>
      </c>
      <c r="C20" s="5">
        <v>-3</v>
      </c>
      <c r="D20" s="5">
        <v>-2</v>
      </c>
      <c r="E20">
        <f t="shared" si="5"/>
        <v>-4</v>
      </c>
      <c r="F20">
        <f t="shared" si="9"/>
        <v>-3.5</v>
      </c>
      <c r="G20">
        <f t="shared" si="6"/>
        <v>-14</v>
      </c>
      <c r="H20" s="19">
        <v>1</v>
      </c>
      <c r="I20" s="20">
        <v>5</v>
      </c>
      <c r="J20" s="20">
        <v>-7</v>
      </c>
      <c r="K20" s="20">
        <v>3</v>
      </c>
      <c r="L20" s="11">
        <f t="shared" si="7"/>
        <v>0.25</v>
      </c>
      <c r="M20" s="11">
        <f t="shared" si="10"/>
        <v>-19</v>
      </c>
      <c r="N20" s="12">
        <f t="shared" si="8"/>
        <v>4.75</v>
      </c>
      <c r="O20">
        <f t="shared" si="11"/>
        <v>-4.4117647058823533</v>
      </c>
      <c r="P20">
        <f t="shared" si="12"/>
        <v>3.647058823529413</v>
      </c>
    </row>
    <row r="21" spans="1:17" x14ac:dyDescent="0.3">
      <c r="A21" s="5">
        <v>-5</v>
      </c>
      <c r="B21" s="5">
        <v>2</v>
      </c>
      <c r="C21" s="5">
        <v>-5</v>
      </c>
      <c r="D21" s="5">
        <v>8</v>
      </c>
      <c r="E21" t="e">
        <f t="shared" si="5"/>
        <v>#DIV/0!</v>
      </c>
      <c r="F21" t="e">
        <f t="shared" si="9"/>
        <v>#DIV/0!</v>
      </c>
      <c r="G21" t="e">
        <f t="shared" si="6"/>
        <v>#DIV/0!</v>
      </c>
      <c r="H21" s="20">
        <v>-5</v>
      </c>
      <c r="I21" s="20">
        <v>6</v>
      </c>
      <c r="J21" s="20">
        <v>5</v>
      </c>
      <c r="K21" s="20">
        <v>6</v>
      </c>
      <c r="L21" s="11">
        <f t="shared" si="7"/>
        <v>0</v>
      </c>
      <c r="M21" s="11" t="e">
        <f t="shared" si="10"/>
        <v>#DIV/0!</v>
      </c>
      <c r="N21" s="12">
        <f t="shared" si="8"/>
        <v>6</v>
      </c>
      <c r="O21" t="e">
        <f t="shared" si="11"/>
        <v>#DIV/0!</v>
      </c>
      <c r="P21" t="e">
        <f t="shared" si="12"/>
        <v>#DIV/0!</v>
      </c>
    </row>
    <row r="22" spans="1:17" x14ac:dyDescent="0.3">
      <c r="A22" s="5">
        <v>-5</v>
      </c>
      <c r="B22" s="5">
        <v>8</v>
      </c>
      <c r="C22" s="5">
        <v>-5</v>
      </c>
      <c r="D22" s="5">
        <v>2</v>
      </c>
      <c r="E22" t="e">
        <f t="shared" si="5"/>
        <v>#DIV/0!</v>
      </c>
      <c r="F22" t="e">
        <f t="shared" si="9"/>
        <v>#DIV/0!</v>
      </c>
      <c r="G22" s="11" t="e">
        <f t="shared" si="6"/>
        <v>#DIV/0!</v>
      </c>
      <c r="H22" s="20">
        <v>-5</v>
      </c>
      <c r="I22" s="20">
        <v>6</v>
      </c>
      <c r="J22" s="20">
        <v>5</v>
      </c>
      <c r="K22" s="20">
        <v>6</v>
      </c>
      <c r="L22" s="11">
        <f t="shared" si="7"/>
        <v>0</v>
      </c>
      <c r="M22" s="11" t="e">
        <f t="shared" si="10"/>
        <v>#DIV/0!</v>
      </c>
      <c r="N22" s="12">
        <f t="shared" si="8"/>
        <v>6</v>
      </c>
      <c r="O22" t="e">
        <f t="shared" si="11"/>
        <v>#DIV/0!</v>
      </c>
      <c r="P22" t="e">
        <f t="shared" si="12"/>
        <v>#DIV/0!</v>
      </c>
    </row>
    <row r="23" spans="1:17" x14ac:dyDescent="0.3">
      <c r="A23" s="5">
        <v>-5</v>
      </c>
      <c r="B23" s="5">
        <v>6</v>
      </c>
      <c r="C23" s="5">
        <v>-3</v>
      </c>
      <c r="D23" s="5">
        <v>-2</v>
      </c>
      <c r="E23">
        <f t="shared" si="5"/>
        <v>-4</v>
      </c>
      <c r="F23">
        <f t="shared" si="9"/>
        <v>-3.5</v>
      </c>
      <c r="G23" s="11">
        <f t="shared" si="6"/>
        <v>-14</v>
      </c>
      <c r="H23" s="20">
        <v>5.2</v>
      </c>
      <c r="I23" s="20">
        <v>6.1</v>
      </c>
      <c r="J23" s="20">
        <v>7.7</v>
      </c>
      <c r="K23" s="20">
        <v>-1.3</v>
      </c>
      <c r="L23" s="11">
        <f t="shared" si="7"/>
        <v>-2.96</v>
      </c>
      <c r="M23" s="11">
        <f t="shared" si="10"/>
        <v>7.2608108108108107</v>
      </c>
      <c r="N23" s="12">
        <f t="shared" si="8"/>
        <v>21.491999999999997</v>
      </c>
      <c r="O23">
        <f t="shared" si="11"/>
        <v>-34.12692307692307</v>
      </c>
      <c r="P23">
        <f t="shared" si="12"/>
        <v>122.50769230769228</v>
      </c>
    </row>
    <row r="24" spans="1:17" x14ac:dyDescent="0.3">
      <c r="A24" s="5"/>
      <c r="B24" s="5"/>
      <c r="C24" s="5"/>
      <c r="D24" s="5"/>
      <c r="H24" s="20"/>
      <c r="I24" s="20"/>
      <c r="J24" s="20"/>
      <c r="K24" s="20"/>
      <c r="L24" s="11"/>
      <c r="M24" s="11"/>
      <c r="N24" s="11"/>
    </row>
    <row r="25" spans="1:17" x14ac:dyDescent="0.3">
      <c r="A25" s="5"/>
      <c r="B25" s="5"/>
      <c r="C25" s="5"/>
      <c r="D25" s="5"/>
      <c r="H25" s="20"/>
      <c r="I25" s="20"/>
      <c r="J25" s="20"/>
      <c r="K25" s="20"/>
      <c r="L25" s="11"/>
      <c r="M25" s="11"/>
      <c r="N25" s="11"/>
    </row>
    <row r="26" spans="1:17" x14ac:dyDescent="0.3">
      <c r="A26" s="5"/>
      <c r="B26" s="5"/>
      <c r="C26" s="5"/>
      <c r="D26" s="5"/>
      <c r="H26" s="20"/>
      <c r="I26" s="20"/>
      <c r="J26" s="20"/>
      <c r="K26" s="20"/>
      <c r="L26" s="11"/>
      <c r="M26" s="11"/>
      <c r="N26" s="11"/>
    </row>
    <row r="28" spans="1:17" s="2" customFormat="1" x14ac:dyDescent="0.3">
      <c r="A28" s="2" t="s">
        <v>40</v>
      </c>
    </row>
    <row r="29" spans="1:17" x14ac:dyDescent="0.3">
      <c r="A29" s="4" t="s">
        <v>5</v>
      </c>
      <c r="B29" s="4" t="s">
        <v>6</v>
      </c>
      <c r="C29" s="4" t="s">
        <v>7</v>
      </c>
      <c r="D29" s="4" t="s">
        <v>8</v>
      </c>
      <c r="E29" s="4" t="s">
        <v>38</v>
      </c>
      <c r="F29" s="4" t="s">
        <v>39</v>
      </c>
      <c r="G29" s="4" t="s">
        <v>4</v>
      </c>
      <c r="H29" s="4" t="s">
        <v>36</v>
      </c>
      <c r="I29" s="4" t="s">
        <v>37</v>
      </c>
    </row>
    <row r="30" spans="1:17" x14ac:dyDescent="0.3">
      <c r="A30" s="5">
        <v>1</v>
      </c>
      <c r="B30" s="5">
        <v>1</v>
      </c>
      <c r="C30" s="5">
        <v>2</v>
      </c>
      <c r="D30" s="5">
        <v>1</v>
      </c>
      <c r="E30">
        <f t="shared" ref="E30:F34" si="13">C30-A30</f>
        <v>1</v>
      </c>
      <c r="F30">
        <f t="shared" si="13"/>
        <v>0</v>
      </c>
      <c r="G30">
        <f>SQRT(E30^2+F30^2)</f>
        <v>1</v>
      </c>
      <c r="H30">
        <f t="shared" ref="H30:I34" si="14">0.5*(A30+C30)</f>
        <v>1.5</v>
      </c>
      <c r="I30">
        <f t="shared" si="14"/>
        <v>1</v>
      </c>
    </row>
    <row r="31" spans="1:17" x14ac:dyDescent="0.3">
      <c r="A31" s="5">
        <v>1</v>
      </c>
      <c r="B31" s="5">
        <v>1</v>
      </c>
      <c r="C31" s="5">
        <v>1</v>
      </c>
      <c r="D31" s="5">
        <v>2</v>
      </c>
      <c r="E31">
        <f t="shared" si="13"/>
        <v>0</v>
      </c>
      <c r="F31">
        <f t="shared" si="13"/>
        <v>1</v>
      </c>
      <c r="G31">
        <f>SQRT(E31^2+F31^2)</f>
        <v>1</v>
      </c>
      <c r="H31">
        <f t="shared" si="14"/>
        <v>1</v>
      </c>
      <c r="I31">
        <f t="shared" si="14"/>
        <v>1.5</v>
      </c>
    </row>
    <row r="32" spans="1:17" x14ac:dyDescent="0.3">
      <c r="A32" s="5">
        <v>1</v>
      </c>
      <c r="B32" s="5">
        <v>2</v>
      </c>
      <c r="C32" s="5">
        <v>3</v>
      </c>
      <c r="D32" s="5">
        <v>4</v>
      </c>
      <c r="E32">
        <f t="shared" si="13"/>
        <v>2</v>
      </c>
      <c r="F32">
        <f t="shared" si="13"/>
        <v>2</v>
      </c>
      <c r="G32">
        <f>SQRT(E32^2+F32^2)</f>
        <v>2.8284271247461903</v>
      </c>
      <c r="H32">
        <f t="shared" si="14"/>
        <v>2</v>
      </c>
      <c r="I32">
        <f t="shared" si="14"/>
        <v>3</v>
      </c>
    </row>
    <row r="33" spans="1:18" x14ac:dyDescent="0.3">
      <c r="A33" s="5">
        <v>-1</v>
      </c>
      <c r="B33" s="5">
        <v>-2</v>
      </c>
      <c r="C33" s="5">
        <v>-3</v>
      </c>
      <c r="D33" s="5">
        <v>-4</v>
      </c>
      <c r="E33">
        <f t="shared" si="13"/>
        <v>-2</v>
      </c>
      <c r="F33">
        <f t="shared" si="13"/>
        <v>-2</v>
      </c>
      <c r="G33">
        <f>SQRT(E33^2+F33^2)</f>
        <v>2.8284271247461903</v>
      </c>
      <c r="H33">
        <f t="shared" si="14"/>
        <v>-2</v>
      </c>
      <c r="I33">
        <f t="shared" si="14"/>
        <v>-3</v>
      </c>
    </row>
    <row r="34" spans="1:18" x14ac:dyDescent="0.3">
      <c r="A34" s="5">
        <v>1</v>
      </c>
      <c r="B34" s="5">
        <v>2</v>
      </c>
      <c r="C34" s="5">
        <v>-3</v>
      </c>
      <c r="D34" s="5">
        <v>-4</v>
      </c>
      <c r="E34">
        <f t="shared" si="13"/>
        <v>-4</v>
      </c>
      <c r="F34">
        <f t="shared" si="13"/>
        <v>-6</v>
      </c>
      <c r="G34">
        <f>SQRT(E34^2+F34^2)</f>
        <v>7.2111025509279782</v>
      </c>
      <c r="H34">
        <f t="shared" si="14"/>
        <v>-1</v>
      </c>
      <c r="I34">
        <f t="shared" si="14"/>
        <v>-1</v>
      </c>
    </row>
    <row r="36" spans="1:18" s="2" customFormat="1" x14ac:dyDescent="0.3">
      <c r="A36" s="2" t="s">
        <v>41</v>
      </c>
    </row>
    <row r="37" spans="1:18" s="3" customFormat="1" x14ac:dyDescent="0.3">
      <c r="O37" s="115" t="s">
        <v>42</v>
      </c>
      <c r="P37" s="115"/>
      <c r="Q37" s="115" t="s">
        <v>43</v>
      </c>
      <c r="R37" s="115"/>
    </row>
    <row r="38" spans="1:18" x14ac:dyDescent="0.3">
      <c r="A38" s="4" t="s">
        <v>5</v>
      </c>
      <c r="B38" s="4" t="s">
        <v>6</v>
      </c>
      <c r="C38" s="4" t="s">
        <v>7</v>
      </c>
      <c r="D38" s="4" t="s">
        <v>8</v>
      </c>
      <c r="E38" s="4" t="s">
        <v>31</v>
      </c>
      <c r="F38" s="4" t="s">
        <v>19</v>
      </c>
      <c r="G38" s="4" t="s">
        <v>20</v>
      </c>
      <c r="H38" s="17" t="s">
        <v>2</v>
      </c>
      <c r="I38" s="17" t="s">
        <v>3</v>
      </c>
      <c r="J38" s="4" t="s">
        <v>12</v>
      </c>
      <c r="K38" s="17" t="s">
        <v>12</v>
      </c>
      <c r="L38" s="4" t="s">
        <v>38</v>
      </c>
      <c r="M38" s="4" t="s">
        <v>39</v>
      </c>
      <c r="N38" s="4" t="s">
        <v>4</v>
      </c>
      <c r="O38" s="17" t="s">
        <v>2</v>
      </c>
      <c r="P38" s="17" t="s">
        <v>3</v>
      </c>
      <c r="Q38" s="17" t="s">
        <v>2</v>
      </c>
      <c r="R38" s="17" t="s">
        <v>3</v>
      </c>
    </row>
    <row r="39" spans="1:18" x14ac:dyDescent="0.3">
      <c r="A39" s="5">
        <v>1</v>
      </c>
      <c r="B39" s="5">
        <v>1</v>
      </c>
      <c r="C39" s="5">
        <v>2</v>
      </c>
      <c r="D39" s="5">
        <v>1</v>
      </c>
      <c r="E39">
        <f>(D39-B39)/(C39-A39)</f>
        <v>0</v>
      </c>
      <c r="F39" t="e">
        <f>A39-B39/E39</f>
        <v>#DIV/0!</v>
      </c>
      <c r="G39">
        <f>B39-A39*E39</f>
        <v>1</v>
      </c>
      <c r="H39" s="13">
        <f t="shared" ref="H39:H48" si="15">A39+J39*(C39-A39)</f>
        <v>1.25</v>
      </c>
      <c r="I39" s="13">
        <f t="shared" ref="I39:I48" si="16">B39+J39*(D39-B39)</f>
        <v>1</v>
      </c>
      <c r="J39" s="5">
        <v>0.25</v>
      </c>
      <c r="K39" s="13">
        <f>SQRT((H39-A39)^2+(I39-B39)^2)/SQRT((C39-A39)^2+(D39-B39)^2)</f>
        <v>0.25</v>
      </c>
      <c r="L39">
        <f>C39-A39</f>
        <v>1</v>
      </c>
      <c r="M39">
        <f>D39-B39</f>
        <v>0</v>
      </c>
      <c r="N39">
        <f>SQRT(L39^2+M39^2)</f>
        <v>1</v>
      </c>
      <c r="O39" s="13">
        <f>-M39/$N39</f>
        <v>0</v>
      </c>
      <c r="P39" s="13">
        <f>L39/$N39</f>
        <v>1</v>
      </c>
      <c r="Q39" s="13">
        <f>L39/$N39</f>
        <v>1</v>
      </c>
      <c r="R39" s="13">
        <f>M39/$N39</f>
        <v>0</v>
      </c>
    </row>
    <row r="40" spans="1:18" x14ac:dyDescent="0.3">
      <c r="A40" s="5">
        <v>1</v>
      </c>
      <c r="B40" s="5">
        <v>1</v>
      </c>
      <c r="C40" s="5">
        <v>1</v>
      </c>
      <c r="D40" s="5">
        <v>2</v>
      </c>
      <c r="E40" t="e">
        <f t="shared" ref="E40:E47" si="17">(D40-B40)/(C40-A40)</f>
        <v>#DIV/0!</v>
      </c>
      <c r="F40" t="e">
        <f t="shared" ref="F40:F47" si="18">A40-B40/E40</f>
        <v>#DIV/0!</v>
      </c>
      <c r="G40" t="e">
        <f t="shared" ref="G40:G47" si="19">B40-A40*E40</f>
        <v>#DIV/0!</v>
      </c>
      <c r="H40" s="13">
        <f t="shared" si="15"/>
        <v>1</v>
      </c>
      <c r="I40" s="13">
        <f t="shared" si="16"/>
        <v>1.25</v>
      </c>
      <c r="J40" s="5">
        <v>0.25</v>
      </c>
      <c r="K40" s="13">
        <f>SQRT((H40-A40)^2+(I40-B40)^2)/SQRT((C40-A40)^2+(D40-B40)^2)</f>
        <v>0.25</v>
      </c>
      <c r="L40">
        <f t="shared" ref="L40:L47" si="20">C40-A40</f>
        <v>0</v>
      </c>
      <c r="M40">
        <f t="shared" ref="M40:M47" si="21">D40-B40</f>
        <v>1</v>
      </c>
      <c r="N40">
        <f t="shared" ref="N40:N47" si="22">SQRT(L40^2+M40^2)</f>
        <v>1</v>
      </c>
      <c r="O40" s="13">
        <f t="shared" ref="O40:O47" si="23">-M40/$N40</f>
        <v>-1</v>
      </c>
      <c r="P40" s="13">
        <f t="shared" ref="P40:P47" si="24">L40/$N40</f>
        <v>0</v>
      </c>
      <c r="Q40" s="13">
        <f t="shared" ref="Q40:Q47" si="25">L40/$N40</f>
        <v>0</v>
      </c>
      <c r="R40" s="13">
        <f t="shared" ref="R40:R47" si="26">M40/$N40</f>
        <v>1</v>
      </c>
    </row>
    <row r="41" spans="1:18" x14ac:dyDescent="0.3">
      <c r="A41" s="5">
        <v>1</v>
      </c>
      <c r="B41" s="5">
        <v>2</v>
      </c>
      <c r="C41" s="5">
        <v>3</v>
      </c>
      <c r="D41" s="5">
        <v>4</v>
      </c>
      <c r="E41">
        <f t="shared" si="17"/>
        <v>1</v>
      </c>
      <c r="F41">
        <f t="shared" si="18"/>
        <v>-1</v>
      </c>
      <c r="G41">
        <f t="shared" si="19"/>
        <v>1</v>
      </c>
      <c r="H41" s="13">
        <f t="shared" si="15"/>
        <v>1.5</v>
      </c>
      <c r="I41" s="13">
        <f t="shared" si="16"/>
        <v>2.5</v>
      </c>
      <c r="J41" s="5">
        <v>0.25</v>
      </c>
      <c r="K41" s="13">
        <f>SQRT((H41-A41)^2+(I41-B41)^2)/SQRT((C41-A41)^2+(D41-B41)^2)</f>
        <v>0.25</v>
      </c>
      <c r="L41">
        <f t="shared" si="20"/>
        <v>2</v>
      </c>
      <c r="M41">
        <f t="shared" si="21"/>
        <v>2</v>
      </c>
      <c r="N41">
        <f t="shared" si="22"/>
        <v>2.8284271247461903</v>
      </c>
      <c r="O41" s="18">
        <f t="shared" si="23"/>
        <v>-0.70710678118654746</v>
      </c>
      <c r="P41" s="18">
        <f t="shared" si="24"/>
        <v>0.70710678118654746</v>
      </c>
      <c r="Q41" s="13">
        <f t="shared" si="25"/>
        <v>0.70710678118654746</v>
      </c>
      <c r="R41" s="13">
        <f t="shared" si="26"/>
        <v>0.70710678118654746</v>
      </c>
    </row>
    <row r="42" spans="1:18" x14ac:dyDescent="0.3">
      <c r="A42" s="5">
        <v>-1</v>
      </c>
      <c r="B42" s="5">
        <v>-2</v>
      </c>
      <c r="C42" s="5">
        <v>-3</v>
      </c>
      <c r="D42" s="5">
        <v>-4</v>
      </c>
      <c r="E42">
        <f t="shared" si="17"/>
        <v>1</v>
      </c>
      <c r="F42">
        <f t="shared" si="18"/>
        <v>1</v>
      </c>
      <c r="G42">
        <f t="shared" si="19"/>
        <v>-1</v>
      </c>
      <c r="H42" s="13">
        <f t="shared" si="15"/>
        <v>-1.5</v>
      </c>
      <c r="I42" s="13">
        <f t="shared" si="16"/>
        <v>-2.5</v>
      </c>
      <c r="J42" s="5">
        <v>0.25</v>
      </c>
      <c r="K42" s="13">
        <f>SQRT((H42-A42)^2+(I42-B42)^2)/SQRT((C42-A42)^2+(D42-B42)^2)</f>
        <v>0.25</v>
      </c>
      <c r="L42">
        <f t="shared" si="20"/>
        <v>-2</v>
      </c>
      <c r="M42">
        <f t="shared" si="21"/>
        <v>-2</v>
      </c>
      <c r="N42">
        <f t="shared" si="22"/>
        <v>2.8284271247461903</v>
      </c>
      <c r="O42" s="18">
        <f t="shared" si="23"/>
        <v>0.70710678118654746</v>
      </c>
      <c r="P42" s="18">
        <f t="shared" si="24"/>
        <v>-0.70710678118654746</v>
      </c>
      <c r="Q42" s="18">
        <f t="shared" si="25"/>
        <v>-0.70710678118654746</v>
      </c>
      <c r="R42" s="18">
        <f t="shared" si="26"/>
        <v>-0.70710678118654746</v>
      </c>
    </row>
    <row r="43" spans="1:18" x14ac:dyDescent="0.3">
      <c r="A43" s="5">
        <v>1</v>
      </c>
      <c r="B43" s="5">
        <v>2</v>
      </c>
      <c r="C43" s="5">
        <v>-3</v>
      </c>
      <c r="D43" s="5">
        <v>-4</v>
      </c>
      <c r="E43">
        <f t="shared" si="17"/>
        <v>1.5</v>
      </c>
      <c r="F43">
        <f t="shared" si="18"/>
        <v>-0.33333333333333326</v>
      </c>
      <c r="G43">
        <f t="shared" si="19"/>
        <v>0.5</v>
      </c>
      <c r="H43" s="13">
        <f t="shared" si="15"/>
        <v>-0.19999999999999996</v>
      </c>
      <c r="I43" s="13">
        <f t="shared" si="16"/>
        <v>0.20000000000000018</v>
      </c>
      <c r="J43" s="5">
        <v>0.3</v>
      </c>
      <c r="K43" s="13">
        <f>SQRT((H43-A43)^2+(I43-B43)^2)/SQRT((C43-A43)^2+(D43-B43)^2)</f>
        <v>0.3</v>
      </c>
      <c r="L43">
        <f t="shared" si="20"/>
        <v>-4</v>
      </c>
      <c r="M43">
        <f t="shared" si="21"/>
        <v>-6</v>
      </c>
      <c r="N43">
        <f t="shared" si="22"/>
        <v>7.2111025509279782</v>
      </c>
      <c r="O43" s="18">
        <f t="shared" si="23"/>
        <v>0.83205029433784372</v>
      </c>
      <c r="P43" s="18">
        <f t="shared" si="24"/>
        <v>-0.55470019622522915</v>
      </c>
      <c r="Q43" s="18">
        <f t="shared" si="25"/>
        <v>-0.55470019622522915</v>
      </c>
      <c r="R43" s="18">
        <f t="shared" si="26"/>
        <v>-0.83205029433784372</v>
      </c>
    </row>
    <row r="44" spans="1:18" x14ac:dyDescent="0.3">
      <c r="A44" s="5">
        <v>3</v>
      </c>
      <c r="B44" s="5">
        <v>4</v>
      </c>
      <c r="C44" s="5">
        <v>1</v>
      </c>
      <c r="D44" s="5">
        <v>2</v>
      </c>
      <c r="E44">
        <f t="shared" si="17"/>
        <v>1</v>
      </c>
      <c r="F44">
        <f t="shared" si="18"/>
        <v>-1</v>
      </c>
      <c r="G44">
        <f t="shared" si="19"/>
        <v>1</v>
      </c>
      <c r="H44" s="13">
        <f t="shared" si="15"/>
        <v>2</v>
      </c>
      <c r="I44" s="13">
        <f t="shared" si="16"/>
        <v>3</v>
      </c>
      <c r="J44" s="5">
        <v>0.5</v>
      </c>
      <c r="L44">
        <f t="shared" si="20"/>
        <v>-2</v>
      </c>
      <c r="M44">
        <f t="shared" si="21"/>
        <v>-2</v>
      </c>
      <c r="N44">
        <f t="shared" si="22"/>
        <v>2.8284271247461903</v>
      </c>
      <c r="O44" s="18">
        <f t="shared" si="23"/>
        <v>0.70710678118654746</v>
      </c>
      <c r="P44" s="18">
        <f t="shared" si="24"/>
        <v>-0.70710678118654746</v>
      </c>
      <c r="Q44" s="18">
        <f t="shared" si="25"/>
        <v>-0.70710678118654746</v>
      </c>
      <c r="R44" s="18">
        <f t="shared" si="26"/>
        <v>-0.70710678118654746</v>
      </c>
    </row>
    <row r="45" spans="1:18" x14ac:dyDescent="0.3">
      <c r="A45" s="5">
        <v>1</v>
      </c>
      <c r="B45" s="5">
        <v>1</v>
      </c>
      <c r="C45" s="5">
        <v>3</v>
      </c>
      <c r="D45" s="5">
        <v>1</v>
      </c>
      <c r="E45">
        <f t="shared" si="17"/>
        <v>0</v>
      </c>
      <c r="F45" t="e">
        <f t="shared" si="18"/>
        <v>#DIV/0!</v>
      </c>
      <c r="G45">
        <f t="shared" si="19"/>
        <v>1</v>
      </c>
      <c r="H45" s="13">
        <f t="shared" si="15"/>
        <v>2</v>
      </c>
      <c r="I45" s="13">
        <f t="shared" si="16"/>
        <v>1</v>
      </c>
      <c r="J45" s="5">
        <v>0.5</v>
      </c>
      <c r="L45">
        <f t="shared" si="20"/>
        <v>2</v>
      </c>
      <c r="M45">
        <f t="shared" si="21"/>
        <v>0</v>
      </c>
      <c r="N45">
        <f t="shared" si="22"/>
        <v>2</v>
      </c>
      <c r="O45" s="18">
        <f t="shared" si="23"/>
        <v>0</v>
      </c>
      <c r="P45" s="18">
        <f t="shared" si="24"/>
        <v>1</v>
      </c>
      <c r="Q45" s="18">
        <f t="shared" si="25"/>
        <v>1</v>
      </c>
      <c r="R45" s="18">
        <f t="shared" si="26"/>
        <v>0</v>
      </c>
    </row>
    <row r="46" spans="1:18" x14ac:dyDescent="0.3">
      <c r="A46" s="5">
        <v>1</v>
      </c>
      <c r="B46" s="5">
        <v>2</v>
      </c>
      <c r="C46" s="5">
        <v>1</v>
      </c>
      <c r="D46" s="5">
        <v>4</v>
      </c>
      <c r="E46" t="e">
        <f t="shared" si="17"/>
        <v>#DIV/0!</v>
      </c>
      <c r="F46" t="e">
        <f t="shared" si="18"/>
        <v>#DIV/0!</v>
      </c>
      <c r="G46" t="e">
        <f t="shared" si="19"/>
        <v>#DIV/0!</v>
      </c>
      <c r="H46" s="13">
        <f t="shared" si="15"/>
        <v>1</v>
      </c>
      <c r="I46" s="13">
        <f t="shared" si="16"/>
        <v>3</v>
      </c>
      <c r="J46" s="5">
        <v>0.5</v>
      </c>
      <c r="L46">
        <f t="shared" si="20"/>
        <v>0</v>
      </c>
      <c r="M46">
        <f t="shared" si="21"/>
        <v>2</v>
      </c>
      <c r="N46">
        <f t="shared" si="22"/>
        <v>2</v>
      </c>
      <c r="O46" s="18">
        <f t="shared" si="23"/>
        <v>-1</v>
      </c>
      <c r="P46" s="18">
        <f t="shared" si="24"/>
        <v>0</v>
      </c>
      <c r="Q46" s="18">
        <f t="shared" si="25"/>
        <v>0</v>
      </c>
      <c r="R46" s="18">
        <f t="shared" si="26"/>
        <v>1</v>
      </c>
    </row>
    <row r="47" spans="1:18" x14ac:dyDescent="0.3">
      <c r="A47" s="5">
        <v>1</v>
      </c>
      <c r="B47" s="5">
        <v>2</v>
      </c>
      <c r="C47" s="5">
        <v>3</v>
      </c>
      <c r="D47" s="5">
        <v>4</v>
      </c>
      <c r="E47">
        <f t="shared" si="17"/>
        <v>1</v>
      </c>
      <c r="F47">
        <f t="shared" si="18"/>
        <v>-1</v>
      </c>
      <c r="G47">
        <f t="shared" si="19"/>
        <v>1</v>
      </c>
      <c r="H47" s="13">
        <f t="shared" si="15"/>
        <v>2</v>
      </c>
      <c r="I47" s="13">
        <f t="shared" si="16"/>
        <v>3</v>
      </c>
      <c r="J47" s="5">
        <v>0.5</v>
      </c>
      <c r="L47">
        <f t="shared" si="20"/>
        <v>2</v>
      </c>
      <c r="M47">
        <f t="shared" si="21"/>
        <v>2</v>
      </c>
      <c r="N47">
        <f t="shared" si="22"/>
        <v>2.8284271247461903</v>
      </c>
      <c r="O47" s="18">
        <f t="shared" si="23"/>
        <v>-0.70710678118654746</v>
      </c>
      <c r="P47" s="18">
        <f t="shared" si="24"/>
        <v>0.70710678118654746</v>
      </c>
      <c r="Q47" s="18">
        <f t="shared" si="25"/>
        <v>0.70710678118654746</v>
      </c>
      <c r="R47" s="18">
        <f t="shared" si="26"/>
        <v>0.70710678118654746</v>
      </c>
    </row>
    <row r="48" spans="1:18" x14ac:dyDescent="0.3">
      <c r="A48" s="5">
        <v>1.2</v>
      </c>
      <c r="B48" s="5">
        <v>3.4</v>
      </c>
      <c r="C48" s="5">
        <v>6.7</v>
      </c>
      <c r="D48" s="5">
        <v>9.1</v>
      </c>
      <c r="E48">
        <f>(D48-B48)/(C48-A48)</f>
        <v>1.0363636363636362</v>
      </c>
      <c r="F48">
        <f>A48-B48/E48</f>
        <v>-2.0807017543859656</v>
      </c>
      <c r="G48">
        <f>B48-A48*E48</f>
        <v>2.1563636363636363</v>
      </c>
      <c r="H48" s="13">
        <f t="shared" si="15"/>
        <v>2.8499999999999996</v>
      </c>
      <c r="I48" s="13">
        <f t="shared" si="16"/>
        <v>5.1099999999999994</v>
      </c>
      <c r="J48" s="5">
        <v>0.3</v>
      </c>
      <c r="L48">
        <f>C48-A48</f>
        <v>5.5</v>
      </c>
      <c r="M48">
        <f>D48-B48</f>
        <v>5.6999999999999993</v>
      </c>
      <c r="N48">
        <f>SQRT(L48^2+M48^2)</f>
        <v>7.9208585393251401</v>
      </c>
    </row>
    <row r="50" spans="1:9" s="2" customFormat="1" x14ac:dyDescent="0.3">
      <c r="A50" s="2" t="s">
        <v>44</v>
      </c>
    </row>
    <row r="51" spans="1:9" x14ac:dyDescent="0.3">
      <c r="A51" s="116" t="s">
        <v>45</v>
      </c>
      <c r="B51" s="116"/>
      <c r="C51" s="116" t="s">
        <v>46</v>
      </c>
      <c r="D51" s="116"/>
      <c r="F51" s="116" t="s">
        <v>48</v>
      </c>
      <c r="G51" s="116"/>
      <c r="H51" s="116" t="s">
        <v>49</v>
      </c>
      <c r="I51" s="116"/>
    </row>
    <row r="52" spans="1:9" x14ac:dyDescent="0.3">
      <c r="A52" s="4" t="s">
        <v>5</v>
      </c>
      <c r="B52" s="4" t="s">
        <v>6</v>
      </c>
      <c r="C52" s="4" t="s">
        <v>7</v>
      </c>
      <c r="D52" s="4" t="s">
        <v>8</v>
      </c>
      <c r="E52" s="4" t="s">
        <v>47</v>
      </c>
      <c r="F52" s="4" t="s">
        <v>5</v>
      </c>
      <c r="G52" s="4" t="s">
        <v>6</v>
      </c>
      <c r="H52" s="4" t="s">
        <v>7</v>
      </c>
      <c r="I52" s="4" t="s">
        <v>8</v>
      </c>
    </row>
    <row r="53" spans="1:9" x14ac:dyDescent="0.3">
      <c r="A53" s="5">
        <v>2</v>
      </c>
      <c r="B53" s="5">
        <v>1</v>
      </c>
      <c r="C53" s="5">
        <v>8</v>
      </c>
      <c r="D53" s="5">
        <v>4</v>
      </c>
      <c r="E53" s="5">
        <v>0</v>
      </c>
      <c r="F53">
        <f t="shared" ref="F53:F61" si="27">A53</f>
        <v>2</v>
      </c>
      <c r="G53">
        <f t="shared" ref="G53:G61" si="28">B53</f>
        <v>1</v>
      </c>
      <c r="H53">
        <f t="shared" ref="H53:H61" si="29">ROUND(A53+((C53-A53)*COS(E53)-(D53-B53)*SIN(E53)), 6)</f>
        <v>8</v>
      </c>
      <c r="I53">
        <f>ROUND(B53+((C53-A53)*SIN(E53)+(D53-B53)*COS(E53)),6)</f>
        <v>4</v>
      </c>
    </row>
    <row r="54" spans="1:9" x14ac:dyDescent="0.3">
      <c r="A54" s="5">
        <v>2</v>
      </c>
      <c r="B54" s="5">
        <v>1</v>
      </c>
      <c r="C54" s="5">
        <v>8</v>
      </c>
      <c r="D54" s="5">
        <v>4</v>
      </c>
      <c r="E54" s="5">
        <f>PI()/4</f>
        <v>0.78539816339744828</v>
      </c>
      <c r="F54">
        <f t="shared" si="27"/>
        <v>2</v>
      </c>
      <c r="G54">
        <f t="shared" si="28"/>
        <v>1</v>
      </c>
      <c r="H54" s="21">
        <f t="shared" si="29"/>
        <v>4.1213199999999999</v>
      </c>
      <c r="I54">
        <f t="shared" ref="I53:I61" si="30">ROUND(B54+((C54-A54)*SIN(E54)+(D54-B54)*COS(E54)),6)</f>
        <v>7.3639609999999998</v>
      </c>
    </row>
    <row r="55" spans="1:9" x14ac:dyDescent="0.3">
      <c r="A55" s="5">
        <v>2</v>
      </c>
      <c r="B55" s="5">
        <v>1</v>
      </c>
      <c r="C55" s="5">
        <v>8</v>
      </c>
      <c r="D55" s="5">
        <v>4</v>
      </c>
      <c r="E55" s="5">
        <f>PI()/2</f>
        <v>1.5707963267948966</v>
      </c>
      <c r="F55">
        <f t="shared" si="27"/>
        <v>2</v>
      </c>
      <c r="G55">
        <f t="shared" si="28"/>
        <v>1</v>
      </c>
      <c r="H55">
        <f t="shared" si="29"/>
        <v>-1</v>
      </c>
      <c r="I55">
        <f t="shared" si="30"/>
        <v>7</v>
      </c>
    </row>
    <row r="56" spans="1:9" x14ac:dyDescent="0.3">
      <c r="A56" s="5">
        <v>2</v>
      </c>
      <c r="B56" s="5">
        <v>1</v>
      </c>
      <c r="C56" s="5">
        <v>8</v>
      </c>
      <c r="D56" s="5">
        <v>4</v>
      </c>
      <c r="E56" s="5">
        <f>(3/4)*PI()</f>
        <v>2.3561944901923448</v>
      </c>
      <c r="F56">
        <f t="shared" si="27"/>
        <v>2</v>
      </c>
      <c r="G56">
        <f t="shared" si="28"/>
        <v>1</v>
      </c>
      <c r="H56">
        <f t="shared" si="29"/>
        <v>-4.3639609999999998</v>
      </c>
      <c r="I56" s="21">
        <f t="shared" si="30"/>
        <v>3.1213199999999999</v>
      </c>
    </row>
    <row r="57" spans="1:9" x14ac:dyDescent="0.3">
      <c r="A57" s="5">
        <v>2</v>
      </c>
      <c r="B57" s="5">
        <v>1</v>
      </c>
      <c r="C57" s="5">
        <v>8</v>
      </c>
      <c r="D57" s="5">
        <v>4</v>
      </c>
      <c r="E57" s="5">
        <f>PI()</f>
        <v>3.1415926535897931</v>
      </c>
      <c r="F57">
        <f t="shared" si="27"/>
        <v>2</v>
      </c>
      <c r="G57">
        <f t="shared" si="28"/>
        <v>1</v>
      </c>
      <c r="H57">
        <f t="shared" si="29"/>
        <v>-4</v>
      </c>
      <c r="I57">
        <f t="shared" si="30"/>
        <v>-2</v>
      </c>
    </row>
    <row r="58" spans="1:9" x14ac:dyDescent="0.3">
      <c r="A58" s="5">
        <v>2</v>
      </c>
      <c r="B58" s="5">
        <v>1</v>
      </c>
      <c r="C58" s="5">
        <v>8</v>
      </c>
      <c r="D58" s="5">
        <v>4</v>
      </c>
      <c r="E58" s="5">
        <f>(5/4)*PI()</f>
        <v>3.9269908169872414</v>
      </c>
      <c r="F58">
        <f t="shared" si="27"/>
        <v>2</v>
      </c>
      <c r="G58">
        <f t="shared" si="28"/>
        <v>1</v>
      </c>
      <c r="H58" s="21">
        <f t="shared" si="29"/>
        <v>-0.12132</v>
      </c>
      <c r="I58">
        <f t="shared" si="30"/>
        <v>-5.3639609999999998</v>
      </c>
    </row>
    <row r="59" spans="1:9" x14ac:dyDescent="0.3">
      <c r="A59" s="5">
        <v>2</v>
      </c>
      <c r="B59" s="5">
        <v>1</v>
      </c>
      <c r="C59" s="5">
        <v>8</v>
      </c>
      <c r="D59" s="5">
        <v>4</v>
      </c>
      <c r="E59" s="5">
        <f>(3/2)*PI()</f>
        <v>4.7123889803846897</v>
      </c>
      <c r="F59">
        <f t="shared" si="27"/>
        <v>2</v>
      </c>
      <c r="G59">
        <f t="shared" si="28"/>
        <v>1</v>
      </c>
      <c r="H59">
        <f t="shared" si="29"/>
        <v>5</v>
      </c>
      <c r="I59">
        <f t="shared" si="30"/>
        <v>-5</v>
      </c>
    </row>
    <row r="60" spans="1:9" x14ac:dyDescent="0.3">
      <c r="A60" s="5">
        <v>2</v>
      </c>
      <c r="B60" s="5">
        <v>1</v>
      </c>
      <c r="C60" s="5">
        <v>8</v>
      </c>
      <c r="D60" s="5">
        <v>4</v>
      </c>
      <c r="E60" s="5">
        <f>(7/4)*PI()</f>
        <v>5.497787143782138</v>
      </c>
      <c r="F60">
        <f t="shared" si="27"/>
        <v>2</v>
      </c>
      <c r="G60">
        <f t="shared" si="28"/>
        <v>1</v>
      </c>
      <c r="H60">
        <f t="shared" si="29"/>
        <v>8.3639609999999998</v>
      </c>
      <c r="I60" s="21">
        <f t="shared" si="30"/>
        <v>-1.1213200000000001</v>
      </c>
    </row>
    <row r="61" spans="1:9" x14ac:dyDescent="0.3">
      <c r="A61" s="5">
        <v>2</v>
      </c>
      <c r="B61" s="5">
        <v>1</v>
      </c>
      <c r="C61" s="5">
        <v>8</v>
      </c>
      <c r="D61" s="5">
        <v>4</v>
      </c>
      <c r="E61" s="5">
        <f>-PI()/4</f>
        <v>-0.78539816339744828</v>
      </c>
      <c r="F61">
        <f t="shared" si="27"/>
        <v>2</v>
      </c>
      <c r="G61">
        <f t="shared" si="28"/>
        <v>1</v>
      </c>
      <c r="H61">
        <f t="shared" si="29"/>
        <v>8.3639609999999998</v>
      </c>
      <c r="I61" s="21">
        <f t="shared" si="30"/>
        <v>-1.1213200000000001</v>
      </c>
    </row>
    <row r="63" spans="1:9" s="2" customFormat="1" x14ac:dyDescent="0.3">
      <c r="A63" s="2" t="s">
        <v>50</v>
      </c>
    </row>
    <row r="64" spans="1:9" x14ac:dyDescent="0.3">
      <c r="A64" s="116" t="s">
        <v>45</v>
      </c>
      <c r="B64" s="116"/>
      <c r="C64" s="116" t="s">
        <v>46</v>
      </c>
      <c r="D64" s="116"/>
      <c r="F64" s="116" t="s">
        <v>48</v>
      </c>
      <c r="G64" s="116"/>
      <c r="H64" s="116" t="s">
        <v>49</v>
      </c>
      <c r="I64" s="116"/>
    </row>
    <row r="65" spans="1:11" x14ac:dyDescent="0.3">
      <c r="A65" s="4" t="s">
        <v>5</v>
      </c>
      <c r="B65" s="4" t="s">
        <v>6</v>
      </c>
      <c r="C65" s="4" t="s">
        <v>7</v>
      </c>
      <c r="D65" s="4" t="s">
        <v>8</v>
      </c>
      <c r="E65" s="4" t="s">
        <v>47</v>
      </c>
      <c r="F65" s="4" t="s">
        <v>5</v>
      </c>
      <c r="G65" s="4" t="s">
        <v>6</v>
      </c>
      <c r="H65" s="4" t="s">
        <v>7</v>
      </c>
      <c r="I65" s="4" t="s">
        <v>8</v>
      </c>
    </row>
    <row r="66" spans="1:11" x14ac:dyDescent="0.3">
      <c r="A66" s="5">
        <v>2</v>
      </c>
      <c r="B66" s="5">
        <v>1</v>
      </c>
      <c r="C66" s="5">
        <v>8</v>
      </c>
      <c r="D66" s="5">
        <v>4</v>
      </c>
      <c r="E66" s="5">
        <v>0</v>
      </c>
      <c r="F66">
        <f t="shared" ref="F66:F74" si="31">ROUND(C66+((A66-C66)*COS(E66)-(B66-D66)*SIN(E66)), 6)</f>
        <v>2</v>
      </c>
      <c r="G66">
        <f t="shared" ref="G66:G74" si="32">ROUND(D66+((A66-C66)*SIN(E66)+(B66-D66)*COS(E66)),6)</f>
        <v>1</v>
      </c>
      <c r="H66">
        <f>C66</f>
        <v>8</v>
      </c>
      <c r="I66">
        <f>D66</f>
        <v>4</v>
      </c>
    </row>
    <row r="67" spans="1:11" x14ac:dyDescent="0.3">
      <c r="A67" s="5">
        <v>2</v>
      </c>
      <c r="B67" s="5">
        <v>1</v>
      </c>
      <c r="C67" s="5">
        <v>8</v>
      </c>
      <c r="D67" s="5">
        <v>4</v>
      </c>
      <c r="E67" s="5">
        <f>PI()/4</f>
        <v>0.78539816339744828</v>
      </c>
      <c r="F67" s="21">
        <f t="shared" si="31"/>
        <v>5.8786800000000001</v>
      </c>
      <c r="G67">
        <f t="shared" si="32"/>
        <v>-2.3639610000000002</v>
      </c>
      <c r="H67">
        <f t="shared" ref="H67:H74" si="33">C67</f>
        <v>8</v>
      </c>
      <c r="I67">
        <f t="shared" ref="I67:I74" si="34">D67</f>
        <v>4</v>
      </c>
    </row>
    <row r="68" spans="1:11" x14ac:dyDescent="0.3">
      <c r="A68" s="5">
        <v>2</v>
      </c>
      <c r="B68" s="5">
        <v>1</v>
      </c>
      <c r="C68" s="5">
        <v>8</v>
      </c>
      <c r="D68" s="5">
        <v>4</v>
      </c>
      <c r="E68" s="5">
        <f>PI()/2</f>
        <v>1.5707963267948966</v>
      </c>
      <c r="F68">
        <f t="shared" si="31"/>
        <v>11</v>
      </c>
      <c r="G68">
        <f t="shared" si="32"/>
        <v>-2</v>
      </c>
      <c r="H68">
        <f t="shared" si="33"/>
        <v>8</v>
      </c>
      <c r="I68">
        <f t="shared" si="34"/>
        <v>4</v>
      </c>
    </row>
    <row r="69" spans="1:11" x14ac:dyDescent="0.3">
      <c r="A69" s="5">
        <v>2</v>
      </c>
      <c r="B69" s="5">
        <v>1</v>
      </c>
      <c r="C69" s="5">
        <v>8</v>
      </c>
      <c r="D69" s="5">
        <v>4</v>
      </c>
      <c r="E69" s="5">
        <f>(3/4)*PI()</f>
        <v>2.3561944901923448</v>
      </c>
      <c r="F69">
        <f t="shared" si="31"/>
        <v>14.363961</v>
      </c>
      <c r="G69" s="21">
        <f t="shared" si="32"/>
        <v>1.8786799999999999</v>
      </c>
      <c r="H69">
        <f t="shared" si="33"/>
        <v>8</v>
      </c>
      <c r="I69">
        <f t="shared" si="34"/>
        <v>4</v>
      </c>
    </row>
    <row r="70" spans="1:11" x14ac:dyDescent="0.3">
      <c r="A70" s="5">
        <v>2</v>
      </c>
      <c r="B70" s="5">
        <v>1</v>
      </c>
      <c r="C70" s="5">
        <v>8</v>
      </c>
      <c r="D70" s="5">
        <v>4</v>
      </c>
      <c r="E70" s="5">
        <f>PI()</f>
        <v>3.1415926535897931</v>
      </c>
      <c r="F70">
        <f t="shared" si="31"/>
        <v>14</v>
      </c>
      <c r="G70">
        <f t="shared" si="32"/>
        <v>7</v>
      </c>
      <c r="H70">
        <f t="shared" si="33"/>
        <v>8</v>
      </c>
      <c r="I70">
        <f t="shared" si="34"/>
        <v>4</v>
      </c>
    </row>
    <row r="71" spans="1:11" x14ac:dyDescent="0.3">
      <c r="A71" s="5">
        <v>2</v>
      </c>
      <c r="B71" s="5">
        <v>1</v>
      </c>
      <c r="C71" s="5">
        <v>8</v>
      </c>
      <c r="D71" s="5">
        <v>4</v>
      </c>
      <c r="E71" s="5">
        <f>(5/4)*PI()</f>
        <v>3.9269908169872414</v>
      </c>
      <c r="F71" s="21">
        <f t="shared" si="31"/>
        <v>10.121320000000001</v>
      </c>
      <c r="G71">
        <f t="shared" si="32"/>
        <v>10.363961</v>
      </c>
      <c r="H71">
        <f t="shared" si="33"/>
        <v>8</v>
      </c>
      <c r="I71">
        <f t="shared" si="34"/>
        <v>4</v>
      </c>
    </row>
    <row r="72" spans="1:11" x14ac:dyDescent="0.3">
      <c r="A72" s="5">
        <v>2</v>
      </c>
      <c r="B72" s="5">
        <v>1</v>
      </c>
      <c r="C72" s="5">
        <v>8</v>
      </c>
      <c r="D72" s="5">
        <v>4</v>
      </c>
      <c r="E72" s="5">
        <f>(3/2)*PI()</f>
        <v>4.7123889803846897</v>
      </c>
      <c r="F72">
        <f t="shared" si="31"/>
        <v>5</v>
      </c>
      <c r="G72">
        <f t="shared" si="32"/>
        <v>10</v>
      </c>
      <c r="H72">
        <f t="shared" si="33"/>
        <v>8</v>
      </c>
      <c r="I72">
        <f t="shared" si="34"/>
        <v>4</v>
      </c>
    </row>
    <row r="73" spans="1:11" x14ac:dyDescent="0.3">
      <c r="A73" s="5">
        <v>2</v>
      </c>
      <c r="B73" s="5">
        <v>1</v>
      </c>
      <c r="C73" s="5">
        <v>8</v>
      </c>
      <c r="D73" s="5">
        <v>4</v>
      </c>
      <c r="E73" s="5">
        <f>(7/4)*PI()</f>
        <v>5.497787143782138</v>
      </c>
      <c r="F73">
        <f t="shared" si="31"/>
        <v>1.636039</v>
      </c>
      <c r="G73" s="21">
        <f t="shared" si="32"/>
        <v>6.1213199999999999</v>
      </c>
      <c r="H73">
        <f t="shared" si="33"/>
        <v>8</v>
      </c>
      <c r="I73">
        <f t="shared" si="34"/>
        <v>4</v>
      </c>
    </row>
    <row r="74" spans="1:11" x14ac:dyDescent="0.3">
      <c r="A74" s="5">
        <v>2</v>
      </c>
      <c r="B74" s="5">
        <v>1</v>
      </c>
      <c r="C74" s="5">
        <v>8</v>
      </c>
      <c r="D74" s="5">
        <v>4</v>
      </c>
      <c r="E74" s="5">
        <f>-PI()/4</f>
        <v>-0.78539816339744828</v>
      </c>
      <c r="F74">
        <f t="shared" si="31"/>
        <v>1.636039</v>
      </c>
      <c r="G74" s="21">
        <f t="shared" si="32"/>
        <v>6.1213199999999999</v>
      </c>
      <c r="H74">
        <f t="shared" si="33"/>
        <v>8</v>
      </c>
      <c r="I74">
        <f t="shared" si="34"/>
        <v>4</v>
      </c>
    </row>
    <row r="76" spans="1:11" s="2" customFormat="1" x14ac:dyDescent="0.3">
      <c r="A76" s="2" t="s">
        <v>51</v>
      </c>
    </row>
    <row r="77" spans="1:11" x14ac:dyDescent="0.3">
      <c r="A77" s="116" t="s">
        <v>45</v>
      </c>
      <c r="B77" s="116"/>
      <c r="C77" s="116" t="s">
        <v>46</v>
      </c>
      <c r="D77" s="116"/>
      <c r="E77" s="116" t="s">
        <v>52</v>
      </c>
      <c r="F77" s="116"/>
      <c r="H77" s="116" t="s">
        <v>48</v>
      </c>
      <c r="I77" s="116"/>
      <c r="J77" s="116" t="s">
        <v>49</v>
      </c>
      <c r="K77" s="116"/>
    </row>
    <row r="78" spans="1:11" x14ac:dyDescent="0.3">
      <c r="A78" s="4" t="s">
        <v>5</v>
      </c>
      <c r="B78" s="4" t="s">
        <v>6</v>
      </c>
      <c r="C78" s="4" t="s">
        <v>7</v>
      </c>
      <c r="D78" s="4" t="s">
        <v>8</v>
      </c>
      <c r="E78" s="4" t="s">
        <v>2</v>
      </c>
      <c r="F78" s="4" t="s">
        <v>3</v>
      </c>
      <c r="G78" s="4" t="s">
        <v>47</v>
      </c>
      <c r="H78" s="4" t="s">
        <v>5</v>
      </c>
      <c r="I78" s="4" t="s">
        <v>6</v>
      </c>
      <c r="J78" s="4" t="s">
        <v>7</v>
      </c>
      <c r="K78" s="4" t="s">
        <v>8</v>
      </c>
    </row>
    <row r="79" spans="1:11" x14ac:dyDescent="0.3">
      <c r="A79" s="5">
        <v>2</v>
      </c>
      <c r="B79" s="5">
        <v>1</v>
      </c>
      <c r="C79" s="5">
        <v>8</v>
      </c>
      <c r="D79" s="5">
        <v>4</v>
      </c>
      <c r="E79" s="5">
        <v>13</v>
      </c>
      <c r="F79" s="5">
        <v>-12</v>
      </c>
      <c r="G79" s="5">
        <v>0</v>
      </c>
      <c r="H79">
        <f>ROUND(E79+((A79-E79)*COS(G79)-(B79-F79)*SIN(G79)), 6)</f>
        <v>2</v>
      </c>
      <c r="I79">
        <f>ROUND(F79+((A79-E79)*SIN(G79)+(B79-F79)*COS(G79)),6)</f>
        <v>1</v>
      </c>
      <c r="J79">
        <f>ROUND(E79+((C79-E79)*COS(G79)-(D79-F79)*SIN(G79)), 6)</f>
        <v>8</v>
      </c>
      <c r="K79">
        <f>ROUND(F79+((C79-E79)*SIN(G79)+(D79-F79)*COS(G79)),6)</f>
        <v>4</v>
      </c>
    </row>
    <row r="80" spans="1:11" x14ac:dyDescent="0.3">
      <c r="A80" s="5">
        <v>2</v>
      </c>
      <c r="B80" s="5">
        <v>1</v>
      </c>
      <c r="C80" s="5">
        <v>8</v>
      </c>
      <c r="D80" s="5">
        <v>4</v>
      </c>
      <c r="E80" s="5">
        <v>13</v>
      </c>
      <c r="F80" s="5">
        <v>-12</v>
      </c>
      <c r="G80" s="5">
        <f>PI()/4</f>
        <v>0.78539816339744828</v>
      </c>
      <c r="H80">
        <f t="shared" ref="H80:H87" si="35">ROUND(E80+((A80-E80)*COS(G80)-(B80-F80)*SIN(G80)), 6)</f>
        <v>-3.9705629999999998</v>
      </c>
      <c r="I80">
        <f t="shared" ref="I80:I87" si="36">ROUND(F80+((A80-E80)*SIN(G80)+(B80-F80)*COS(G80)),6)</f>
        <v>-10.585786000000001</v>
      </c>
      <c r="J80" s="21">
        <f t="shared" ref="J80:J87" si="37">ROUND(E80+((C80-E80)*COS(G80)-(D80-F80)*SIN(G80)), 6)</f>
        <v>-1.8492420000000001</v>
      </c>
      <c r="K80">
        <f t="shared" ref="K80:K87" si="38">ROUND(F80+((C80-E80)*SIN(G80)+(D80-F80)*COS(G80)),6)</f>
        <v>-4.2218249999999999</v>
      </c>
    </row>
    <row r="81" spans="1:11" x14ac:dyDescent="0.3">
      <c r="A81" s="5">
        <v>2</v>
      </c>
      <c r="B81" s="5">
        <v>1</v>
      </c>
      <c r="C81" s="5">
        <v>8</v>
      </c>
      <c r="D81" s="5">
        <v>4</v>
      </c>
      <c r="E81" s="5">
        <v>13</v>
      </c>
      <c r="F81" s="5">
        <v>-12</v>
      </c>
      <c r="G81" s="5">
        <f>PI()/2</f>
        <v>1.5707963267948966</v>
      </c>
      <c r="H81">
        <f t="shared" si="35"/>
        <v>0</v>
      </c>
      <c r="I81">
        <f t="shared" si="36"/>
        <v>-23</v>
      </c>
      <c r="J81">
        <f t="shared" si="37"/>
        <v>-3</v>
      </c>
      <c r="K81">
        <f t="shared" si="38"/>
        <v>-17</v>
      </c>
    </row>
    <row r="82" spans="1:11" x14ac:dyDescent="0.3">
      <c r="A82" s="5">
        <v>2</v>
      </c>
      <c r="B82" s="5">
        <v>1</v>
      </c>
      <c r="C82" s="5">
        <v>8</v>
      </c>
      <c r="D82" s="5">
        <v>4</v>
      </c>
      <c r="E82" s="5">
        <v>13</v>
      </c>
      <c r="F82" s="5">
        <v>-12</v>
      </c>
      <c r="G82" s="5">
        <f>(3/4)*PI()</f>
        <v>2.3561944901923448</v>
      </c>
      <c r="H82">
        <f t="shared" si="35"/>
        <v>11.585786000000001</v>
      </c>
      <c r="I82">
        <f t="shared" si="36"/>
        <v>-28.970562999999999</v>
      </c>
      <c r="J82">
        <f t="shared" si="37"/>
        <v>5.2218249999999999</v>
      </c>
      <c r="K82" s="21">
        <f t="shared" si="38"/>
        <v>-26.849242</v>
      </c>
    </row>
    <row r="83" spans="1:11" x14ac:dyDescent="0.3">
      <c r="A83" s="5">
        <v>2</v>
      </c>
      <c r="B83" s="5">
        <v>1</v>
      </c>
      <c r="C83" s="5">
        <v>8</v>
      </c>
      <c r="D83" s="5">
        <v>4</v>
      </c>
      <c r="E83" s="5">
        <v>13</v>
      </c>
      <c r="F83" s="5">
        <v>-12</v>
      </c>
      <c r="G83" s="5">
        <f>PI()</f>
        <v>3.1415926535897931</v>
      </c>
      <c r="H83">
        <f t="shared" si="35"/>
        <v>24</v>
      </c>
      <c r="I83">
        <f t="shared" si="36"/>
        <v>-25</v>
      </c>
      <c r="J83">
        <f t="shared" si="37"/>
        <v>18</v>
      </c>
      <c r="K83">
        <f t="shared" si="38"/>
        <v>-28</v>
      </c>
    </row>
    <row r="84" spans="1:11" x14ac:dyDescent="0.3">
      <c r="A84" s="5">
        <v>2</v>
      </c>
      <c r="B84" s="5">
        <v>1</v>
      </c>
      <c r="C84" s="5">
        <v>8</v>
      </c>
      <c r="D84" s="5">
        <v>4</v>
      </c>
      <c r="E84" s="5">
        <v>13</v>
      </c>
      <c r="F84" s="5">
        <v>-12</v>
      </c>
      <c r="G84" s="5">
        <f>(5/4)*PI()</f>
        <v>3.9269908169872414</v>
      </c>
      <c r="H84">
        <f t="shared" si="35"/>
        <v>29.970562999999999</v>
      </c>
      <c r="I84">
        <f t="shared" si="36"/>
        <v>-13.414213999999999</v>
      </c>
      <c r="J84" s="21">
        <f t="shared" si="37"/>
        <v>27.849242</v>
      </c>
      <c r="K84" s="21">
        <f t="shared" si="38"/>
        <v>-19.778175000000001</v>
      </c>
    </row>
    <row r="85" spans="1:11" x14ac:dyDescent="0.3">
      <c r="A85" s="5">
        <v>2</v>
      </c>
      <c r="B85" s="5">
        <v>1</v>
      </c>
      <c r="C85" s="5">
        <v>8</v>
      </c>
      <c r="D85" s="5">
        <v>4</v>
      </c>
      <c r="E85" s="5">
        <v>13</v>
      </c>
      <c r="F85" s="5">
        <v>-12</v>
      </c>
      <c r="G85" s="5">
        <f>(3/2)*PI()</f>
        <v>4.7123889803846897</v>
      </c>
      <c r="H85">
        <f t="shared" si="35"/>
        <v>26</v>
      </c>
      <c r="I85">
        <f t="shared" si="36"/>
        <v>-1</v>
      </c>
      <c r="J85">
        <f t="shared" si="37"/>
        <v>29</v>
      </c>
      <c r="K85">
        <f t="shared" si="38"/>
        <v>-7</v>
      </c>
    </row>
    <row r="86" spans="1:11" x14ac:dyDescent="0.3">
      <c r="A86" s="5">
        <v>2</v>
      </c>
      <c r="B86" s="5">
        <v>1</v>
      </c>
      <c r="C86" s="5">
        <v>8</v>
      </c>
      <c r="D86" s="5">
        <v>4</v>
      </c>
      <c r="E86" s="5">
        <v>13</v>
      </c>
      <c r="F86" s="5">
        <v>-12</v>
      </c>
      <c r="G86" s="5">
        <f>(7/4)*PI()</f>
        <v>5.497787143782138</v>
      </c>
      <c r="H86">
        <f t="shared" si="35"/>
        <v>14.414213999999999</v>
      </c>
      <c r="I86">
        <f t="shared" si="36"/>
        <v>4.9705630000000003</v>
      </c>
      <c r="J86" s="21">
        <f t="shared" si="37"/>
        <v>20.778175000000001</v>
      </c>
      <c r="K86">
        <f t="shared" si="38"/>
        <v>2.8492419999999998</v>
      </c>
    </row>
    <row r="87" spans="1:11" x14ac:dyDescent="0.3">
      <c r="A87" s="5">
        <v>2</v>
      </c>
      <c r="B87" s="5">
        <v>1</v>
      </c>
      <c r="C87" s="5">
        <v>8</v>
      </c>
      <c r="D87" s="5">
        <v>4</v>
      </c>
      <c r="E87" s="5">
        <v>13</v>
      </c>
      <c r="F87" s="5">
        <v>-12</v>
      </c>
      <c r="G87" s="5">
        <f>-PI()/4</f>
        <v>-0.78539816339744828</v>
      </c>
      <c r="H87">
        <f t="shared" si="35"/>
        <v>14.414213999999999</v>
      </c>
      <c r="I87">
        <f t="shared" si="36"/>
        <v>4.9705630000000003</v>
      </c>
      <c r="J87" s="21">
        <f t="shared" si="37"/>
        <v>20.778175000000001</v>
      </c>
      <c r="K87">
        <f t="shared" si="38"/>
        <v>2.8492419999999998</v>
      </c>
    </row>
  </sheetData>
  <mergeCells count="17">
    <mergeCell ref="J77:K77"/>
    <mergeCell ref="E77:F77"/>
    <mergeCell ref="H13:N13"/>
    <mergeCell ref="A13:G13"/>
    <mergeCell ref="O37:P37"/>
    <mergeCell ref="A64:B64"/>
    <mergeCell ref="C64:D64"/>
    <mergeCell ref="F64:G64"/>
    <mergeCell ref="H64:I64"/>
    <mergeCell ref="A77:B77"/>
    <mergeCell ref="C77:D77"/>
    <mergeCell ref="H77:I77"/>
    <mergeCell ref="Q37:R37"/>
    <mergeCell ref="A51:B51"/>
    <mergeCell ref="C51:D51"/>
    <mergeCell ref="F51:G51"/>
    <mergeCell ref="H51:I5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85C4-CC88-430A-A443-610E34209E7B}">
  <sheetPr codeName="Sheet3"/>
  <dimension ref="A2:BE205"/>
  <sheetViews>
    <sheetView topLeftCell="A162" zoomScale="85" zoomScaleNormal="85" workbookViewId="0">
      <selection activeCell="I203" sqref="I203"/>
    </sheetView>
  </sheetViews>
  <sheetFormatPr defaultRowHeight="14.4" x14ac:dyDescent="0.3"/>
  <cols>
    <col min="1" max="1" width="17.6640625" bestFit="1" customWidth="1"/>
    <col min="2" max="2" width="7.88671875" customWidth="1"/>
    <col min="3" max="3" width="11.109375" customWidth="1"/>
    <col min="4" max="4" width="9.109375" customWidth="1"/>
    <col min="5" max="5" width="9.33203125" customWidth="1"/>
    <col min="6" max="6" width="12.5546875" customWidth="1"/>
    <col min="7" max="7" width="12.109375" customWidth="1"/>
    <col min="8" max="8" width="12" bestFit="1" customWidth="1"/>
    <col min="9" max="10" width="12.109375" bestFit="1" customWidth="1"/>
    <col min="11" max="11" width="9.6640625" bestFit="1" customWidth="1"/>
    <col min="24" max="24" width="16.5546875" bestFit="1" customWidth="1"/>
    <col min="25" max="25" width="10.33203125" bestFit="1" customWidth="1"/>
    <col min="26" max="26" width="19.33203125" bestFit="1" customWidth="1"/>
    <col min="27" max="32" width="12.44140625" hidden="1" customWidth="1"/>
    <col min="33" max="34" width="12.44140625" customWidth="1"/>
    <col min="35" max="36" width="13.21875" bestFit="1" customWidth="1"/>
    <col min="37" max="37" width="14.21875" bestFit="1" customWidth="1"/>
    <col min="42" max="42" width="12.5546875" bestFit="1" customWidth="1"/>
    <col min="44" max="44" width="12.5546875" bestFit="1" customWidth="1"/>
    <col min="46" max="46" width="12.44140625" bestFit="1" customWidth="1"/>
    <col min="54" max="54" width="17.6640625" bestFit="1" customWidth="1"/>
  </cols>
  <sheetData>
    <row r="2" spans="1:28" x14ac:dyDescent="0.3">
      <c r="E2" s="120" t="s">
        <v>45</v>
      </c>
      <c r="F2" s="120"/>
      <c r="G2" s="120" t="s">
        <v>46</v>
      </c>
      <c r="H2" s="120"/>
      <c r="I2" t="s">
        <v>58</v>
      </c>
      <c r="L2" t="s">
        <v>59</v>
      </c>
      <c r="Q2" s="120" t="s">
        <v>63</v>
      </c>
      <c r="R2" s="120"/>
      <c r="S2" t="s">
        <v>59</v>
      </c>
      <c r="V2" t="s">
        <v>66</v>
      </c>
      <c r="AA2" t="s">
        <v>63</v>
      </c>
    </row>
    <row r="3" spans="1:28" x14ac:dyDescent="0.3">
      <c r="A3" t="s">
        <v>54</v>
      </c>
      <c r="B3" t="s">
        <v>2</v>
      </c>
      <c r="C3" t="s">
        <v>3</v>
      </c>
      <c r="D3" t="s">
        <v>53</v>
      </c>
      <c r="E3" t="s">
        <v>2</v>
      </c>
      <c r="F3" t="s">
        <v>3</v>
      </c>
      <c r="G3" t="s">
        <v>2</v>
      </c>
      <c r="H3" t="s">
        <v>3</v>
      </c>
      <c r="I3" t="s">
        <v>55</v>
      </c>
      <c r="J3" t="s">
        <v>56</v>
      </c>
      <c r="K3" t="s">
        <v>57</v>
      </c>
      <c r="L3" t="s">
        <v>2</v>
      </c>
      <c r="M3" t="s">
        <v>3</v>
      </c>
      <c r="Q3" t="s">
        <v>64</v>
      </c>
      <c r="R3" t="s">
        <v>65</v>
      </c>
      <c r="S3" t="s">
        <v>2</v>
      </c>
      <c r="T3" t="s">
        <v>3</v>
      </c>
      <c r="X3" t="s">
        <v>61</v>
      </c>
      <c r="Y3" t="s">
        <v>60</v>
      </c>
      <c r="Z3" t="s">
        <v>62</v>
      </c>
      <c r="AA3" t="s">
        <v>64</v>
      </c>
      <c r="AB3" t="s">
        <v>65</v>
      </c>
    </row>
    <row r="4" spans="1:28" x14ac:dyDescent="0.3">
      <c r="A4">
        <v>0</v>
      </c>
      <c r="B4">
        <v>1</v>
      </c>
      <c r="C4">
        <v>2.1</v>
      </c>
      <c r="D4">
        <v>0</v>
      </c>
      <c r="E4">
        <f t="shared" ref="E4:F9" si="0">B4</f>
        <v>1</v>
      </c>
      <c r="F4">
        <f t="shared" si="0"/>
        <v>2.1</v>
      </c>
      <c r="G4">
        <f t="shared" ref="G4:H8" si="1">B5</f>
        <v>0</v>
      </c>
      <c r="H4">
        <f t="shared" si="1"/>
        <v>3.1</v>
      </c>
      <c r="I4">
        <f t="shared" ref="I4:J9" si="2">(G4-E4)</f>
        <v>-1</v>
      </c>
      <c r="J4">
        <f t="shared" si="2"/>
        <v>1</v>
      </c>
      <c r="K4">
        <f t="shared" ref="K4:K9" si="3">SQRT(I4^2+J4^2)</f>
        <v>1.4142135623730951</v>
      </c>
      <c r="L4">
        <f t="shared" ref="L4:L9" si="4">-J4/K4</f>
        <v>-0.70710678118654746</v>
      </c>
      <c r="M4">
        <f t="shared" ref="M4:M9" si="5">I4/K4</f>
        <v>-0.70710678118654746</v>
      </c>
      <c r="Q4">
        <f t="shared" ref="Q4:Q9" si="6">ATAN(M4/L4)</f>
        <v>0.78539816339744828</v>
      </c>
      <c r="R4">
        <f t="shared" ref="R4:R9" si="7">DEGREES(Q4)</f>
        <v>45</v>
      </c>
      <c r="S4">
        <f>L4*COS(-Q9)-M4*SIN(-Q9)</f>
        <v>0</v>
      </c>
      <c r="T4">
        <f>L4*SIN(-Q9)+M4*COS(-Q9)</f>
        <v>-0.99999999999999989</v>
      </c>
      <c r="U4" t="str">
        <f t="shared" ref="U4:U9" si="8">IF(T4&lt;0,"CW","CCW")</f>
        <v>CW</v>
      </c>
      <c r="V4" t="s">
        <v>67</v>
      </c>
      <c r="X4">
        <f>K4*K5</f>
        <v>3.1112698372208096</v>
      </c>
      <c r="Y4">
        <f>L4*L5+M4*M5</f>
        <v>-0.70710678118654746</v>
      </c>
      <c r="Z4">
        <f t="shared" ref="Z4:Z9" si="9">Y4/X4</f>
        <v>-0.22727272727272721</v>
      </c>
      <c r="AA4">
        <f t="shared" ref="AA4:AA9" si="10">ACOS(Z4)</f>
        <v>1.8000725300088765</v>
      </c>
      <c r="AB4">
        <f t="shared" ref="AB4:AB9" si="11">DEGREES(AA4)</f>
        <v>103.13655878694485</v>
      </c>
    </row>
    <row r="5" spans="1:28" x14ac:dyDescent="0.3">
      <c r="A5">
        <v>1</v>
      </c>
      <c r="B5">
        <v>0</v>
      </c>
      <c r="C5">
        <v>3.1</v>
      </c>
      <c r="D5">
        <v>1</v>
      </c>
      <c r="E5">
        <f t="shared" si="0"/>
        <v>0</v>
      </c>
      <c r="F5">
        <f t="shared" si="0"/>
        <v>3.1</v>
      </c>
      <c r="G5">
        <f t="shared" si="1"/>
        <v>0</v>
      </c>
      <c r="H5">
        <f t="shared" si="1"/>
        <v>0.9</v>
      </c>
      <c r="I5">
        <f t="shared" si="2"/>
        <v>0</v>
      </c>
      <c r="J5">
        <f t="shared" si="2"/>
        <v>-2.2000000000000002</v>
      </c>
      <c r="K5">
        <f t="shared" si="3"/>
        <v>2.2000000000000002</v>
      </c>
      <c r="L5">
        <f t="shared" si="4"/>
        <v>1</v>
      </c>
      <c r="M5">
        <f t="shared" si="5"/>
        <v>0</v>
      </c>
      <c r="Q5">
        <f t="shared" si="6"/>
        <v>0</v>
      </c>
      <c r="R5">
        <f t="shared" si="7"/>
        <v>0</v>
      </c>
      <c r="S5">
        <f>L5*COS(-Q4)-M5*SIN(-Q4)</f>
        <v>0.70710678118654757</v>
      </c>
      <c r="T5">
        <f>L5*SIN(-Q4)+M5*COS(-Q4)</f>
        <v>-0.70710678118654746</v>
      </c>
      <c r="U5" t="str">
        <f t="shared" si="8"/>
        <v>CW</v>
      </c>
      <c r="V5" t="s">
        <v>67</v>
      </c>
      <c r="X5">
        <f>K5*K6</f>
        <v>3.1112698372208092</v>
      </c>
      <c r="Y5">
        <f>L5*L6+M5*M6</f>
        <v>-0.70710678118654746</v>
      </c>
      <c r="Z5">
        <f t="shared" si="9"/>
        <v>-0.22727272727272724</v>
      </c>
      <c r="AA5">
        <f t="shared" si="10"/>
        <v>1.8000725300088765</v>
      </c>
      <c r="AB5">
        <f t="shared" si="11"/>
        <v>103.13655878694485</v>
      </c>
    </row>
    <row r="6" spans="1:28" x14ac:dyDescent="0.3">
      <c r="A6">
        <v>2</v>
      </c>
      <c r="B6">
        <v>0</v>
      </c>
      <c r="C6">
        <v>0.9</v>
      </c>
      <c r="D6">
        <v>2</v>
      </c>
      <c r="E6">
        <f t="shared" si="0"/>
        <v>0</v>
      </c>
      <c r="F6">
        <f t="shared" si="0"/>
        <v>0.9</v>
      </c>
      <c r="G6">
        <f t="shared" si="1"/>
        <v>1</v>
      </c>
      <c r="H6">
        <f t="shared" si="1"/>
        <v>1.9</v>
      </c>
      <c r="I6">
        <f t="shared" si="2"/>
        <v>1</v>
      </c>
      <c r="J6">
        <f t="shared" si="2"/>
        <v>0.99999999999999989</v>
      </c>
      <c r="K6">
        <f t="shared" si="3"/>
        <v>1.4142135623730949</v>
      </c>
      <c r="L6">
        <f t="shared" si="4"/>
        <v>-0.70710678118654746</v>
      </c>
      <c r="M6">
        <f t="shared" si="5"/>
        <v>0.70710678118654757</v>
      </c>
      <c r="Q6">
        <f t="shared" si="6"/>
        <v>-0.78539816339744839</v>
      </c>
      <c r="R6">
        <f t="shared" si="7"/>
        <v>-45.000000000000007</v>
      </c>
      <c r="S6">
        <f>L6*COS(-Q5)-M6*SIN(-Q5)</f>
        <v>-0.70710678118654746</v>
      </c>
      <c r="T6">
        <f>L6*SIN(-Q5)+M6*COS(-Q5)</f>
        <v>0.70710678118654757</v>
      </c>
      <c r="U6" t="str">
        <f t="shared" si="8"/>
        <v>CCW</v>
      </c>
      <c r="V6" t="s">
        <v>67</v>
      </c>
      <c r="X6">
        <f>K6*K7</f>
        <v>1.9999999999999996</v>
      </c>
      <c r="Y6">
        <f>L6*L7+M6*M7</f>
        <v>0</v>
      </c>
      <c r="Z6">
        <f t="shared" si="9"/>
        <v>0</v>
      </c>
      <c r="AA6">
        <f t="shared" si="10"/>
        <v>1.5707963267948966</v>
      </c>
      <c r="AB6">
        <f t="shared" si="11"/>
        <v>90</v>
      </c>
    </row>
    <row r="7" spans="1:28" x14ac:dyDescent="0.3">
      <c r="A7">
        <v>3</v>
      </c>
      <c r="B7">
        <v>1</v>
      </c>
      <c r="C7">
        <v>1.9</v>
      </c>
      <c r="D7">
        <v>3</v>
      </c>
      <c r="E7">
        <f t="shared" si="0"/>
        <v>1</v>
      </c>
      <c r="F7">
        <f t="shared" si="0"/>
        <v>1.9</v>
      </c>
      <c r="G7">
        <f t="shared" si="1"/>
        <v>2</v>
      </c>
      <c r="H7">
        <f t="shared" si="1"/>
        <v>0.9</v>
      </c>
      <c r="I7">
        <f t="shared" si="2"/>
        <v>1</v>
      </c>
      <c r="J7">
        <f t="shared" si="2"/>
        <v>-0.99999999999999989</v>
      </c>
      <c r="K7">
        <f t="shared" si="3"/>
        <v>1.4142135623730949</v>
      </c>
      <c r="L7">
        <f t="shared" si="4"/>
        <v>0.70710678118654746</v>
      </c>
      <c r="M7">
        <f t="shared" si="5"/>
        <v>0.70710678118654757</v>
      </c>
      <c r="Q7">
        <f t="shared" si="6"/>
        <v>0.78539816339744839</v>
      </c>
      <c r="R7">
        <f t="shared" si="7"/>
        <v>45.000000000000007</v>
      </c>
      <c r="S7">
        <f>L7*COS(-Q6)-M7*SIN(-Q6)</f>
        <v>0</v>
      </c>
      <c r="T7">
        <f>L7*SIN(-Q6)+M7*COS(-Q6)</f>
        <v>1</v>
      </c>
      <c r="U7" t="str">
        <f t="shared" si="8"/>
        <v>CCW</v>
      </c>
      <c r="V7" t="s">
        <v>67</v>
      </c>
      <c r="X7">
        <f>K7*K8</f>
        <v>3.1112698372208092</v>
      </c>
      <c r="Y7">
        <f>L7*L8+M7*M8</f>
        <v>-0.70710678118654746</v>
      </c>
      <c r="Z7">
        <f t="shared" si="9"/>
        <v>-0.22727272727272724</v>
      </c>
      <c r="AA7">
        <f t="shared" si="10"/>
        <v>1.8000725300088765</v>
      </c>
      <c r="AB7">
        <f t="shared" si="11"/>
        <v>103.13655878694485</v>
      </c>
    </row>
    <row r="8" spans="1:28" x14ac:dyDescent="0.3">
      <c r="A8">
        <v>4</v>
      </c>
      <c r="B8">
        <v>2</v>
      </c>
      <c r="C8">
        <v>0.9</v>
      </c>
      <c r="D8">
        <v>4</v>
      </c>
      <c r="E8">
        <f t="shared" si="0"/>
        <v>2</v>
      </c>
      <c r="F8">
        <f t="shared" si="0"/>
        <v>0.9</v>
      </c>
      <c r="G8">
        <f t="shared" si="1"/>
        <v>2</v>
      </c>
      <c r="H8">
        <f t="shared" si="1"/>
        <v>3.1</v>
      </c>
      <c r="I8">
        <f t="shared" si="2"/>
        <v>0</v>
      </c>
      <c r="J8">
        <f t="shared" si="2"/>
        <v>2.2000000000000002</v>
      </c>
      <c r="K8">
        <f t="shared" si="3"/>
        <v>2.2000000000000002</v>
      </c>
      <c r="L8">
        <f t="shared" si="4"/>
        <v>-1</v>
      </c>
      <c r="M8">
        <f t="shared" si="5"/>
        <v>0</v>
      </c>
      <c r="Q8">
        <f t="shared" si="6"/>
        <v>0</v>
      </c>
      <c r="R8">
        <f t="shared" si="7"/>
        <v>0</v>
      </c>
      <c r="S8">
        <f>L8*COS(-Q7)-M8*SIN(-Q7)</f>
        <v>-0.70710678118654746</v>
      </c>
      <c r="T8">
        <f>L8*SIN(-Q7)+M8*COS(-Q7)</f>
        <v>0.70710678118654757</v>
      </c>
      <c r="U8" t="str">
        <f t="shared" si="8"/>
        <v>CCW</v>
      </c>
      <c r="V8" t="s">
        <v>67</v>
      </c>
      <c r="X8">
        <f>K8*K9</f>
        <v>3.1112698372208096</v>
      </c>
      <c r="Y8">
        <f>L8*L9+M8*M9</f>
        <v>-0.70710678118654746</v>
      </c>
      <c r="Z8">
        <f t="shared" si="9"/>
        <v>-0.22727272727272721</v>
      </c>
      <c r="AA8">
        <f t="shared" si="10"/>
        <v>1.8000725300088765</v>
      </c>
      <c r="AB8">
        <f t="shared" si="11"/>
        <v>103.13655878694485</v>
      </c>
    </row>
    <row r="9" spans="1:28" x14ac:dyDescent="0.3">
      <c r="A9">
        <v>5</v>
      </c>
      <c r="B9">
        <v>2</v>
      </c>
      <c r="C9">
        <v>3.1</v>
      </c>
      <c r="D9">
        <v>5</v>
      </c>
      <c r="E9">
        <f t="shared" si="0"/>
        <v>2</v>
      </c>
      <c r="F9">
        <f t="shared" si="0"/>
        <v>3.1</v>
      </c>
      <c r="G9">
        <f>B4</f>
        <v>1</v>
      </c>
      <c r="H9">
        <f>C4</f>
        <v>2.1</v>
      </c>
      <c r="I9">
        <f t="shared" si="2"/>
        <v>-1</v>
      </c>
      <c r="J9">
        <f t="shared" si="2"/>
        <v>-1</v>
      </c>
      <c r="K9">
        <f t="shared" si="3"/>
        <v>1.4142135623730951</v>
      </c>
      <c r="L9">
        <f t="shared" si="4"/>
        <v>0.70710678118654746</v>
      </c>
      <c r="M9">
        <f t="shared" si="5"/>
        <v>-0.70710678118654746</v>
      </c>
      <c r="Q9">
        <f t="shared" si="6"/>
        <v>-0.78539816339744828</v>
      </c>
      <c r="R9">
        <f t="shared" si="7"/>
        <v>-45</v>
      </c>
      <c r="S9">
        <f>L9*COS(-Q8)-M9*SIN(-Q8)</f>
        <v>0.70710678118654746</v>
      </c>
      <c r="T9">
        <f>L9*SIN(-Q8)+M9*COS(-Q8)</f>
        <v>-0.70710678118654746</v>
      </c>
      <c r="U9" t="str">
        <f t="shared" si="8"/>
        <v>CW</v>
      </c>
      <c r="V9" t="s">
        <v>67</v>
      </c>
      <c r="X9">
        <f>K9*K4</f>
        <v>2.0000000000000004</v>
      </c>
      <c r="Y9">
        <f>L9*L4+M9*M4</f>
        <v>0</v>
      </c>
      <c r="Z9">
        <f t="shared" si="9"/>
        <v>0</v>
      </c>
      <c r="AA9">
        <f t="shared" si="10"/>
        <v>1.5707963267948966</v>
      </c>
      <c r="AB9">
        <f t="shared" si="11"/>
        <v>90</v>
      </c>
    </row>
    <row r="11" spans="1:28" x14ac:dyDescent="0.3">
      <c r="A11">
        <v>0</v>
      </c>
      <c r="B11">
        <v>2</v>
      </c>
      <c r="C11">
        <v>3.1</v>
      </c>
      <c r="D11">
        <v>0</v>
      </c>
      <c r="E11">
        <f t="shared" ref="E11:F16" si="12">B11</f>
        <v>2</v>
      </c>
      <c r="F11">
        <f t="shared" si="12"/>
        <v>3.1</v>
      </c>
      <c r="G11">
        <f t="shared" ref="G11:H15" si="13">B12</f>
        <v>2</v>
      </c>
      <c r="H11">
        <f t="shared" si="13"/>
        <v>0.9</v>
      </c>
      <c r="I11">
        <f t="shared" ref="I11:J16" si="14">(G11-E11)</f>
        <v>0</v>
      </c>
      <c r="J11">
        <f t="shared" si="14"/>
        <v>-2.2000000000000002</v>
      </c>
      <c r="K11">
        <f t="shared" ref="K11:K16" si="15">SQRT(I11^2+J11^2)</f>
        <v>2.2000000000000002</v>
      </c>
      <c r="L11">
        <f t="shared" ref="L11:L16" si="16">-J11/K11</f>
        <v>1</v>
      </c>
      <c r="M11">
        <f t="shared" ref="M11:M16" si="17">I11/K11</f>
        <v>0</v>
      </c>
      <c r="Q11">
        <f t="shared" ref="Q11:Q16" si="18">ATAN(M11/L11)</f>
        <v>0</v>
      </c>
      <c r="R11">
        <f t="shared" ref="R11:R16" si="19">DEGREES(Q11)</f>
        <v>0</v>
      </c>
      <c r="S11">
        <f>L11*COS(-Q16)-M11*SIN(-Q16)</f>
        <v>0.70710678118654757</v>
      </c>
      <c r="T11">
        <f>L11*SIN(-Q16)+M11*COS(-Q16)</f>
        <v>0.70710678118654746</v>
      </c>
      <c r="U11" t="str">
        <f t="shared" ref="U11:U16" si="20">IF(T11&lt;0,"CW","CCW")</f>
        <v>CCW</v>
      </c>
      <c r="V11" t="s">
        <v>68</v>
      </c>
      <c r="X11">
        <f>K11*K12</f>
        <v>3.1112698372208092</v>
      </c>
      <c r="Y11">
        <f>L11*L12+M11*M12</f>
        <v>-0.70710678118654746</v>
      </c>
      <c r="Z11">
        <f t="shared" ref="Z11:Z16" si="21">Y11/X11</f>
        <v>-0.22727272727272724</v>
      </c>
      <c r="AA11">
        <f t="shared" ref="AA11:AA16" si="22">ACOS(Z11)</f>
        <v>1.8000725300088765</v>
      </c>
      <c r="AB11">
        <f t="shared" ref="AB11:AB16" si="23">DEGREES(AA11)</f>
        <v>103.13655878694485</v>
      </c>
    </row>
    <row r="12" spans="1:28" x14ac:dyDescent="0.3">
      <c r="A12">
        <v>1</v>
      </c>
      <c r="B12">
        <v>2</v>
      </c>
      <c r="C12">
        <v>0.9</v>
      </c>
      <c r="D12">
        <v>1</v>
      </c>
      <c r="E12">
        <f t="shared" si="12"/>
        <v>2</v>
      </c>
      <c r="F12">
        <f t="shared" si="12"/>
        <v>0.9</v>
      </c>
      <c r="G12">
        <f t="shared" si="13"/>
        <v>1</v>
      </c>
      <c r="H12">
        <f t="shared" si="13"/>
        <v>1.9</v>
      </c>
      <c r="I12">
        <f t="shared" si="14"/>
        <v>-1</v>
      </c>
      <c r="J12">
        <f t="shared" si="14"/>
        <v>0.99999999999999989</v>
      </c>
      <c r="K12">
        <f t="shared" si="15"/>
        <v>1.4142135623730949</v>
      </c>
      <c r="L12">
        <f t="shared" si="16"/>
        <v>-0.70710678118654746</v>
      </c>
      <c r="M12">
        <f t="shared" si="17"/>
        <v>-0.70710678118654757</v>
      </c>
      <c r="Q12">
        <f t="shared" si="18"/>
        <v>0.78539816339744839</v>
      </c>
      <c r="R12">
        <f t="shared" si="19"/>
        <v>45.000000000000007</v>
      </c>
      <c r="S12">
        <f>L12*COS(-Q11)-M12*SIN(-Q11)</f>
        <v>-0.70710678118654746</v>
      </c>
      <c r="T12">
        <f>L12*SIN(-Q11)+M12*COS(-Q11)</f>
        <v>-0.70710678118654757</v>
      </c>
      <c r="U12" t="str">
        <f t="shared" si="20"/>
        <v>CW</v>
      </c>
      <c r="V12" t="s">
        <v>68</v>
      </c>
      <c r="X12">
        <f>K12*K13</f>
        <v>1.9999999999999996</v>
      </c>
      <c r="Y12">
        <f>L12*L13+M12*M13</f>
        <v>0</v>
      </c>
      <c r="Z12">
        <f t="shared" si="21"/>
        <v>0</v>
      </c>
      <c r="AA12">
        <f t="shared" si="22"/>
        <v>1.5707963267948966</v>
      </c>
      <c r="AB12">
        <f t="shared" si="23"/>
        <v>90</v>
      </c>
    </row>
    <row r="13" spans="1:28" x14ac:dyDescent="0.3">
      <c r="A13">
        <v>2</v>
      </c>
      <c r="B13">
        <v>1</v>
      </c>
      <c r="C13">
        <v>1.9</v>
      </c>
      <c r="D13">
        <v>2</v>
      </c>
      <c r="E13">
        <f t="shared" si="12"/>
        <v>1</v>
      </c>
      <c r="F13">
        <f t="shared" si="12"/>
        <v>1.9</v>
      </c>
      <c r="G13">
        <f t="shared" si="13"/>
        <v>0</v>
      </c>
      <c r="H13">
        <f t="shared" si="13"/>
        <v>0.9</v>
      </c>
      <c r="I13">
        <f t="shared" si="14"/>
        <v>-1</v>
      </c>
      <c r="J13">
        <f t="shared" si="14"/>
        <v>-0.99999999999999989</v>
      </c>
      <c r="K13">
        <f t="shared" si="15"/>
        <v>1.4142135623730949</v>
      </c>
      <c r="L13">
        <f t="shared" si="16"/>
        <v>0.70710678118654746</v>
      </c>
      <c r="M13">
        <f t="shared" si="17"/>
        <v>-0.70710678118654757</v>
      </c>
      <c r="Q13">
        <f t="shared" si="18"/>
        <v>-0.78539816339744839</v>
      </c>
      <c r="R13">
        <f t="shared" si="19"/>
        <v>-45.000000000000007</v>
      </c>
      <c r="S13">
        <f>L13*COS(-Q12)-M13*SIN(-Q12)</f>
        <v>0</v>
      </c>
      <c r="T13">
        <f>L13*SIN(-Q12)+M13*COS(-Q12)</f>
        <v>-1</v>
      </c>
      <c r="U13" t="str">
        <f t="shared" si="20"/>
        <v>CW</v>
      </c>
      <c r="V13" t="s">
        <v>68</v>
      </c>
      <c r="X13">
        <f>K13*K14</f>
        <v>3.1112698372208092</v>
      </c>
      <c r="Y13">
        <f>L13*L14+M13*M14</f>
        <v>-0.70710678118654746</v>
      </c>
      <c r="Z13">
        <f t="shared" si="21"/>
        <v>-0.22727272727272724</v>
      </c>
      <c r="AA13">
        <f t="shared" si="22"/>
        <v>1.8000725300088765</v>
      </c>
      <c r="AB13">
        <f t="shared" si="23"/>
        <v>103.13655878694485</v>
      </c>
    </row>
    <row r="14" spans="1:28" x14ac:dyDescent="0.3">
      <c r="A14">
        <v>3</v>
      </c>
      <c r="B14">
        <v>0</v>
      </c>
      <c r="C14">
        <v>0.9</v>
      </c>
      <c r="D14">
        <v>3</v>
      </c>
      <c r="E14">
        <f t="shared" si="12"/>
        <v>0</v>
      </c>
      <c r="F14">
        <f t="shared" si="12"/>
        <v>0.9</v>
      </c>
      <c r="G14">
        <f t="shared" si="13"/>
        <v>0</v>
      </c>
      <c r="H14">
        <f t="shared" si="13"/>
        <v>3.1</v>
      </c>
      <c r="I14">
        <f t="shared" si="14"/>
        <v>0</v>
      </c>
      <c r="J14">
        <f t="shared" si="14"/>
        <v>2.2000000000000002</v>
      </c>
      <c r="K14">
        <f t="shared" si="15"/>
        <v>2.2000000000000002</v>
      </c>
      <c r="L14">
        <f t="shared" si="16"/>
        <v>-1</v>
      </c>
      <c r="M14">
        <f t="shared" si="17"/>
        <v>0</v>
      </c>
      <c r="Q14">
        <f t="shared" si="18"/>
        <v>0</v>
      </c>
      <c r="R14">
        <f t="shared" si="19"/>
        <v>0</v>
      </c>
      <c r="S14">
        <f>L14*COS(-Q13)-M14*SIN(-Q13)</f>
        <v>-0.70710678118654746</v>
      </c>
      <c r="T14">
        <f>L14*SIN(-Q13)+M14*COS(-Q13)</f>
        <v>-0.70710678118654757</v>
      </c>
      <c r="U14" t="str">
        <f t="shared" si="20"/>
        <v>CW</v>
      </c>
      <c r="V14" t="s">
        <v>68</v>
      </c>
      <c r="X14">
        <f>K14*K15</f>
        <v>3.1112698372208096</v>
      </c>
      <c r="Y14">
        <f>L14*L15+M14*M15</f>
        <v>-0.70710678118654746</v>
      </c>
      <c r="Z14">
        <f t="shared" si="21"/>
        <v>-0.22727272727272721</v>
      </c>
      <c r="AA14">
        <f t="shared" si="22"/>
        <v>1.8000725300088765</v>
      </c>
      <c r="AB14">
        <f t="shared" si="23"/>
        <v>103.13655878694485</v>
      </c>
    </row>
    <row r="15" spans="1:28" x14ac:dyDescent="0.3">
      <c r="A15">
        <v>4</v>
      </c>
      <c r="B15">
        <v>0</v>
      </c>
      <c r="C15">
        <v>3.1</v>
      </c>
      <c r="D15">
        <v>4</v>
      </c>
      <c r="E15">
        <f t="shared" si="12"/>
        <v>0</v>
      </c>
      <c r="F15">
        <f t="shared" si="12"/>
        <v>3.1</v>
      </c>
      <c r="G15">
        <f t="shared" si="13"/>
        <v>1</v>
      </c>
      <c r="H15">
        <f t="shared" si="13"/>
        <v>2.1</v>
      </c>
      <c r="I15">
        <f t="shared" si="14"/>
        <v>1</v>
      </c>
      <c r="J15">
        <f t="shared" si="14"/>
        <v>-1</v>
      </c>
      <c r="K15">
        <f t="shared" si="15"/>
        <v>1.4142135623730951</v>
      </c>
      <c r="L15">
        <f t="shared" si="16"/>
        <v>0.70710678118654746</v>
      </c>
      <c r="M15">
        <f t="shared" si="17"/>
        <v>0.70710678118654746</v>
      </c>
      <c r="Q15">
        <f t="shared" si="18"/>
        <v>0.78539816339744828</v>
      </c>
      <c r="R15">
        <f t="shared" si="19"/>
        <v>45</v>
      </c>
      <c r="S15">
        <f>L15*COS(-Q14)-M15*SIN(-Q14)</f>
        <v>0.70710678118654746</v>
      </c>
      <c r="T15">
        <f>L15*SIN(-Q14)+M15*COS(-Q14)</f>
        <v>0.70710678118654746</v>
      </c>
      <c r="U15" t="str">
        <f t="shared" si="20"/>
        <v>CCW</v>
      </c>
      <c r="V15" t="s">
        <v>68</v>
      </c>
      <c r="X15">
        <f>K15*K16</f>
        <v>2.0000000000000004</v>
      </c>
      <c r="Y15">
        <f>L15*L16+M15*M16</f>
        <v>0</v>
      </c>
      <c r="Z15">
        <f t="shared" si="21"/>
        <v>0</v>
      </c>
      <c r="AA15">
        <f t="shared" si="22"/>
        <v>1.5707963267948966</v>
      </c>
      <c r="AB15">
        <f t="shared" si="23"/>
        <v>90</v>
      </c>
    </row>
    <row r="16" spans="1:28" x14ac:dyDescent="0.3">
      <c r="A16">
        <v>5</v>
      </c>
      <c r="B16">
        <v>1</v>
      </c>
      <c r="C16">
        <v>2.1</v>
      </c>
      <c r="D16">
        <v>5</v>
      </c>
      <c r="E16">
        <f t="shared" si="12"/>
        <v>1</v>
      </c>
      <c r="F16">
        <f t="shared" si="12"/>
        <v>2.1</v>
      </c>
      <c r="G16">
        <f>B11</f>
        <v>2</v>
      </c>
      <c r="H16">
        <f>C11</f>
        <v>3.1</v>
      </c>
      <c r="I16">
        <f t="shared" si="14"/>
        <v>1</v>
      </c>
      <c r="J16">
        <f t="shared" si="14"/>
        <v>1</v>
      </c>
      <c r="K16">
        <f t="shared" si="15"/>
        <v>1.4142135623730951</v>
      </c>
      <c r="L16">
        <f t="shared" si="16"/>
        <v>-0.70710678118654746</v>
      </c>
      <c r="M16">
        <f t="shared" si="17"/>
        <v>0.70710678118654746</v>
      </c>
      <c r="Q16">
        <f t="shared" si="18"/>
        <v>-0.78539816339744828</v>
      </c>
      <c r="R16">
        <f t="shared" si="19"/>
        <v>-45</v>
      </c>
      <c r="S16">
        <f>L16*COS(-Q15)-M16*SIN(-Q15)</f>
        <v>0</v>
      </c>
      <c r="T16">
        <f>L16*SIN(-Q15)+M16*COS(-Q15)</f>
        <v>0.99999999999999989</v>
      </c>
      <c r="U16" t="str">
        <f t="shared" si="20"/>
        <v>CCW</v>
      </c>
      <c r="V16" t="s">
        <v>68</v>
      </c>
      <c r="X16">
        <f>K16*K11</f>
        <v>3.1112698372208096</v>
      </c>
      <c r="Y16">
        <f>L16*L11+M16*M11</f>
        <v>-0.70710678118654746</v>
      </c>
      <c r="Z16">
        <f t="shared" si="21"/>
        <v>-0.22727272727272721</v>
      </c>
      <c r="AA16">
        <f t="shared" si="22"/>
        <v>1.8000725300088765</v>
      </c>
      <c r="AB16">
        <f t="shared" si="23"/>
        <v>103.13655878694485</v>
      </c>
    </row>
    <row r="18" spans="1:7" s="2" customFormat="1" x14ac:dyDescent="0.3">
      <c r="A18" s="2" t="s">
        <v>69</v>
      </c>
    </row>
    <row r="19" spans="1:7" x14ac:dyDescent="0.3">
      <c r="A19" t="s">
        <v>70</v>
      </c>
      <c r="B19" s="5">
        <v>10</v>
      </c>
    </row>
    <row r="20" spans="1:7" x14ac:dyDescent="0.3">
      <c r="A20" t="s">
        <v>71</v>
      </c>
      <c r="B20" s="5">
        <v>5</v>
      </c>
    </row>
    <row r="21" spans="1:7" x14ac:dyDescent="0.3">
      <c r="A21" t="s">
        <v>72</v>
      </c>
      <c r="B21" s="5">
        <v>3</v>
      </c>
    </row>
    <row r="22" spans="1:7" x14ac:dyDescent="0.3">
      <c r="A22" t="s">
        <v>74</v>
      </c>
      <c r="B22">
        <f>B19</f>
        <v>10</v>
      </c>
      <c r="D22" t="s">
        <v>77</v>
      </c>
      <c r="E22" t="s">
        <v>78</v>
      </c>
      <c r="F22" t="s">
        <v>79</v>
      </c>
    </row>
    <row r="23" spans="1:7" x14ac:dyDescent="0.3">
      <c r="A23" t="s">
        <v>73</v>
      </c>
      <c r="B23">
        <f>B21</f>
        <v>3</v>
      </c>
      <c r="D23">
        <f>SQRT(B23^2+B25^2)</f>
        <v>3.905124837953327</v>
      </c>
      <c r="E23">
        <f>SQRT(B25^2+(B22-B23)^2)</f>
        <v>7.433034373659253</v>
      </c>
      <c r="F23">
        <f>0.5*B22*B24</f>
        <v>25</v>
      </c>
    </row>
    <row r="24" spans="1:7" x14ac:dyDescent="0.3">
      <c r="A24" t="s">
        <v>76</v>
      </c>
      <c r="B24">
        <f>B20</f>
        <v>5</v>
      </c>
    </row>
    <row r="25" spans="1:7" x14ac:dyDescent="0.3">
      <c r="A25" t="s">
        <v>75</v>
      </c>
      <c r="B25">
        <f>B20/2</f>
        <v>2.5</v>
      </c>
    </row>
    <row r="27" spans="1:7" s="2" customFormat="1" x14ac:dyDescent="0.3">
      <c r="A27" s="2" t="s">
        <v>80</v>
      </c>
    </row>
    <row r="28" spans="1:7" x14ac:dyDescent="0.3">
      <c r="A28" t="s">
        <v>70</v>
      </c>
      <c r="B28" s="5">
        <v>10</v>
      </c>
    </row>
    <row r="29" spans="1:7" x14ac:dyDescent="0.3">
      <c r="A29" t="s">
        <v>71</v>
      </c>
      <c r="B29" s="5">
        <v>5</v>
      </c>
    </row>
    <row r="30" spans="1:7" x14ac:dyDescent="0.3">
      <c r="A30" t="s">
        <v>72</v>
      </c>
      <c r="B30" s="22">
        <f>B28/2</f>
        <v>5</v>
      </c>
    </row>
    <row r="31" spans="1:7" x14ac:dyDescent="0.3">
      <c r="A31" t="s">
        <v>74</v>
      </c>
      <c r="B31">
        <f>B28</f>
        <v>10</v>
      </c>
      <c r="D31" t="s">
        <v>77</v>
      </c>
      <c r="E31" t="s">
        <v>78</v>
      </c>
      <c r="F31" t="s">
        <v>79</v>
      </c>
      <c r="G31" t="s">
        <v>81</v>
      </c>
    </row>
    <row r="32" spans="1:7" x14ac:dyDescent="0.3">
      <c r="A32" t="s">
        <v>73</v>
      </c>
      <c r="B32">
        <f>B30</f>
        <v>5</v>
      </c>
      <c r="D32">
        <f>SQRT(B32^2+B34^2)</f>
        <v>5.5901699437494745</v>
      </c>
      <c r="E32">
        <f>SQRT(B34^2+(B31-B32)^2)</f>
        <v>5.5901699437494745</v>
      </c>
      <c r="F32">
        <f>0.5*B31*B33</f>
        <v>25</v>
      </c>
      <c r="G32">
        <f>B31*B33/(2*SQRT(B31^2+B33^2))</f>
        <v>2.2360679774997898</v>
      </c>
    </row>
    <row r="33" spans="1:6" x14ac:dyDescent="0.3">
      <c r="A33" t="s">
        <v>76</v>
      </c>
      <c r="B33">
        <f>B29</f>
        <v>5</v>
      </c>
    </row>
    <row r="34" spans="1:6" x14ac:dyDescent="0.3">
      <c r="A34" t="s">
        <v>75</v>
      </c>
      <c r="B34">
        <f>B29/2</f>
        <v>2.5</v>
      </c>
    </row>
    <row r="36" spans="1:6" s="2" customFormat="1" x14ac:dyDescent="0.3">
      <c r="A36" s="2" t="s">
        <v>82</v>
      </c>
    </row>
    <row r="37" spans="1:6" x14ac:dyDescent="0.3">
      <c r="A37" t="s">
        <v>83</v>
      </c>
      <c r="B37" s="5">
        <v>10</v>
      </c>
    </row>
    <row r="38" spans="1:6" x14ac:dyDescent="0.3">
      <c r="A38" t="s">
        <v>84</v>
      </c>
      <c r="B38" s="5">
        <v>12</v>
      </c>
    </row>
    <row r="39" spans="1:6" x14ac:dyDescent="0.3">
      <c r="A39" t="s">
        <v>71</v>
      </c>
      <c r="B39" s="5">
        <v>5</v>
      </c>
    </row>
    <row r="40" spans="1:6" x14ac:dyDescent="0.3">
      <c r="A40" t="s">
        <v>72</v>
      </c>
      <c r="B40" s="5">
        <v>3</v>
      </c>
    </row>
    <row r="41" spans="1:6" x14ac:dyDescent="0.3">
      <c r="A41" t="s">
        <v>73</v>
      </c>
      <c r="B41">
        <f>B40</f>
        <v>3</v>
      </c>
      <c r="D41" t="s">
        <v>79</v>
      </c>
      <c r="E41" t="s">
        <v>85</v>
      </c>
      <c r="F41" t="s">
        <v>86</v>
      </c>
    </row>
    <row r="42" spans="1:6" x14ac:dyDescent="0.3">
      <c r="A42" t="s">
        <v>75</v>
      </c>
      <c r="B42">
        <f>B39</f>
        <v>5</v>
      </c>
      <c r="D42">
        <f>0.5*B42*(B43+B44)</f>
        <v>55</v>
      </c>
      <c r="E42">
        <f>(2*B43*B41+B43^2+B44*B41+B43*B44+B44^2)/(3*(B43+B44))</f>
        <v>6.9696969696969697</v>
      </c>
      <c r="F42">
        <f>B42*(2*B43+B44)/(3*(B43+B44))</f>
        <v>2.4242424242424243</v>
      </c>
    </row>
    <row r="43" spans="1:6" x14ac:dyDescent="0.3">
      <c r="A43" t="s">
        <v>87</v>
      </c>
      <c r="B43">
        <f>B37</f>
        <v>10</v>
      </c>
    </row>
    <row r="44" spans="1:6" x14ac:dyDescent="0.3">
      <c r="A44" t="s">
        <v>88</v>
      </c>
      <c r="B44">
        <f>B38</f>
        <v>12</v>
      </c>
    </row>
    <row r="46" spans="1:6" s="2" customFormat="1" x14ac:dyDescent="0.3">
      <c r="A46" s="2" t="s">
        <v>89</v>
      </c>
    </row>
    <row r="47" spans="1:6" x14ac:dyDescent="0.3">
      <c r="A47" t="s">
        <v>83</v>
      </c>
      <c r="B47" s="5">
        <v>10</v>
      </c>
    </row>
    <row r="48" spans="1:6" x14ac:dyDescent="0.3">
      <c r="A48" t="s">
        <v>84</v>
      </c>
      <c r="B48" s="5">
        <v>12</v>
      </c>
    </row>
    <row r="49" spans="1:7" x14ac:dyDescent="0.3">
      <c r="A49" t="s">
        <v>71</v>
      </c>
      <c r="B49" s="5">
        <v>5</v>
      </c>
    </row>
    <row r="50" spans="1:7" x14ac:dyDescent="0.3">
      <c r="A50" t="s">
        <v>72</v>
      </c>
      <c r="B50" s="5">
        <v>3</v>
      </c>
    </row>
    <row r="51" spans="1:7" x14ac:dyDescent="0.3">
      <c r="A51" t="s">
        <v>73</v>
      </c>
      <c r="B51">
        <f>B50</f>
        <v>3</v>
      </c>
      <c r="D51" t="s">
        <v>79</v>
      </c>
      <c r="E51" t="s">
        <v>85</v>
      </c>
      <c r="F51" t="s">
        <v>86</v>
      </c>
    </row>
    <row r="52" spans="1:7" x14ac:dyDescent="0.3">
      <c r="A52" t="s">
        <v>75</v>
      </c>
      <c r="B52">
        <f>B49</f>
        <v>5</v>
      </c>
      <c r="D52">
        <f>0.5*B52*(B53+B54)</f>
        <v>50</v>
      </c>
      <c r="E52">
        <f>(2*B53*B51+B53^2+B54*B51+B53*B54+B54^2)/(3*(B53+B54))</f>
        <v>6.5</v>
      </c>
      <c r="F52">
        <f>B52*(2*B53+B54)/(3*(B53+B54))</f>
        <v>2.5</v>
      </c>
    </row>
    <row r="53" spans="1:7" x14ac:dyDescent="0.3">
      <c r="A53" t="s">
        <v>87</v>
      </c>
      <c r="B53">
        <f>B47</f>
        <v>10</v>
      </c>
    </row>
    <row r="54" spans="1:7" x14ac:dyDescent="0.3">
      <c r="A54" t="s">
        <v>88</v>
      </c>
      <c r="B54" s="22">
        <f>B53</f>
        <v>10</v>
      </c>
    </row>
    <row r="55" spans="1:7" x14ac:dyDescent="0.3">
      <c r="A55" t="s">
        <v>77</v>
      </c>
      <c r="B55">
        <f>SQRT(B51^2+B52^2)</f>
        <v>5.8309518948453007</v>
      </c>
    </row>
    <row r="57" spans="1:7" s="2" customFormat="1" x14ac:dyDescent="0.3">
      <c r="A57" s="2" t="s">
        <v>90</v>
      </c>
    </row>
    <row r="58" spans="1:7" x14ac:dyDescent="0.3">
      <c r="A58" t="s">
        <v>83</v>
      </c>
      <c r="B58" s="5">
        <v>10</v>
      </c>
    </row>
    <row r="59" spans="1:7" x14ac:dyDescent="0.3">
      <c r="A59" t="s">
        <v>84</v>
      </c>
      <c r="B59" s="5">
        <v>12</v>
      </c>
    </row>
    <row r="60" spans="1:7" x14ac:dyDescent="0.3">
      <c r="A60" t="s">
        <v>71</v>
      </c>
      <c r="B60" s="5">
        <v>5</v>
      </c>
    </row>
    <row r="61" spans="1:7" x14ac:dyDescent="0.3">
      <c r="A61" t="s">
        <v>72</v>
      </c>
      <c r="B61" s="23">
        <f>0.5*(B59-B58)</f>
        <v>1</v>
      </c>
    </row>
    <row r="62" spans="1:7" x14ac:dyDescent="0.3">
      <c r="A62" t="s">
        <v>73</v>
      </c>
      <c r="B62">
        <f>B61</f>
        <v>1</v>
      </c>
      <c r="D62" t="s">
        <v>79</v>
      </c>
      <c r="E62" t="s">
        <v>85</v>
      </c>
      <c r="F62" t="s">
        <v>86</v>
      </c>
      <c r="G62" t="s">
        <v>91</v>
      </c>
    </row>
    <row r="63" spans="1:7" x14ac:dyDescent="0.3">
      <c r="A63" t="s">
        <v>75</v>
      </c>
      <c r="B63">
        <f>B60</f>
        <v>5</v>
      </c>
      <c r="D63">
        <f>0.5*B63*(B64+B65)</f>
        <v>55</v>
      </c>
      <c r="E63">
        <f>(2*B64*B62+B64^2+B65*B62+B64*B65+B65^2)/(3*(B64+B65))</f>
        <v>6</v>
      </c>
      <c r="F63">
        <f>B63*(2*B64+B65)/(3*(B64+B65))</f>
        <v>2.4242424242424243</v>
      </c>
      <c r="G63">
        <f>B66*SQRT((B64*B65+B66^2)/(2*B63))</f>
        <v>19.483326204732087</v>
      </c>
    </row>
    <row r="64" spans="1:7" x14ac:dyDescent="0.3">
      <c r="A64" t="s">
        <v>87</v>
      </c>
      <c r="B64">
        <f>B58</f>
        <v>10</v>
      </c>
    </row>
    <row r="65" spans="1:7" x14ac:dyDescent="0.3">
      <c r="A65" t="s">
        <v>88</v>
      </c>
      <c r="B65">
        <f>B59</f>
        <v>12</v>
      </c>
    </row>
    <row r="66" spans="1:7" x14ac:dyDescent="0.3">
      <c r="A66" t="s">
        <v>77</v>
      </c>
      <c r="B66">
        <f>SQRT(B62^2+B63^2)</f>
        <v>5.0990195135927845</v>
      </c>
    </row>
    <row r="68" spans="1:7" s="2" customFormat="1" x14ac:dyDescent="0.3">
      <c r="A68" s="2" t="s">
        <v>92</v>
      </c>
    </row>
    <row r="69" spans="1:7" x14ac:dyDescent="0.3">
      <c r="A69" t="s">
        <v>83</v>
      </c>
      <c r="B69" s="5">
        <v>10</v>
      </c>
    </row>
    <row r="70" spans="1:7" x14ac:dyDescent="0.3">
      <c r="A70" t="s">
        <v>84</v>
      </c>
      <c r="B70" s="22">
        <f>B69</f>
        <v>10</v>
      </c>
    </row>
    <row r="71" spans="1:7" x14ac:dyDescent="0.3">
      <c r="A71" t="s">
        <v>71</v>
      </c>
      <c r="B71" s="5">
        <v>5</v>
      </c>
    </row>
    <row r="72" spans="1:7" x14ac:dyDescent="0.3">
      <c r="A72" t="s">
        <v>72</v>
      </c>
      <c r="B72" s="23">
        <f>0.5*(B70-B69)</f>
        <v>0</v>
      </c>
    </row>
    <row r="73" spans="1:7" x14ac:dyDescent="0.3">
      <c r="A73" t="s">
        <v>73</v>
      </c>
      <c r="B73">
        <f>B72</f>
        <v>0</v>
      </c>
      <c r="D73" t="s">
        <v>79</v>
      </c>
      <c r="E73" t="s">
        <v>85</v>
      </c>
      <c r="F73" t="s">
        <v>86</v>
      </c>
      <c r="G73" t="s">
        <v>91</v>
      </c>
    </row>
    <row r="74" spans="1:7" x14ac:dyDescent="0.3">
      <c r="A74" t="s">
        <v>75</v>
      </c>
      <c r="B74">
        <f>B71</f>
        <v>5</v>
      </c>
      <c r="D74">
        <f>0.5*B74*(B75+B76)</f>
        <v>50</v>
      </c>
      <c r="E74">
        <f>(2*B75*B73+B75^2+B76*B73+B75*B76+B76^2)/(3*(B75+B76))</f>
        <v>5</v>
      </c>
      <c r="F74">
        <f>B74*(2*B75+B76)/(3*(B75+B76))</f>
        <v>2.5</v>
      </c>
      <c r="G74">
        <f>0.5*SQRT(B75^2+B74^2)</f>
        <v>5.5901699437494745</v>
      </c>
    </row>
    <row r="75" spans="1:7" x14ac:dyDescent="0.3">
      <c r="A75" t="s">
        <v>87</v>
      </c>
      <c r="B75">
        <f>B69</f>
        <v>10</v>
      </c>
    </row>
    <row r="76" spans="1:7" x14ac:dyDescent="0.3">
      <c r="A76" t="s">
        <v>88</v>
      </c>
      <c r="B76">
        <f>B70</f>
        <v>10</v>
      </c>
    </row>
    <row r="78" spans="1:7" s="2" customFormat="1" x14ac:dyDescent="0.3">
      <c r="A78" s="2" t="s">
        <v>93</v>
      </c>
    </row>
    <row r="79" spans="1:7" x14ac:dyDescent="0.3">
      <c r="A79" t="s">
        <v>83</v>
      </c>
      <c r="B79" s="5">
        <v>10</v>
      </c>
    </row>
    <row r="80" spans="1:7" x14ac:dyDescent="0.3">
      <c r="A80" t="s">
        <v>84</v>
      </c>
      <c r="B80" s="22">
        <f>B79</f>
        <v>10</v>
      </c>
    </row>
    <row r="81" spans="1:8" x14ac:dyDescent="0.3">
      <c r="A81" t="s">
        <v>71</v>
      </c>
      <c r="B81" s="22">
        <f>B79</f>
        <v>10</v>
      </c>
    </row>
    <row r="82" spans="1:8" x14ac:dyDescent="0.3">
      <c r="A82" t="s">
        <v>72</v>
      </c>
      <c r="B82" s="23">
        <f>0.5*(B80-B79)</f>
        <v>0</v>
      </c>
    </row>
    <row r="83" spans="1:8" x14ac:dyDescent="0.3">
      <c r="A83" t="s">
        <v>73</v>
      </c>
      <c r="B83">
        <f>B82</f>
        <v>0</v>
      </c>
      <c r="D83" t="s">
        <v>79</v>
      </c>
      <c r="E83" t="s">
        <v>85</v>
      </c>
      <c r="F83" t="s">
        <v>86</v>
      </c>
      <c r="G83" t="s">
        <v>91</v>
      </c>
      <c r="H83" t="s">
        <v>81</v>
      </c>
    </row>
    <row r="84" spans="1:8" x14ac:dyDescent="0.3">
      <c r="A84" t="s">
        <v>75</v>
      </c>
      <c r="B84">
        <f>B81</f>
        <v>10</v>
      </c>
      <c r="D84">
        <f>0.5*B84*(B85+B86)</f>
        <v>100</v>
      </c>
      <c r="E84">
        <f>(2*B85*B83+B85^2+B86*B83+B85*B86+B86^2)/(3*(B85+B86))</f>
        <v>5</v>
      </c>
      <c r="F84">
        <f>B84*(2*B85+B86)/(3*(B85+B86))</f>
        <v>5</v>
      </c>
      <c r="G84">
        <f>B85/SQRT(2)</f>
        <v>7.0710678118654746</v>
      </c>
      <c r="H84">
        <f>B85/2</f>
        <v>5</v>
      </c>
    </row>
    <row r="85" spans="1:8" x14ac:dyDescent="0.3">
      <c r="A85" t="s">
        <v>87</v>
      </c>
      <c r="B85">
        <f>B79</f>
        <v>10</v>
      </c>
    </row>
    <row r="86" spans="1:8" x14ac:dyDescent="0.3">
      <c r="A86" t="s">
        <v>88</v>
      </c>
      <c r="B86">
        <f>B80</f>
        <v>10</v>
      </c>
    </row>
    <row r="88" spans="1:8" s="2" customFormat="1" x14ac:dyDescent="0.3">
      <c r="A88" s="2" t="s">
        <v>94</v>
      </c>
    </row>
    <row r="89" spans="1:8" x14ac:dyDescent="0.3">
      <c r="A89" t="s">
        <v>95</v>
      </c>
      <c r="B89" s="5">
        <v>5</v>
      </c>
    </row>
    <row r="90" spans="1:8" x14ac:dyDescent="0.3">
      <c r="A90" t="s">
        <v>91</v>
      </c>
      <c r="B90" s="5">
        <v>10</v>
      </c>
      <c r="C90">
        <f>0.5*B92*_xlfn.CSC(PI()/B89)</f>
        <v>10</v>
      </c>
    </row>
    <row r="91" spans="1:8" x14ac:dyDescent="0.3">
      <c r="A91" t="s">
        <v>81</v>
      </c>
      <c r="B91">
        <f>0.5*B92*_xlfn.COT(PI()/B89)</f>
        <v>8.0901699437494745</v>
      </c>
      <c r="C91" s="5">
        <v>0</v>
      </c>
    </row>
    <row r="92" spans="1:8" x14ac:dyDescent="0.3">
      <c r="A92" t="s">
        <v>96</v>
      </c>
      <c r="B92">
        <f>IF(C91=0,2*B90*SIN(PI()/B89),2*C91*TAN(PI()/B89))</f>
        <v>11.755705045849464</v>
      </c>
      <c r="D92" t="s">
        <v>79</v>
      </c>
      <c r="E92" t="s">
        <v>97</v>
      </c>
      <c r="F92" t="s">
        <v>98</v>
      </c>
      <c r="G92" t="s">
        <v>99</v>
      </c>
    </row>
    <row r="93" spans="1:8" x14ac:dyDescent="0.3">
      <c r="D93">
        <f>0.5*B89*B92*B91</f>
        <v>237.76412907378844</v>
      </c>
      <c r="E93">
        <f>B92*B89</f>
        <v>58.778525229247322</v>
      </c>
      <c r="F93">
        <f>((B89-2)/B89)*180</f>
        <v>108</v>
      </c>
      <c r="G93">
        <f>(B89-2)*180</f>
        <v>540</v>
      </c>
    </row>
    <row r="95" spans="1:8" x14ac:dyDescent="0.3">
      <c r="D95" t="s">
        <v>100</v>
      </c>
      <c r="E95" t="s">
        <v>101</v>
      </c>
      <c r="F95" t="s">
        <v>0</v>
      </c>
      <c r="G95" t="s">
        <v>1</v>
      </c>
    </row>
    <row r="96" spans="1:8" x14ac:dyDescent="0.3">
      <c r="D96">
        <v>0</v>
      </c>
      <c r="E96">
        <f>(D96/$B$89)*2*PI()</f>
        <v>0</v>
      </c>
      <c r="F96">
        <f>$B$90*COS(E96)</f>
        <v>10</v>
      </c>
      <c r="G96">
        <f>$B$90*SIN(E96)</f>
        <v>0</v>
      </c>
    </row>
    <row r="97" spans="1:7" x14ac:dyDescent="0.3">
      <c r="D97">
        <v>1</v>
      </c>
      <c r="E97">
        <f>(D97/$B$89)*2*PI()</f>
        <v>1.2566370614359172</v>
      </c>
      <c r="F97">
        <f>$B$90*COS(E97)</f>
        <v>3.0901699437494745</v>
      </c>
      <c r="G97">
        <f>$B$90*SIN(E97)</f>
        <v>9.5105651629515346</v>
      </c>
    </row>
    <row r="98" spans="1:7" x14ac:dyDescent="0.3">
      <c r="D98">
        <v>2</v>
      </c>
      <c r="E98">
        <f>(D98/$B$89)*2*PI()</f>
        <v>2.5132741228718345</v>
      </c>
      <c r="F98">
        <f>$B$90*COS(E98)</f>
        <v>-8.0901699437494727</v>
      </c>
      <c r="G98">
        <f>$B$90*SIN(E98)</f>
        <v>5.8778525229247327</v>
      </c>
    </row>
    <row r="99" spans="1:7" x14ac:dyDescent="0.3">
      <c r="D99">
        <v>3</v>
      </c>
      <c r="E99">
        <f>(D99/$B$89)*2*PI()</f>
        <v>3.7699111843077517</v>
      </c>
      <c r="F99">
        <f>$B$90*COS(E99)</f>
        <v>-8.0901699437494763</v>
      </c>
      <c r="G99">
        <f>$B$90*SIN(E99)</f>
        <v>-5.87785252292473</v>
      </c>
    </row>
    <row r="100" spans="1:7" x14ac:dyDescent="0.3">
      <c r="D100">
        <v>4</v>
      </c>
      <c r="E100">
        <f>(D100/$B$89)*2*PI()</f>
        <v>5.026548245743669</v>
      </c>
      <c r="F100">
        <f>$B$90*COS(E100)</f>
        <v>3.0901699437494723</v>
      </c>
      <c r="G100">
        <f>$B$90*SIN(E100)</f>
        <v>-9.5105651629515364</v>
      </c>
    </row>
    <row r="101" spans="1:7" x14ac:dyDescent="0.3">
      <c r="F101">
        <f>F96</f>
        <v>10</v>
      </c>
      <c r="G101">
        <f>G96</f>
        <v>0</v>
      </c>
    </row>
    <row r="104" spans="1:7" s="2" customFormat="1" x14ac:dyDescent="0.3">
      <c r="A104" s="2" t="s">
        <v>105</v>
      </c>
    </row>
    <row r="105" spans="1:7" x14ac:dyDescent="0.3">
      <c r="A105" t="s">
        <v>95</v>
      </c>
      <c r="B105" s="5">
        <v>5</v>
      </c>
    </row>
    <row r="106" spans="1:7" x14ac:dyDescent="0.3">
      <c r="A106" t="s">
        <v>91</v>
      </c>
      <c r="B106" s="5">
        <v>10</v>
      </c>
      <c r="C106">
        <f>0.5*B108*_xlfn.CSC(PI()/B105)</f>
        <v>10</v>
      </c>
    </row>
    <row r="107" spans="1:7" x14ac:dyDescent="0.3">
      <c r="A107" t="s">
        <v>81</v>
      </c>
      <c r="B107">
        <f>0.5*B108*_xlfn.COT(PI()/B105)</f>
        <v>8.0901699437494745</v>
      </c>
      <c r="C107" s="5">
        <v>0</v>
      </c>
    </row>
    <row r="108" spans="1:7" x14ac:dyDescent="0.3">
      <c r="A108" t="s">
        <v>96</v>
      </c>
      <c r="B108">
        <f>IF(C107=0,2*B106*SIN(PI()/B105),2*C107*TAN(PI()/B105))</f>
        <v>11.755705045849464</v>
      </c>
      <c r="D108" t="s">
        <v>79</v>
      </c>
      <c r="E108" t="s">
        <v>97</v>
      </c>
      <c r="F108" t="s">
        <v>98</v>
      </c>
      <c r="G108" t="s">
        <v>99</v>
      </c>
    </row>
    <row r="109" spans="1:7" x14ac:dyDescent="0.3">
      <c r="D109">
        <f>0.5*B105*B108*B107</f>
        <v>237.76412907378844</v>
      </c>
      <c r="E109">
        <f>B108*B105</f>
        <v>58.778525229247322</v>
      </c>
      <c r="F109">
        <f>((B105-2)/B105)*180</f>
        <v>108</v>
      </c>
      <c r="G109">
        <f>(B105-2)*180</f>
        <v>540</v>
      </c>
    </row>
    <row r="111" spans="1:7" x14ac:dyDescent="0.3">
      <c r="D111" t="s">
        <v>100</v>
      </c>
      <c r="E111" t="s">
        <v>101</v>
      </c>
      <c r="F111" t="s">
        <v>0</v>
      </c>
      <c r="G111" t="s">
        <v>1</v>
      </c>
    </row>
    <row r="112" spans="1:7" x14ac:dyDescent="0.3">
      <c r="D112">
        <v>0</v>
      </c>
      <c r="E112">
        <f>(D112/$B$105)*2*PI()</f>
        <v>0</v>
      </c>
      <c r="F112">
        <f>$B$106*COS(E112)</f>
        <v>10</v>
      </c>
      <c r="G112">
        <f>$B$106*SIN(E112)</f>
        <v>0</v>
      </c>
    </row>
    <row r="113" spans="1:7" x14ac:dyDescent="0.3">
      <c r="D113">
        <v>1</v>
      </c>
      <c r="E113">
        <f>(D113/$B$105)*2*PI()</f>
        <v>1.2566370614359172</v>
      </c>
      <c r="F113">
        <f>$B$106*COS(E113)</f>
        <v>3.0901699437494745</v>
      </c>
      <c r="G113">
        <f>$B$106*SIN(E113)</f>
        <v>9.5105651629515346</v>
      </c>
    </row>
    <row r="114" spans="1:7" x14ac:dyDescent="0.3">
      <c r="D114">
        <v>2</v>
      </c>
      <c r="E114">
        <f>(D114/$B$105)*2*PI()</f>
        <v>2.5132741228718345</v>
      </c>
      <c r="F114">
        <f>$B$106*COS(E114)</f>
        <v>-8.0901699437494727</v>
      </c>
      <c r="G114">
        <f>$B$106*SIN(E114)</f>
        <v>5.8778525229247327</v>
      </c>
    </row>
    <row r="115" spans="1:7" x14ac:dyDescent="0.3">
      <c r="D115">
        <v>3</v>
      </c>
      <c r="E115">
        <f>(D115/$B$105)*2*PI()</f>
        <v>3.7699111843077517</v>
      </c>
      <c r="F115">
        <f>$B$106*COS(E115)</f>
        <v>-8.0901699437494763</v>
      </c>
      <c r="G115">
        <f>$B$106*SIN(E115)</f>
        <v>-5.87785252292473</v>
      </c>
    </row>
    <row r="116" spans="1:7" x14ac:dyDescent="0.3">
      <c r="D116">
        <v>4</v>
      </c>
      <c r="E116">
        <f>(D116/$B$105)*2*PI()</f>
        <v>5.026548245743669</v>
      </c>
      <c r="F116">
        <f>$B$106*COS(E116)</f>
        <v>3.0901699437494723</v>
      </c>
      <c r="G116">
        <f>$B$106*SIN(E116)</f>
        <v>-9.5105651629515364</v>
      </c>
    </row>
    <row r="117" spans="1:7" x14ac:dyDescent="0.3">
      <c r="F117">
        <f>F112</f>
        <v>10</v>
      </c>
      <c r="G117">
        <f>G112</f>
        <v>0</v>
      </c>
    </row>
    <row r="121" spans="1:7" s="2" customFormat="1" x14ac:dyDescent="0.3">
      <c r="A121" s="2" t="s">
        <v>104</v>
      </c>
    </row>
    <row r="122" spans="1:7" x14ac:dyDescent="0.3">
      <c r="A122" t="s">
        <v>95</v>
      </c>
      <c r="B122" s="5">
        <v>6</v>
      </c>
    </row>
    <row r="123" spans="1:7" x14ac:dyDescent="0.3">
      <c r="A123" t="s">
        <v>91</v>
      </c>
      <c r="B123" s="5">
        <v>10</v>
      </c>
      <c r="C123">
        <f>0.5*B125*_xlfn.CSC(PI()/B122)</f>
        <v>9.9999999999999982</v>
      </c>
    </row>
    <row r="124" spans="1:7" x14ac:dyDescent="0.3">
      <c r="A124" t="s">
        <v>81</v>
      </c>
      <c r="B124">
        <f>0.5*B125*_xlfn.COT(PI()/B122)</f>
        <v>8.6602540378443855</v>
      </c>
      <c r="C124" s="5">
        <v>0</v>
      </c>
    </row>
    <row r="125" spans="1:7" x14ac:dyDescent="0.3">
      <c r="A125" t="s">
        <v>96</v>
      </c>
      <c r="B125">
        <f>IF(C124=0,2*B123*SIN(PI()/B122),2*C124*TAN(PI()/B122))</f>
        <v>9.9999999999999982</v>
      </c>
      <c r="D125" t="s">
        <v>79</v>
      </c>
      <c r="E125" t="s">
        <v>97</v>
      </c>
      <c r="F125" t="s">
        <v>98</v>
      </c>
      <c r="G125" t="s">
        <v>99</v>
      </c>
    </row>
    <row r="126" spans="1:7" x14ac:dyDescent="0.3">
      <c r="D126">
        <f>0.5*B122*B125*B124</f>
        <v>259.80762113533149</v>
      </c>
      <c r="E126">
        <f>B125*B122</f>
        <v>59.999999999999986</v>
      </c>
      <c r="F126">
        <f>((B122-2)/B122)*180</f>
        <v>120</v>
      </c>
      <c r="G126">
        <f>(B122-2)*180</f>
        <v>720</v>
      </c>
    </row>
    <row r="128" spans="1:7" x14ac:dyDescent="0.3">
      <c r="D128" t="s">
        <v>100</v>
      </c>
      <c r="E128" t="s">
        <v>101</v>
      </c>
      <c r="F128" t="s">
        <v>0</v>
      </c>
      <c r="G128" t="s">
        <v>1</v>
      </c>
    </row>
    <row r="129" spans="1:7" x14ac:dyDescent="0.3">
      <c r="D129">
        <v>0</v>
      </c>
      <c r="E129">
        <f t="shared" ref="E129:E134" si="24">(D129/$B$122)*2*PI()</f>
        <v>0</v>
      </c>
      <c r="F129">
        <f t="shared" ref="F129:F134" si="25">$B$123*COS(E129)</f>
        <v>10</v>
      </c>
      <c r="G129">
        <f t="shared" ref="G129:G134" si="26">$B$123*SIN(E129)</f>
        <v>0</v>
      </c>
    </row>
    <row r="130" spans="1:7" x14ac:dyDescent="0.3">
      <c r="D130">
        <v>1</v>
      </c>
      <c r="E130">
        <f t="shared" si="24"/>
        <v>1.0471975511965976</v>
      </c>
      <c r="F130">
        <f t="shared" si="25"/>
        <v>5.0000000000000009</v>
      </c>
      <c r="G130">
        <f t="shared" si="26"/>
        <v>8.6602540378443855</v>
      </c>
    </row>
    <row r="131" spans="1:7" x14ac:dyDescent="0.3">
      <c r="D131">
        <v>2</v>
      </c>
      <c r="E131">
        <f t="shared" si="24"/>
        <v>2.0943951023931953</v>
      </c>
      <c r="F131">
        <f t="shared" si="25"/>
        <v>-4.9999999999999982</v>
      </c>
      <c r="G131">
        <f t="shared" si="26"/>
        <v>8.6602540378443873</v>
      </c>
    </row>
    <row r="132" spans="1:7" x14ac:dyDescent="0.3">
      <c r="D132">
        <v>3</v>
      </c>
      <c r="E132">
        <f t="shared" si="24"/>
        <v>3.1415926535897931</v>
      </c>
      <c r="F132">
        <f t="shared" si="25"/>
        <v>-10</v>
      </c>
      <c r="G132">
        <f t="shared" si="26"/>
        <v>1.22514845490862E-15</v>
      </c>
    </row>
    <row r="133" spans="1:7" x14ac:dyDescent="0.3">
      <c r="D133">
        <v>4</v>
      </c>
      <c r="E133">
        <f t="shared" si="24"/>
        <v>4.1887902047863905</v>
      </c>
      <c r="F133">
        <f t="shared" si="25"/>
        <v>-5.0000000000000044</v>
      </c>
      <c r="G133">
        <f t="shared" si="26"/>
        <v>-8.6602540378443837</v>
      </c>
    </row>
    <row r="134" spans="1:7" x14ac:dyDescent="0.3">
      <c r="D134">
        <v>5</v>
      </c>
      <c r="E134">
        <f t="shared" si="24"/>
        <v>5.2359877559829888</v>
      </c>
      <c r="F134">
        <f t="shared" si="25"/>
        <v>5.0000000000000009</v>
      </c>
      <c r="G134">
        <f t="shared" si="26"/>
        <v>-8.6602540378443855</v>
      </c>
    </row>
    <row r="135" spans="1:7" x14ac:dyDescent="0.3">
      <c r="F135">
        <f>F129</f>
        <v>10</v>
      </c>
      <c r="G135">
        <f>G129</f>
        <v>0</v>
      </c>
    </row>
    <row r="139" spans="1:7" s="2" customFormat="1" x14ac:dyDescent="0.3">
      <c r="A139" s="2" t="s">
        <v>103</v>
      </c>
    </row>
    <row r="140" spans="1:7" x14ac:dyDescent="0.3">
      <c r="A140" t="s">
        <v>95</v>
      </c>
      <c r="B140" s="5">
        <v>8</v>
      </c>
    </row>
    <row r="141" spans="1:7" x14ac:dyDescent="0.3">
      <c r="A141" t="s">
        <v>91</v>
      </c>
      <c r="B141" s="5">
        <v>10</v>
      </c>
      <c r="C141">
        <f>0.5*B143*_xlfn.CSC(PI()/B140)</f>
        <v>10.000000000000002</v>
      </c>
    </row>
    <row r="142" spans="1:7" x14ac:dyDescent="0.3">
      <c r="A142" t="s">
        <v>81</v>
      </c>
      <c r="B142">
        <f>0.5*B143*_xlfn.COT(PI()/B140)</f>
        <v>9.2387953251128678</v>
      </c>
      <c r="C142" s="5">
        <v>0</v>
      </c>
    </row>
    <row r="143" spans="1:7" x14ac:dyDescent="0.3">
      <c r="A143" t="s">
        <v>96</v>
      </c>
      <c r="B143">
        <f>IF(C142=0,2*B141*SIN(PI()/B140),2*C142*TAN(PI()/B140))</f>
        <v>7.6536686473017959</v>
      </c>
      <c r="D143" t="s">
        <v>79</v>
      </c>
      <c r="E143" t="s">
        <v>97</v>
      </c>
      <c r="F143" t="s">
        <v>98</v>
      </c>
      <c r="G143" t="s">
        <v>99</v>
      </c>
    </row>
    <row r="144" spans="1:7" x14ac:dyDescent="0.3">
      <c r="D144">
        <f>0.5*B140*B143*B142</f>
        <v>282.84271247461902</v>
      </c>
      <c r="E144">
        <f>B143*B140</f>
        <v>61.229349178414367</v>
      </c>
      <c r="F144">
        <f>((B140-2)/B140)*180</f>
        <v>135</v>
      </c>
      <c r="G144">
        <f>(B140-2)*180</f>
        <v>1080</v>
      </c>
    </row>
    <row r="146" spans="1:7" x14ac:dyDescent="0.3">
      <c r="D146" t="s">
        <v>100</v>
      </c>
      <c r="E146" t="s">
        <v>101</v>
      </c>
      <c r="F146" t="s">
        <v>0</v>
      </c>
      <c r="G146" t="s">
        <v>1</v>
      </c>
    </row>
    <row r="147" spans="1:7" x14ac:dyDescent="0.3">
      <c r="D147">
        <v>0</v>
      </c>
      <c r="E147">
        <f>(D147/$B$140)*2*PI()</f>
        <v>0</v>
      </c>
      <c r="F147">
        <f>$B$141*COS(E147)</f>
        <v>10</v>
      </c>
      <c r="G147">
        <f>$B$141*SIN(E147)</f>
        <v>0</v>
      </c>
    </row>
    <row r="148" spans="1:7" x14ac:dyDescent="0.3">
      <c r="D148">
        <v>1</v>
      </c>
      <c r="E148">
        <f t="shared" ref="E148:E154" si="27">(D148/$B$140)*2*PI()</f>
        <v>0.78539816339744828</v>
      </c>
      <c r="F148">
        <f t="shared" ref="F148:F154" si="28">$B$141*COS(E148)</f>
        <v>7.0710678118654755</v>
      </c>
      <c r="G148">
        <f t="shared" ref="G148:G154" si="29">$B$141*SIN(E148)</f>
        <v>7.0710678118654746</v>
      </c>
    </row>
    <row r="149" spans="1:7" x14ac:dyDescent="0.3">
      <c r="D149">
        <v>2</v>
      </c>
      <c r="E149">
        <f t="shared" si="27"/>
        <v>1.5707963267948966</v>
      </c>
      <c r="F149">
        <f t="shared" si="28"/>
        <v>6.1257422745431001E-16</v>
      </c>
      <c r="G149">
        <f t="shared" si="29"/>
        <v>10</v>
      </c>
    </row>
    <row r="150" spans="1:7" x14ac:dyDescent="0.3">
      <c r="D150">
        <v>3</v>
      </c>
      <c r="E150">
        <f t="shared" si="27"/>
        <v>2.3561944901923448</v>
      </c>
      <c r="F150">
        <f t="shared" si="28"/>
        <v>-7.0710678118654746</v>
      </c>
      <c r="G150">
        <f t="shared" si="29"/>
        <v>7.0710678118654755</v>
      </c>
    </row>
    <row r="151" spans="1:7" x14ac:dyDescent="0.3">
      <c r="D151">
        <v>4</v>
      </c>
      <c r="E151">
        <f t="shared" si="27"/>
        <v>3.1415926535897931</v>
      </c>
      <c r="F151">
        <f t="shared" si="28"/>
        <v>-10</v>
      </c>
      <c r="G151">
        <f t="shared" si="29"/>
        <v>1.22514845490862E-15</v>
      </c>
    </row>
    <row r="152" spans="1:7" x14ac:dyDescent="0.3">
      <c r="D152">
        <v>5</v>
      </c>
      <c r="E152">
        <f t="shared" si="27"/>
        <v>3.9269908169872414</v>
      </c>
      <c r="F152">
        <f t="shared" si="28"/>
        <v>-7.0710678118654773</v>
      </c>
      <c r="G152">
        <f t="shared" si="29"/>
        <v>-7.0710678118654746</v>
      </c>
    </row>
    <row r="153" spans="1:7" x14ac:dyDescent="0.3">
      <c r="D153">
        <v>6</v>
      </c>
      <c r="E153">
        <f t="shared" si="27"/>
        <v>4.7123889803846897</v>
      </c>
      <c r="F153">
        <f t="shared" si="28"/>
        <v>-1.83772268236293E-15</v>
      </c>
      <c r="G153">
        <f t="shared" si="29"/>
        <v>-10</v>
      </c>
    </row>
    <row r="154" spans="1:7" x14ac:dyDescent="0.3">
      <c r="D154">
        <v>7</v>
      </c>
      <c r="E154">
        <f t="shared" si="27"/>
        <v>5.497787143782138</v>
      </c>
      <c r="F154">
        <f t="shared" si="28"/>
        <v>7.0710678118654737</v>
      </c>
      <c r="G154">
        <f t="shared" si="29"/>
        <v>-7.0710678118654773</v>
      </c>
    </row>
    <row r="155" spans="1:7" x14ac:dyDescent="0.3">
      <c r="F155">
        <f>F147</f>
        <v>10</v>
      </c>
      <c r="G155">
        <f>G147</f>
        <v>0</v>
      </c>
    </row>
    <row r="159" spans="1:7" s="2" customFormat="1" x14ac:dyDescent="0.3">
      <c r="A159" s="2" t="s">
        <v>102</v>
      </c>
    </row>
    <row r="160" spans="1:7" x14ac:dyDescent="0.3">
      <c r="A160" t="s">
        <v>95</v>
      </c>
      <c r="B160" s="5">
        <v>10</v>
      </c>
    </row>
    <row r="161" spans="1:7" x14ac:dyDescent="0.3">
      <c r="A161" t="s">
        <v>91</v>
      </c>
      <c r="B161" s="5">
        <v>10</v>
      </c>
      <c r="C161">
        <f>0.5*B163*_xlfn.CSC(PI()/B160)</f>
        <v>10</v>
      </c>
    </row>
    <row r="162" spans="1:7" x14ac:dyDescent="0.3">
      <c r="A162" t="s">
        <v>81</v>
      </c>
      <c r="B162">
        <f>0.5*B163*_xlfn.COT(PI()/B160)</f>
        <v>9.5105651629515364</v>
      </c>
      <c r="C162" s="5">
        <v>0</v>
      </c>
    </row>
    <row r="163" spans="1:7" x14ac:dyDescent="0.3">
      <c r="A163" t="s">
        <v>96</v>
      </c>
      <c r="B163">
        <f>IF(C162=0,2*B161*SIN(PI()/B160),2*C162*TAN(PI()/B160))</f>
        <v>6.1803398874989481</v>
      </c>
      <c r="D163" t="s">
        <v>79</v>
      </c>
      <c r="E163" t="s">
        <v>97</v>
      </c>
      <c r="F163" t="s">
        <v>98</v>
      </c>
      <c r="G163" t="s">
        <v>99</v>
      </c>
    </row>
    <row r="164" spans="1:7" x14ac:dyDescent="0.3">
      <c r="D164">
        <f>0.5*B160*B163*B162</f>
        <v>293.89262614623658</v>
      </c>
      <c r="E164">
        <f>B163*B160</f>
        <v>61.803398874989483</v>
      </c>
      <c r="F164">
        <f>((B160-2)/B160)*180</f>
        <v>144</v>
      </c>
      <c r="G164">
        <f>(B160-2)*180</f>
        <v>1440</v>
      </c>
    </row>
    <row r="166" spans="1:7" x14ac:dyDescent="0.3">
      <c r="D166" t="s">
        <v>100</v>
      </c>
      <c r="E166" t="s">
        <v>101</v>
      </c>
      <c r="F166" t="s">
        <v>0</v>
      </c>
      <c r="G166" t="s">
        <v>1</v>
      </c>
    </row>
    <row r="167" spans="1:7" x14ac:dyDescent="0.3">
      <c r="D167">
        <v>0</v>
      </c>
      <c r="E167">
        <f>(D167/$B$160)*2*PI()</f>
        <v>0</v>
      </c>
      <c r="F167">
        <f>$B$161*COS(E167)</f>
        <v>10</v>
      </c>
      <c r="G167">
        <f>$B$161*SIN(E167)</f>
        <v>0</v>
      </c>
    </row>
    <row r="168" spans="1:7" x14ac:dyDescent="0.3">
      <c r="D168">
        <v>1</v>
      </c>
      <c r="E168">
        <f t="shared" ref="E168:E176" si="30">(D168/$B$160)*2*PI()</f>
        <v>0.62831853071795862</v>
      </c>
      <c r="F168">
        <f t="shared" ref="F168:F176" si="31">$B$161*COS(E168)</f>
        <v>8.0901699437494745</v>
      </c>
      <c r="G168">
        <f t="shared" ref="G168:G176" si="32">$B$161*SIN(E168)</f>
        <v>5.8778525229247318</v>
      </c>
    </row>
    <row r="169" spans="1:7" x14ac:dyDescent="0.3">
      <c r="D169">
        <v>2</v>
      </c>
      <c r="E169">
        <f t="shared" si="30"/>
        <v>1.2566370614359172</v>
      </c>
      <c r="F169">
        <f t="shared" si="31"/>
        <v>3.0901699437494745</v>
      </c>
      <c r="G169">
        <f t="shared" si="32"/>
        <v>9.5105651629515346</v>
      </c>
    </row>
    <row r="170" spans="1:7" x14ac:dyDescent="0.3">
      <c r="D170">
        <v>3</v>
      </c>
      <c r="E170">
        <f t="shared" si="30"/>
        <v>1.8849555921538759</v>
      </c>
      <c r="F170">
        <f t="shared" si="31"/>
        <v>-3.0901699437494736</v>
      </c>
      <c r="G170">
        <f t="shared" si="32"/>
        <v>9.5105651629515364</v>
      </c>
    </row>
    <row r="171" spans="1:7" x14ac:dyDescent="0.3">
      <c r="D171">
        <v>4</v>
      </c>
      <c r="E171">
        <f t="shared" si="30"/>
        <v>2.5132741228718345</v>
      </c>
      <c r="F171">
        <f t="shared" si="31"/>
        <v>-8.0901699437494727</v>
      </c>
      <c r="G171">
        <f t="shared" si="32"/>
        <v>5.8778525229247327</v>
      </c>
    </row>
    <row r="172" spans="1:7" x14ac:dyDescent="0.3">
      <c r="D172">
        <v>5</v>
      </c>
      <c r="E172">
        <f t="shared" si="30"/>
        <v>3.1415926535897931</v>
      </c>
      <c r="F172">
        <f t="shared" si="31"/>
        <v>-10</v>
      </c>
      <c r="G172">
        <f t="shared" si="32"/>
        <v>1.22514845490862E-15</v>
      </c>
    </row>
    <row r="173" spans="1:7" x14ac:dyDescent="0.3">
      <c r="D173">
        <v>6</v>
      </c>
      <c r="E173">
        <f t="shared" si="30"/>
        <v>3.7699111843077517</v>
      </c>
      <c r="F173">
        <f t="shared" si="31"/>
        <v>-8.0901699437494763</v>
      </c>
      <c r="G173">
        <f t="shared" si="32"/>
        <v>-5.87785252292473</v>
      </c>
    </row>
    <row r="174" spans="1:7" x14ac:dyDescent="0.3">
      <c r="D174">
        <v>7</v>
      </c>
      <c r="E174">
        <f t="shared" si="30"/>
        <v>4.3982297150257104</v>
      </c>
      <c r="F174">
        <f t="shared" si="31"/>
        <v>-3.0901699437494754</v>
      </c>
      <c r="G174">
        <f t="shared" si="32"/>
        <v>-9.5105651629515346</v>
      </c>
    </row>
    <row r="175" spans="1:7" x14ac:dyDescent="0.3">
      <c r="D175">
        <v>8</v>
      </c>
      <c r="E175">
        <f t="shared" si="30"/>
        <v>5.026548245743669</v>
      </c>
      <c r="F175">
        <f t="shared" si="31"/>
        <v>3.0901699437494723</v>
      </c>
      <c r="G175">
        <f t="shared" si="32"/>
        <v>-9.5105651629515364</v>
      </c>
    </row>
    <row r="176" spans="1:7" x14ac:dyDescent="0.3">
      <c r="D176">
        <v>9</v>
      </c>
      <c r="E176">
        <f t="shared" si="30"/>
        <v>5.6548667764616276</v>
      </c>
      <c r="F176">
        <f t="shared" si="31"/>
        <v>8.0901699437494727</v>
      </c>
      <c r="G176">
        <f t="shared" si="32"/>
        <v>-5.8778525229247336</v>
      </c>
    </row>
    <row r="177" spans="1:57" x14ac:dyDescent="0.3">
      <c r="F177">
        <f>F167</f>
        <v>10</v>
      </c>
      <c r="G177">
        <f>G167</f>
        <v>0</v>
      </c>
    </row>
    <row r="179" spans="1:57" s="2" customFormat="1" x14ac:dyDescent="0.3">
      <c r="A179" s="2" t="s">
        <v>106</v>
      </c>
    </row>
    <row r="180" spans="1:57" s="4" customFormat="1" x14ac:dyDescent="0.3">
      <c r="B180" s="116" t="s">
        <v>107</v>
      </c>
      <c r="C180" s="116"/>
      <c r="D180" s="116" t="s">
        <v>108</v>
      </c>
      <c r="E180" s="116"/>
      <c r="F180" s="116" t="s">
        <v>109</v>
      </c>
      <c r="G180" s="116"/>
      <c r="H180" s="121" t="s">
        <v>111</v>
      </c>
      <c r="I180" s="122"/>
      <c r="J180" s="123"/>
      <c r="K180" s="121" t="s">
        <v>63</v>
      </c>
      <c r="L180" s="122"/>
      <c r="M180" s="122"/>
      <c r="N180" s="122"/>
      <c r="O180" s="122"/>
      <c r="P180" s="123"/>
      <c r="Q180" s="121" t="s">
        <v>115</v>
      </c>
      <c r="R180" s="122"/>
      <c r="S180" s="123"/>
      <c r="U180" s="121" t="s">
        <v>116</v>
      </c>
      <c r="V180" s="122"/>
      <c r="W180" s="123"/>
      <c r="X180" s="121" t="s">
        <v>117</v>
      </c>
      <c r="Y180" s="122"/>
      <c r="Z180" s="123"/>
      <c r="AA180" s="121" t="s">
        <v>121</v>
      </c>
      <c r="AB180" s="122"/>
      <c r="AC180" s="122"/>
      <c r="AD180" s="122"/>
      <c r="AE180" s="122"/>
      <c r="AF180" s="122"/>
      <c r="AG180" s="122"/>
      <c r="AH180" s="122"/>
      <c r="AI180" s="123"/>
      <c r="AN180" s="105"/>
      <c r="AP180" s="122" t="s">
        <v>128</v>
      </c>
      <c r="AQ180" s="122"/>
      <c r="AR180" s="105"/>
      <c r="AT180" s="122" t="s">
        <v>129</v>
      </c>
      <c r="AU180" s="122"/>
      <c r="AV180" s="123"/>
      <c r="AW180" s="121" t="s">
        <v>130</v>
      </c>
      <c r="AX180" s="122"/>
      <c r="AY180" s="106"/>
      <c r="AZ180" s="121" t="s">
        <v>131</v>
      </c>
      <c r="BA180" s="123"/>
    </row>
    <row r="181" spans="1:57" s="4" customFormat="1" ht="15" thickBot="1" x14ac:dyDescent="0.35">
      <c r="B181" s="4" t="s">
        <v>2</v>
      </c>
      <c r="C181" s="4" t="s">
        <v>3</v>
      </c>
      <c r="D181" s="4" t="s">
        <v>2</v>
      </c>
      <c r="E181" s="4" t="s">
        <v>3</v>
      </c>
      <c r="F181" s="4" t="s">
        <v>2</v>
      </c>
      <c r="G181" s="4" t="s">
        <v>3</v>
      </c>
      <c r="H181" s="107" t="s">
        <v>77</v>
      </c>
      <c r="I181" s="7" t="s">
        <v>78</v>
      </c>
      <c r="J181" s="108" t="s">
        <v>110</v>
      </c>
      <c r="K181" s="107" t="s">
        <v>77</v>
      </c>
      <c r="L181" s="7" t="s">
        <v>78</v>
      </c>
      <c r="M181" s="7" t="s">
        <v>110</v>
      </c>
      <c r="N181" s="109" t="s">
        <v>132</v>
      </c>
      <c r="O181" s="110" t="s">
        <v>133</v>
      </c>
      <c r="P181" s="110" t="s">
        <v>134</v>
      </c>
      <c r="Q181" s="107" t="s">
        <v>77</v>
      </c>
      <c r="R181" s="7" t="s">
        <v>78</v>
      </c>
      <c r="S181" s="108" t="s">
        <v>110</v>
      </c>
      <c r="T181" s="4" t="s">
        <v>75</v>
      </c>
      <c r="U181" s="107" t="s">
        <v>77</v>
      </c>
      <c r="V181" s="7" t="s">
        <v>78</v>
      </c>
      <c r="W181" s="108" t="s">
        <v>110</v>
      </c>
      <c r="X181" s="107" t="s">
        <v>77</v>
      </c>
      <c r="Y181" s="7" t="s">
        <v>78</v>
      </c>
      <c r="Z181" s="108" t="s">
        <v>110</v>
      </c>
      <c r="AA181" s="107" t="s">
        <v>122</v>
      </c>
      <c r="AB181" s="7" t="s">
        <v>123</v>
      </c>
      <c r="AC181" s="7" t="s">
        <v>124</v>
      </c>
      <c r="AD181" s="111" t="s">
        <v>125</v>
      </c>
      <c r="AE181" s="7" t="s">
        <v>126</v>
      </c>
      <c r="AF181" s="112" t="s">
        <v>127</v>
      </c>
      <c r="AG181" s="7" t="s">
        <v>77</v>
      </c>
      <c r="AH181" s="7" t="s">
        <v>78</v>
      </c>
      <c r="AI181" s="108" t="s">
        <v>110</v>
      </c>
      <c r="AJ181" s="110" t="s">
        <v>97</v>
      </c>
      <c r="AK181" s="110" t="s">
        <v>118</v>
      </c>
      <c r="AL181" s="4" t="s">
        <v>114</v>
      </c>
      <c r="AN181" s="105" t="s">
        <v>81</v>
      </c>
      <c r="AP181" s="7" t="s">
        <v>0</v>
      </c>
      <c r="AQ181" s="7" t="s">
        <v>1</v>
      </c>
      <c r="AR181" s="105" t="s">
        <v>91</v>
      </c>
      <c r="AT181" s="7" t="s">
        <v>139</v>
      </c>
      <c r="AU181" s="110" t="s">
        <v>0</v>
      </c>
      <c r="AV181" s="108" t="s">
        <v>1</v>
      </c>
      <c r="AW181" s="107" t="s">
        <v>0</v>
      </c>
      <c r="AX181" s="7" t="s">
        <v>1</v>
      </c>
      <c r="AY181" s="113" t="s">
        <v>135</v>
      </c>
      <c r="AZ181" s="107" t="s">
        <v>0</v>
      </c>
      <c r="BA181" s="108" t="s">
        <v>1</v>
      </c>
      <c r="BC181" s="4" t="s">
        <v>147</v>
      </c>
      <c r="BD181" s="4" t="s">
        <v>146</v>
      </c>
    </row>
    <row r="182" spans="1:57" s="42" customFormat="1" ht="15" thickTop="1" x14ac:dyDescent="0.3">
      <c r="A182" s="42" t="s">
        <v>120</v>
      </c>
      <c r="B182" s="43">
        <v>1</v>
      </c>
      <c r="C182" s="43">
        <v>2</v>
      </c>
      <c r="D182" s="43">
        <v>3</v>
      </c>
      <c r="E182" s="43">
        <v>4</v>
      </c>
      <c r="F182" s="43">
        <v>-1</v>
      </c>
      <c r="G182" s="43">
        <v>1</v>
      </c>
      <c r="H182" s="62">
        <f t="shared" ref="H182:H192" si="33">SQRT((B182-D182)^2+(C182-E182)^2)</f>
        <v>2.8284271247461903</v>
      </c>
      <c r="I182" s="98">
        <f t="shared" ref="I182:I192" si="34">SQRT((F182-D182)^2+(G182-E182)^2)</f>
        <v>5</v>
      </c>
      <c r="J182" s="61">
        <f t="shared" ref="J182:J192" si="35">SQRT((F182-B182)^2+(G182-C182)^2)</f>
        <v>2.2360679774997898</v>
      </c>
      <c r="K182" s="99">
        <f t="shared" ref="K182:K192" si="36">DEGREES(ACOS((I182^2+J182^2-H182^2)/(2*I182*J182)))</f>
        <v>10.304846468766035</v>
      </c>
      <c r="L182" s="100">
        <f t="shared" ref="L182:L192" si="37">DEGREES(ACOS((J182^2+H182^2-I182^2)/(2*J182*H182)))</f>
        <v>161.56505117707795</v>
      </c>
      <c r="M182" s="100">
        <f t="shared" ref="M182:M192" si="38">DEGREES(ACOS((I182^2+H182^2-J182^2)/(2*I182*H182)))</f>
        <v>8.1301023541559978</v>
      </c>
      <c r="N182" s="101">
        <f t="shared" ref="N182:N192" si="39">RADIANS(K182)</f>
        <v>0.17985349979247833</v>
      </c>
      <c r="O182" s="100">
        <f t="shared" ref="O182:O192" si="40">RADIANS(L182)</f>
        <v>2.8198420991931501</v>
      </c>
      <c r="P182" s="102">
        <f t="shared" ref="P182:P192" si="41">RADIANS(M182)</f>
        <v>0.14189705460416424</v>
      </c>
      <c r="Q182" s="103">
        <f t="shared" ref="Q182:Q192" si="42">2*$AL182/H182</f>
        <v>0.70710678118654657</v>
      </c>
      <c r="R182" s="98">
        <f t="shared" ref="R182:R192" si="43">2*$AL182/I182</f>
        <v>0.39999999999999952</v>
      </c>
      <c r="S182" s="104">
        <f t="shared" ref="S182:S192" si="44">2*$AL182/J182</f>
        <v>0.89442719099991475</v>
      </c>
      <c r="T182" s="51"/>
      <c r="U182" s="44">
        <f t="shared" ref="U182:U192" si="45">0.5*SQRT(2*J182^2+2*I182^2-H182^2)</f>
        <v>3.6055512754639891</v>
      </c>
      <c r="V182" s="51">
        <f t="shared" ref="V182:V192" si="46">0.5*SQRT(2*J182^2+2*H182^2-I182^2)</f>
        <v>0.50000000000000178</v>
      </c>
      <c r="W182" s="47">
        <f t="shared" ref="W182:W192" si="47">0.5*SQRT(2*I182^2+2*H182^2-J182^2)</f>
        <v>3.905124837953327</v>
      </c>
      <c r="X182" s="44">
        <f t="shared" ref="X182:X192" si="48">SQRT(J182*I182*(1-H182^2/(J182+I182)^2))</f>
        <v>3.0776835371752536</v>
      </c>
      <c r="Y182" s="46">
        <f t="shared" ref="Y182:Y192" si="49">SQRT(J182*H182*(1-I182^2/(J182+H182)^2))</f>
        <v>0.40007204539852875</v>
      </c>
      <c r="Z182" s="47">
        <f t="shared" ref="Z182:Z192" si="50">SQRT(I182*H182*(1-J182^2/(I182+H182)^2))</f>
        <v>3.6039313488571842</v>
      </c>
      <c r="AA182" s="44">
        <f t="shared" ref="AA182:AA192" si="51">MAX(H182:J182)</f>
        <v>5</v>
      </c>
      <c r="AB182" s="42">
        <f>IF(RANK(I182,$H182:$J182)+COUNTIF($H182:I182,I182)-1=2,I182,IF(RANK(J182,$H182:$J182)+COUNTIF($H182:J182,J182)-1=2,J182,H182))</f>
        <v>2.8284271247461903</v>
      </c>
      <c r="AC182" s="46">
        <f t="shared" ref="AC182:AC192" si="52">MIN(H182:J182)</f>
        <v>2.2360679774997898</v>
      </c>
      <c r="AD182" s="48">
        <f t="shared" ref="AD182:AD192" si="53">2*AA182*$AL182/($AA182^2+$AB182^2-$AC182^2)</f>
        <v>0.35714285714285671</v>
      </c>
      <c r="AE182" s="42">
        <f t="shared" ref="AE182:AE192" si="54">2*AB182*$AL182/($AA182^2+$AB182^2-$AC182^2)</f>
        <v>0.20203050891044191</v>
      </c>
      <c r="AF182" s="49">
        <f t="shared" ref="AF182:AF192" si="55">2*AC182*$AL182/($AA182^2-$AB182^2+$AC182^2)</f>
        <v>0.20327890704543519</v>
      </c>
      <c r="AG182" s="42">
        <f t="shared" ref="AG182:AG192" si="56">INDEX($AD182:$AF182,1,MATCH(H182,$AA182:$AC182,0))</f>
        <v>0.20203050891044191</v>
      </c>
      <c r="AH182" s="42">
        <f t="shared" ref="AH182:AH192" si="57">INDEX($AD182:$AF182,1,MATCH(I182,$AA182:$AC182,0))</f>
        <v>0.35714285714285671</v>
      </c>
      <c r="AI182" s="45">
        <f t="shared" ref="AI182:AI192" si="58">INDEX($AD182:$AF182,1,MATCH(J182,$AA182:$AC182,0))</f>
        <v>0.20327890704543519</v>
      </c>
      <c r="AJ182" s="50">
        <f t="shared" ref="AJ182:AJ192" si="59">I182+J182+H182</f>
        <v>10.06449510224598</v>
      </c>
      <c r="AK182" s="50">
        <f t="shared" ref="AK182:AK192" si="60">AJ182/2</f>
        <v>5.0322475511229898</v>
      </c>
      <c r="AL182" s="51">
        <f t="shared" ref="AL182:AL192" si="61">SQRT(AK182*(AK182-I182)*(AK182-J182)*(AK182-H182))</f>
        <v>0.99999999999999878</v>
      </c>
      <c r="AN182" s="52">
        <f t="shared" ref="AN182:AN192" si="62">AL182/AK182</f>
        <v>0.19871836388033814</v>
      </c>
      <c r="AP182" s="58">
        <f t="shared" ref="AP182:AP192" si="63">($I182*B182+$J182*D182+$H182*F182)/$AJ182</f>
        <v>0.88228735942964298</v>
      </c>
      <c r="AQ182" s="58">
        <f t="shared" ref="AQ182:AQ192" si="64">($I182*C182+$J182*E182+$H182*G182)/$AJ182</f>
        <v>2.1633175647218095</v>
      </c>
      <c r="AR182" s="52">
        <f t="shared" ref="AR182:AR192" si="65">I182*J182*H182/(4*AL182)</f>
        <v>7.9056941504209588</v>
      </c>
      <c r="AT182" s="42">
        <f t="shared" ref="AT182:AT192" si="66">2*(B182*(E182-G182)+D182*(G182-C182)+F182*(C182-E182))</f>
        <v>4</v>
      </c>
      <c r="AU182" s="42">
        <f t="shared" ref="AU182:AU192" si="67">((B182^2+C182^2)*(E182-G182)+(D182^2+E182^2)*(G182-C182)+(F182^2+G182^2)*(C182-E182))/AT182</f>
        <v>-3.5</v>
      </c>
      <c r="AV182" s="45">
        <f t="shared" ref="AV182:AV192" si="68">-((B182^2+C182^2)*(D182-F182)+(D182^2+E182^2)*(F182-B182)+(F182^2+G182^2)*(B182-D182))/AT182</f>
        <v>8.5</v>
      </c>
      <c r="AW182" s="53">
        <f t="shared" ref="AW182:AW192" si="69">(B182*TAN($O182)+D182*TAN($P182)+F182*TAN($N182))/(TAN($O182)+TAN($P182)+TAN($N182))</f>
        <v>9.9999999999992628</v>
      </c>
      <c r="AX182" s="42">
        <f t="shared" ref="AX182:AX192" si="70">(C182*TAN($O182)+E182*TAN($P182)+G182*TAN($N182))/(TAN($O182)+TAN($P182)+TAN($N182))</f>
        <v>-9.9999999999991669</v>
      </c>
      <c r="AY182" s="56" t="s">
        <v>136</v>
      </c>
      <c r="AZ182" s="53">
        <f t="shared" ref="AZ182:AZ192" si="71">(B182+D182+F182)/3</f>
        <v>1</v>
      </c>
      <c r="BA182" s="45">
        <f t="shared" ref="BA182:BA192" si="72">(C182+E182+G182)/3</f>
        <v>2.3333333333333335</v>
      </c>
      <c r="BB182" s="42" t="str">
        <f t="shared" ref="BB182:BB192" si="73">A182</f>
        <v>Random</v>
      </c>
    </row>
    <row r="183" spans="1:57" x14ac:dyDescent="0.3">
      <c r="A183" t="s">
        <v>119</v>
      </c>
      <c r="B183" s="5">
        <v>1</v>
      </c>
      <c r="C183" s="5">
        <v>2</v>
      </c>
      <c r="D183" s="5">
        <v>4</v>
      </c>
      <c r="E183" s="5">
        <v>2</v>
      </c>
      <c r="F183" s="5">
        <v>4</v>
      </c>
      <c r="G183" s="5">
        <v>5</v>
      </c>
      <c r="H183" s="59">
        <f t="shared" si="33"/>
        <v>3</v>
      </c>
      <c r="I183" s="11">
        <f t="shared" si="34"/>
        <v>3</v>
      </c>
      <c r="J183" s="60">
        <f t="shared" si="35"/>
        <v>4.2426406871192848</v>
      </c>
      <c r="K183" s="64">
        <f t="shared" si="36"/>
        <v>45.000000000000021</v>
      </c>
      <c r="L183" s="65">
        <f t="shared" si="37"/>
        <v>45.000000000000021</v>
      </c>
      <c r="M183" s="65">
        <f t="shared" si="38"/>
        <v>89.999999999999986</v>
      </c>
      <c r="N183" s="66">
        <f t="shared" si="39"/>
        <v>0.78539816339744872</v>
      </c>
      <c r="O183" s="65">
        <f t="shared" si="40"/>
        <v>0.78539816339744872</v>
      </c>
      <c r="P183" s="67">
        <f t="shared" si="41"/>
        <v>1.5707963267948963</v>
      </c>
      <c r="Q183" s="68">
        <f t="shared" si="42"/>
        <v>2.9999999999999982</v>
      </c>
      <c r="R183" s="63">
        <f t="shared" si="43"/>
        <v>2.9999999999999982</v>
      </c>
      <c r="S183" s="69">
        <f t="shared" si="44"/>
        <v>2.1213203435596415</v>
      </c>
      <c r="T183" s="114">
        <f>H183/SQRT(2)</f>
        <v>2.1213203435596424</v>
      </c>
      <c r="U183" s="33">
        <f t="shared" si="45"/>
        <v>3.3541019662496843</v>
      </c>
      <c r="V183" s="34">
        <f t="shared" si="46"/>
        <v>3.3541019662496843</v>
      </c>
      <c r="W183" s="35">
        <f t="shared" si="47"/>
        <v>2.1213203435596428</v>
      </c>
      <c r="X183" s="33">
        <f t="shared" si="48"/>
        <v>3.2471766008771819</v>
      </c>
      <c r="Y183" s="34">
        <f t="shared" si="49"/>
        <v>3.2471766008771819</v>
      </c>
      <c r="Z183" s="35">
        <f t="shared" si="50"/>
        <v>2.1213203435596428</v>
      </c>
      <c r="AA183" s="36">
        <f t="shared" si="51"/>
        <v>4.2426406871192848</v>
      </c>
      <c r="AB183" s="8">
        <f>IF(RANK(I183,$H183:$J183)+COUNTIF($H183:I183,I183)-1=2,I183,IF(RANK(J183,$H183:$J183)+COUNTIF($H183:J183,J183)-1=2,J183,H183))</f>
        <v>3</v>
      </c>
      <c r="AC183" s="37">
        <f t="shared" si="52"/>
        <v>3</v>
      </c>
      <c r="AD183" s="39">
        <f t="shared" si="53"/>
        <v>2.1213203435596415</v>
      </c>
      <c r="AE183" s="8">
        <f t="shared" si="54"/>
        <v>1.4999999999999996</v>
      </c>
      <c r="AF183" s="40">
        <f t="shared" si="55"/>
        <v>1.4999999999999996</v>
      </c>
      <c r="AG183" s="8">
        <f t="shared" si="56"/>
        <v>1.4999999999999996</v>
      </c>
      <c r="AH183" s="8">
        <f t="shared" si="57"/>
        <v>1.4999999999999996</v>
      </c>
      <c r="AI183" s="28">
        <f t="shared" si="58"/>
        <v>2.1213203435596415</v>
      </c>
      <c r="AJ183" s="26">
        <f t="shared" si="59"/>
        <v>10.242640687119284</v>
      </c>
      <c r="AK183" s="26">
        <f t="shared" si="60"/>
        <v>5.1213203435596419</v>
      </c>
      <c r="AL183" s="26">
        <f t="shared" si="61"/>
        <v>4.4999999999999973</v>
      </c>
      <c r="AM183" s="13">
        <f>0.5*H183^2</f>
        <v>4.5</v>
      </c>
      <c r="AN183" s="41">
        <f t="shared" si="62"/>
        <v>0.87867965644035706</v>
      </c>
      <c r="AO183" s="13">
        <f>0.5*H183*(2-SQRT(2))</f>
        <v>0.87867965644035728</v>
      </c>
      <c r="AP183" s="11">
        <f t="shared" si="63"/>
        <v>3.1213203435596428</v>
      </c>
      <c r="AQ183" s="11">
        <f t="shared" si="64"/>
        <v>2.8786796564403576</v>
      </c>
      <c r="AR183" s="41">
        <f t="shared" si="65"/>
        <v>2.1213203435596437</v>
      </c>
      <c r="AS183" s="13">
        <f>0.5*J183</f>
        <v>2.1213203435596424</v>
      </c>
      <c r="AT183" s="8">
        <f t="shared" si="66"/>
        <v>18</v>
      </c>
      <c r="AU183" s="8">
        <f t="shared" si="67"/>
        <v>2.5</v>
      </c>
      <c r="AV183" s="28">
        <f t="shared" si="68"/>
        <v>3.5</v>
      </c>
      <c r="AW183" s="27">
        <f t="shared" si="69"/>
        <v>3.9999999999999987</v>
      </c>
      <c r="AX183" s="8">
        <f t="shared" si="70"/>
        <v>2.0000000000000009</v>
      </c>
      <c r="AY183" s="57" t="s">
        <v>137</v>
      </c>
      <c r="AZ183" s="27">
        <f t="shared" si="71"/>
        <v>3</v>
      </c>
      <c r="BA183" s="28">
        <f t="shared" si="72"/>
        <v>3</v>
      </c>
      <c r="BB183" t="str">
        <f t="shared" si="73"/>
        <v>45-45-90</v>
      </c>
    </row>
    <row r="184" spans="1:57" x14ac:dyDescent="0.3">
      <c r="A184" t="s">
        <v>113</v>
      </c>
      <c r="B184" s="5">
        <v>1</v>
      </c>
      <c r="C184" s="5">
        <v>2</v>
      </c>
      <c r="D184" s="5">
        <v>7</v>
      </c>
      <c r="E184" s="5">
        <v>2</v>
      </c>
      <c r="F184" s="5">
        <v>4</v>
      </c>
      <c r="G184" s="25">
        <f>C184+SQRT(6^2-3^2)</f>
        <v>7.196152422706632</v>
      </c>
      <c r="H184" s="59">
        <f t="shared" si="33"/>
        <v>6</v>
      </c>
      <c r="I184" s="11">
        <f t="shared" si="34"/>
        <v>6</v>
      </c>
      <c r="J184" s="60">
        <f t="shared" si="35"/>
        <v>6</v>
      </c>
      <c r="K184" s="64">
        <f t="shared" si="36"/>
        <v>59.999999999999993</v>
      </c>
      <c r="L184" s="65">
        <f t="shared" si="37"/>
        <v>59.999999999999993</v>
      </c>
      <c r="M184" s="65">
        <f t="shared" si="38"/>
        <v>59.999999999999993</v>
      </c>
      <c r="N184" s="66">
        <f t="shared" si="39"/>
        <v>1.0471975511965976</v>
      </c>
      <c r="O184" s="65">
        <f t="shared" si="40"/>
        <v>1.0471975511965976</v>
      </c>
      <c r="P184" s="67">
        <f t="shared" si="41"/>
        <v>1.0471975511965976</v>
      </c>
      <c r="Q184" s="68">
        <f t="shared" si="42"/>
        <v>5.196152422706632</v>
      </c>
      <c r="R184" s="63">
        <f t="shared" si="43"/>
        <v>5.196152422706632</v>
      </c>
      <c r="S184" s="69">
        <f t="shared" si="44"/>
        <v>5.196152422706632</v>
      </c>
      <c r="T184" s="13">
        <f>0.5*I184*SQRT(3)</f>
        <v>5.196152422706632</v>
      </c>
      <c r="U184" s="33">
        <f t="shared" si="45"/>
        <v>5.196152422706632</v>
      </c>
      <c r="V184" s="34">
        <f t="shared" si="46"/>
        <v>5.196152422706632</v>
      </c>
      <c r="W184" s="35">
        <f t="shared" si="47"/>
        <v>5.196152422706632</v>
      </c>
      <c r="X184" s="33">
        <f t="shared" si="48"/>
        <v>5.196152422706632</v>
      </c>
      <c r="Y184" s="34">
        <f t="shared" si="49"/>
        <v>5.196152422706632</v>
      </c>
      <c r="Z184" s="35">
        <f t="shared" si="50"/>
        <v>5.196152422706632</v>
      </c>
      <c r="AA184" s="36">
        <f t="shared" si="51"/>
        <v>6</v>
      </c>
      <c r="AB184" s="8">
        <f>IF(RANK(I184,$H184:$J184)+COUNTIF($H184:I184,I184)-1=2,I184,IF(RANK(J184,$H184:$J184)+COUNTIF($H184:J184,J184)-1=2,J184,H184))</f>
        <v>6</v>
      </c>
      <c r="AC184" s="37">
        <f t="shared" si="52"/>
        <v>6</v>
      </c>
      <c r="AD184" s="39">
        <f t="shared" si="53"/>
        <v>5.196152422706632</v>
      </c>
      <c r="AE184" s="8">
        <f t="shared" si="54"/>
        <v>5.196152422706632</v>
      </c>
      <c r="AF184" s="40">
        <f t="shared" si="55"/>
        <v>5.196152422706632</v>
      </c>
      <c r="AG184" s="8">
        <f t="shared" si="56"/>
        <v>5.196152422706632</v>
      </c>
      <c r="AH184" s="8">
        <f t="shared" si="57"/>
        <v>5.196152422706632</v>
      </c>
      <c r="AI184" s="28">
        <f t="shared" si="58"/>
        <v>5.196152422706632</v>
      </c>
      <c r="AJ184" s="26">
        <f t="shared" si="59"/>
        <v>18</v>
      </c>
      <c r="AK184" s="26">
        <f t="shared" si="60"/>
        <v>9</v>
      </c>
      <c r="AL184" s="26">
        <f t="shared" si="61"/>
        <v>15.588457268119896</v>
      </c>
      <c r="AM184" s="13">
        <f>0.25*I184^2*SQRT(3)</f>
        <v>15.588457268119894</v>
      </c>
      <c r="AN184" s="41">
        <f t="shared" si="62"/>
        <v>1.7320508075688774</v>
      </c>
      <c r="AO184" s="13">
        <f>I184*SQRT(3)/6</f>
        <v>1.7320508075688774</v>
      </c>
      <c r="AP184" s="11">
        <f t="shared" si="63"/>
        <v>4</v>
      </c>
      <c r="AQ184" s="11">
        <f t="shared" si="64"/>
        <v>3.7320508075688772</v>
      </c>
      <c r="AR184" s="41">
        <f t="shared" si="65"/>
        <v>3.4641016151377544</v>
      </c>
      <c r="AS184" s="13">
        <f>I184/SQRT(3)</f>
        <v>3.4641016151377548</v>
      </c>
      <c r="AT184" s="8">
        <f t="shared" si="66"/>
        <v>62.353829072479584</v>
      </c>
      <c r="AU184" s="8">
        <f t="shared" si="67"/>
        <v>4</v>
      </c>
      <c r="AV184" s="28">
        <f t="shared" si="68"/>
        <v>3.7320508075688772</v>
      </c>
      <c r="AW184" s="27">
        <f t="shared" si="69"/>
        <v>4</v>
      </c>
      <c r="AX184" s="8">
        <f t="shared" si="70"/>
        <v>3.7320508075688772</v>
      </c>
      <c r="AY184" s="57" t="s">
        <v>138</v>
      </c>
      <c r="AZ184" s="27">
        <f t="shared" si="71"/>
        <v>4</v>
      </c>
      <c r="BA184" s="28">
        <f t="shared" si="72"/>
        <v>3.7320508075688772</v>
      </c>
      <c r="BB184" t="str">
        <f t="shared" si="73"/>
        <v>60-60-60</v>
      </c>
    </row>
    <row r="185" spans="1:57" x14ac:dyDescent="0.3">
      <c r="A185" t="s">
        <v>112</v>
      </c>
      <c r="B185" s="5">
        <v>1</v>
      </c>
      <c r="C185" s="5">
        <v>2</v>
      </c>
      <c r="D185" s="5">
        <v>4</v>
      </c>
      <c r="E185" s="5">
        <v>2</v>
      </c>
      <c r="F185" s="5">
        <v>4</v>
      </c>
      <c r="G185" s="25">
        <f>C185+SQRT(6^2-3^2)</f>
        <v>7.196152422706632</v>
      </c>
      <c r="H185" s="59">
        <f t="shared" si="33"/>
        <v>3</v>
      </c>
      <c r="I185" s="11">
        <f t="shared" si="34"/>
        <v>5.196152422706632</v>
      </c>
      <c r="J185" s="60">
        <f t="shared" si="35"/>
        <v>6</v>
      </c>
      <c r="K185" s="64">
        <f t="shared" si="36"/>
        <v>30.000000000000004</v>
      </c>
      <c r="L185" s="65">
        <f t="shared" si="37"/>
        <v>59.999999999999993</v>
      </c>
      <c r="M185" s="65">
        <f t="shared" si="38"/>
        <v>90</v>
      </c>
      <c r="N185" s="66">
        <f t="shared" si="39"/>
        <v>0.52359877559829893</v>
      </c>
      <c r="O185" s="65">
        <f t="shared" si="40"/>
        <v>1.0471975511965976</v>
      </c>
      <c r="P185" s="67">
        <f t="shared" si="41"/>
        <v>1.5707963267948966</v>
      </c>
      <c r="Q185" s="68">
        <f t="shared" si="42"/>
        <v>5.196152422706632</v>
      </c>
      <c r="R185" s="63">
        <f t="shared" si="43"/>
        <v>3</v>
      </c>
      <c r="S185" s="69">
        <f t="shared" si="44"/>
        <v>2.598076211353316</v>
      </c>
      <c r="T185" s="13">
        <f>H185*I185/J185</f>
        <v>2.598076211353316</v>
      </c>
      <c r="U185" s="33">
        <f t="shared" si="45"/>
        <v>5.4083269131959844</v>
      </c>
      <c r="V185" s="34">
        <f t="shared" si="46"/>
        <v>3.9686269665968861</v>
      </c>
      <c r="W185" s="35">
        <f t="shared" si="47"/>
        <v>3</v>
      </c>
      <c r="X185" s="33">
        <f t="shared" si="48"/>
        <v>5.3794528330083216</v>
      </c>
      <c r="Y185" s="37">
        <f t="shared" si="49"/>
        <v>3.4641016151377548</v>
      </c>
      <c r="Z185" s="35">
        <f t="shared" si="50"/>
        <v>2.6897264165041608</v>
      </c>
      <c r="AA185" s="36">
        <f t="shared" si="51"/>
        <v>6</v>
      </c>
      <c r="AB185" s="8">
        <f>IF(RANK(I185,$H185:$J185)+COUNTIF($H185:I185,I185)-1=2,I185,IF(RANK(J185,$H185:$J185)+COUNTIF($H185:J185,J185)-1=2,J185,H185))</f>
        <v>5.196152422706632</v>
      </c>
      <c r="AC185" s="37">
        <f t="shared" si="52"/>
        <v>3</v>
      </c>
      <c r="AD185" s="39">
        <f t="shared" si="53"/>
        <v>1.7320508075688774</v>
      </c>
      <c r="AE185" s="8">
        <f t="shared" si="54"/>
        <v>1.5</v>
      </c>
      <c r="AF185" s="40">
        <f t="shared" si="55"/>
        <v>2.598076211353316</v>
      </c>
      <c r="AG185" s="8">
        <f t="shared" si="56"/>
        <v>2.598076211353316</v>
      </c>
      <c r="AH185" s="8">
        <f t="shared" si="57"/>
        <v>1.5</v>
      </c>
      <c r="AI185" s="28">
        <f t="shared" si="58"/>
        <v>1.7320508075688774</v>
      </c>
      <c r="AJ185" s="26">
        <f t="shared" si="59"/>
        <v>14.196152422706632</v>
      </c>
      <c r="AK185" s="26">
        <f t="shared" si="60"/>
        <v>7.098076211353316</v>
      </c>
      <c r="AL185" s="26">
        <f t="shared" si="61"/>
        <v>7.794228634059948</v>
      </c>
      <c r="AM185" s="13">
        <f>(1/8)*J185^2*SQRT(3)</f>
        <v>7.7942286340599471</v>
      </c>
      <c r="AN185" s="41">
        <f t="shared" si="62"/>
        <v>1.098076211353316</v>
      </c>
      <c r="AO185" s="13">
        <f>0.25*J185*(SQRT(3)-1)</f>
        <v>1.0980762113533158</v>
      </c>
      <c r="AP185" s="11">
        <f t="shared" si="63"/>
        <v>2.901923788646684</v>
      </c>
      <c r="AQ185" s="11">
        <f t="shared" si="64"/>
        <v>3.098076211353316</v>
      </c>
      <c r="AR185" s="41">
        <f t="shared" si="65"/>
        <v>3</v>
      </c>
      <c r="AS185" s="13">
        <f>0.5*J185</f>
        <v>3</v>
      </c>
      <c r="AT185" s="8">
        <f t="shared" si="66"/>
        <v>31.176914536239792</v>
      </c>
      <c r="AU185" s="8">
        <f t="shared" si="67"/>
        <v>2.5</v>
      </c>
      <c r="AV185" s="28">
        <f t="shared" si="68"/>
        <v>4.598076211353316</v>
      </c>
      <c r="AW185" s="27">
        <f t="shared" si="69"/>
        <v>3.9999999999999996</v>
      </c>
      <c r="AX185" s="8">
        <f t="shared" si="70"/>
        <v>2.0000000000000004</v>
      </c>
      <c r="AY185" s="57" t="s">
        <v>137</v>
      </c>
      <c r="AZ185" s="27">
        <f t="shared" si="71"/>
        <v>3</v>
      </c>
      <c r="BA185" s="28">
        <f t="shared" si="72"/>
        <v>3.7320508075688772</v>
      </c>
      <c r="BB185" t="str">
        <f t="shared" si="73"/>
        <v>30-60-90</v>
      </c>
    </row>
    <row r="186" spans="1:57" x14ac:dyDescent="0.3">
      <c r="A186" t="s">
        <v>141</v>
      </c>
      <c r="B186" s="5">
        <v>2</v>
      </c>
      <c r="C186" s="5">
        <v>5.6568550000000002</v>
      </c>
      <c r="D186" s="5">
        <v>0</v>
      </c>
      <c r="E186" s="5">
        <v>0</v>
      </c>
      <c r="F186" s="5">
        <v>4</v>
      </c>
      <c r="G186" s="5">
        <v>0</v>
      </c>
      <c r="H186" s="59">
        <f t="shared" si="33"/>
        <v>6.0000007075853752</v>
      </c>
      <c r="I186" s="11">
        <f t="shared" si="34"/>
        <v>4</v>
      </c>
      <c r="J186" s="60">
        <f t="shared" si="35"/>
        <v>6.0000007075853752</v>
      </c>
      <c r="K186" s="64">
        <f t="shared" si="36"/>
        <v>70.528781754448971</v>
      </c>
      <c r="L186" s="65">
        <f t="shared" si="37"/>
        <v>38.942436491102043</v>
      </c>
      <c r="M186" s="65">
        <f t="shared" si="38"/>
        <v>70.528781754448971</v>
      </c>
      <c r="N186" s="66">
        <f t="shared" si="39"/>
        <v>1.2309594590356374</v>
      </c>
      <c r="O186" s="65">
        <f t="shared" si="40"/>
        <v>0.67967373551851817</v>
      </c>
      <c r="P186" s="67">
        <f t="shared" si="41"/>
        <v>1.2309594590356374</v>
      </c>
      <c r="Q186" s="68">
        <f t="shared" si="42"/>
        <v>3.7712362219214008</v>
      </c>
      <c r="R186" s="63">
        <f t="shared" si="43"/>
        <v>5.6568550000000002</v>
      </c>
      <c r="S186" s="69">
        <f t="shared" si="44"/>
        <v>3.7712362219214008</v>
      </c>
      <c r="T186" s="114">
        <f>0.5*SQRT(4*H186^2-I186^2)</f>
        <v>5.6568550000000002</v>
      </c>
      <c r="U186" s="33">
        <f t="shared" si="45"/>
        <v>4.1231058830396599</v>
      </c>
      <c r="V186" s="34">
        <f t="shared" si="46"/>
        <v>5.6568550000000002</v>
      </c>
      <c r="W186" s="35">
        <f t="shared" si="47"/>
        <v>4.1231058830396599</v>
      </c>
      <c r="X186" s="33">
        <f t="shared" si="48"/>
        <v>3.9191837155561045</v>
      </c>
      <c r="Y186" s="37">
        <f t="shared" si="49"/>
        <v>5.6568550000000002</v>
      </c>
      <c r="Z186" s="35">
        <f t="shared" si="50"/>
        <v>3.9191837155561045</v>
      </c>
      <c r="AA186" s="36">
        <f t="shared" si="51"/>
        <v>6.0000007075853752</v>
      </c>
      <c r="AB186" s="8">
        <f>IF(RANK(I186,$H186:$J186)+COUNTIF($H186:I186,I186)-1=2,I186,IF(RANK(J186,$H186:$J186)+COUNTIF($H186:J186,J186)-1=2,J186,H186))</f>
        <v>6.0000007075853752</v>
      </c>
      <c r="AC186" s="37">
        <f t="shared" si="52"/>
        <v>4</v>
      </c>
      <c r="AD186" s="39">
        <f t="shared" si="53"/>
        <v>2.4243659792879857</v>
      </c>
      <c r="AE186" s="8">
        <f t="shared" si="54"/>
        <v>2.4243659792879857</v>
      </c>
      <c r="AF186" s="40">
        <f t="shared" si="55"/>
        <v>5.6568550000000002</v>
      </c>
      <c r="AG186" s="8">
        <f t="shared" si="56"/>
        <v>2.4243659792879857</v>
      </c>
      <c r="AH186" s="8">
        <f t="shared" si="57"/>
        <v>5.6568550000000002</v>
      </c>
      <c r="AI186" s="28">
        <f t="shared" si="58"/>
        <v>2.4243659792879857</v>
      </c>
      <c r="AJ186" s="26">
        <f t="shared" si="59"/>
        <v>16.00000141517075</v>
      </c>
      <c r="AK186" s="26">
        <f t="shared" si="60"/>
        <v>8.0000007075853752</v>
      </c>
      <c r="AL186" s="32">
        <f t="shared" si="61"/>
        <v>11.31371</v>
      </c>
      <c r="AM186" s="13">
        <f>0.25*I186*SQRT(4*H186^2-I186^2)</f>
        <v>11.31371</v>
      </c>
      <c r="AN186" s="41">
        <f t="shared" si="62"/>
        <v>1.4142136249153903</v>
      </c>
      <c r="AO186" s="13">
        <f>I186*(SQRT(I186^2+4*T186^2)-I186)/(4*T186)</f>
        <v>1.4142136249153903</v>
      </c>
      <c r="AP186" s="11">
        <f t="shared" si="63"/>
        <v>2</v>
      </c>
      <c r="AQ186" s="11">
        <f t="shared" si="64"/>
        <v>1.4142136249153903</v>
      </c>
      <c r="AR186" s="41">
        <f t="shared" si="65"/>
        <v>3.1819808436865538</v>
      </c>
      <c r="AS186" s="13">
        <f>(1/8)*(I186^2/T186+4*T186)</f>
        <v>3.1819808436865538</v>
      </c>
      <c r="AT186" s="8">
        <f t="shared" si="66"/>
        <v>45.254840000000002</v>
      </c>
      <c r="AU186" s="8">
        <f t="shared" si="67"/>
        <v>2</v>
      </c>
      <c r="AV186" s="28">
        <f t="shared" si="68"/>
        <v>2.474874156313446</v>
      </c>
      <c r="AW186" s="27">
        <f t="shared" si="69"/>
        <v>1.9999999999999998</v>
      </c>
      <c r="AX186" s="8">
        <f t="shared" si="70"/>
        <v>0.70710668737310767</v>
      </c>
      <c r="AY186" s="57" t="s">
        <v>137</v>
      </c>
      <c r="AZ186" s="27">
        <f t="shared" si="71"/>
        <v>2</v>
      </c>
      <c r="BA186" s="28">
        <f t="shared" si="72"/>
        <v>1.8856183333333334</v>
      </c>
      <c r="BB186" t="str">
        <f t="shared" si="73"/>
        <v>Isosceles</v>
      </c>
    </row>
    <row r="187" spans="1:57" x14ac:dyDescent="0.3">
      <c r="A187" t="s">
        <v>140</v>
      </c>
      <c r="B187" s="5">
        <v>0</v>
      </c>
      <c r="C187" s="5">
        <v>0</v>
      </c>
      <c r="D187" s="5">
        <v>4</v>
      </c>
      <c r="E187" s="5">
        <v>0</v>
      </c>
      <c r="F187" s="5">
        <v>0</v>
      </c>
      <c r="G187" s="5">
        <v>4</v>
      </c>
      <c r="H187" s="27">
        <f t="shared" si="33"/>
        <v>4</v>
      </c>
      <c r="I187" s="8">
        <f t="shared" si="34"/>
        <v>5.6568542494923806</v>
      </c>
      <c r="J187" s="28">
        <f t="shared" si="35"/>
        <v>4</v>
      </c>
      <c r="K187" s="29">
        <f t="shared" si="36"/>
        <v>44.999999999999986</v>
      </c>
      <c r="L187" s="30">
        <f t="shared" si="37"/>
        <v>90.000000000000014</v>
      </c>
      <c r="M187" s="30">
        <f t="shared" si="38"/>
        <v>44.999999999999986</v>
      </c>
      <c r="N187" s="55">
        <f t="shared" si="39"/>
        <v>0.78539816339744806</v>
      </c>
      <c r="O187" s="30">
        <f t="shared" si="40"/>
        <v>1.5707963267948968</v>
      </c>
      <c r="P187" s="31">
        <f t="shared" si="41"/>
        <v>0.78539816339744806</v>
      </c>
      <c r="Q187" s="36">
        <f t="shared" si="42"/>
        <v>3.9999999999999982</v>
      </c>
      <c r="R187" s="37">
        <f t="shared" si="43"/>
        <v>2.8284271247461885</v>
      </c>
      <c r="S187" s="38">
        <f t="shared" si="44"/>
        <v>3.9999999999999982</v>
      </c>
      <c r="T187" s="114">
        <f>H187/SQRT(2)</f>
        <v>2.8284271247461898</v>
      </c>
      <c r="U187" s="33">
        <f t="shared" si="45"/>
        <v>4.4721359549995796</v>
      </c>
      <c r="V187" s="34">
        <f t="shared" si="46"/>
        <v>2.8284271247461898</v>
      </c>
      <c r="W187" s="35">
        <f t="shared" si="47"/>
        <v>4.4721359549995796</v>
      </c>
      <c r="X187" s="33">
        <f t="shared" si="48"/>
        <v>4.3295688011695761</v>
      </c>
      <c r="Y187" s="37">
        <f t="shared" si="49"/>
        <v>2.8284271247461898</v>
      </c>
      <c r="Z187" s="35">
        <f t="shared" si="50"/>
        <v>4.3295688011695761</v>
      </c>
      <c r="AA187" s="36">
        <f t="shared" si="51"/>
        <v>5.6568542494923806</v>
      </c>
      <c r="AB187" s="8">
        <f>IF(RANK(I187,$H187:$J187)+COUNTIF($H187:I187,I187)-1=2,I187,IF(RANK(J187,$H187:$J187)+COUNTIF($H187:J187,J187)-1=2,J187,H187))</f>
        <v>4</v>
      </c>
      <c r="AC187" s="37">
        <f t="shared" si="52"/>
        <v>4</v>
      </c>
      <c r="AD187" s="39">
        <f t="shared" si="53"/>
        <v>2.8284271247461885</v>
      </c>
      <c r="AE187" s="8">
        <f t="shared" si="54"/>
        <v>1.9999999999999987</v>
      </c>
      <c r="AF187" s="40">
        <f t="shared" si="55"/>
        <v>1.9999999999999987</v>
      </c>
      <c r="AG187" s="8">
        <f t="shared" si="56"/>
        <v>1.9999999999999987</v>
      </c>
      <c r="AH187" s="8">
        <f t="shared" si="57"/>
        <v>2.8284271247461885</v>
      </c>
      <c r="AI187" s="28">
        <f t="shared" si="58"/>
        <v>1.9999999999999987</v>
      </c>
      <c r="AJ187" s="26">
        <f t="shared" si="59"/>
        <v>13.65685424949238</v>
      </c>
      <c r="AK187" s="26">
        <f t="shared" si="60"/>
        <v>6.8284271247461898</v>
      </c>
      <c r="AL187" s="26">
        <f t="shared" si="61"/>
        <v>7.9999999999999964</v>
      </c>
      <c r="AM187" s="13">
        <f>0.5*H187^2</f>
        <v>8</v>
      </c>
      <c r="AN187" s="41">
        <f t="shared" si="62"/>
        <v>1.1715728752538095</v>
      </c>
      <c r="AO187" s="13">
        <f>0.5*H187*(2-SQRT(2))</f>
        <v>1.1715728752538097</v>
      </c>
      <c r="AP187" s="11">
        <f t="shared" si="63"/>
        <v>1.1715728752538099</v>
      </c>
      <c r="AQ187" s="11">
        <f t="shared" si="64"/>
        <v>1.1715728752538099</v>
      </c>
      <c r="AR187" s="41">
        <f t="shared" si="65"/>
        <v>2.8284271247461916</v>
      </c>
      <c r="AS187" s="13">
        <f>(1/8)*(I187^2/T187+4*T187)</f>
        <v>2.8284271247461907</v>
      </c>
      <c r="AT187" s="8">
        <f t="shared" si="66"/>
        <v>32</v>
      </c>
      <c r="AU187" s="8">
        <f t="shared" si="67"/>
        <v>2</v>
      </c>
      <c r="AV187" s="28">
        <f t="shared" si="68"/>
        <v>2</v>
      </c>
      <c r="AW187" s="27">
        <f t="shared" si="69"/>
        <v>-6.4314872871840113E-16</v>
      </c>
      <c r="AX187" s="8">
        <f t="shared" si="70"/>
        <v>-6.4314872871840113E-16</v>
      </c>
      <c r="AY187" s="57" t="s">
        <v>137</v>
      </c>
      <c r="AZ187" s="27">
        <f t="shared" si="71"/>
        <v>1.3333333333333333</v>
      </c>
      <c r="BA187" s="28">
        <f t="shared" si="72"/>
        <v>1.3333333333333333</v>
      </c>
      <c r="BB187" t="str">
        <f t="shared" si="73"/>
        <v>Right Isosceles</v>
      </c>
    </row>
    <row r="188" spans="1:57" x14ac:dyDescent="0.3">
      <c r="A188" t="s">
        <v>142</v>
      </c>
      <c r="B188" s="5">
        <v>0</v>
      </c>
      <c r="C188" s="5">
        <v>0</v>
      </c>
      <c r="D188" s="5">
        <v>4</v>
      </c>
      <c r="E188" s="5">
        <v>0</v>
      </c>
      <c r="F188" s="5">
        <v>4</v>
      </c>
      <c r="G188" s="5">
        <v>6</v>
      </c>
      <c r="H188" s="59">
        <f t="shared" si="33"/>
        <v>4</v>
      </c>
      <c r="I188" s="11">
        <f t="shared" si="34"/>
        <v>6</v>
      </c>
      <c r="J188" s="60">
        <f t="shared" si="35"/>
        <v>7.2111025509279782</v>
      </c>
      <c r="K188" s="64">
        <f t="shared" si="36"/>
        <v>33.690067525979778</v>
      </c>
      <c r="L188" s="65">
        <f t="shared" si="37"/>
        <v>56.309932474020215</v>
      </c>
      <c r="M188" s="65">
        <f t="shared" si="38"/>
        <v>89.999999999999986</v>
      </c>
      <c r="N188" s="66">
        <f t="shared" si="39"/>
        <v>0.58800260354756739</v>
      </c>
      <c r="O188" s="65">
        <f t="shared" si="40"/>
        <v>0.98279372324732905</v>
      </c>
      <c r="P188" s="67">
        <f t="shared" si="41"/>
        <v>1.5707963267948963</v>
      </c>
      <c r="Q188" s="68">
        <f t="shared" si="42"/>
        <v>6.0000000000000027</v>
      </c>
      <c r="R188" s="63">
        <f t="shared" si="43"/>
        <v>4.0000000000000018</v>
      </c>
      <c r="S188" s="69">
        <f t="shared" si="44"/>
        <v>3.3282011773513762</v>
      </c>
      <c r="T188" s="114">
        <f>H188*I188/J188</f>
        <v>3.3282011773513749</v>
      </c>
      <c r="U188" s="70">
        <f t="shared" si="45"/>
        <v>6.324555320336759</v>
      </c>
      <c r="V188" s="71">
        <f t="shared" si="46"/>
        <v>5</v>
      </c>
      <c r="W188" s="72">
        <f t="shared" si="47"/>
        <v>3.6055512754639896</v>
      </c>
      <c r="X188" s="70">
        <f t="shared" si="48"/>
        <v>6.2689896414768924</v>
      </c>
      <c r="Y188" s="63">
        <f t="shared" si="49"/>
        <v>4.5368211873060869</v>
      </c>
      <c r="Z188" s="72">
        <f t="shared" si="50"/>
        <v>3.3941125496954285</v>
      </c>
      <c r="AA188" s="68">
        <f t="shared" si="51"/>
        <v>7.2111025509279782</v>
      </c>
      <c r="AB188" s="11">
        <f>IF(RANK(I188,$H188:$J188)+COUNTIF($H188:I188,I188)-1=2,I188,IF(RANK(J188,$H188:$J188)+COUNTIF($H188:J188,J188)-1=2,J188,H188))</f>
        <v>6</v>
      </c>
      <c r="AC188" s="63">
        <f t="shared" si="52"/>
        <v>4</v>
      </c>
      <c r="AD188" s="54">
        <f t="shared" si="53"/>
        <v>2.4037008503093271</v>
      </c>
      <c r="AE188" s="11">
        <f t="shared" si="54"/>
        <v>2.0000000000000009</v>
      </c>
      <c r="AF188" s="73">
        <f t="shared" si="55"/>
        <v>3.0000000000000018</v>
      </c>
      <c r="AG188" s="11">
        <f t="shared" si="56"/>
        <v>3.0000000000000018</v>
      </c>
      <c r="AH188" s="11">
        <f t="shared" si="57"/>
        <v>2.0000000000000009</v>
      </c>
      <c r="AI188" s="60">
        <f t="shared" si="58"/>
        <v>2.4037008503093271</v>
      </c>
      <c r="AJ188" s="26">
        <f t="shared" si="59"/>
        <v>17.211102550927979</v>
      </c>
      <c r="AK188" s="26">
        <f t="shared" si="60"/>
        <v>8.6055512754639896</v>
      </c>
      <c r="AL188" s="26">
        <f t="shared" si="61"/>
        <v>12.000000000000005</v>
      </c>
      <c r="AM188" s="13">
        <f>0.5*I188*H188</f>
        <v>12</v>
      </c>
      <c r="AN188" s="74">
        <f t="shared" si="62"/>
        <v>1.3944487245360113</v>
      </c>
      <c r="AO188" s="13">
        <f>H188*I188/AJ188</f>
        <v>1.3944487245360107</v>
      </c>
      <c r="AP188" s="11">
        <f t="shared" si="63"/>
        <v>2.6055512754639891</v>
      </c>
      <c r="AQ188" s="11">
        <f t="shared" si="64"/>
        <v>1.3944487245360107</v>
      </c>
      <c r="AR188" s="74">
        <f t="shared" si="65"/>
        <v>3.6055512754639873</v>
      </c>
      <c r="AS188" s="13">
        <f>0.5*J188</f>
        <v>3.6055512754639891</v>
      </c>
      <c r="AT188" s="11">
        <f t="shared" si="66"/>
        <v>48</v>
      </c>
      <c r="AU188" s="11">
        <f t="shared" si="67"/>
        <v>2</v>
      </c>
      <c r="AV188" s="60">
        <f t="shared" si="68"/>
        <v>3</v>
      </c>
      <c r="AW188" s="59">
        <f t="shared" si="69"/>
        <v>3.9999999999999982</v>
      </c>
      <c r="AX188" s="11">
        <f t="shared" si="70"/>
        <v>1.1332081106818481E-15</v>
      </c>
      <c r="AZ188" s="59">
        <f t="shared" si="71"/>
        <v>2.6666666666666665</v>
      </c>
      <c r="BA188" s="60">
        <f t="shared" si="72"/>
        <v>2</v>
      </c>
      <c r="BB188" t="str">
        <f t="shared" si="73"/>
        <v>Right Triangle</v>
      </c>
      <c r="BC188">
        <f>H188^2/J188</f>
        <v>2.2188007849009166</v>
      </c>
      <c r="BD188">
        <f>I188^2/J188</f>
        <v>4.9923017660270625</v>
      </c>
      <c r="BE188">
        <f>BC188+BD188</f>
        <v>7.2111025509279791</v>
      </c>
    </row>
    <row r="189" spans="1:57" x14ac:dyDescent="0.3">
      <c r="A189" t="s">
        <v>143</v>
      </c>
      <c r="B189" s="5">
        <v>0</v>
      </c>
      <c r="C189" s="5">
        <v>0</v>
      </c>
      <c r="D189" s="5">
        <v>3</v>
      </c>
      <c r="E189" s="5">
        <v>0</v>
      </c>
      <c r="F189" s="5">
        <v>3</v>
      </c>
      <c r="G189" s="5">
        <v>4</v>
      </c>
      <c r="H189" s="59">
        <f t="shared" si="33"/>
        <v>3</v>
      </c>
      <c r="I189" s="11">
        <f t="shared" si="34"/>
        <v>4</v>
      </c>
      <c r="J189" s="60">
        <f t="shared" si="35"/>
        <v>5</v>
      </c>
      <c r="K189" s="64">
        <f t="shared" si="36"/>
        <v>36.869897645844013</v>
      </c>
      <c r="L189" s="65">
        <f t="shared" si="37"/>
        <v>53.13010235415598</v>
      </c>
      <c r="M189" s="65">
        <f t="shared" si="38"/>
        <v>90</v>
      </c>
      <c r="N189" s="66">
        <f t="shared" si="39"/>
        <v>0.64350110879328426</v>
      </c>
      <c r="O189" s="65">
        <f t="shared" si="40"/>
        <v>0.92729521800161219</v>
      </c>
      <c r="P189" s="67">
        <f t="shared" si="41"/>
        <v>1.5707963267948966</v>
      </c>
      <c r="Q189" s="68">
        <f t="shared" si="42"/>
        <v>4</v>
      </c>
      <c r="R189" s="63">
        <f t="shared" si="43"/>
        <v>3</v>
      </c>
      <c r="S189" s="69">
        <f t="shared" si="44"/>
        <v>2.4</v>
      </c>
      <c r="T189" s="76">
        <f>H189*I189/J189</f>
        <v>2.4</v>
      </c>
      <c r="U189" s="70">
        <f t="shared" si="45"/>
        <v>4.2720018726587652</v>
      </c>
      <c r="V189" s="71">
        <f t="shared" si="46"/>
        <v>3.6055512754639891</v>
      </c>
      <c r="W189" s="72">
        <f t="shared" si="47"/>
        <v>2.5</v>
      </c>
      <c r="X189" s="70">
        <f t="shared" si="48"/>
        <v>4.2163702135578394</v>
      </c>
      <c r="Y189" s="63">
        <f t="shared" si="49"/>
        <v>3.3541019662496847</v>
      </c>
      <c r="Z189" s="72">
        <f t="shared" si="50"/>
        <v>2.4243661069253055</v>
      </c>
      <c r="AA189" s="68">
        <f t="shared" si="51"/>
        <v>5</v>
      </c>
      <c r="AB189" s="11">
        <f>IF(RANK(I189,$H189:$J189)+COUNTIF($H189:I189,I189)-1=2,I189,IF(RANK(J189,$H189:$J189)+COUNTIF($H189:J189,J189)-1=2,J189,H189))</f>
        <v>4</v>
      </c>
      <c r="AC189" s="63">
        <f t="shared" si="52"/>
        <v>3</v>
      </c>
      <c r="AD189" s="54">
        <f t="shared" si="53"/>
        <v>1.875</v>
      </c>
      <c r="AE189" s="11">
        <f t="shared" si="54"/>
        <v>1.5</v>
      </c>
      <c r="AF189" s="73">
        <f t="shared" si="55"/>
        <v>2</v>
      </c>
      <c r="AG189" s="11">
        <f t="shared" si="56"/>
        <v>2</v>
      </c>
      <c r="AH189" s="11">
        <f t="shared" si="57"/>
        <v>1.5</v>
      </c>
      <c r="AI189" s="60">
        <f t="shared" si="58"/>
        <v>1.875</v>
      </c>
      <c r="AJ189" s="26">
        <f t="shared" si="59"/>
        <v>12</v>
      </c>
      <c r="AK189" s="26">
        <f t="shared" si="60"/>
        <v>6</v>
      </c>
      <c r="AL189" s="26">
        <f t="shared" si="61"/>
        <v>6</v>
      </c>
      <c r="AM189" s="77">
        <f>6*(H189/3)</f>
        <v>6</v>
      </c>
      <c r="AN189" s="74">
        <f t="shared" si="62"/>
        <v>1</v>
      </c>
      <c r="AO189" s="77">
        <f>1*(H189/3)</f>
        <v>1</v>
      </c>
      <c r="AP189" s="11">
        <f t="shared" si="63"/>
        <v>2</v>
      </c>
      <c r="AQ189" s="11">
        <f t="shared" si="64"/>
        <v>1</v>
      </c>
      <c r="AR189" s="74">
        <f t="shared" si="65"/>
        <v>2.5</v>
      </c>
      <c r="AS189" s="77">
        <f>5/2*(H189/3)</f>
        <v>2.5</v>
      </c>
      <c r="AT189" s="11">
        <f t="shared" si="66"/>
        <v>24</v>
      </c>
      <c r="AU189" s="11">
        <f t="shared" si="67"/>
        <v>1.5</v>
      </c>
      <c r="AV189" s="60">
        <f t="shared" si="68"/>
        <v>2</v>
      </c>
      <c r="AW189" s="59">
        <f t="shared" si="69"/>
        <v>2.9999999999999996</v>
      </c>
      <c r="AX189" s="11">
        <f t="shared" si="70"/>
        <v>1.8377226823629293E-16</v>
      </c>
      <c r="AZ189" s="59">
        <f t="shared" si="71"/>
        <v>2</v>
      </c>
      <c r="BA189" s="60">
        <f t="shared" si="72"/>
        <v>1.3333333333333333</v>
      </c>
      <c r="BB189" t="str">
        <f t="shared" si="73"/>
        <v>Triangle 345</v>
      </c>
      <c r="BC189" s="26">
        <f>H189^2/J189</f>
        <v>1.8</v>
      </c>
      <c r="BD189" s="26">
        <f>I189^2/J189</f>
        <v>3.2</v>
      </c>
      <c r="BE189">
        <f>BC189+BD189</f>
        <v>5</v>
      </c>
    </row>
    <row r="190" spans="1:57" s="78" customFormat="1" x14ac:dyDescent="0.3">
      <c r="A190" s="78" t="s">
        <v>143</v>
      </c>
      <c r="B190" s="79">
        <f>B189*3.5</f>
        <v>0</v>
      </c>
      <c r="C190" s="79">
        <f>C189*3.5</f>
        <v>0</v>
      </c>
      <c r="D190" s="79">
        <v>10.5</v>
      </c>
      <c r="E190" s="79">
        <f>E189*3.5</f>
        <v>0</v>
      </c>
      <c r="F190" s="79">
        <v>10.5</v>
      </c>
      <c r="G190" s="79">
        <v>14</v>
      </c>
      <c r="H190" s="80">
        <f t="shared" si="33"/>
        <v>10.5</v>
      </c>
      <c r="I190" s="81">
        <f t="shared" si="34"/>
        <v>14</v>
      </c>
      <c r="J190" s="82">
        <f t="shared" si="35"/>
        <v>17.5</v>
      </c>
      <c r="K190" s="83">
        <f t="shared" si="36"/>
        <v>36.869897645844013</v>
      </c>
      <c r="L190" s="84">
        <f t="shared" si="37"/>
        <v>53.13010235415598</v>
      </c>
      <c r="M190" s="84">
        <f t="shared" si="38"/>
        <v>90</v>
      </c>
      <c r="N190" s="85">
        <f t="shared" si="39"/>
        <v>0.64350110879328426</v>
      </c>
      <c r="O190" s="84">
        <f t="shared" si="40"/>
        <v>0.92729521800161219</v>
      </c>
      <c r="P190" s="86">
        <f t="shared" si="41"/>
        <v>1.5707963267948966</v>
      </c>
      <c r="Q190" s="87">
        <f t="shared" si="42"/>
        <v>14</v>
      </c>
      <c r="R190" s="88">
        <f t="shared" si="43"/>
        <v>10.5</v>
      </c>
      <c r="S190" s="89">
        <f t="shared" si="44"/>
        <v>8.4</v>
      </c>
      <c r="T190" s="76">
        <f>(H190*I190/J190)</f>
        <v>8.4</v>
      </c>
      <c r="U190" s="90">
        <f t="shared" si="45"/>
        <v>14.952006554305679</v>
      </c>
      <c r="V190" s="91">
        <f t="shared" si="46"/>
        <v>12.619429464123963</v>
      </c>
      <c r="W190" s="92">
        <f t="shared" si="47"/>
        <v>8.75</v>
      </c>
      <c r="X190" s="90">
        <f t="shared" si="48"/>
        <v>14.757295747452437</v>
      </c>
      <c r="Y190" s="88">
        <f t="shared" si="49"/>
        <v>11.739356881873896</v>
      </c>
      <c r="Z190" s="92">
        <f t="shared" si="50"/>
        <v>8.4852813742385695</v>
      </c>
      <c r="AA190" s="87">
        <f t="shared" si="51"/>
        <v>17.5</v>
      </c>
      <c r="AB190" s="81">
        <f>IF(RANK(I190,$H190:$J190)+COUNTIF($H190:I190,I190)-1=2,I190,IF(RANK(J190,$H190:$J190)+COUNTIF($H190:J190,J190)-1=2,J190,H190))</f>
        <v>14</v>
      </c>
      <c r="AC190" s="88">
        <f t="shared" si="52"/>
        <v>10.5</v>
      </c>
      <c r="AD190" s="93">
        <f t="shared" si="53"/>
        <v>6.5625</v>
      </c>
      <c r="AE190" s="81">
        <f t="shared" si="54"/>
        <v>5.25</v>
      </c>
      <c r="AF190" s="94">
        <f t="shared" si="55"/>
        <v>7</v>
      </c>
      <c r="AG190" s="81">
        <f t="shared" si="56"/>
        <v>7</v>
      </c>
      <c r="AH190" s="81">
        <f t="shared" si="57"/>
        <v>5.25</v>
      </c>
      <c r="AI190" s="82">
        <f t="shared" si="58"/>
        <v>6.5625</v>
      </c>
      <c r="AJ190" s="95">
        <f t="shared" si="59"/>
        <v>42</v>
      </c>
      <c r="AK190" s="95">
        <f t="shared" si="60"/>
        <v>21</v>
      </c>
      <c r="AL190" s="95">
        <f t="shared" si="61"/>
        <v>73.5</v>
      </c>
      <c r="AM190" s="77">
        <f>6*(H190/3)^2</f>
        <v>73.5</v>
      </c>
      <c r="AN190" s="96">
        <f t="shared" si="62"/>
        <v>3.5</v>
      </c>
      <c r="AO190" s="77">
        <f>1*(H190/3)</f>
        <v>3.5</v>
      </c>
      <c r="AP190" s="81">
        <f t="shared" si="63"/>
        <v>7</v>
      </c>
      <c r="AQ190" s="81">
        <f t="shared" si="64"/>
        <v>3.5</v>
      </c>
      <c r="AR190" s="96">
        <f t="shared" si="65"/>
        <v>8.75</v>
      </c>
      <c r="AS190" s="77">
        <f>5/2*(H190/3)</f>
        <v>8.75</v>
      </c>
      <c r="AT190" s="81">
        <f t="shared" si="66"/>
        <v>294</v>
      </c>
      <c r="AU190" s="81">
        <f t="shared" si="67"/>
        <v>5.25</v>
      </c>
      <c r="AV190" s="82">
        <f t="shared" si="68"/>
        <v>7</v>
      </c>
      <c r="AW190" s="80">
        <f t="shared" si="69"/>
        <v>10.499999999999998</v>
      </c>
      <c r="AX190" s="81">
        <f t="shared" si="70"/>
        <v>6.4320293882702521E-16</v>
      </c>
      <c r="AZ190" s="80">
        <f t="shared" si="71"/>
        <v>7</v>
      </c>
      <c r="BA190" s="82">
        <f t="shared" si="72"/>
        <v>4.666666666666667</v>
      </c>
      <c r="BB190" s="78" t="str">
        <f t="shared" si="73"/>
        <v>Triangle 345</v>
      </c>
      <c r="BC190" s="26">
        <f>H190^2/J190</f>
        <v>6.3</v>
      </c>
      <c r="BD190" s="26">
        <f>I190^2/J190</f>
        <v>11.2</v>
      </c>
      <c r="BE190">
        <f>BC190+BD190</f>
        <v>17.5</v>
      </c>
    </row>
    <row r="191" spans="1:57" x14ac:dyDescent="0.3">
      <c r="A191" t="s">
        <v>144</v>
      </c>
      <c r="B191" s="5">
        <v>0</v>
      </c>
      <c r="C191" s="5">
        <v>0</v>
      </c>
      <c r="D191" s="5">
        <v>4</v>
      </c>
      <c r="E191" s="5">
        <v>0</v>
      </c>
      <c r="F191" s="5">
        <v>4</v>
      </c>
      <c r="G191" s="75">
        <f>F191/TAN(RADIANS(30))</f>
        <v>6.9282032302755097</v>
      </c>
      <c r="H191" s="59">
        <f t="shared" si="33"/>
        <v>4</v>
      </c>
      <c r="I191" s="11">
        <f t="shared" si="34"/>
        <v>6.9282032302755097</v>
      </c>
      <c r="J191" s="60">
        <f t="shared" si="35"/>
        <v>8</v>
      </c>
      <c r="K191" s="64">
        <f t="shared" si="36"/>
        <v>30.000000000000004</v>
      </c>
      <c r="L191" s="65">
        <f t="shared" si="37"/>
        <v>60.000000000000007</v>
      </c>
      <c r="M191" s="65">
        <f t="shared" si="38"/>
        <v>90</v>
      </c>
      <c r="N191" s="66">
        <f t="shared" si="39"/>
        <v>0.52359877559829893</v>
      </c>
      <c r="O191" s="65">
        <f t="shared" si="40"/>
        <v>1.0471975511965979</v>
      </c>
      <c r="P191" s="67">
        <f t="shared" si="41"/>
        <v>1.5707963267948966</v>
      </c>
      <c r="Q191" s="68">
        <f t="shared" si="42"/>
        <v>6.9282032302755114</v>
      </c>
      <c r="R191" s="63">
        <f t="shared" si="43"/>
        <v>4.0000000000000009</v>
      </c>
      <c r="S191" s="69">
        <f t="shared" si="44"/>
        <v>3.4641016151377557</v>
      </c>
      <c r="T191" s="114">
        <f>H191*I191/J191</f>
        <v>3.4641016151377548</v>
      </c>
      <c r="U191" s="70">
        <f t="shared" si="45"/>
        <v>7.2111025509279782</v>
      </c>
      <c r="V191" s="71">
        <f t="shared" si="46"/>
        <v>5.2915026221291814</v>
      </c>
      <c r="W191" s="72">
        <f t="shared" si="47"/>
        <v>4</v>
      </c>
      <c r="X191" s="70">
        <f t="shared" si="48"/>
        <v>7.1726037773444284</v>
      </c>
      <c r="Y191" s="63">
        <f t="shared" si="49"/>
        <v>4.6188021535170058</v>
      </c>
      <c r="Z191" s="72">
        <f t="shared" si="50"/>
        <v>3.5863018886722147</v>
      </c>
      <c r="AA191" s="68">
        <f t="shared" si="51"/>
        <v>8</v>
      </c>
      <c r="AB191" s="11">
        <f>IF(RANK(I191,$H191:$J191)+COUNTIF($H191:I191,I191)-1=2,I191,IF(RANK(J191,$H191:$J191)+COUNTIF($H191:J191,J191)-1=2,J191,H191))</f>
        <v>6.9282032302755097</v>
      </c>
      <c r="AC191" s="63">
        <f t="shared" si="52"/>
        <v>4</v>
      </c>
      <c r="AD191" s="54">
        <f t="shared" si="53"/>
        <v>2.3094010767585038</v>
      </c>
      <c r="AE191" s="11">
        <f t="shared" si="54"/>
        <v>2.0000000000000009</v>
      </c>
      <c r="AF191" s="73">
        <f t="shared" si="55"/>
        <v>3.4641016151377566</v>
      </c>
      <c r="AG191" s="11">
        <f t="shared" si="56"/>
        <v>3.4641016151377566</v>
      </c>
      <c r="AH191" s="11">
        <f t="shared" si="57"/>
        <v>2.0000000000000009</v>
      </c>
      <c r="AI191" s="60">
        <f t="shared" si="58"/>
        <v>2.3094010767585038</v>
      </c>
      <c r="AJ191" s="21">
        <f t="shared" si="59"/>
        <v>18.928203230275511</v>
      </c>
      <c r="AK191" s="32">
        <f t="shared" si="60"/>
        <v>9.4641016151377553</v>
      </c>
      <c r="AL191" s="26">
        <f t="shared" si="61"/>
        <v>13.856406460551023</v>
      </c>
      <c r="AM191" s="114">
        <f>(1/8)*J191^2*SQRT(3)</f>
        <v>13.856406460551018</v>
      </c>
      <c r="AN191" s="74">
        <f t="shared" si="62"/>
        <v>1.4641016151377551</v>
      </c>
      <c r="AO191" s="13">
        <f>0.25*J191*(SQRT(3)-1)</f>
        <v>1.4641016151377544</v>
      </c>
      <c r="AP191" s="11">
        <f t="shared" si="63"/>
        <v>2.5358983848622452</v>
      </c>
      <c r="AQ191" s="11">
        <f t="shared" si="64"/>
        <v>1.4641016151377546</v>
      </c>
      <c r="AR191" s="74">
        <f t="shared" si="65"/>
        <v>3.9999999999999991</v>
      </c>
      <c r="AS191" s="13">
        <f>0.5*J191</f>
        <v>4</v>
      </c>
      <c r="AT191" s="11">
        <f t="shared" si="66"/>
        <v>55.425625842204077</v>
      </c>
      <c r="AU191" s="11">
        <f t="shared" si="67"/>
        <v>2</v>
      </c>
      <c r="AV191" s="60">
        <f t="shared" si="68"/>
        <v>3.4641016151377544</v>
      </c>
      <c r="AW191" s="59">
        <f t="shared" si="69"/>
        <v>3.9999999999999996</v>
      </c>
      <c r="AX191" s="11">
        <f t="shared" si="70"/>
        <v>2.4502969098172405E-16</v>
      </c>
      <c r="AZ191" s="59">
        <f t="shared" si="71"/>
        <v>2.6666666666666665</v>
      </c>
      <c r="BA191" s="60">
        <f t="shared" si="72"/>
        <v>2.3094010767585034</v>
      </c>
      <c r="BB191" t="str">
        <f t="shared" si="73"/>
        <v>Triangle 306090</v>
      </c>
      <c r="BC191" s="26">
        <f>H191^2/J191</f>
        <v>2</v>
      </c>
      <c r="BD191" s="26">
        <f>I191^2/J191</f>
        <v>6.0000000000000009</v>
      </c>
      <c r="BE191">
        <f>BC191+BD191</f>
        <v>8</v>
      </c>
    </row>
    <row r="192" spans="1:57" x14ac:dyDescent="0.3">
      <c r="A192" t="s">
        <v>145</v>
      </c>
      <c r="B192" s="5">
        <v>4</v>
      </c>
      <c r="C192" s="97">
        <f>(F192/2)*SQRT(3)</f>
        <v>6.9282032302755088</v>
      </c>
      <c r="D192" s="5">
        <v>0</v>
      </c>
      <c r="E192" s="5">
        <v>0</v>
      </c>
      <c r="F192" s="5">
        <v>8</v>
      </c>
      <c r="G192" s="5">
        <v>0</v>
      </c>
      <c r="H192" s="59">
        <f t="shared" si="33"/>
        <v>8</v>
      </c>
      <c r="I192" s="11">
        <f t="shared" si="34"/>
        <v>8</v>
      </c>
      <c r="J192" s="60">
        <f t="shared" si="35"/>
        <v>8</v>
      </c>
      <c r="K192" s="64">
        <f t="shared" si="36"/>
        <v>59.999999999999993</v>
      </c>
      <c r="L192" s="65">
        <f t="shared" si="37"/>
        <v>59.999999999999993</v>
      </c>
      <c r="M192" s="65">
        <f t="shared" si="38"/>
        <v>59.999999999999993</v>
      </c>
      <c r="N192" s="66">
        <f t="shared" si="39"/>
        <v>1.0471975511965976</v>
      </c>
      <c r="O192" s="65">
        <f t="shared" si="40"/>
        <v>1.0471975511965976</v>
      </c>
      <c r="P192" s="67">
        <f t="shared" si="41"/>
        <v>1.0471975511965976</v>
      </c>
      <c r="Q192" s="68">
        <f t="shared" si="42"/>
        <v>6.9282032302755088</v>
      </c>
      <c r="R192" s="63">
        <f t="shared" si="43"/>
        <v>6.9282032302755088</v>
      </c>
      <c r="S192" s="69">
        <f t="shared" si="44"/>
        <v>6.9282032302755088</v>
      </c>
      <c r="T192" s="114">
        <f>I192*SQRT(3)/2</f>
        <v>6.9282032302755088</v>
      </c>
      <c r="U192" s="70">
        <f t="shared" si="45"/>
        <v>6.9282032302755088</v>
      </c>
      <c r="V192" s="71">
        <f t="shared" si="46"/>
        <v>6.9282032302755088</v>
      </c>
      <c r="W192" s="72">
        <f t="shared" si="47"/>
        <v>6.9282032302755088</v>
      </c>
      <c r="X192" s="70">
        <f t="shared" si="48"/>
        <v>6.9282032302755088</v>
      </c>
      <c r="Y192" s="63">
        <f t="shared" si="49"/>
        <v>6.9282032302755088</v>
      </c>
      <c r="Z192" s="72">
        <f t="shared" si="50"/>
        <v>6.9282032302755088</v>
      </c>
      <c r="AA192" s="68">
        <f t="shared" si="51"/>
        <v>8</v>
      </c>
      <c r="AB192" s="11">
        <f>IF(RANK(I192,$H192:$J192)+COUNTIF($H192:I192,I192)-1=2,I192,IF(RANK(J192,$H192:$J192)+COUNTIF($H192:J192,J192)-1=2,J192,H192))</f>
        <v>8</v>
      </c>
      <c r="AC192" s="63">
        <f t="shared" si="52"/>
        <v>8</v>
      </c>
      <c r="AD192" s="54">
        <f t="shared" si="53"/>
        <v>6.9282032302755088</v>
      </c>
      <c r="AE192" s="11">
        <f t="shared" si="54"/>
        <v>6.9282032302755088</v>
      </c>
      <c r="AF192" s="73">
        <f t="shared" si="55"/>
        <v>6.9282032302755088</v>
      </c>
      <c r="AG192" s="11">
        <f t="shared" si="56"/>
        <v>6.9282032302755088</v>
      </c>
      <c r="AH192" s="11">
        <f t="shared" si="57"/>
        <v>6.9282032302755088</v>
      </c>
      <c r="AI192" s="60">
        <f t="shared" si="58"/>
        <v>6.9282032302755088</v>
      </c>
      <c r="AJ192" s="26">
        <f t="shared" si="59"/>
        <v>24</v>
      </c>
      <c r="AK192" s="26">
        <f t="shared" si="60"/>
        <v>12</v>
      </c>
      <c r="AL192" s="26">
        <f t="shared" si="61"/>
        <v>27.712812921102035</v>
      </c>
      <c r="AM192" s="13">
        <f>0.25*I192^2*SQRT(3)</f>
        <v>27.712812921102035</v>
      </c>
      <c r="AN192" s="74">
        <f t="shared" si="62"/>
        <v>2.3094010767585029</v>
      </c>
      <c r="AO192" s="13">
        <f>I192*SQRT(3)/6</f>
        <v>2.3094010767585029</v>
      </c>
      <c r="AP192" s="11">
        <f t="shared" si="63"/>
        <v>4</v>
      </c>
      <c r="AQ192" s="11">
        <f t="shared" si="64"/>
        <v>2.3094010767585029</v>
      </c>
      <c r="AR192" s="74">
        <f t="shared" si="65"/>
        <v>4.6188021535170067</v>
      </c>
      <c r="AS192" s="13">
        <f>I192/SQRT(3)</f>
        <v>4.6188021535170067</v>
      </c>
      <c r="AT192" s="11">
        <f t="shared" si="66"/>
        <v>110.85125168440814</v>
      </c>
      <c r="AU192" s="11">
        <f t="shared" si="67"/>
        <v>4</v>
      </c>
      <c r="AV192" s="60">
        <f t="shared" si="68"/>
        <v>2.3094010767585025</v>
      </c>
      <c r="AW192" s="59">
        <f t="shared" si="69"/>
        <v>4</v>
      </c>
      <c r="AX192" s="11">
        <f t="shared" si="70"/>
        <v>2.3094010767585029</v>
      </c>
      <c r="AZ192" s="59">
        <f t="shared" si="71"/>
        <v>4</v>
      </c>
      <c r="BA192" s="60">
        <f t="shared" si="72"/>
        <v>2.3094010767585029</v>
      </c>
      <c r="BB192" t="str">
        <f t="shared" si="73"/>
        <v>Equilateral Triangle</v>
      </c>
    </row>
    <row r="195" spans="19:38" x14ac:dyDescent="0.3">
      <c r="S195" s="24"/>
    </row>
    <row r="198" spans="19:38" x14ac:dyDescent="0.3">
      <c r="Z198" t="s">
        <v>150</v>
      </c>
      <c r="AG198">
        <v>1.2345E-2</v>
      </c>
      <c r="AH198">
        <v>1.2355E-2</v>
      </c>
      <c r="AI198">
        <v>12.345000000000001</v>
      </c>
      <c r="AJ198">
        <v>1234.5</v>
      </c>
      <c r="AK198">
        <v>1.2345E-6</v>
      </c>
      <c r="AL198">
        <v>12345</v>
      </c>
    </row>
    <row r="199" spans="19:38" x14ac:dyDescent="0.3">
      <c r="X199">
        <f>0.012355/(0.00001)</f>
        <v>1235.4999999999998</v>
      </c>
      <c r="Z199" t="s">
        <v>148</v>
      </c>
      <c r="AG199">
        <v>4</v>
      </c>
      <c r="AH199">
        <v>4</v>
      </c>
      <c r="AI199">
        <v>4</v>
      </c>
      <c r="AJ199">
        <v>4</v>
      </c>
      <c r="AK199">
        <v>4</v>
      </c>
      <c r="AL199">
        <v>4</v>
      </c>
    </row>
    <row r="200" spans="19:38" x14ac:dyDescent="0.3">
      <c r="X200">
        <f>0.00001 * ROUND(X199,4)</f>
        <v>1.2355000000000001E-2</v>
      </c>
      <c r="Z200" t="s">
        <v>149</v>
      </c>
      <c r="AG200">
        <f t="shared" ref="AG200:AL200" si="74">10^(_xlfn.FLOOR.MATH(LOG10(ABS(AG198)))+1-AG199)</f>
        <v>1.0000000000000001E-5</v>
      </c>
      <c r="AH200">
        <f t="shared" si="74"/>
        <v>1.0000000000000001E-5</v>
      </c>
      <c r="AI200">
        <f t="shared" si="74"/>
        <v>0.01</v>
      </c>
      <c r="AJ200">
        <f t="shared" si="74"/>
        <v>1</v>
      </c>
      <c r="AK200">
        <f t="shared" si="74"/>
        <v>1.0000000000000001E-9</v>
      </c>
      <c r="AL200">
        <f t="shared" si="74"/>
        <v>10</v>
      </c>
    </row>
    <row r="201" spans="19:38" x14ac:dyDescent="0.3">
      <c r="X201" s="21">
        <f>0.00001 * ROUND(X199,0)</f>
        <v>1.2360000000000001E-2</v>
      </c>
      <c r="Z201" t="s">
        <v>151</v>
      </c>
      <c r="AG201">
        <f t="shared" ref="AG201:AL201" si="75">AG198/AG200</f>
        <v>1234.5</v>
      </c>
      <c r="AH201">
        <f t="shared" si="75"/>
        <v>1235.4999999999998</v>
      </c>
      <c r="AI201">
        <f t="shared" si="75"/>
        <v>1234.5</v>
      </c>
      <c r="AJ201">
        <f t="shared" si="75"/>
        <v>1234.5</v>
      </c>
      <c r="AK201">
        <f t="shared" si="75"/>
        <v>1234.5</v>
      </c>
      <c r="AL201">
        <f t="shared" si="75"/>
        <v>1234.5</v>
      </c>
    </row>
    <row r="202" spans="19:38" x14ac:dyDescent="0.3">
      <c r="Z202" t="s">
        <v>153</v>
      </c>
      <c r="AG202">
        <f t="shared" ref="AG202:AL202" si="76">AG200*AG201</f>
        <v>1.2345000000000002E-2</v>
      </c>
      <c r="AH202">
        <f t="shared" si="76"/>
        <v>1.2354999999999998E-2</v>
      </c>
      <c r="AI202">
        <f t="shared" si="76"/>
        <v>12.345000000000001</v>
      </c>
      <c r="AJ202">
        <f t="shared" si="76"/>
        <v>1234.5</v>
      </c>
      <c r="AK202">
        <f t="shared" si="76"/>
        <v>1.2345E-6</v>
      </c>
      <c r="AL202">
        <f t="shared" si="76"/>
        <v>12345</v>
      </c>
    </row>
    <row r="203" spans="19:38" x14ac:dyDescent="0.3">
      <c r="Z203" t="s">
        <v>155</v>
      </c>
      <c r="AG203">
        <f t="shared" ref="AG203:AL203" si="77">ROUND(AG201,0)</f>
        <v>1235</v>
      </c>
      <c r="AH203">
        <f t="shared" si="77"/>
        <v>1236</v>
      </c>
      <c r="AI203">
        <f t="shared" si="77"/>
        <v>1235</v>
      </c>
      <c r="AJ203">
        <f t="shared" si="77"/>
        <v>1235</v>
      </c>
      <c r="AK203">
        <f t="shared" si="77"/>
        <v>1235</v>
      </c>
      <c r="AL203">
        <f t="shared" si="77"/>
        <v>1235</v>
      </c>
    </row>
    <row r="204" spans="19:38" x14ac:dyDescent="0.3">
      <c r="Z204" t="s">
        <v>152</v>
      </c>
      <c r="AG204">
        <f t="shared" ref="AG204:AL204" si="78">AG200*AG203</f>
        <v>1.2350000000000002E-2</v>
      </c>
      <c r="AH204">
        <f t="shared" si="78"/>
        <v>1.2360000000000001E-2</v>
      </c>
      <c r="AI204">
        <f t="shared" si="78"/>
        <v>12.35</v>
      </c>
      <c r="AJ204">
        <f t="shared" si="78"/>
        <v>1235</v>
      </c>
      <c r="AK204">
        <f t="shared" si="78"/>
        <v>1.235E-6</v>
      </c>
      <c r="AL204">
        <f t="shared" si="78"/>
        <v>12350</v>
      </c>
    </row>
    <row r="205" spans="19:38" x14ac:dyDescent="0.3">
      <c r="Z205" t="s">
        <v>154</v>
      </c>
      <c r="AG205">
        <f t="shared" ref="AG205:AL205" si="79">ROUND(AG200*AG201,AG199)</f>
        <v>1.23E-2</v>
      </c>
      <c r="AH205">
        <f t="shared" si="79"/>
        <v>1.24E-2</v>
      </c>
      <c r="AI205">
        <f t="shared" si="79"/>
        <v>12.345000000000001</v>
      </c>
      <c r="AJ205">
        <f t="shared" si="79"/>
        <v>1234.5</v>
      </c>
      <c r="AK205">
        <f t="shared" si="79"/>
        <v>0</v>
      </c>
      <c r="AL205">
        <f t="shared" si="79"/>
        <v>12345</v>
      </c>
    </row>
  </sheetData>
  <mergeCells count="16">
    <mergeCell ref="AP180:AQ180"/>
    <mergeCell ref="AT180:AV180"/>
    <mergeCell ref="AW180:AX180"/>
    <mergeCell ref="AZ180:BA180"/>
    <mergeCell ref="K180:P180"/>
    <mergeCell ref="Q180:S180"/>
    <mergeCell ref="U180:W180"/>
    <mergeCell ref="X180:Z180"/>
    <mergeCell ref="AA180:AI180"/>
    <mergeCell ref="G2:H2"/>
    <mergeCell ref="E2:F2"/>
    <mergeCell ref="Q2:R2"/>
    <mergeCell ref="B180:C180"/>
    <mergeCell ref="D180:E180"/>
    <mergeCell ref="F180:G180"/>
    <mergeCell ref="H180:J180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BBF9-E775-4B43-A689-615DB15B5682}">
  <sheetPr codeName="Sheet4"/>
  <dimension ref="A1:AF71"/>
  <sheetViews>
    <sheetView tabSelected="1" topLeftCell="F46" workbookViewId="0">
      <selection activeCell="AB68" sqref="AB68:AB71"/>
    </sheetView>
  </sheetViews>
  <sheetFormatPr defaultRowHeight="14.4" x14ac:dyDescent="0.3"/>
  <cols>
    <col min="25" max="25" width="9.88671875" customWidth="1"/>
    <col min="26" max="26" width="10.21875" customWidth="1"/>
    <col min="27" max="27" width="17.77734375" customWidth="1"/>
    <col min="29" max="29" width="16.77734375" customWidth="1"/>
  </cols>
  <sheetData>
    <row r="1" spans="1:29" s="13" customFormat="1" x14ac:dyDescent="0.3">
      <c r="A1" s="13" t="s">
        <v>208</v>
      </c>
    </row>
    <row r="2" spans="1:29" s="2" customFormat="1" x14ac:dyDescent="0.3">
      <c r="A2" s="2" t="s">
        <v>166</v>
      </c>
    </row>
    <row r="3" spans="1:29" s="4" customFormat="1" x14ac:dyDescent="0.3">
      <c r="A3" s="124" t="s">
        <v>157</v>
      </c>
      <c r="B3" s="125"/>
      <c r="C3" s="124" t="s">
        <v>159</v>
      </c>
      <c r="D3" s="125"/>
      <c r="E3" s="124" t="s">
        <v>160</v>
      </c>
      <c r="F3" s="125"/>
      <c r="G3" s="124" t="s">
        <v>161</v>
      </c>
      <c r="H3" s="125"/>
      <c r="I3" s="4" t="s">
        <v>170</v>
      </c>
      <c r="J3" s="4" t="s">
        <v>171</v>
      </c>
      <c r="K3" s="124" t="s">
        <v>157</v>
      </c>
      <c r="L3" s="125"/>
      <c r="M3" s="124" t="s">
        <v>159</v>
      </c>
      <c r="N3" s="125"/>
      <c r="O3" s="124" t="s">
        <v>160</v>
      </c>
      <c r="P3" s="125"/>
      <c r="Q3" s="124" t="s">
        <v>161</v>
      </c>
      <c r="R3" s="125"/>
      <c r="S3" s="4" t="s">
        <v>172</v>
      </c>
      <c r="Z3" s="136" t="s">
        <v>54</v>
      </c>
      <c r="AA3" s="136" t="s">
        <v>209</v>
      </c>
      <c r="AB3" s="4" t="s">
        <v>212</v>
      </c>
      <c r="AC3" s="136" t="s">
        <v>210</v>
      </c>
    </row>
    <row r="4" spans="1:29" s="4" customFormat="1" x14ac:dyDescent="0.3">
      <c r="A4" s="6" t="s">
        <v>158</v>
      </c>
      <c r="B4" s="9" t="s">
        <v>3</v>
      </c>
      <c r="C4" s="6" t="s">
        <v>158</v>
      </c>
      <c r="D4" s="9" t="s">
        <v>3</v>
      </c>
      <c r="E4" s="6" t="s">
        <v>158</v>
      </c>
      <c r="F4" s="9" t="s">
        <v>3</v>
      </c>
      <c r="G4" s="6" t="s">
        <v>158</v>
      </c>
      <c r="H4" s="9" t="s">
        <v>3</v>
      </c>
      <c r="K4" s="6" t="s">
        <v>158</v>
      </c>
      <c r="L4" s="9" t="s">
        <v>3</v>
      </c>
      <c r="M4" s="6" t="s">
        <v>158</v>
      </c>
      <c r="N4" s="9" t="s">
        <v>3</v>
      </c>
      <c r="O4" s="6" t="s">
        <v>158</v>
      </c>
      <c r="P4" s="9" t="s">
        <v>3</v>
      </c>
      <c r="Q4" s="6" t="s">
        <v>158</v>
      </c>
      <c r="R4" s="9" t="s">
        <v>3</v>
      </c>
    </row>
    <row r="5" spans="1:29" x14ac:dyDescent="0.3">
      <c r="A5" s="15">
        <v>3</v>
      </c>
      <c r="B5" s="126">
        <v>2</v>
      </c>
      <c r="C5" s="15">
        <v>5</v>
      </c>
      <c r="D5" s="126">
        <v>3</v>
      </c>
      <c r="E5" s="15">
        <v>3</v>
      </c>
      <c r="F5" s="126">
        <v>5</v>
      </c>
      <c r="G5" s="15">
        <v>2</v>
      </c>
      <c r="H5" s="126">
        <v>3</v>
      </c>
      <c r="I5" s="5">
        <v>3</v>
      </c>
      <c r="J5" s="5">
        <v>1</v>
      </c>
      <c r="K5" s="128">
        <f>A5+$I5</f>
        <v>6</v>
      </c>
      <c r="L5" s="129">
        <f>B5+$J5</f>
        <v>3</v>
      </c>
      <c r="M5" s="128">
        <f>C5+$I5</f>
        <v>8</v>
      </c>
      <c r="N5" s="129">
        <f>D5+$J5</f>
        <v>4</v>
      </c>
      <c r="O5" s="128">
        <f>E5+$I5</f>
        <v>6</v>
      </c>
      <c r="P5" s="129">
        <f>F5+$J5</f>
        <v>6</v>
      </c>
      <c r="Q5" s="128">
        <f>G5+$I5</f>
        <v>5</v>
      </c>
      <c r="R5" s="129">
        <f>H5+$J5</f>
        <v>4</v>
      </c>
      <c r="S5" t="s">
        <v>180</v>
      </c>
      <c r="Z5" t="str">
        <f>"[TestCase("&amp;A5&amp;", "&amp;B5&amp;", "&amp;I5&amp;", "&amp;J5&amp;", "&amp;K5&amp;", "&amp;L5&amp;")]    // "&amp;S5</f>
        <v>[TestCase(3, 2, 3, 1, 6, 3)]    // Default - +x, y, Quadrant I</v>
      </c>
      <c r="AA5" t="str">
        <f>"[TestCase("&amp;A5&amp;", "&amp;B5&amp;", "&amp;C5&amp;", "&amp;D5&amp;", "&amp;I5&amp;", "&amp;J5&amp;", "&amp;K5&amp;", "&amp;L5&amp;", "&amp;M5&amp;", "&amp;N5&amp;")]    // "&amp;S5</f>
        <v>[TestCase(3, 2, 5, 3, 3, 1, 6, 3, 8, 4)]    // Default - +x, y, Quadrant I</v>
      </c>
      <c r="AB5" t="str">
        <f>"[TestCase("&amp;A5&amp;", "&amp;B5&amp;", "&amp;C5&amp;", "&amp;D5&amp;", "&amp;E5&amp;", "&amp;F5&amp;", "&amp;I5&amp;", "&amp;J5&amp;", "&amp;K5&amp;", "&amp;L5&amp;", "&amp;M5&amp;", "&amp;N5&amp;", "&amp;O5&amp;", "&amp;P5&amp;")]    // "&amp;S5</f>
        <v>[TestCase(3, 2, 5, 3, 3, 5, 3, 1, 6, 3, 8, 4, 6, 6)]    // Default - +x, y, Quadrant I</v>
      </c>
      <c r="AC5" t="str">
        <f>"[TestCase("&amp;A5&amp;", "&amp;B5&amp;", "&amp;C5&amp;", "&amp;D5&amp;", "&amp;E5&amp;", "&amp;F5&amp;", "&amp;G5&amp;", "&amp;H5&amp;", "&amp;I5&amp;", "&amp;J5&amp;", "&amp;K5&amp;", "&amp;L5&amp;", "&amp;M5&amp;", "&amp;N5&amp;", "&amp;O5&amp;", "&amp;P5&amp;", "&amp;Q5&amp;", "&amp;R5&amp;")]    // "&amp;S5</f>
        <v>[TestCase(3, 2, 5, 3, 3, 5, 2, 3, 3, 1, 6, 3, 8, 4, 6, 6, 5, 4)]    // Default - +x, y, Quadrant I</v>
      </c>
    </row>
    <row r="6" spans="1:29" x14ac:dyDescent="0.3">
      <c r="A6" s="127">
        <f>A$5</f>
        <v>3</v>
      </c>
      <c r="B6" s="10">
        <f t="shared" ref="B6:H10" si="0">B$5</f>
        <v>2</v>
      </c>
      <c r="C6" s="127">
        <f t="shared" si="0"/>
        <v>5</v>
      </c>
      <c r="D6" s="10">
        <f t="shared" si="0"/>
        <v>3</v>
      </c>
      <c r="E6" s="127">
        <f t="shared" si="0"/>
        <v>3</v>
      </c>
      <c r="F6" s="10">
        <f t="shared" si="0"/>
        <v>5</v>
      </c>
      <c r="G6" s="127">
        <f t="shared" si="0"/>
        <v>2</v>
      </c>
      <c r="H6" s="10">
        <f t="shared" si="0"/>
        <v>3</v>
      </c>
      <c r="I6" s="5">
        <v>-3</v>
      </c>
      <c r="J6" s="5">
        <v>1</v>
      </c>
      <c r="K6" s="127">
        <f t="shared" ref="K6:K10" si="1">A6+$I6</f>
        <v>0</v>
      </c>
      <c r="L6" s="10">
        <f t="shared" ref="L6:L10" si="2">B6+$J6</f>
        <v>3</v>
      </c>
      <c r="M6" s="127">
        <f t="shared" ref="M6:M10" si="3">C6+$I6</f>
        <v>2</v>
      </c>
      <c r="N6" s="10">
        <f t="shared" ref="N6:N10" si="4">D6+$J6</f>
        <v>4</v>
      </c>
      <c r="O6" s="127">
        <f t="shared" ref="O6:O10" si="5">E6+$I6</f>
        <v>0</v>
      </c>
      <c r="P6" s="10">
        <f t="shared" ref="P6:P10" si="6">F6+$J6</f>
        <v>6</v>
      </c>
      <c r="Q6" s="127">
        <f t="shared" ref="Q6:Q10" si="7">G6+$I6</f>
        <v>-1</v>
      </c>
      <c r="R6" s="10">
        <f t="shared" ref="R6:R10" si="8">H6+$J6</f>
        <v>4</v>
      </c>
      <c r="S6" t="s">
        <v>173</v>
      </c>
      <c r="Z6" t="str">
        <f t="shared" ref="Z6:Z10" si="9">"[TestCase("&amp;A6&amp;", "&amp;B6&amp;", "&amp;I6&amp;", "&amp;J6&amp;", "&amp;K6&amp;", "&amp;L6&amp;")]    // "&amp;S6</f>
        <v>[TestCase(3, 2, -3, 1, 0, 3)]    // Negative x</v>
      </c>
      <c r="AA6" t="str">
        <f t="shared" ref="AA6:AA10" si="10">"[TestCase("&amp;A6&amp;", "&amp;B6&amp;", "&amp;C6&amp;", "&amp;D6&amp;", "&amp;I6&amp;", "&amp;J6&amp;", "&amp;K6&amp;", "&amp;L6&amp;", "&amp;M6&amp;", "&amp;N6&amp;")]    // "&amp;S6</f>
        <v>[TestCase(3, 2, 5, 3, -3, 1, 0, 3, 2, 4)]    // Negative x</v>
      </c>
      <c r="AB6" t="str">
        <f t="shared" ref="AB6:AB10" si="11">"[TestCase("&amp;A6&amp;", "&amp;B6&amp;", "&amp;C6&amp;", "&amp;D6&amp;", "&amp;E6&amp;", "&amp;F6&amp;", "&amp;I6&amp;", "&amp;J6&amp;", "&amp;K6&amp;", "&amp;L6&amp;", "&amp;M6&amp;", "&amp;N6&amp;", "&amp;O6&amp;", "&amp;P6&amp;")]    // "&amp;S6</f>
        <v>[TestCase(3, 2, 5, 3, 3, 5, -3, 1, 0, 3, 2, 4, 0, 6)]    // Negative x</v>
      </c>
      <c r="AC6" t="str">
        <f t="shared" ref="AC6:AC10" si="12">"[TestCase("&amp;A6&amp;", "&amp;B6&amp;", "&amp;C6&amp;", "&amp;D6&amp;", "&amp;E6&amp;", "&amp;F6&amp;", "&amp;G6&amp;", "&amp;H6&amp;", "&amp;I6&amp;", "&amp;J6&amp;", "&amp;K6&amp;", "&amp;L6&amp;", "&amp;M6&amp;", "&amp;N6&amp;", "&amp;O6&amp;", "&amp;P6&amp;", "&amp;Q6&amp;", "&amp;R6&amp;")]    // "&amp;S6</f>
        <v>[TestCase(3, 2, 5, 3, 3, 5, 2, 3, -3, 1, 0, 3, 2, 4, 0, 6, -1, 4)]    // Negative x</v>
      </c>
    </row>
    <row r="7" spans="1:29" x14ac:dyDescent="0.3">
      <c r="A7" s="127">
        <f t="shared" ref="A7:A10" si="13">A$5</f>
        <v>3</v>
      </c>
      <c r="B7" s="10">
        <f t="shared" si="0"/>
        <v>2</v>
      </c>
      <c r="C7" s="127">
        <f t="shared" si="0"/>
        <v>5</v>
      </c>
      <c r="D7" s="10">
        <f t="shared" si="0"/>
        <v>3</v>
      </c>
      <c r="E7" s="127">
        <f t="shared" si="0"/>
        <v>3</v>
      </c>
      <c r="F7" s="10">
        <f t="shared" si="0"/>
        <v>5</v>
      </c>
      <c r="G7" s="127">
        <f t="shared" si="0"/>
        <v>2</v>
      </c>
      <c r="H7" s="10">
        <f t="shared" si="0"/>
        <v>3</v>
      </c>
      <c r="I7" s="5">
        <v>3</v>
      </c>
      <c r="J7" s="5">
        <v>-1</v>
      </c>
      <c r="K7" s="127">
        <f t="shared" si="1"/>
        <v>6</v>
      </c>
      <c r="L7" s="10">
        <f t="shared" si="2"/>
        <v>1</v>
      </c>
      <c r="M7" s="127">
        <f t="shared" si="3"/>
        <v>8</v>
      </c>
      <c r="N7" s="10">
        <f t="shared" si="4"/>
        <v>2</v>
      </c>
      <c r="O7" s="127">
        <f t="shared" si="5"/>
        <v>6</v>
      </c>
      <c r="P7" s="10">
        <f t="shared" si="6"/>
        <v>4</v>
      </c>
      <c r="Q7" s="127">
        <f t="shared" si="7"/>
        <v>5</v>
      </c>
      <c r="R7" s="10">
        <f t="shared" si="8"/>
        <v>2</v>
      </c>
      <c r="S7" t="s">
        <v>174</v>
      </c>
      <c r="Z7" t="str">
        <f t="shared" si="9"/>
        <v>[TestCase(3, 2, 3, -1, 6, 1)]    // Negative y</v>
      </c>
      <c r="AA7" t="str">
        <f t="shared" si="10"/>
        <v>[TestCase(3, 2, 5, 3, 3, -1, 6, 1, 8, 2)]    // Negative y</v>
      </c>
      <c r="AB7" t="str">
        <f t="shared" si="11"/>
        <v>[TestCase(3, 2, 5, 3, 3, 5, 3, -1, 6, 1, 8, 2, 6, 4)]    // Negative y</v>
      </c>
      <c r="AC7" t="str">
        <f t="shared" si="12"/>
        <v>[TestCase(3, 2, 5, 3, 3, 5, 2, 3, 3, -1, 6, 1, 8, 2, 6, 4, 5, 2)]    // Negative y</v>
      </c>
    </row>
    <row r="8" spans="1:29" x14ac:dyDescent="0.3">
      <c r="A8" s="127">
        <f>-A$5</f>
        <v>-3</v>
      </c>
      <c r="B8" s="10">
        <f t="shared" si="0"/>
        <v>2</v>
      </c>
      <c r="C8" s="127">
        <f>-C$5</f>
        <v>-5</v>
      </c>
      <c r="D8" s="10">
        <f t="shared" si="0"/>
        <v>3</v>
      </c>
      <c r="E8" s="127">
        <f>-E$5</f>
        <v>-3</v>
      </c>
      <c r="F8" s="10">
        <f t="shared" si="0"/>
        <v>5</v>
      </c>
      <c r="G8" s="127">
        <f>-G$5</f>
        <v>-2</v>
      </c>
      <c r="H8" s="10">
        <f t="shared" si="0"/>
        <v>3</v>
      </c>
      <c r="I8" s="5">
        <v>3</v>
      </c>
      <c r="J8" s="5">
        <v>1</v>
      </c>
      <c r="K8" s="127">
        <f t="shared" si="1"/>
        <v>0</v>
      </c>
      <c r="L8" s="10">
        <f t="shared" si="2"/>
        <v>3</v>
      </c>
      <c r="M8" s="127">
        <f t="shared" si="3"/>
        <v>-2</v>
      </c>
      <c r="N8" s="10">
        <f t="shared" si="4"/>
        <v>4</v>
      </c>
      <c r="O8" s="127">
        <f t="shared" si="5"/>
        <v>0</v>
      </c>
      <c r="P8" s="10">
        <f t="shared" si="6"/>
        <v>6</v>
      </c>
      <c r="Q8" s="127">
        <f t="shared" si="7"/>
        <v>1</v>
      </c>
      <c r="R8" s="10">
        <f t="shared" si="8"/>
        <v>4</v>
      </c>
      <c r="S8" t="s">
        <v>175</v>
      </c>
      <c r="Z8" t="str">
        <f t="shared" si="9"/>
        <v>[TestCase(-3, 2, 3, 1, 0, 3)]    // Default in Quadrant II</v>
      </c>
      <c r="AA8" t="str">
        <f t="shared" si="10"/>
        <v>[TestCase(-3, 2, -5, 3, 3, 1, 0, 3, -2, 4)]    // Default in Quadrant II</v>
      </c>
      <c r="AB8" t="str">
        <f t="shared" si="11"/>
        <v>[TestCase(-3, 2, -5, 3, -3, 5, 3, 1, 0, 3, -2, 4, 0, 6)]    // Default in Quadrant II</v>
      </c>
      <c r="AC8" t="str">
        <f t="shared" si="12"/>
        <v>[TestCase(-3, 2, -5, 3, -3, 5, -2, 3, 3, 1, 0, 3, -2, 4, 0, 6, 1, 4)]    // Default in Quadrant II</v>
      </c>
    </row>
    <row r="9" spans="1:29" x14ac:dyDescent="0.3">
      <c r="A9" s="127">
        <f>-A$5</f>
        <v>-3</v>
      </c>
      <c r="B9" s="10">
        <f>-B$5</f>
        <v>-2</v>
      </c>
      <c r="C9" s="127">
        <f>-C$5</f>
        <v>-5</v>
      </c>
      <c r="D9" s="10">
        <f>-D$5</f>
        <v>-3</v>
      </c>
      <c r="E9" s="127">
        <f>-E$5</f>
        <v>-3</v>
      </c>
      <c r="F9" s="10">
        <f>-F$5</f>
        <v>-5</v>
      </c>
      <c r="G9" s="127">
        <f>-G$5</f>
        <v>-2</v>
      </c>
      <c r="H9" s="10">
        <f>-H$5</f>
        <v>-3</v>
      </c>
      <c r="I9" s="5">
        <v>3</v>
      </c>
      <c r="J9" s="5">
        <v>1</v>
      </c>
      <c r="K9" s="127">
        <f t="shared" si="1"/>
        <v>0</v>
      </c>
      <c r="L9" s="10">
        <f t="shared" si="2"/>
        <v>-1</v>
      </c>
      <c r="M9" s="127">
        <f t="shared" si="3"/>
        <v>-2</v>
      </c>
      <c r="N9" s="10">
        <f t="shared" si="4"/>
        <v>-2</v>
      </c>
      <c r="O9" s="127">
        <f t="shared" si="5"/>
        <v>0</v>
      </c>
      <c r="P9" s="10">
        <f t="shared" si="6"/>
        <v>-4</v>
      </c>
      <c r="Q9" s="127">
        <f t="shared" si="7"/>
        <v>1</v>
      </c>
      <c r="R9" s="10">
        <f t="shared" si="8"/>
        <v>-2</v>
      </c>
      <c r="S9" t="s">
        <v>176</v>
      </c>
      <c r="Z9" t="str">
        <f t="shared" si="9"/>
        <v>[TestCase(-3, -2, 3, 1, 0, -1)]    // Default in Quadrant III</v>
      </c>
      <c r="AA9" t="str">
        <f t="shared" si="10"/>
        <v>[TestCase(-3, -2, -5, -3, 3, 1, 0, -1, -2, -2)]    // Default in Quadrant III</v>
      </c>
      <c r="AB9" t="str">
        <f t="shared" si="11"/>
        <v>[TestCase(-3, -2, -5, -3, -3, -5, 3, 1, 0, -1, -2, -2, 0, -4)]    // Default in Quadrant III</v>
      </c>
      <c r="AC9" t="str">
        <f t="shared" si="12"/>
        <v>[TestCase(-3, -2, -5, -3, -3, -5, -2, -3, 3, 1, 0, -1, -2, -2, 0, -4, 1, -2)]    // Default in Quadrant III</v>
      </c>
    </row>
    <row r="10" spans="1:29" x14ac:dyDescent="0.3">
      <c r="A10" s="127">
        <f t="shared" si="13"/>
        <v>3</v>
      </c>
      <c r="B10" s="10">
        <f>-B$5</f>
        <v>-2</v>
      </c>
      <c r="C10" s="127">
        <f t="shared" si="0"/>
        <v>5</v>
      </c>
      <c r="D10" s="10">
        <f>-D$5</f>
        <v>-3</v>
      </c>
      <c r="E10" s="127">
        <f t="shared" si="0"/>
        <v>3</v>
      </c>
      <c r="F10" s="10">
        <f>-F$5</f>
        <v>-5</v>
      </c>
      <c r="G10" s="127">
        <f t="shared" si="0"/>
        <v>2</v>
      </c>
      <c r="H10" s="10">
        <f>-H$5</f>
        <v>-3</v>
      </c>
      <c r="I10" s="5">
        <v>3</v>
      </c>
      <c r="J10" s="5">
        <v>1</v>
      </c>
      <c r="K10" s="127">
        <f t="shared" si="1"/>
        <v>6</v>
      </c>
      <c r="L10" s="10">
        <f t="shared" si="2"/>
        <v>-1</v>
      </c>
      <c r="M10" s="127">
        <f t="shared" si="3"/>
        <v>8</v>
      </c>
      <c r="N10" s="10">
        <f t="shared" si="4"/>
        <v>-2</v>
      </c>
      <c r="O10" s="127">
        <f t="shared" si="5"/>
        <v>6</v>
      </c>
      <c r="P10" s="10">
        <f t="shared" si="6"/>
        <v>-4</v>
      </c>
      <c r="Q10" s="127">
        <f t="shared" si="7"/>
        <v>5</v>
      </c>
      <c r="R10" s="10">
        <f t="shared" si="8"/>
        <v>-2</v>
      </c>
      <c r="S10" t="s">
        <v>177</v>
      </c>
      <c r="Z10" t="str">
        <f t="shared" si="9"/>
        <v>[TestCase(3, -2, 3, 1, 6, -1)]    // Default in Quadrant IV</v>
      </c>
      <c r="AA10" t="str">
        <f t="shared" si="10"/>
        <v>[TestCase(3, -2, 5, -3, 3, 1, 6, -1, 8, -2)]    // Default in Quadrant IV</v>
      </c>
      <c r="AB10" t="str">
        <f t="shared" si="11"/>
        <v>[TestCase(3, -2, 5, -3, 3, -5, 3, 1, 6, -1, 8, -2, 6, -4)]    // Default in Quadrant IV</v>
      </c>
      <c r="AC10" t="str">
        <f t="shared" si="12"/>
        <v>[TestCase(3, -2, 5, -3, 3, -5, 2, -3, 3, 1, 6, -1, 8, -2, 6, -4, 5, -2)]    // Default in Quadrant IV</v>
      </c>
    </row>
    <row r="12" spans="1:29" s="2" customFormat="1" x14ac:dyDescent="0.3">
      <c r="A12" s="2" t="s">
        <v>167</v>
      </c>
    </row>
    <row r="13" spans="1:29" s="4" customFormat="1" x14ac:dyDescent="0.3">
      <c r="A13" s="124" t="s">
        <v>157</v>
      </c>
      <c r="B13" s="125"/>
      <c r="C13" s="124" t="s">
        <v>159</v>
      </c>
      <c r="D13" s="125"/>
      <c r="E13" s="124" t="s">
        <v>160</v>
      </c>
      <c r="F13" s="125"/>
      <c r="G13" s="124" t="s">
        <v>161</v>
      </c>
      <c r="H13" s="125"/>
      <c r="I13" s="4" t="s">
        <v>167</v>
      </c>
      <c r="J13" s="124" t="s">
        <v>157</v>
      </c>
      <c r="K13" s="125"/>
      <c r="L13" s="124" t="s">
        <v>159</v>
      </c>
      <c r="M13" s="125"/>
      <c r="N13" s="124" t="s">
        <v>160</v>
      </c>
      <c r="O13" s="125"/>
      <c r="P13" s="124" t="s">
        <v>161</v>
      </c>
      <c r="Q13" s="125"/>
      <c r="R13" s="4" t="s">
        <v>172</v>
      </c>
      <c r="Z13" s="136" t="s">
        <v>54</v>
      </c>
      <c r="AA13" s="136" t="s">
        <v>209</v>
      </c>
      <c r="AB13" s="4" t="s">
        <v>212</v>
      </c>
      <c r="AC13" s="136" t="s">
        <v>210</v>
      </c>
    </row>
    <row r="14" spans="1:29" s="4" customFormat="1" x14ac:dyDescent="0.3">
      <c r="A14" s="6" t="s">
        <v>158</v>
      </c>
      <c r="B14" s="9" t="s">
        <v>3</v>
      </c>
      <c r="C14" s="6" t="s">
        <v>158</v>
      </c>
      <c r="D14" s="9" t="s">
        <v>3</v>
      </c>
      <c r="E14" s="6" t="s">
        <v>158</v>
      </c>
      <c r="F14" s="9" t="s">
        <v>3</v>
      </c>
      <c r="G14" s="6" t="s">
        <v>158</v>
      </c>
      <c r="H14" s="9" t="s">
        <v>3</v>
      </c>
      <c r="J14" s="6" t="s">
        <v>158</v>
      </c>
      <c r="K14" s="9" t="s">
        <v>3</v>
      </c>
      <c r="L14" s="6" t="s">
        <v>158</v>
      </c>
      <c r="M14" s="9" t="s">
        <v>3</v>
      </c>
      <c r="N14" s="6" t="s">
        <v>158</v>
      </c>
      <c r="O14" s="9" t="s">
        <v>3</v>
      </c>
      <c r="P14" s="6" t="s">
        <v>158</v>
      </c>
      <c r="Q14" s="9" t="s">
        <v>3</v>
      </c>
    </row>
    <row r="15" spans="1:29" x14ac:dyDescent="0.3">
      <c r="A15" s="15">
        <v>3</v>
      </c>
      <c r="B15" s="126">
        <v>2</v>
      </c>
      <c r="C15" s="15">
        <v>5</v>
      </c>
      <c r="D15" s="126">
        <v>3</v>
      </c>
      <c r="E15" s="15">
        <v>3</v>
      </c>
      <c r="F15" s="126">
        <v>5</v>
      </c>
      <c r="G15" s="15">
        <v>2</v>
      </c>
      <c r="H15" s="126">
        <v>3</v>
      </c>
      <c r="I15" s="5">
        <v>2</v>
      </c>
      <c r="J15" s="128">
        <f>A15*$I15</f>
        <v>6</v>
      </c>
      <c r="K15" s="129">
        <f t="shared" ref="K15:Q15" si="14">B15*$I15</f>
        <v>4</v>
      </c>
      <c r="L15" s="128">
        <f t="shared" si="14"/>
        <v>10</v>
      </c>
      <c r="M15" s="129">
        <f t="shared" si="14"/>
        <v>6</v>
      </c>
      <c r="N15" s="128">
        <f t="shared" si="14"/>
        <v>6</v>
      </c>
      <c r="O15" s="129">
        <f t="shared" si="14"/>
        <v>10</v>
      </c>
      <c r="P15" s="128">
        <f t="shared" si="14"/>
        <v>4</v>
      </c>
      <c r="Q15" s="129">
        <f t="shared" si="14"/>
        <v>6</v>
      </c>
      <c r="R15" t="s">
        <v>211</v>
      </c>
      <c r="Z15" t="str">
        <f>"[TestCase("&amp;A15&amp;", "&amp;B15&amp;", "&amp;I15&amp;", "&amp;J15&amp;", "&amp;K15&amp;")]    // "&amp;R15</f>
        <v>[TestCase(3, 2, 2, 6, 4)]    // Default - larger, Quadrant I</v>
      </c>
      <c r="AA15" t="str">
        <f>"[TestCase("&amp;A15&amp;", "&amp;B15&amp;", "&amp;C15&amp;", "&amp;D15&amp;", "&amp;I15&amp;", "&amp;J15&amp;", "&amp;K15&amp;", "&amp;L15&amp;", "&amp;M15&amp;")]    // "&amp;R15</f>
        <v>[TestCase(3, 2, 5, 3, 2, 6, 4, 10, 6)]    // Default - larger, Quadrant I</v>
      </c>
      <c r="AB15" t="str">
        <f>"[TestCase("&amp;A15&amp;", "&amp;B15&amp;", "&amp;C15&amp;", "&amp;D15&amp;", "&amp;E15&amp;", "&amp;F15&amp;", "&amp;I15&amp;", "&amp;J15&amp;", "&amp;K15&amp;", "&amp;L15&amp;", "&amp;M15&amp;", "&amp;N15&amp;", "&amp;O15&amp;")]    // "&amp;R15</f>
        <v>[TestCase(3, 2, 5, 3, 3, 5, 2, 6, 4, 10, 6, 6, 10)]    // Default - larger, Quadrant I</v>
      </c>
      <c r="AC15" t="str">
        <f>"[TestCase("&amp;A15&amp;",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"&amp;Q15&amp;")]    // "&amp;R15</f>
        <v>[TestCase(3, 2, 5, 3, 3, 5, 2, 3, 2, 6, 4, 10, 6, 6, 10, 4, 6)]    // Default - larger, Quadrant I</v>
      </c>
    </row>
    <row r="16" spans="1:29" x14ac:dyDescent="0.3">
      <c r="A16" s="127">
        <f>A$15</f>
        <v>3</v>
      </c>
      <c r="B16" s="10">
        <f t="shared" ref="B16:H18" si="15">B$15</f>
        <v>2</v>
      </c>
      <c r="C16" s="127">
        <f t="shared" si="15"/>
        <v>5</v>
      </c>
      <c r="D16" s="10">
        <f t="shared" si="15"/>
        <v>3</v>
      </c>
      <c r="E16" s="127">
        <f t="shared" si="15"/>
        <v>3</v>
      </c>
      <c r="F16" s="10">
        <f t="shared" si="15"/>
        <v>5</v>
      </c>
      <c r="G16" s="127">
        <f t="shared" si="15"/>
        <v>2</v>
      </c>
      <c r="H16" s="10">
        <f t="shared" si="15"/>
        <v>3</v>
      </c>
      <c r="I16" s="5">
        <v>0.5</v>
      </c>
      <c r="J16" s="128">
        <f t="shared" ref="J16:J18" si="16">A16*$I16</f>
        <v>1.5</v>
      </c>
      <c r="K16" s="129">
        <f t="shared" ref="K16:K18" si="17">B16*$I16</f>
        <v>1</v>
      </c>
      <c r="L16" s="128">
        <f t="shared" ref="L16:L18" si="18">C16*$I16</f>
        <v>2.5</v>
      </c>
      <c r="M16" s="129">
        <f t="shared" ref="M16:M18" si="19">D16*$I16</f>
        <v>1.5</v>
      </c>
      <c r="N16" s="128">
        <f t="shared" ref="N16:N18" si="20">E16*$I16</f>
        <v>1.5</v>
      </c>
      <c r="O16" s="129">
        <f t="shared" ref="O16:O18" si="21">F16*$I16</f>
        <v>2.5</v>
      </c>
      <c r="P16" s="128">
        <f t="shared" ref="P16:P18" si="22">G16*$I16</f>
        <v>1</v>
      </c>
      <c r="Q16" s="129">
        <f t="shared" ref="Q16:Q18" si="23">H16*$I16</f>
        <v>1.5</v>
      </c>
      <c r="R16" t="s">
        <v>179</v>
      </c>
      <c r="Z16" t="str">
        <f t="shared" ref="Z16:Z21" si="24">"[TestCase("&amp;A16&amp;", "&amp;B16&amp;", "&amp;I16&amp;", "&amp;J16&amp;", "&amp;K16&amp;")]    // "&amp;R16</f>
        <v>[TestCase(3, 2, 0.5, 1.5, 1)]    // Smaller</v>
      </c>
      <c r="AA16" t="str">
        <f t="shared" ref="AA16:AA21" si="25">"[TestCase("&amp;A16&amp;", "&amp;B16&amp;", "&amp;C16&amp;", "&amp;D16&amp;", "&amp;I16&amp;", "&amp;J16&amp;", "&amp;K16&amp;", "&amp;L16&amp;", "&amp;M16&amp;")]    // "&amp;R16</f>
        <v>[TestCase(3, 2, 5, 3, 0.5, 1.5, 1, 2.5, 1.5)]    // Smaller</v>
      </c>
      <c r="AB16" t="str">
        <f>"[TestCase("&amp;A16&amp;", "&amp;B16&amp;", "&amp;C16&amp;", "&amp;D16&amp;", "&amp;E16&amp;", "&amp;F16&amp;", "&amp;I16&amp;", "&amp;J16&amp;", "&amp;K16&amp;", "&amp;L16&amp;", "&amp;M16&amp;", "&amp;N16&amp;", "&amp;O16&amp;")]    // "&amp;R16</f>
        <v>[TestCase(3, 2, 5, 3, 3, 5, 0.5, 1.5, 1, 2.5, 1.5, 1.5, 2.5)]    // Smaller</v>
      </c>
      <c r="AC16" t="str">
        <f t="shared" ref="AC16:AC21" si="26">"[TestCase("&amp;A16&amp;",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"&amp;Q16&amp;")]    // "&amp;R16</f>
        <v>[TestCase(3, 2, 5, 3, 3, 5, 2, 3, 0.5, 1.5, 1, 2.5, 1.5, 1.5, 2.5, 1, 1.5)]    // Smaller</v>
      </c>
    </row>
    <row r="17" spans="1:32" x14ac:dyDescent="0.3">
      <c r="A17" s="127">
        <f t="shared" ref="A17:A18" si="27">A$15</f>
        <v>3</v>
      </c>
      <c r="B17" s="10">
        <f t="shared" si="15"/>
        <v>2</v>
      </c>
      <c r="C17" s="127">
        <f t="shared" si="15"/>
        <v>5</v>
      </c>
      <c r="D17" s="10">
        <f t="shared" si="15"/>
        <v>3</v>
      </c>
      <c r="E17" s="127">
        <f t="shared" si="15"/>
        <v>3</v>
      </c>
      <c r="F17" s="10">
        <f t="shared" si="15"/>
        <v>5</v>
      </c>
      <c r="G17" s="127">
        <f t="shared" si="15"/>
        <v>2</v>
      </c>
      <c r="H17" s="10">
        <f t="shared" si="15"/>
        <v>3</v>
      </c>
      <c r="I17" s="5">
        <v>-2</v>
      </c>
      <c r="J17" s="128">
        <f t="shared" si="16"/>
        <v>-6</v>
      </c>
      <c r="K17" s="129">
        <f t="shared" si="17"/>
        <v>-4</v>
      </c>
      <c r="L17" s="128">
        <f t="shared" si="18"/>
        <v>-10</v>
      </c>
      <c r="M17" s="129">
        <f t="shared" si="19"/>
        <v>-6</v>
      </c>
      <c r="N17" s="128">
        <f t="shared" si="20"/>
        <v>-6</v>
      </c>
      <c r="O17" s="129">
        <f t="shared" si="21"/>
        <v>-10</v>
      </c>
      <c r="P17" s="128">
        <f t="shared" si="22"/>
        <v>-4</v>
      </c>
      <c r="Q17" s="129">
        <f t="shared" si="23"/>
        <v>-6</v>
      </c>
      <c r="R17" t="s">
        <v>178</v>
      </c>
      <c r="Z17" t="str">
        <f t="shared" si="24"/>
        <v>[TestCase(3, 2, -2, -6, -4)]    // Negative</v>
      </c>
      <c r="AA17" t="str">
        <f t="shared" si="25"/>
        <v>[TestCase(3, 2, 5, 3, -2, -6, -4, -10, -6)]    // Negative</v>
      </c>
      <c r="AB17" t="str">
        <f>"[TestCase("&amp;A17&amp;", "&amp;B17&amp;", "&amp;C17&amp;", "&amp;D17&amp;", "&amp;E17&amp;", "&amp;F17&amp;", "&amp;I17&amp;", "&amp;J17&amp;", "&amp;K17&amp;", "&amp;L17&amp;", "&amp;M17&amp;", "&amp;N17&amp;", "&amp;O17&amp;")]    // "&amp;R17</f>
        <v>[TestCase(3, 2, 5, 3, 3, 5, -2, -6, -4, -10, -6, -6, -10)]    // Negative</v>
      </c>
      <c r="AC17" t="str">
        <f t="shared" si="26"/>
        <v>[TestCase(3, 2, 5, 3, 3, 5, 2, 3, -2, -6, -4, -10, -6, -6, -10, -4, -6)]    // Negative</v>
      </c>
    </row>
    <row r="18" spans="1:32" x14ac:dyDescent="0.3">
      <c r="A18" s="127">
        <f t="shared" si="27"/>
        <v>3</v>
      </c>
      <c r="B18" s="10">
        <f t="shared" si="15"/>
        <v>2</v>
      </c>
      <c r="C18" s="127">
        <f t="shared" si="15"/>
        <v>5</v>
      </c>
      <c r="D18" s="10">
        <f t="shared" si="15"/>
        <v>3</v>
      </c>
      <c r="E18" s="127">
        <f t="shared" si="15"/>
        <v>3</v>
      </c>
      <c r="F18" s="10">
        <f t="shared" si="15"/>
        <v>5</v>
      </c>
      <c r="G18" s="127">
        <f t="shared" si="15"/>
        <v>2</v>
      </c>
      <c r="H18" s="10">
        <f t="shared" si="15"/>
        <v>3</v>
      </c>
      <c r="I18" s="5">
        <v>0</v>
      </c>
      <c r="J18" s="128">
        <f t="shared" si="16"/>
        <v>0</v>
      </c>
      <c r="K18" s="129">
        <f t="shared" si="17"/>
        <v>0</v>
      </c>
      <c r="L18" s="128">
        <f t="shared" si="18"/>
        <v>0</v>
      </c>
      <c r="M18" s="129">
        <f t="shared" si="19"/>
        <v>0</v>
      </c>
      <c r="N18" s="128">
        <f t="shared" si="20"/>
        <v>0</v>
      </c>
      <c r="O18" s="129">
        <f t="shared" si="21"/>
        <v>0</v>
      </c>
      <c r="P18" s="128">
        <f t="shared" si="22"/>
        <v>0</v>
      </c>
      <c r="Q18" s="129">
        <f t="shared" si="23"/>
        <v>0</v>
      </c>
      <c r="R18">
        <v>0</v>
      </c>
      <c r="Z18" t="str">
        <f t="shared" si="24"/>
        <v>[TestCase(3, 2, 0, 0, 0)]    // 0</v>
      </c>
      <c r="AA18" t="str">
        <f t="shared" si="25"/>
        <v>[TestCase(3, 2, 5, 3, 0, 0, 0, 0, 0)]    // 0</v>
      </c>
      <c r="AB18" t="str">
        <f>"[TestCase("&amp;A18&amp;", "&amp;B18&amp;", "&amp;C18&amp;", "&amp;D18&amp;", "&amp;E18&amp;", "&amp;F18&amp;", "&amp;I18&amp;", "&amp;J18&amp;", "&amp;K18&amp;", "&amp;L18&amp;", "&amp;M18&amp;", "&amp;N18&amp;", "&amp;O18&amp;")]    // "&amp;R18</f>
        <v>[TestCase(3, 2, 5, 3, 3, 5, 0, 0, 0, 0, 0, 0, 0)]    // 0</v>
      </c>
      <c r="AC18" t="str">
        <f t="shared" si="26"/>
        <v>[TestCase(3, 2, 5, 3, 3, 5, 2, 3, 0, 0, 0, 0, 0, 0, 0, 0, 0)]    // 0</v>
      </c>
    </row>
    <row r="19" spans="1:32" x14ac:dyDescent="0.3">
      <c r="A19" s="127">
        <f>-A$5</f>
        <v>-3</v>
      </c>
      <c r="B19" s="10">
        <f t="shared" ref="B19:H21" si="28">B$5</f>
        <v>2</v>
      </c>
      <c r="C19" s="127">
        <f>-C$5</f>
        <v>-5</v>
      </c>
      <c r="D19" s="10">
        <f t="shared" si="28"/>
        <v>3</v>
      </c>
      <c r="E19" s="127">
        <f>-E$5</f>
        <v>-3</v>
      </c>
      <c r="F19" s="10">
        <f t="shared" si="28"/>
        <v>5</v>
      </c>
      <c r="G19" s="127">
        <f>-G$5</f>
        <v>-2</v>
      </c>
      <c r="H19" s="10">
        <f t="shared" si="28"/>
        <v>3</v>
      </c>
      <c r="I19" s="5">
        <v>2</v>
      </c>
      <c r="J19" s="128">
        <f t="shared" ref="J19:J21" si="29">A19*$I19</f>
        <v>-6</v>
      </c>
      <c r="K19" s="129">
        <f t="shared" ref="K19:K21" si="30">B19*$I19</f>
        <v>4</v>
      </c>
      <c r="L19" s="128">
        <f t="shared" ref="L19:L21" si="31">C19*$I19</f>
        <v>-10</v>
      </c>
      <c r="M19" s="129">
        <f t="shared" ref="M19:M21" si="32">D19*$I19</f>
        <v>6</v>
      </c>
      <c r="N19" s="128">
        <f t="shared" ref="N19:N21" si="33">E19*$I19</f>
        <v>-6</v>
      </c>
      <c r="O19" s="129">
        <f t="shared" ref="O19:O21" si="34">F19*$I19</f>
        <v>10</v>
      </c>
      <c r="P19" s="128">
        <f t="shared" ref="P19:P21" si="35">G19*$I19</f>
        <v>-4</v>
      </c>
      <c r="Q19" s="129">
        <f t="shared" ref="Q19:Q21" si="36">H19*$I19</f>
        <v>6</v>
      </c>
      <c r="R19" t="s">
        <v>175</v>
      </c>
      <c r="Z19" t="str">
        <f t="shared" si="24"/>
        <v>[TestCase(-3, 2, 2, -6, 4)]    // Default in Quadrant II</v>
      </c>
      <c r="AA19" t="str">
        <f t="shared" si="25"/>
        <v>[TestCase(-3, 2, -5, 3, 2, -6, 4, -10, 6)]    // Default in Quadrant II</v>
      </c>
      <c r="AB19" t="str">
        <f>"[TestCase("&amp;A19&amp;", "&amp;B19&amp;", "&amp;C19&amp;", "&amp;D19&amp;", "&amp;E19&amp;", "&amp;F19&amp;", "&amp;I19&amp;", "&amp;J19&amp;", "&amp;K19&amp;", "&amp;L19&amp;", "&amp;M19&amp;", "&amp;N19&amp;", "&amp;O19&amp;")]    // "&amp;R19</f>
        <v>[TestCase(-3, 2, -5, 3, -3, 5, 2, -6, 4, -10, 6, -6, 10)]    // Default in Quadrant II</v>
      </c>
      <c r="AC19" t="str">
        <f t="shared" si="26"/>
        <v>[TestCase(-3, 2, -5, 3, -3, 5, -2, 3, 2, -6, 4, -10, 6, -6, 10, -4, 6)]    // Default in Quadrant II</v>
      </c>
    </row>
    <row r="20" spans="1:32" x14ac:dyDescent="0.3">
      <c r="A20" s="127">
        <f>-A$5</f>
        <v>-3</v>
      </c>
      <c r="B20" s="10">
        <f>-B$5</f>
        <v>-2</v>
      </c>
      <c r="C20" s="127">
        <f>-C$5</f>
        <v>-5</v>
      </c>
      <c r="D20" s="10">
        <f>-D$5</f>
        <v>-3</v>
      </c>
      <c r="E20" s="127">
        <f>-E$5</f>
        <v>-3</v>
      </c>
      <c r="F20" s="10">
        <f>-F$5</f>
        <v>-5</v>
      </c>
      <c r="G20" s="127">
        <f>-G$5</f>
        <v>-2</v>
      </c>
      <c r="H20" s="10">
        <f>-H$5</f>
        <v>-3</v>
      </c>
      <c r="I20" s="5">
        <v>2</v>
      </c>
      <c r="J20" s="128">
        <f t="shared" si="29"/>
        <v>-6</v>
      </c>
      <c r="K20" s="129">
        <f t="shared" si="30"/>
        <v>-4</v>
      </c>
      <c r="L20" s="128">
        <f t="shared" si="31"/>
        <v>-10</v>
      </c>
      <c r="M20" s="129">
        <f t="shared" si="32"/>
        <v>-6</v>
      </c>
      <c r="N20" s="128">
        <f t="shared" si="33"/>
        <v>-6</v>
      </c>
      <c r="O20" s="129">
        <f t="shared" si="34"/>
        <v>-10</v>
      </c>
      <c r="P20" s="128">
        <f t="shared" si="35"/>
        <v>-4</v>
      </c>
      <c r="Q20" s="129">
        <f t="shared" si="36"/>
        <v>-6</v>
      </c>
      <c r="R20" t="s">
        <v>176</v>
      </c>
      <c r="Z20" t="str">
        <f t="shared" si="24"/>
        <v>[TestCase(-3, -2, 2, -6, -4)]    // Default in Quadrant III</v>
      </c>
      <c r="AA20" t="str">
        <f t="shared" si="25"/>
        <v>[TestCase(-3, -2, -5, -3, 2, -6, -4, -10, -6)]    // Default in Quadrant III</v>
      </c>
      <c r="AB20" t="str">
        <f>"[TestCase("&amp;A20&amp;", "&amp;B20&amp;", "&amp;C20&amp;", "&amp;D20&amp;", "&amp;E20&amp;", "&amp;F20&amp;", "&amp;I20&amp;", "&amp;J20&amp;", "&amp;K20&amp;", "&amp;L20&amp;", "&amp;M20&amp;", "&amp;N20&amp;", "&amp;O20&amp;")]    // "&amp;R20</f>
        <v>[TestCase(-3, -2, -5, -3, -3, -5, 2, -6, -4, -10, -6, -6, -10)]    // Default in Quadrant III</v>
      </c>
      <c r="AC20" t="str">
        <f t="shared" si="26"/>
        <v>[TestCase(-3, -2, -5, -3, -3, -5, -2, -3, 2, -6, -4, -10, -6, -6, -10, -4, -6)]    // Default in Quadrant III</v>
      </c>
    </row>
    <row r="21" spans="1:32" x14ac:dyDescent="0.3">
      <c r="A21" s="127">
        <f t="shared" ref="A21" si="37">A$5</f>
        <v>3</v>
      </c>
      <c r="B21" s="10">
        <f>-B$5</f>
        <v>-2</v>
      </c>
      <c r="C21" s="127">
        <f t="shared" si="28"/>
        <v>5</v>
      </c>
      <c r="D21" s="10">
        <f>-D$5</f>
        <v>-3</v>
      </c>
      <c r="E21" s="127">
        <f t="shared" si="28"/>
        <v>3</v>
      </c>
      <c r="F21" s="10">
        <f>-F$5</f>
        <v>-5</v>
      </c>
      <c r="G21" s="127">
        <f t="shared" si="28"/>
        <v>2</v>
      </c>
      <c r="H21" s="10">
        <f>-H$5</f>
        <v>-3</v>
      </c>
      <c r="I21" s="5">
        <v>2</v>
      </c>
      <c r="J21" s="128">
        <f t="shared" si="29"/>
        <v>6</v>
      </c>
      <c r="K21" s="129">
        <f t="shared" si="30"/>
        <v>-4</v>
      </c>
      <c r="L21" s="128">
        <f t="shared" si="31"/>
        <v>10</v>
      </c>
      <c r="M21" s="129">
        <f t="shared" si="32"/>
        <v>-6</v>
      </c>
      <c r="N21" s="128">
        <f t="shared" si="33"/>
        <v>6</v>
      </c>
      <c r="O21" s="129">
        <f t="shared" si="34"/>
        <v>-10</v>
      </c>
      <c r="P21" s="128">
        <f t="shared" si="35"/>
        <v>4</v>
      </c>
      <c r="Q21" s="129">
        <f t="shared" si="36"/>
        <v>-6</v>
      </c>
      <c r="R21" t="s">
        <v>177</v>
      </c>
      <c r="Z21" t="str">
        <f t="shared" si="24"/>
        <v>[TestCase(3, -2, 2, 6, -4)]    // Default in Quadrant IV</v>
      </c>
      <c r="AA21" t="str">
        <f t="shared" si="25"/>
        <v>[TestCase(3, -2, 5, -3, 2, 6, -4, 10, -6)]    // Default in Quadrant IV</v>
      </c>
      <c r="AB21" t="str">
        <f>"[TestCase("&amp;A21&amp;", "&amp;B21&amp;", "&amp;C21&amp;", "&amp;D21&amp;", "&amp;E21&amp;", "&amp;F21&amp;", "&amp;I21&amp;", "&amp;J21&amp;", "&amp;K21&amp;", "&amp;L21&amp;", "&amp;M21&amp;", "&amp;N21&amp;", "&amp;O21&amp;")]    // "&amp;R21</f>
        <v>[TestCase(3, -2, 5, -3, 3, -5, 2, 6, -4, 10, -6, 6, -10)]    // Default in Quadrant IV</v>
      </c>
      <c r="AC21" t="str">
        <f t="shared" si="26"/>
        <v>[TestCase(3, -2, 5, -3, 3, -5, 2, -3, 2, 6, -4, 10, -6, 6, -10, 4, -6)]    // Default in Quadrant IV</v>
      </c>
    </row>
    <row r="23" spans="1:32" s="2" customFormat="1" x14ac:dyDescent="0.3">
      <c r="A23" s="2" t="s">
        <v>156</v>
      </c>
    </row>
    <row r="24" spans="1:32" s="4" customFormat="1" x14ac:dyDescent="0.3">
      <c r="A24" s="124" t="s">
        <v>157</v>
      </c>
      <c r="B24" s="125"/>
      <c r="C24" s="124" t="s">
        <v>159</v>
      </c>
      <c r="D24" s="125"/>
      <c r="E24" s="124" t="s">
        <v>160</v>
      </c>
      <c r="F24" s="125"/>
      <c r="G24" s="124" t="s">
        <v>161</v>
      </c>
      <c r="H24" s="125"/>
      <c r="I24" s="124" t="s">
        <v>229</v>
      </c>
      <c r="J24" s="125"/>
      <c r="K24" s="124" t="s">
        <v>230</v>
      </c>
      <c r="L24" s="125"/>
      <c r="M24" s="124" t="s">
        <v>231</v>
      </c>
      <c r="N24" s="125"/>
      <c r="O24" s="4" t="s">
        <v>162</v>
      </c>
      <c r="P24" s="4" t="s">
        <v>164</v>
      </c>
      <c r="Q24" s="4" t="s">
        <v>163</v>
      </c>
      <c r="R24" s="4" t="s">
        <v>165</v>
      </c>
      <c r="S24" s="124" t="s">
        <v>157</v>
      </c>
      <c r="T24" s="125"/>
      <c r="U24" s="124" t="s">
        <v>159</v>
      </c>
      <c r="V24" s="125"/>
      <c r="W24" s="124" t="s">
        <v>160</v>
      </c>
      <c r="X24" s="125"/>
      <c r="Y24" s="124" t="s">
        <v>161</v>
      </c>
      <c r="Z24" s="125"/>
      <c r="AA24" s="4" t="s">
        <v>172</v>
      </c>
      <c r="AC24" s="4" t="s">
        <v>54</v>
      </c>
      <c r="AD24" s="136" t="s">
        <v>209</v>
      </c>
      <c r="AE24" s="136" t="s">
        <v>212</v>
      </c>
      <c r="AF24" s="136" t="s">
        <v>210</v>
      </c>
    </row>
    <row r="25" spans="1:32" s="4" customFormat="1" x14ac:dyDescent="0.3">
      <c r="A25" s="6" t="s">
        <v>158</v>
      </c>
      <c r="B25" s="9" t="s">
        <v>3</v>
      </c>
      <c r="C25" s="6" t="s">
        <v>158</v>
      </c>
      <c r="D25" s="9" t="s">
        <v>3</v>
      </c>
      <c r="E25" s="6" t="s">
        <v>158</v>
      </c>
      <c r="F25" s="9" t="s">
        <v>3</v>
      </c>
      <c r="G25" s="6" t="s">
        <v>158</v>
      </c>
      <c r="H25" s="9" t="s">
        <v>3</v>
      </c>
      <c r="I25" s="6" t="s">
        <v>158</v>
      </c>
      <c r="J25" s="9" t="s">
        <v>3</v>
      </c>
      <c r="K25" s="6" t="s">
        <v>158</v>
      </c>
      <c r="L25" s="9" t="s">
        <v>3</v>
      </c>
      <c r="M25" s="6" t="s">
        <v>38</v>
      </c>
      <c r="N25" s="9" t="s">
        <v>39</v>
      </c>
      <c r="S25" s="6" t="s">
        <v>158</v>
      </c>
      <c r="T25" s="9" t="s">
        <v>3</v>
      </c>
      <c r="U25" s="6" t="s">
        <v>158</v>
      </c>
      <c r="V25" s="9" t="s">
        <v>3</v>
      </c>
      <c r="W25" s="6" t="s">
        <v>158</v>
      </c>
      <c r="X25" s="9" t="s">
        <v>3</v>
      </c>
      <c r="Y25" s="6" t="s">
        <v>158</v>
      </c>
      <c r="Z25" s="9" t="s">
        <v>3</v>
      </c>
    </row>
    <row r="26" spans="1:32" x14ac:dyDescent="0.3">
      <c r="A26" s="15">
        <v>3</v>
      </c>
      <c r="B26" s="126">
        <v>2</v>
      </c>
      <c r="C26" s="15">
        <v>5</v>
      </c>
      <c r="D26" s="126">
        <v>3</v>
      </c>
      <c r="E26" s="15">
        <v>3</v>
      </c>
      <c r="F26" s="126">
        <v>5</v>
      </c>
      <c r="G26" s="15">
        <v>2</v>
      </c>
      <c r="H26" s="126">
        <v>3</v>
      </c>
      <c r="I26" s="16">
        <v>0</v>
      </c>
      <c r="J26" s="16">
        <v>0</v>
      </c>
      <c r="K26" s="140">
        <f>MAX(A26,C26,E26,G26)</f>
        <v>5</v>
      </c>
      <c r="L26" s="141">
        <f>MAX(B26,D26,F26,H26)</f>
        <v>5</v>
      </c>
      <c r="M26" s="139">
        <f>K26-I26</f>
        <v>5</v>
      </c>
      <c r="N26" s="138">
        <f>L26-J26</f>
        <v>5</v>
      </c>
      <c r="O26" s="5">
        <v>2</v>
      </c>
      <c r="P26">
        <f>O26/N26</f>
        <v>0.4</v>
      </c>
      <c r="Q26" s="5">
        <v>0</v>
      </c>
      <c r="R26">
        <f>Q26/M26</f>
        <v>0</v>
      </c>
      <c r="S26" s="128">
        <f>A26+$P26*B26</f>
        <v>3.8</v>
      </c>
      <c r="T26" s="129">
        <f>B26+$R26*A26</f>
        <v>2</v>
      </c>
      <c r="U26" s="128">
        <f>C26+$P26*D26</f>
        <v>6.2</v>
      </c>
      <c r="V26" s="129">
        <f>D26+$R26*C26</f>
        <v>3</v>
      </c>
      <c r="W26" s="128">
        <f>E26+$P26*F26</f>
        <v>5</v>
      </c>
      <c r="X26" s="129">
        <f>F26+$R26*E26</f>
        <v>5</v>
      </c>
      <c r="Y26" s="128">
        <f>G26+$P26*H26</f>
        <v>3.2</v>
      </c>
      <c r="Z26" s="129">
        <f>H26+$R26*G26</f>
        <v>3</v>
      </c>
      <c r="AA26" t="s">
        <v>182</v>
      </c>
      <c r="AC26" t="str">
        <f>"[TestCase("&amp;A26&amp;", "&amp;B26&amp;", "&amp;I26&amp;", "&amp;J26&amp;", "&amp;K26&amp;", "&amp;L26&amp;", "&amp;O26&amp;", "&amp;Q26&amp;", "&amp;S26&amp;", "&amp;T26&amp;")]    // "&amp;AA26</f>
        <v>[TestCase(3, 2, 0, 0, 5, 5, 2, 0, 3.8, 2)]    // Shear +x</v>
      </c>
      <c r="AD26" t="str">
        <f>"[TestCase("&amp;A26&amp;", "&amp;B26&amp;", "&amp;C26&amp;", "&amp;D26&amp;", "&amp;I26&amp;", "&amp;J26&amp;", "&amp;K26&amp;", "&amp;L26&amp;", "&amp;O26&amp;", "&amp;Q26&amp;", "&amp;S26&amp;", "&amp;T26&amp;", "&amp;U26&amp;", "&amp;V26&amp;")]    // "&amp;AA26</f>
        <v>[TestCase(3, 2, 5, 3, 0, 0, 5, 5, 2, 0, 3.8, 2, 6.2, 3)]    // Shear +x</v>
      </c>
      <c r="AE26" t="str">
        <f>"[TestCase("&amp;A26&amp;", "&amp;B26&amp;", "&amp;C26&amp;", "&amp;D26&amp;", "&amp;E26&amp;", "&amp;F26&amp;", "&amp;I26&amp;", "&amp;J26&amp;", "&amp;K26&amp;", "&amp;L26&amp;", "&amp;O26&amp;", "&amp;Q26&amp;", "&amp;S26&amp;", "&amp;T26&amp;", "&amp;U26&amp;", "&amp;V26&amp;", "&amp;W26&amp;", "&amp;X26&amp;")]    // "&amp;AA26</f>
        <v>[TestCase(3, 2, 5, 3, 3, 5, 0, 0, 5, 5, 2, 0, 3.8, 2, 6.2, 3, 5, 5)]    // Shear +x</v>
      </c>
      <c r="AF26" t="str">
        <f>"[TestCase("&amp;A26&amp;", "&amp;B26&amp;", "&amp;C26&amp;", "&amp;D26&amp;", "&amp;E26&amp;", "&amp;F26&amp;", "&amp;G26&amp;", "&amp;H26&amp;", "&amp;I26&amp;", "&amp;J26&amp;", "&amp;K26&amp;", "&amp;L26&amp;", "&amp;O26&amp;", "&amp;Q26&amp;", "&amp;S26&amp;", "&amp;T26&amp;", "&amp;U26&amp;", "&amp;V26&amp;", "&amp;W26&amp;", "&amp;X26&amp;", "&amp;Y26&amp;", "&amp;Z26&amp;")]    // "&amp;AA26</f>
        <v>[TestCase(3, 2, 5, 3, 3, 5, 2, 3, 0, 0, 5, 5, 2, 0, 3.8, 2, 6.2, 3, 5, 5, 3.2, 3)]    // Shear +x</v>
      </c>
    </row>
    <row r="27" spans="1:32" x14ac:dyDescent="0.3">
      <c r="A27" s="127">
        <f>A$26</f>
        <v>3</v>
      </c>
      <c r="B27" s="10">
        <f>B$26</f>
        <v>2</v>
      </c>
      <c r="C27" s="127">
        <f>C$26</f>
        <v>5</v>
      </c>
      <c r="D27" s="10">
        <f>D$26</f>
        <v>3</v>
      </c>
      <c r="E27" s="127">
        <f>E$26</f>
        <v>3</v>
      </c>
      <c r="F27" s="10">
        <f>F$26</f>
        <v>5</v>
      </c>
      <c r="G27" s="127">
        <f>G$26</f>
        <v>2</v>
      </c>
      <c r="H27" s="10">
        <f>H$26</f>
        <v>3</v>
      </c>
      <c r="I27" s="16">
        <v>0</v>
      </c>
      <c r="J27" s="16">
        <v>0</v>
      </c>
      <c r="K27" s="140">
        <f t="shared" ref="K27:K33" si="38">MAX(A27,C27,E27,G27)</f>
        <v>5</v>
      </c>
      <c r="L27" s="141">
        <f t="shared" ref="L27:L31" si="39">MAX(B27,D27,F27,H27)</f>
        <v>5</v>
      </c>
      <c r="M27" s="139">
        <f t="shared" ref="M27:M33" si="40">K27-I27</f>
        <v>5</v>
      </c>
      <c r="N27" s="138">
        <f t="shared" ref="N27:N33" si="41">L27-J27</f>
        <v>5</v>
      </c>
      <c r="O27" s="5">
        <v>-2</v>
      </c>
      <c r="P27">
        <f t="shared" ref="P27:P33" si="42">O27/N27</f>
        <v>-0.4</v>
      </c>
      <c r="Q27" s="5">
        <v>0</v>
      </c>
      <c r="R27">
        <f t="shared" ref="R27:R33" si="43">Q27/M27</f>
        <v>0</v>
      </c>
      <c r="S27" s="127">
        <f>A27+$P27*B27</f>
        <v>2.2000000000000002</v>
      </c>
      <c r="T27" s="10">
        <f>B27+$R27*A27</f>
        <v>2</v>
      </c>
      <c r="U27" s="127">
        <f>C27+$P27*D27</f>
        <v>3.8</v>
      </c>
      <c r="V27" s="10">
        <f>D27+$R27*C27</f>
        <v>3</v>
      </c>
      <c r="W27" s="127">
        <f>E27+$P27*F27</f>
        <v>1</v>
      </c>
      <c r="X27" s="10">
        <f>F27+$R27*E27</f>
        <v>5</v>
      </c>
      <c r="Y27" s="127">
        <f>G27+$P27*H27</f>
        <v>0.79999999999999982</v>
      </c>
      <c r="Z27" s="10">
        <f>H27+$R27*G27</f>
        <v>3</v>
      </c>
      <c r="AA27" t="s">
        <v>181</v>
      </c>
      <c r="AC27" t="str">
        <f t="shared" ref="AC27:AC35" si="44">"[TestCase("&amp;A27&amp;", "&amp;B27&amp;", "&amp;I27&amp;", "&amp;J27&amp;", "&amp;K27&amp;", "&amp;L27&amp;", "&amp;O27&amp;", "&amp;Q27&amp;", "&amp;S27&amp;", "&amp;T27&amp;")]    // "&amp;AA27</f>
        <v>[TestCase(3, 2, 0, 0, 5, 5, -2, 0, 2.2, 2)]    // Shear -x</v>
      </c>
      <c r="AD27" t="str">
        <f t="shared" ref="AD27:AD35" si="45">"[TestCase("&amp;A27&amp;", "&amp;B27&amp;", "&amp;C27&amp;", "&amp;D27&amp;", "&amp;I27&amp;", "&amp;J27&amp;", "&amp;K27&amp;", "&amp;L27&amp;", "&amp;O27&amp;", "&amp;Q27&amp;", "&amp;S27&amp;", "&amp;T27&amp;", "&amp;U27&amp;", "&amp;V27&amp;")]    // "&amp;AA27</f>
        <v>[TestCase(3, 2, 5, 3, 0, 0, 5, 5, -2, 0, 2.2, 2, 3.8, 3)]    // Shear -x</v>
      </c>
      <c r="AE27" t="str">
        <f t="shared" ref="AE27:AE35" si="46">"[TestCase("&amp;A27&amp;", "&amp;B27&amp;", "&amp;C27&amp;", "&amp;D27&amp;", "&amp;E27&amp;", "&amp;F27&amp;", "&amp;I27&amp;", "&amp;J27&amp;", "&amp;K27&amp;", "&amp;L27&amp;", "&amp;O27&amp;", "&amp;Q27&amp;", "&amp;S27&amp;", "&amp;T27&amp;", "&amp;U27&amp;", "&amp;V27&amp;", "&amp;W27&amp;", "&amp;X27&amp;")]    // "&amp;AA27</f>
        <v>[TestCase(3, 2, 5, 3, 3, 5, 0, 0, 5, 5, -2, 0, 2.2, 2, 3.8, 3, 1, 5)]    // Shear -x</v>
      </c>
      <c r="AF27" t="str">
        <f t="shared" ref="AF27:AF35" si="47">"[TestCase("&amp;A27&amp;", "&amp;B27&amp;", "&amp;C27&amp;", "&amp;D27&amp;", "&amp;E27&amp;", "&amp;F27&amp;", "&amp;G27&amp;", "&amp;H27&amp;", "&amp;I27&amp;", "&amp;J27&amp;", "&amp;K27&amp;", "&amp;L27&amp;", "&amp;O27&amp;", "&amp;Q27&amp;", "&amp;S27&amp;", "&amp;T27&amp;", "&amp;U27&amp;", "&amp;V27&amp;", "&amp;W27&amp;", "&amp;X27&amp;", "&amp;Y27&amp;", "&amp;Z27&amp;")]    // "&amp;AA27</f>
        <v>[TestCase(3, 2, 5, 3, 3, 5, 2, 3, 0, 0, 5, 5, -2, 0, 2.2, 2, 3.8, 3, 1, 5, 0.8, 3)]    // Shear -x</v>
      </c>
    </row>
    <row r="28" spans="1:32" x14ac:dyDescent="0.3">
      <c r="A28" s="127">
        <f>A$26</f>
        <v>3</v>
      </c>
      <c r="B28" s="10">
        <f>B$26</f>
        <v>2</v>
      </c>
      <c r="C28" s="127">
        <f>C$26</f>
        <v>5</v>
      </c>
      <c r="D28" s="10">
        <f>D$26</f>
        <v>3</v>
      </c>
      <c r="E28" s="127">
        <f>E$26</f>
        <v>3</v>
      </c>
      <c r="F28" s="10">
        <f>F$26</f>
        <v>5</v>
      </c>
      <c r="G28" s="127">
        <f>G$26</f>
        <v>2</v>
      </c>
      <c r="H28" s="10">
        <f>H$26</f>
        <v>3</v>
      </c>
      <c r="I28" s="16">
        <v>0</v>
      </c>
      <c r="J28" s="16">
        <v>0</v>
      </c>
      <c r="K28" s="140">
        <f t="shared" si="38"/>
        <v>5</v>
      </c>
      <c r="L28" s="141">
        <f t="shared" si="39"/>
        <v>5</v>
      </c>
      <c r="M28" s="139">
        <f t="shared" si="40"/>
        <v>5</v>
      </c>
      <c r="N28" s="138">
        <f t="shared" si="41"/>
        <v>5</v>
      </c>
      <c r="O28" s="5">
        <v>0</v>
      </c>
      <c r="P28">
        <f t="shared" si="42"/>
        <v>0</v>
      </c>
      <c r="Q28" s="5">
        <v>2</v>
      </c>
      <c r="R28">
        <f t="shared" si="43"/>
        <v>0.4</v>
      </c>
      <c r="S28" s="127">
        <f>A28+$P28*B28</f>
        <v>3</v>
      </c>
      <c r="T28" s="10">
        <f>B28+$R28*A28</f>
        <v>3.2</v>
      </c>
      <c r="U28" s="127">
        <f>C28+$P28*D28</f>
        <v>5</v>
      </c>
      <c r="V28" s="10">
        <f>D28+$R28*C28</f>
        <v>5</v>
      </c>
      <c r="W28" s="127">
        <f>E28+$P28*F28</f>
        <v>3</v>
      </c>
      <c r="X28" s="10">
        <f>F28+$R28*E28</f>
        <v>6.2</v>
      </c>
      <c r="Y28" s="127">
        <f>G28+$P28*H28</f>
        <v>2</v>
      </c>
      <c r="Z28" s="10">
        <f>H28+$R28*G28</f>
        <v>3.8</v>
      </c>
      <c r="AA28" t="s">
        <v>183</v>
      </c>
      <c r="AC28" t="str">
        <f t="shared" si="44"/>
        <v>[TestCase(3, 2, 0, 0, 5, 5, 0, 2, 3, 3.2)]    // Shear +y</v>
      </c>
      <c r="AD28" t="str">
        <f t="shared" si="45"/>
        <v>[TestCase(3, 2, 5, 3, 0, 0, 5, 5, 0, 2, 3, 3.2, 5, 5)]    // Shear +y</v>
      </c>
      <c r="AE28" t="str">
        <f t="shared" si="46"/>
        <v>[TestCase(3, 2, 5, 3, 3, 5, 0, 0, 5, 5, 0, 2, 3, 3.2, 5, 5, 3, 6.2)]    // Shear +y</v>
      </c>
      <c r="AF28" t="str">
        <f t="shared" si="47"/>
        <v>[TestCase(3, 2, 5, 3, 3, 5, 2, 3, 0, 0, 5, 5, 0, 2, 3, 3.2, 5, 5, 3, 6.2, 2, 3.8)]    // Shear +y</v>
      </c>
    </row>
    <row r="29" spans="1:32" x14ac:dyDescent="0.3">
      <c r="A29" s="127">
        <f>A$26</f>
        <v>3</v>
      </c>
      <c r="B29" s="10">
        <f>B$26</f>
        <v>2</v>
      </c>
      <c r="C29" s="127">
        <f>C$26</f>
        <v>5</v>
      </c>
      <c r="D29" s="10">
        <f>D$26</f>
        <v>3</v>
      </c>
      <c r="E29" s="127">
        <f>E$26</f>
        <v>3</v>
      </c>
      <c r="F29" s="10">
        <f>F$26</f>
        <v>5</v>
      </c>
      <c r="G29" s="127">
        <f>G$26</f>
        <v>2</v>
      </c>
      <c r="H29" s="10">
        <f>H$26</f>
        <v>3</v>
      </c>
      <c r="I29" s="16">
        <v>0</v>
      </c>
      <c r="J29" s="16">
        <v>0</v>
      </c>
      <c r="K29" s="140">
        <f t="shared" si="38"/>
        <v>5</v>
      </c>
      <c r="L29" s="141">
        <f t="shared" si="39"/>
        <v>5</v>
      </c>
      <c r="M29" s="139">
        <f t="shared" si="40"/>
        <v>5</v>
      </c>
      <c r="N29" s="138">
        <f t="shared" si="41"/>
        <v>5</v>
      </c>
      <c r="O29" s="5">
        <v>0</v>
      </c>
      <c r="P29">
        <f t="shared" si="42"/>
        <v>0</v>
      </c>
      <c r="Q29" s="5">
        <v>-2</v>
      </c>
      <c r="R29">
        <f t="shared" si="43"/>
        <v>-0.4</v>
      </c>
      <c r="S29" s="127">
        <f>A29+$P29*B29</f>
        <v>3</v>
      </c>
      <c r="T29" s="10">
        <f>B29+$R29*A29</f>
        <v>0.79999999999999982</v>
      </c>
      <c r="U29" s="127">
        <f>C29+$P29*D29</f>
        <v>5</v>
      </c>
      <c r="V29" s="10">
        <f>D29+$R29*C29</f>
        <v>1</v>
      </c>
      <c r="W29" s="127">
        <f>E29+$P29*F29</f>
        <v>3</v>
      </c>
      <c r="X29" s="10">
        <f>F29+$R29*E29</f>
        <v>3.8</v>
      </c>
      <c r="Y29" s="127">
        <f>G29+$P29*H29</f>
        <v>2</v>
      </c>
      <c r="Z29" s="10">
        <f>H29+$R29*G29</f>
        <v>2.2000000000000002</v>
      </c>
      <c r="AA29" t="s">
        <v>184</v>
      </c>
      <c r="AC29" t="str">
        <f t="shared" si="44"/>
        <v>[TestCase(3, 2, 0, 0, 5, 5, 0, -2, 3, 0.8)]    // Shear -y</v>
      </c>
      <c r="AD29" t="str">
        <f t="shared" si="45"/>
        <v>[TestCase(3, 2, 5, 3, 0, 0, 5, 5, 0, -2, 3, 0.8, 5, 1)]    // Shear -y</v>
      </c>
      <c r="AE29" t="str">
        <f t="shared" si="46"/>
        <v>[TestCase(3, 2, 5, 3, 3, 5, 0, 0, 5, 5, 0, -2, 3, 0.8, 5, 1, 3, 3.8)]    // Shear -y</v>
      </c>
      <c r="AF29" t="str">
        <f t="shared" si="47"/>
        <v>[TestCase(3, 2, 5, 3, 3, 5, 2, 3, 0, 0, 5, 5, 0, -2, 3, 0.8, 5, 1, 3, 3.8, 2, 2.2)]    // Shear -y</v>
      </c>
    </row>
    <row r="30" spans="1:32" x14ac:dyDescent="0.3">
      <c r="A30" s="127">
        <f>A$26</f>
        <v>3</v>
      </c>
      <c r="B30" s="10">
        <f>B$26</f>
        <v>2</v>
      </c>
      <c r="C30" s="127">
        <f>C$26</f>
        <v>5</v>
      </c>
      <c r="D30" s="10">
        <f>D$26</f>
        <v>3</v>
      </c>
      <c r="E30" s="127">
        <f>E$26</f>
        <v>3</v>
      </c>
      <c r="F30" s="10">
        <f>F$26</f>
        <v>5</v>
      </c>
      <c r="G30" s="127">
        <f>G$26</f>
        <v>2</v>
      </c>
      <c r="H30" s="10">
        <f>H$26</f>
        <v>3</v>
      </c>
      <c r="I30" s="16">
        <v>0</v>
      </c>
      <c r="J30" s="16">
        <v>0</v>
      </c>
      <c r="K30" s="140">
        <f t="shared" si="38"/>
        <v>5</v>
      </c>
      <c r="L30" s="141">
        <f t="shared" si="39"/>
        <v>5</v>
      </c>
      <c r="M30" s="139">
        <f t="shared" si="40"/>
        <v>5</v>
      </c>
      <c r="N30" s="138">
        <f t="shared" si="41"/>
        <v>5</v>
      </c>
      <c r="O30" s="5">
        <v>2</v>
      </c>
      <c r="P30">
        <f t="shared" si="42"/>
        <v>0.4</v>
      </c>
      <c r="Q30" s="5">
        <v>3</v>
      </c>
      <c r="R30">
        <f t="shared" si="43"/>
        <v>0.6</v>
      </c>
      <c r="S30" s="127">
        <f>A30+$P30*B30</f>
        <v>3.8</v>
      </c>
      <c r="T30" s="10">
        <f>B30+$R30*A30</f>
        <v>3.8</v>
      </c>
      <c r="U30" s="127">
        <f>C30+$P30*D30</f>
        <v>6.2</v>
      </c>
      <c r="V30" s="10">
        <f>D30+$R30*C30</f>
        <v>6</v>
      </c>
      <c r="W30" s="127">
        <f>E30+$P30*F30</f>
        <v>5</v>
      </c>
      <c r="X30" s="10">
        <f>F30+$R30*E30</f>
        <v>6.8</v>
      </c>
      <c r="Y30" s="127">
        <f>G30+$P30*H30</f>
        <v>3.2</v>
      </c>
      <c r="Z30" s="10">
        <f>H30+$R30*G30</f>
        <v>4.2</v>
      </c>
      <c r="AA30" t="s">
        <v>185</v>
      </c>
      <c r="AC30" t="str">
        <f t="shared" si="44"/>
        <v>[TestCase(3, 2, 0, 0, 5, 5, 2, 3, 3.8, 3.8)]    // Shear +x, +y, Quadrant I</v>
      </c>
      <c r="AD30" t="str">
        <f t="shared" si="45"/>
        <v>[TestCase(3, 2, 5, 3, 0, 0, 5, 5, 2, 3, 3.8, 3.8, 6.2, 6)]    // Shear +x, +y, Quadrant I</v>
      </c>
      <c r="AE30" t="str">
        <f t="shared" si="46"/>
        <v>[TestCase(3, 2, 5, 3, 3, 5, 0, 0, 5, 5, 2, 3, 3.8, 3.8, 6.2, 6, 5, 6.8)]    // Shear +x, +y, Quadrant I</v>
      </c>
      <c r="AF30" t="str">
        <f t="shared" si="47"/>
        <v>[TestCase(3, 2, 5, 3, 3, 5, 2, 3, 0, 0, 5, 5, 2, 3, 3.8, 3.8, 6.2, 6, 5, 6.8, 3.2, 4.2)]    // Shear +x, +y, Quadrant I</v>
      </c>
    </row>
    <row r="31" spans="1:32" x14ac:dyDescent="0.3">
      <c r="A31" s="127">
        <f>-A$5</f>
        <v>-3</v>
      </c>
      <c r="B31" s="10">
        <f t="shared" ref="B31:H33" si="48">B$5</f>
        <v>2</v>
      </c>
      <c r="C31" s="127">
        <f>-C$5</f>
        <v>-5</v>
      </c>
      <c r="D31" s="10">
        <f t="shared" si="48"/>
        <v>3</v>
      </c>
      <c r="E31" s="127">
        <f>-E$5</f>
        <v>-3</v>
      </c>
      <c r="F31" s="10">
        <f t="shared" si="48"/>
        <v>5</v>
      </c>
      <c r="G31" s="127">
        <f>-G$5</f>
        <v>-2</v>
      </c>
      <c r="H31" s="10">
        <f t="shared" si="48"/>
        <v>3</v>
      </c>
      <c r="I31" s="16">
        <v>0</v>
      </c>
      <c r="J31" s="16">
        <v>0</v>
      </c>
      <c r="K31" s="140">
        <f>MIN(A31,C31,E31,G31)</f>
        <v>-5</v>
      </c>
      <c r="L31" s="141">
        <f t="shared" si="39"/>
        <v>5</v>
      </c>
      <c r="M31" s="139">
        <f t="shared" si="40"/>
        <v>-5</v>
      </c>
      <c r="N31" s="138">
        <f t="shared" si="41"/>
        <v>5</v>
      </c>
      <c r="O31" s="5">
        <v>2</v>
      </c>
      <c r="P31">
        <f t="shared" si="42"/>
        <v>0.4</v>
      </c>
      <c r="Q31" s="5">
        <v>3</v>
      </c>
      <c r="R31">
        <f t="shared" si="43"/>
        <v>-0.6</v>
      </c>
      <c r="S31" s="127">
        <f>A31+$P31*B31</f>
        <v>-2.2000000000000002</v>
      </c>
      <c r="T31" s="10">
        <f>B31+$R31*A31</f>
        <v>3.8</v>
      </c>
      <c r="U31" s="127">
        <f>C31+$P31*D31</f>
        <v>-3.8</v>
      </c>
      <c r="V31" s="10">
        <f>D31+$R31*C31</f>
        <v>6</v>
      </c>
      <c r="W31" s="127">
        <f>E31+$P31*F31</f>
        <v>-1</v>
      </c>
      <c r="X31" s="10">
        <f>F31+$R31*E31</f>
        <v>6.8</v>
      </c>
      <c r="Y31" s="127">
        <f>G31+$P31*H31</f>
        <v>-0.79999999999999982</v>
      </c>
      <c r="Z31" s="10">
        <f>H31+$R31*G31</f>
        <v>4.2</v>
      </c>
      <c r="AA31" t="s">
        <v>186</v>
      </c>
      <c r="AC31" t="str">
        <f t="shared" si="44"/>
        <v>[TestCase(-3, 2, 0, 0, -5, 5, 2, 3, -2.2, 3.8)]    // Shear +x, +y, Quadrant II</v>
      </c>
      <c r="AD31" t="str">
        <f t="shared" si="45"/>
        <v>[TestCase(-3, 2, -5, 3, 0, 0, -5, 5, 2, 3, -2.2, 3.8, -3.8, 6)]    // Shear +x, +y, Quadrant II</v>
      </c>
      <c r="AE31" t="str">
        <f t="shared" si="46"/>
        <v>[TestCase(-3, 2, -5, 3, -3, 5, 0, 0, -5, 5, 2, 3, -2.2, 3.8, -3.8, 6, -1, 6.8)]    // Shear +x, +y, Quadrant II</v>
      </c>
      <c r="AF31" t="str">
        <f t="shared" si="47"/>
        <v>[TestCase(-3, 2, -5, 3, -3, 5, -2, 3, 0, 0, -5, 5, 2, 3, -2.2, 3.8, -3.8, 6, -1, 6.8, -0.8, 4.2)]    // Shear +x, +y, Quadrant II</v>
      </c>
    </row>
    <row r="32" spans="1:32" x14ac:dyDescent="0.3">
      <c r="A32" s="127">
        <f>-A$5</f>
        <v>-3</v>
      </c>
      <c r="B32" s="10">
        <f>-B$5</f>
        <v>-2</v>
      </c>
      <c r="C32" s="127">
        <f>-C$5</f>
        <v>-5</v>
      </c>
      <c r="D32" s="10">
        <f>-D$5</f>
        <v>-3</v>
      </c>
      <c r="E32" s="127">
        <f>-E$5</f>
        <v>-3</v>
      </c>
      <c r="F32" s="10">
        <f>-F$5</f>
        <v>-5</v>
      </c>
      <c r="G32" s="127">
        <f>-G$5</f>
        <v>-2</v>
      </c>
      <c r="H32" s="10">
        <f>-H$5</f>
        <v>-3</v>
      </c>
      <c r="I32" s="16">
        <v>0</v>
      </c>
      <c r="J32" s="16">
        <v>0</v>
      </c>
      <c r="K32" s="140">
        <f>MIN(A32,C32,E32,G32)</f>
        <v>-5</v>
      </c>
      <c r="L32" s="141">
        <f>MIN(B32,D32,F32,H32)</f>
        <v>-5</v>
      </c>
      <c r="M32" s="139">
        <f t="shared" si="40"/>
        <v>-5</v>
      </c>
      <c r="N32" s="138">
        <f t="shared" si="41"/>
        <v>-5</v>
      </c>
      <c r="O32" s="5">
        <v>2</v>
      </c>
      <c r="P32">
        <f t="shared" si="42"/>
        <v>-0.4</v>
      </c>
      <c r="Q32" s="5">
        <v>3</v>
      </c>
      <c r="R32">
        <f t="shared" si="43"/>
        <v>-0.6</v>
      </c>
      <c r="S32" s="127">
        <f>A32+$P32*B32</f>
        <v>-2.2000000000000002</v>
      </c>
      <c r="T32" s="10">
        <f>B32+$R32*A32</f>
        <v>-0.20000000000000018</v>
      </c>
      <c r="U32" s="127">
        <f>C32+$P32*D32</f>
        <v>-3.8</v>
      </c>
      <c r="V32" s="10">
        <f>D32+$R32*C32</f>
        <v>0</v>
      </c>
      <c r="W32" s="127">
        <f>E32+$P32*F32</f>
        <v>-1</v>
      </c>
      <c r="X32" s="10">
        <f>F32+$R32*E32</f>
        <v>-3.2</v>
      </c>
      <c r="Y32" s="127">
        <f>G32+$P32*H32</f>
        <v>-0.79999999999999982</v>
      </c>
      <c r="Z32" s="10">
        <f>H32+$R32*G32</f>
        <v>-1.8</v>
      </c>
      <c r="AA32" t="s">
        <v>187</v>
      </c>
      <c r="AC32" t="str">
        <f t="shared" si="44"/>
        <v>[TestCase(-3, -2, 0, 0, -5, -5, 2, 3, -2.2, -0.2)]    // Shear +x, +y, Quadrant III</v>
      </c>
      <c r="AD32" t="str">
        <f t="shared" si="45"/>
        <v>[TestCase(-3, -2, -5, -3, 0, 0, -5, -5, 2, 3, -2.2, -0.2, -3.8, 0)]    // Shear +x, +y, Quadrant III</v>
      </c>
      <c r="AE32" t="str">
        <f t="shared" si="46"/>
        <v>[TestCase(-3, -2, -5, -3, -3, -5, 0, 0, -5, -5, 2, 3, -2.2, -0.2, -3.8, 0, -1, -3.2)]    // Shear +x, +y, Quadrant III</v>
      </c>
      <c r="AF32" t="str">
        <f t="shared" si="47"/>
        <v>[TestCase(-3, -2, -5, -3, -3, -5, -2, -3, 0, 0, -5, -5, 2, 3, -2.2, -0.2, -3.8, 0, -1, -3.2, -0.8, -1.8)]    // Shear +x, +y, Quadrant III</v>
      </c>
    </row>
    <row r="33" spans="1:32" x14ac:dyDescent="0.3">
      <c r="A33" s="127">
        <f t="shared" ref="A33" si="49">A$5</f>
        <v>3</v>
      </c>
      <c r="B33" s="10">
        <f>-B$5</f>
        <v>-2</v>
      </c>
      <c r="C33" s="127">
        <f t="shared" si="48"/>
        <v>5</v>
      </c>
      <c r="D33" s="10">
        <f>-D$5</f>
        <v>-3</v>
      </c>
      <c r="E33" s="127">
        <f t="shared" si="48"/>
        <v>3</v>
      </c>
      <c r="F33" s="10">
        <f>-F$5</f>
        <v>-5</v>
      </c>
      <c r="G33" s="127">
        <f t="shared" si="48"/>
        <v>2</v>
      </c>
      <c r="H33" s="10">
        <f>-H$5</f>
        <v>-3</v>
      </c>
      <c r="I33" s="16">
        <v>0</v>
      </c>
      <c r="J33" s="16">
        <v>0</v>
      </c>
      <c r="K33" s="140">
        <f t="shared" si="38"/>
        <v>5</v>
      </c>
      <c r="L33" s="141">
        <f>MIN(B33,D33,F33,H33)</f>
        <v>-5</v>
      </c>
      <c r="M33" s="139">
        <f t="shared" si="40"/>
        <v>5</v>
      </c>
      <c r="N33" s="138">
        <f t="shared" si="41"/>
        <v>-5</v>
      </c>
      <c r="O33" s="5">
        <v>2</v>
      </c>
      <c r="P33">
        <f t="shared" si="42"/>
        <v>-0.4</v>
      </c>
      <c r="Q33" s="5">
        <v>3</v>
      </c>
      <c r="R33">
        <f t="shared" si="43"/>
        <v>0.6</v>
      </c>
      <c r="S33" s="127">
        <f>A33+$P33*B33</f>
        <v>3.8</v>
      </c>
      <c r="T33" s="10">
        <f>B33+$R33*A33</f>
        <v>-0.20000000000000018</v>
      </c>
      <c r="U33" s="127">
        <f>C33+$P33*D33</f>
        <v>6.2</v>
      </c>
      <c r="V33" s="10">
        <f>D33+$R33*C33</f>
        <v>0</v>
      </c>
      <c r="W33" s="127">
        <f>E33+$P33*F33</f>
        <v>5</v>
      </c>
      <c r="X33" s="10">
        <f>F33+$R33*E33</f>
        <v>-3.2</v>
      </c>
      <c r="Y33" s="127">
        <f>G33+$P33*H33</f>
        <v>3.2</v>
      </c>
      <c r="Z33" s="10">
        <f>H33+$R33*G33</f>
        <v>-1.8</v>
      </c>
      <c r="AA33" t="s">
        <v>188</v>
      </c>
      <c r="AC33" t="str">
        <f t="shared" si="44"/>
        <v>[TestCase(3, -2, 0, 0, 5, -5, 2, 3, 3.8, -0.2)]    // Shear +x, +y, Quadrant IV</v>
      </c>
      <c r="AD33" t="str">
        <f t="shared" si="45"/>
        <v>[TestCase(3, -2, 5, -3, 0, 0, 5, -5, 2, 3, 3.8, -0.2, 6.2, 0)]    // Shear +x, +y, Quadrant IV</v>
      </c>
      <c r="AE33" t="str">
        <f t="shared" si="46"/>
        <v>[TestCase(3, -2, 5, -3, 3, -5, 0, 0, 5, -5, 2, 3, 3.8, -0.2, 6.2, 0, 5, -3.2)]    // Shear +x, +y, Quadrant IV</v>
      </c>
      <c r="AF33" t="str">
        <f t="shared" si="47"/>
        <v>[TestCase(3, -2, 5, -3, 3, -5, 2, -3, 0, 0, 5, -5, 2, 3, 3.8, -0.2, 6.2, 0, 5, -3.2, 3.2, -1.8)]    // Shear +x, +y, Quadrant IV</v>
      </c>
    </row>
    <row r="34" spans="1:32" x14ac:dyDescent="0.3">
      <c r="A34" s="127">
        <f>A$26</f>
        <v>3</v>
      </c>
      <c r="B34" s="10">
        <f>B$26</f>
        <v>2</v>
      </c>
      <c r="C34" s="127">
        <f>C$26</f>
        <v>5</v>
      </c>
      <c r="D34" s="10">
        <f>D$26</f>
        <v>3</v>
      </c>
      <c r="E34" s="127">
        <f>E$26</f>
        <v>3</v>
      </c>
      <c r="F34" s="10">
        <f>F$26</f>
        <v>5</v>
      </c>
      <c r="G34" s="127">
        <f>G$26</f>
        <v>2</v>
      </c>
      <c r="H34" s="10">
        <f>H$26</f>
        <v>3</v>
      </c>
      <c r="I34" s="137">
        <f>MIN(A34,C34,E34,G34)</f>
        <v>2</v>
      </c>
      <c r="J34" s="139">
        <f>MIN(B34,D34,F34,H34)</f>
        <v>2</v>
      </c>
      <c r="K34" s="140">
        <f>MAX(A34,C34,E34,G34)</f>
        <v>5</v>
      </c>
      <c r="L34" s="141">
        <f>MAX(B34,D34,F34,H34)</f>
        <v>5</v>
      </c>
      <c r="M34" s="139">
        <f t="shared" ref="M34" si="50">K34-I34</f>
        <v>3</v>
      </c>
      <c r="N34" s="138">
        <f t="shared" ref="N34" si="51">L34-J34</f>
        <v>3</v>
      </c>
      <c r="O34" s="5">
        <v>2</v>
      </c>
      <c r="P34">
        <f t="shared" ref="P34" si="52">O34/N34</f>
        <v>0.66666666666666663</v>
      </c>
      <c r="Q34" s="5">
        <v>0</v>
      </c>
      <c r="R34">
        <f t="shared" ref="R34" si="53">Q34/M34</f>
        <v>0</v>
      </c>
      <c r="S34" s="127">
        <f t="shared" ref="S34" si="54">A34+$P34*B34</f>
        <v>4.333333333333333</v>
      </c>
      <c r="T34" s="10">
        <f t="shared" ref="T34" si="55">B34+$R34*A34</f>
        <v>2</v>
      </c>
      <c r="U34" s="127">
        <f t="shared" ref="U34" si="56">C34+$P34*D34</f>
        <v>7</v>
      </c>
      <c r="V34" s="10">
        <f t="shared" ref="V34" si="57">D34+$R34*C34</f>
        <v>3</v>
      </c>
      <c r="W34" s="127">
        <f t="shared" ref="W34" si="58">E34+$P34*F34</f>
        <v>6.333333333333333</v>
      </c>
      <c r="X34" s="10">
        <f t="shared" ref="X34" si="59">F34+$R34*E34</f>
        <v>5</v>
      </c>
      <c r="Y34" s="127">
        <f t="shared" ref="Y34" si="60">G34+$P34*H34</f>
        <v>4</v>
      </c>
      <c r="Z34" s="10">
        <f t="shared" ref="Z34" si="61">H34+$R34*G34</f>
        <v>3</v>
      </c>
      <c r="AA34" t="s">
        <v>232</v>
      </c>
      <c r="AC34" t="str">
        <f t="shared" si="44"/>
        <v>[TestCase(3, 2, 2, 2, 5, 5, 2, 0, 4.33333333333333, 2)]    // Bounding box as skew box</v>
      </c>
      <c r="AD34" t="str">
        <f t="shared" si="45"/>
        <v>[TestCase(3, 2, 5, 3, 2, 2, 5, 5, 2, 0, 4.33333333333333, 2, 7, 3)]    // Bounding box as skew box</v>
      </c>
      <c r="AE34" t="str">
        <f t="shared" si="46"/>
        <v>[TestCase(3, 2, 5, 3, 3, 5, 2, 2, 5, 5, 2, 0, 4.33333333333333, 2, 7, 3, 6.33333333333333, 5)]    // Bounding box as skew box</v>
      </c>
      <c r="AF34" t="str">
        <f t="shared" si="47"/>
        <v>[TestCase(3, 2, 5, 3, 3, 5, 2, 3, 2, 2, 5, 5, 2, 0, 4.33333333333333, 2, 7, 3, 6.33333333333333, 5, 4, 3)]    // Bounding box as skew box</v>
      </c>
    </row>
    <row r="35" spans="1:32" x14ac:dyDescent="0.3">
      <c r="A35" s="127">
        <f>A$26</f>
        <v>3</v>
      </c>
      <c r="B35" s="10">
        <f>B$26</f>
        <v>2</v>
      </c>
      <c r="C35" s="127">
        <f>C$26</f>
        <v>5</v>
      </c>
      <c r="D35" s="10">
        <f>D$26</f>
        <v>3</v>
      </c>
      <c r="E35" s="127">
        <f>E$26</f>
        <v>3</v>
      </c>
      <c r="F35" s="10">
        <f>F$26</f>
        <v>5</v>
      </c>
      <c r="G35" s="127">
        <f>G$26</f>
        <v>2</v>
      </c>
      <c r="H35" s="10">
        <f>H$26</f>
        <v>3</v>
      </c>
      <c r="I35" s="137">
        <f>MIN(A35,C35,E35,G35)</f>
        <v>2</v>
      </c>
      <c r="J35" s="139">
        <f>MIN(B35,D35,F35,H35)</f>
        <v>2</v>
      </c>
      <c r="K35" s="140">
        <f>MAX(A35,C35,E35,G35)</f>
        <v>5</v>
      </c>
      <c r="L35" s="141">
        <f>MAX(B35,D35,F35,H35)</f>
        <v>5</v>
      </c>
      <c r="M35" s="139">
        <f t="shared" ref="M35" si="62">K35-I35</f>
        <v>3</v>
      </c>
      <c r="N35" s="138">
        <f t="shared" ref="N35" si="63">L35-J35</f>
        <v>3</v>
      </c>
      <c r="O35" s="5">
        <v>0</v>
      </c>
      <c r="P35">
        <f t="shared" ref="P35" si="64">O35/N35</f>
        <v>0</v>
      </c>
      <c r="Q35" s="5">
        <v>2</v>
      </c>
      <c r="R35">
        <f t="shared" ref="R35" si="65">Q35/M35</f>
        <v>0.66666666666666663</v>
      </c>
      <c r="S35" s="127">
        <f t="shared" ref="S35" si="66">A35+$P35*B35</f>
        <v>3</v>
      </c>
      <c r="T35" s="10">
        <f t="shared" ref="T35" si="67">B35+$R35*A35</f>
        <v>4</v>
      </c>
      <c r="U35" s="127">
        <f t="shared" ref="U35" si="68">C35+$P35*D35</f>
        <v>5</v>
      </c>
      <c r="V35" s="10">
        <f t="shared" ref="V35" si="69">D35+$R35*C35</f>
        <v>6.333333333333333</v>
      </c>
      <c r="W35" s="127">
        <f t="shared" ref="W35" si="70">E35+$P35*F35</f>
        <v>3</v>
      </c>
      <c r="X35" s="10">
        <f t="shared" ref="X35" si="71">F35+$R35*E35</f>
        <v>7</v>
      </c>
      <c r="Y35" s="127">
        <f t="shared" ref="Y35" si="72">G35+$P35*H35</f>
        <v>2</v>
      </c>
      <c r="Z35" s="10">
        <f t="shared" ref="Z35" si="73">H35+$R35*G35</f>
        <v>4.333333333333333</v>
      </c>
      <c r="AA35" t="s">
        <v>232</v>
      </c>
      <c r="AC35" t="str">
        <f t="shared" si="44"/>
        <v>[TestCase(3, 2, 2, 2, 5, 5, 0, 2, 3, 4)]    // Bounding box as skew box</v>
      </c>
      <c r="AD35" t="str">
        <f t="shared" si="45"/>
        <v>[TestCase(3, 2, 5, 3, 2, 2, 5, 5, 0, 2, 3, 4, 5, 6.33333333333333)]    // Bounding box as skew box</v>
      </c>
      <c r="AE35" t="str">
        <f t="shared" si="46"/>
        <v>[TestCase(3, 2, 5, 3, 3, 5, 2, 2, 5, 5, 0, 2, 3, 4, 5, 6.33333333333333, 3, 7)]    // Bounding box as skew box</v>
      </c>
      <c r="AF35" t="str">
        <f t="shared" si="47"/>
        <v>[TestCase(3, 2, 5, 3, 3, 5, 2, 3, 2, 2, 5, 5, 0, 2, 3, 4, 5, 6.33333333333333, 3, 7, 2, 4.33333333333333)]    // Bounding box as skew box</v>
      </c>
    </row>
    <row r="36" spans="1:32" x14ac:dyDescent="0.3">
      <c r="A36" s="15">
        <v>3</v>
      </c>
      <c r="B36" s="126">
        <v>2</v>
      </c>
      <c r="C36" s="15">
        <v>5</v>
      </c>
      <c r="D36" s="126">
        <v>3</v>
      </c>
      <c r="E36" s="15"/>
      <c r="F36" s="126"/>
      <c r="G36" s="15"/>
      <c r="H36" s="126"/>
      <c r="I36" s="144">
        <f>A36</f>
        <v>3</v>
      </c>
      <c r="J36" s="144">
        <f>B36</f>
        <v>2</v>
      </c>
      <c r="K36" s="145">
        <f>C36</f>
        <v>5</v>
      </c>
      <c r="L36" s="146">
        <f>D36</f>
        <v>3</v>
      </c>
      <c r="M36" s="139">
        <f>K36-I36</f>
        <v>2</v>
      </c>
      <c r="N36" s="138">
        <f>L36-J36</f>
        <v>1</v>
      </c>
      <c r="O36" s="5">
        <v>2</v>
      </c>
      <c r="P36">
        <f>O36/N36</f>
        <v>2</v>
      </c>
      <c r="Q36" s="5">
        <v>0</v>
      </c>
      <c r="R36">
        <f>Q36/M36</f>
        <v>0</v>
      </c>
      <c r="S36" s="128">
        <f>A36+$P36*B36</f>
        <v>7</v>
      </c>
      <c r="T36" s="129">
        <f>B36+$R36*A36</f>
        <v>2</v>
      </c>
      <c r="U36" s="128">
        <f>C36+$P36*D36</f>
        <v>11</v>
      </c>
      <c r="V36" s="129">
        <f>D36+$R36*C36</f>
        <v>3</v>
      </c>
      <c r="W36" s="128"/>
      <c r="X36" s="129"/>
      <c r="Y36" s="128"/>
      <c r="Z36" s="129"/>
      <c r="AA36" t="s">
        <v>233</v>
      </c>
      <c r="AD36" t="str">
        <f>"[TestCase("&amp;A36&amp;", "&amp;B36&amp;", "&amp;C36&amp;", "&amp;D36&amp;", "&amp;O36&amp;", "&amp;Q36&amp;", "&amp;S36&amp;", "&amp;T36&amp;", "&amp;U36&amp;", "&amp;V36&amp;")]    // "&amp;AA36</f>
        <v>[TestCase(3, 2, 5, 3, 2, 0, 7, 2, 11, 3)]    // I Shear +x</v>
      </c>
    </row>
    <row r="37" spans="1:32" x14ac:dyDescent="0.3">
      <c r="A37" s="127">
        <f>A$26</f>
        <v>3</v>
      </c>
      <c r="B37" s="10">
        <f>B$26</f>
        <v>2</v>
      </c>
      <c r="C37" s="127">
        <f>C$26</f>
        <v>5</v>
      </c>
      <c r="D37" s="10">
        <f>D$26</f>
        <v>3</v>
      </c>
      <c r="E37" s="127"/>
      <c r="F37" s="10"/>
      <c r="G37" s="127"/>
      <c r="H37" s="10"/>
      <c r="I37" s="139">
        <f t="shared" ref="I37:I39" si="74">A37</f>
        <v>3</v>
      </c>
      <c r="J37" s="139">
        <f t="shared" ref="J37:J39" si="75">B37</f>
        <v>2</v>
      </c>
      <c r="K37" s="137">
        <f t="shared" ref="K37:K39" si="76">C37</f>
        <v>5</v>
      </c>
      <c r="L37" s="138">
        <f t="shared" ref="L37:L39" si="77">D37</f>
        <v>3</v>
      </c>
      <c r="M37" s="139">
        <f t="shared" ref="M37:M39" si="78">K37-I37</f>
        <v>2</v>
      </c>
      <c r="N37" s="138">
        <f t="shared" ref="N37:N39" si="79">L37-J37</f>
        <v>1</v>
      </c>
      <c r="O37" s="5">
        <v>-2</v>
      </c>
      <c r="P37">
        <f t="shared" ref="P37:P39" si="80">O37/N37</f>
        <v>-2</v>
      </c>
      <c r="Q37" s="5">
        <v>0</v>
      </c>
      <c r="R37">
        <f t="shared" ref="R37:R39" si="81">Q37/M37</f>
        <v>0</v>
      </c>
      <c r="S37" s="127">
        <f>A37+$P37*B37</f>
        <v>-1</v>
      </c>
      <c r="T37" s="10">
        <f>B37+$R37*A37</f>
        <v>2</v>
      </c>
      <c r="U37" s="127">
        <f>C37+$P37*D37</f>
        <v>-1</v>
      </c>
      <c r="V37" s="10">
        <f>D37+$R37*C37</f>
        <v>3</v>
      </c>
      <c r="W37" s="127"/>
      <c r="X37" s="10"/>
      <c r="Y37" s="127"/>
      <c r="Z37" s="10"/>
      <c r="AA37" t="s">
        <v>234</v>
      </c>
      <c r="AD37" t="str">
        <f t="shared" ref="AD37:AD43" si="82">"[TestCase("&amp;A37&amp;", "&amp;B37&amp;", "&amp;C37&amp;", "&amp;D37&amp;", "&amp;O37&amp;", "&amp;Q37&amp;", "&amp;S37&amp;", "&amp;T37&amp;", "&amp;U37&amp;", "&amp;V37&amp;")]    // "&amp;AA37</f>
        <v>[TestCase(3, 2, 5, 3, -2, 0, -1, 2, -1, 3)]    // I Shear -x</v>
      </c>
    </row>
    <row r="38" spans="1:32" x14ac:dyDescent="0.3">
      <c r="A38" s="127">
        <f>A$26</f>
        <v>3</v>
      </c>
      <c r="B38" s="10">
        <f>B$26</f>
        <v>2</v>
      </c>
      <c r="C38" s="127">
        <f>C$26</f>
        <v>5</v>
      </c>
      <c r="D38" s="10">
        <f>D$26</f>
        <v>3</v>
      </c>
      <c r="E38" s="127"/>
      <c r="F38" s="10"/>
      <c r="G38" s="127"/>
      <c r="H38" s="10"/>
      <c r="I38" s="139">
        <f t="shared" si="74"/>
        <v>3</v>
      </c>
      <c r="J38" s="139">
        <f t="shared" si="75"/>
        <v>2</v>
      </c>
      <c r="K38" s="137">
        <f t="shared" si="76"/>
        <v>5</v>
      </c>
      <c r="L38" s="138">
        <f t="shared" si="77"/>
        <v>3</v>
      </c>
      <c r="M38" s="139">
        <f t="shared" si="78"/>
        <v>2</v>
      </c>
      <c r="N38" s="138">
        <f t="shared" si="79"/>
        <v>1</v>
      </c>
      <c r="O38" s="5">
        <v>0</v>
      </c>
      <c r="P38">
        <f t="shared" si="80"/>
        <v>0</v>
      </c>
      <c r="Q38" s="5">
        <v>2</v>
      </c>
      <c r="R38">
        <f t="shared" si="81"/>
        <v>1</v>
      </c>
      <c r="S38" s="127">
        <f>A38+$P38*B38</f>
        <v>3</v>
      </c>
      <c r="T38" s="10">
        <f>B38+$R38*A38</f>
        <v>5</v>
      </c>
      <c r="U38" s="127">
        <f>C38+$P38*D38</f>
        <v>5</v>
      </c>
      <c r="V38" s="10">
        <f>D38+$R38*C38</f>
        <v>8</v>
      </c>
      <c r="W38" s="127"/>
      <c r="X38" s="10"/>
      <c r="Y38" s="127"/>
      <c r="Z38" s="10"/>
      <c r="AA38" t="s">
        <v>235</v>
      </c>
      <c r="AD38" t="str">
        <f t="shared" si="82"/>
        <v>[TestCase(3, 2, 5, 3, 0, 2, 3, 5, 5, 8)]    // I Shear +y</v>
      </c>
    </row>
    <row r="39" spans="1:32" x14ac:dyDescent="0.3">
      <c r="A39" s="127">
        <f>A$26</f>
        <v>3</v>
      </c>
      <c r="B39" s="10">
        <f>B$26</f>
        <v>2</v>
      </c>
      <c r="C39" s="127">
        <f>C$26</f>
        <v>5</v>
      </c>
      <c r="D39" s="10">
        <f>D$26</f>
        <v>3</v>
      </c>
      <c r="E39" s="127"/>
      <c r="F39" s="10"/>
      <c r="G39" s="127"/>
      <c r="H39" s="10"/>
      <c r="I39" s="139">
        <f t="shared" si="74"/>
        <v>3</v>
      </c>
      <c r="J39" s="139">
        <f t="shared" si="75"/>
        <v>2</v>
      </c>
      <c r="K39" s="137">
        <f t="shared" si="76"/>
        <v>5</v>
      </c>
      <c r="L39" s="138">
        <f t="shared" si="77"/>
        <v>3</v>
      </c>
      <c r="M39" s="139">
        <f t="shared" si="78"/>
        <v>2</v>
      </c>
      <c r="N39" s="138">
        <f t="shared" si="79"/>
        <v>1</v>
      </c>
      <c r="O39" s="5">
        <v>0</v>
      </c>
      <c r="P39">
        <f t="shared" si="80"/>
        <v>0</v>
      </c>
      <c r="Q39" s="5">
        <v>-2</v>
      </c>
      <c r="R39">
        <f t="shared" si="81"/>
        <v>-1</v>
      </c>
      <c r="S39" s="127">
        <f>A39+$P39*B39</f>
        <v>3</v>
      </c>
      <c r="T39" s="10">
        <f>B39+$R39*A39</f>
        <v>-1</v>
      </c>
      <c r="U39" s="127">
        <f>C39+$P39*D39</f>
        <v>5</v>
      </c>
      <c r="V39" s="10">
        <f>D39+$R39*C39</f>
        <v>-2</v>
      </c>
      <c r="W39" s="127"/>
      <c r="X39" s="10"/>
      <c r="Y39" s="127"/>
      <c r="Z39" s="10"/>
      <c r="AA39" t="s">
        <v>236</v>
      </c>
      <c r="AD39" t="str">
        <f t="shared" si="82"/>
        <v>[TestCase(3, 2, 5, 3, 0, -2, 3, -1, 5, -2)]    // I Shear -y</v>
      </c>
    </row>
    <row r="40" spans="1:32" x14ac:dyDescent="0.3">
      <c r="A40" s="15">
        <v>3</v>
      </c>
      <c r="B40" s="126">
        <v>2</v>
      </c>
      <c r="C40" s="15">
        <v>5</v>
      </c>
      <c r="D40" s="126">
        <v>3</v>
      </c>
      <c r="E40" s="15"/>
      <c r="F40" s="126"/>
      <c r="G40" s="15"/>
      <c r="H40" s="126"/>
      <c r="I40" s="144">
        <f>C40</f>
        <v>5</v>
      </c>
      <c r="J40" s="144">
        <f>D40</f>
        <v>3</v>
      </c>
      <c r="K40" s="145">
        <f>A40</f>
        <v>3</v>
      </c>
      <c r="L40" s="146">
        <f>B40</f>
        <v>2</v>
      </c>
      <c r="M40" s="139">
        <f>K40-I40</f>
        <v>-2</v>
      </c>
      <c r="N40" s="138">
        <f>L40-J40</f>
        <v>-1</v>
      </c>
      <c r="O40" s="5">
        <v>2</v>
      </c>
      <c r="P40">
        <f>O40/N40</f>
        <v>-2</v>
      </c>
      <c r="Q40" s="5">
        <v>0</v>
      </c>
      <c r="R40">
        <f>Q40/M40</f>
        <v>0</v>
      </c>
      <c r="S40" s="128">
        <f>A40+$P40*B40</f>
        <v>-1</v>
      </c>
      <c r="T40" s="129">
        <f>B40+$R40*A40</f>
        <v>2</v>
      </c>
      <c r="U40" s="128">
        <f>C40+$P40*D40</f>
        <v>-1</v>
      </c>
      <c r="V40" s="129">
        <f>D40+$R40*C40</f>
        <v>3</v>
      </c>
      <c r="W40" s="128"/>
      <c r="X40" s="129"/>
      <c r="Y40" s="128"/>
      <c r="Z40" s="129"/>
      <c r="AA40" t="s">
        <v>233</v>
      </c>
      <c r="AD40" t="str">
        <f t="shared" si="82"/>
        <v>[TestCase(3, 2, 5, 3, 2, 0, -1, 2, -1, 3)]    // I Shear +x</v>
      </c>
    </row>
    <row r="41" spans="1:32" x14ac:dyDescent="0.3">
      <c r="A41" s="127">
        <f>A$26</f>
        <v>3</v>
      </c>
      <c r="B41" s="10">
        <f>B$26</f>
        <v>2</v>
      </c>
      <c r="C41" s="127">
        <f>C$26</f>
        <v>5</v>
      </c>
      <c r="D41" s="10">
        <f>D$26</f>
        <v>3</v>
      </c>
      <c r="E41" s="127"/>
      <c r="F41" s="10"/>
      <c r="G41" s="127"/>
      <c r="H41" s="10"/>
      <c r="I41" s="139">
        <f t="shared" ref="I41:I43" si="83">C41</f>
        <v>5</v>
      </c>
      <c r="J41" s="139">
        <f t="shared" ref="J41:J43" si="84">D41</f>
        <v>3</v>
      </c>
      <c r="K41" s="137">
        <f t="shared" ref="K41:K43" si="85">A41</f>
        <v>3</v>
      </c>
      <c r="L41" s="138">
        <f t="shared" ref="L41:L43" si="86">B41</f>
        <v>2</v>
      </c>
      <c r="M41" s="139">
        <f t="shared" ref="M41:M43" si="87">K41-I41</f>
        <v>-2</v>
      </c>
      <c r="N41" s="138">
        <f t="shared" ref="N41:N43" si="88">L41-J41</f>
        <v>-1</v>
      </c>
      <c r="O41" s="5">
        <v>-2</v>
      </c>
      <c r="P41">
        <f t="shared" ref="P41:P43" si="89">O41/N41</f>
        <v>2</v>
      </c>
      <c r="Q41" s="5">
        <v>0</v>
      </c>
      <c r="R41">
        <f t="shared" ref="R41:R43" si="90">Q41/M41</f>
        <v>0</v>
      </c>
      <c r="S41" s="127">
        <f>A41+$P41*B41</f>
        <v>7</v>
      </c>
      <c r="T41" s="10">
        <f>B41+$R41*A41</f>
        <v>2</v>
      </c>
      <c r="U41" s="127">
        <f>C41+$P41*D41</f>
        <v>11</v>
      </c>
      <c r="V41" s="10">
        <f>D41+$R41*C41</f>
        <v>3</v>
      </c>
      <c r="W41" s="127"/>
      <c r="X41" s="10"/>
      <c r="Y41" s="127"/>
      <c r="Z41" s="10"/>
      <c r="AA41" t="s">
        <v>234</v>
      </c>
      <c r="AD41" t="str">
        <f t="shared" si="82"/>
        <v>[TestCase(3, 2, 5, 3, -2, 0, 7, 2, 11, 3)]    // I Shear -x</v>
      </c>
    </row>
    <row r="42" spans="1:32" x14ac:dyDescent="0.3">
      <c r="A42" s="127">
        <f>A$26</f>
        <v>3</v>
      </c>
      <c r="B42" s="10">
        <f>B$26</f>
        <v>2</v>
      </c>
      <c r="C42" s="127">
        <f>C$26</f>
        <v>5</v>
      </c>
      <c r="D42" s="10">
        <f>D$26</f>
        <v>3</v>
      </c>
      <c r="E42" s="127"/>
      <c r="F42" s="10"/>
      <c r="G42" s="127"/>
      <c r="H42" s="10"/>
      <c r="I42" s="139">
        <f t="shared" si="83"/>
        <v>5</v>
      </c>
      <c r="J42" s="139">
        <f t="shared" si="84"/>
        <v>3</v>
      </c>
      <c r="K42" s="137">
        <f t="shared" si="85"/>
        <v>3</v>
      </c>
      <c r="L42" s="138">
        <f t="shared" si="86"/>
        <v>2</v>
      </c>
      <c r="M42" s="139">
        <f t="shared" si="87"/>
        <v>-2</v>
      </c>
      <c r="N42" s="138">
        <f t="shared" si="88"/>
        <v>-1</v>
      </c>
      <c r="O42" s="5">
        <v>0</v>
      </c>
      <c r="P42">
        <f t="shared" si="89"/>
        <v>0</v>
      </c>
      <c r="Q42" s="5">
        <v>2</v>
      </c>
      <c r="R42">
        <f t="shared" si="90"/>
        <v>-1</v>
      </c>
      <c r="S42" s="127">
        <f>A42+$P42*B42</f>
        <v>3</v>
      </c>
      <c r="T42" s="10">
        <f>B42+$R42*A42</f>
        <v>-1</v>
      </c>
      <c r="U42" s="127">
        <f>C42+$P42*D42</f>
        <v>5</v>
      </c>
      <c r="V42" s="10">
        <f>D42+$R42*C42</f>
        <v>-2</v>
      </c>
      <c r="W42" s="127"/>
      <c r="X42" s="10"/>
      <c r="Y42" s="127"/>
      <c r="Z42" s="10"/>
      <c r="AA42" t="s">
        <v>235</v>
      </c>
      <c r="AD42" t="str">
        <f t="shared" si="82"/>
        <v>[TestCase(3, 2, 5, 3, 0, 2, 3, -1, 5, -2)]    // I Shear +y</v>
      </c>
    </row>
    <row r="43" spans="1:32" x14ac:dyDescent="0.3">
      <c r="A43" s="127">
        <f>A$26</f>
        <v>3</v>
      </c>
      <c r="B43" s="10">
        <f>B$26</f>
        <v>2</v>
      </c>
      <c r="C43" s="127">
        <f>C$26</f>
        <v>5</v>
      </c>
      <c r="D43" s="10">
        <f>D$26</f>
        <v>3</v>
      </c>
      <c r="E43" s="127"/>
      <c r="F43" s="10"/>
      <c r="G43" s="127"/>
      <c r="H43" s="10"/>
      <c r="I43" s="139">
        <f t="shared" si="83"/>
        <v>5</v>
      </c>
      <c r="J43" s="139">
        <f t="shared" si="84"/>
        <v>3</v>
      </c>
      <c r="K43" s="137">
        <f t="shared" si="85"/>
        <v>3</v>
      </c>
      <c r="L43" s="138">
        <f t="shared" si="86"/>
        <v>2</v>
      </c>
      <c r="M43" s="139">
        <f t="shared" si="87"/>
        <v>-2</v>
      </c>
      <c r="N43" s="138">
        <f t="shared" si="88"/>
        <v>-1</v>
      </c>
      <c r="O43" s="5">
        <v>0</v>
      </c>
      <c r="P43">
        <f t="shared" si="89"/>
        <v>0</v>
      </c>
      <c r="Q43" s="5">
        <v>-2</v>
      </c>
      <c r="R43">
        <f t="shared" si="90"/>
        <v>1</v>
      </c>
      <c r="S43" s="127">
        <f>A43+$P43*B43</f>
        <v>3</v>
      </c>
      <c r="T43" s="10">
        <f>B43+$R43*A43</f>
        <v>5</v>
      </c>
      <c r="U43" s="127">
        <f>C43+$P43*D43</f>
        <v>5</v>
      </c>
      <c r="V43" s="10">
        <f>D43+$R43*C43</f>
        <v>8</v>
      </c>
      <c r="W43" s="127"/>
      <c r="X43" s="10"/>
      <c r="Y43" s="127"/>
      <c r="Z43" s="10"/>
      <c r="AA43" t="s">
        <v>236</v>
      </c>
      <c r="AD43" t="str">
        <f t="shared" si="82"/>
        <v>[TestCase(3, 2, 5, 3, 0, -2, 3, 5, 5, 8)]    // I Shear -y</v>
      </c>
    </row>
    <row r="45" spans="1:32" s="2" customFormat="1" x14ac:dyDescent="0.3">
      <c r="A45" s="2" t="s">
        <v>13</v>
      </c>
    </row>
    <row r="46" spans="1:32" s="4" customFormat="1" ht="28.8" x14ac:dyDescent="0.3">
      <c r="A46" s="124" t="s">
        <v>157</v>
      </c>
      <c r="B46" s="125"/>
      <c r="C46" s="124" t="s">
        <v>168</v>
      </c>
      <c r="D46" s="125"/>
      <c r="E46" s="124" t="s">
        <v>159</v>
      </c>
      <c r="F46" s="125"/>
      <c r="G46" s="124" t="s">
        <v>160</v>
      </c>
      <c r="H46" s="125"/>
      <c r="I46" s="124" t="s">
        <v>161</v>
      </c>
      <c r="J46" s="125"/>
      <c r="K46" s="130" t="s">
        <v>189</v>
      </c>
      <c r="L46" s="124" t="s">
        <v>157</v>
      </c>
      <c r="M46" s="125"/>
      <c r="N46" s="124" t="s">
        <v>168</v>
      </c>
      <c r="O46" s="125"/>
      <c r="P46" s="124" t="s">
        <v>159</v>
      </c>
      <c r="Q46" s="125"/>
      <c r="R46" s="124" t="s">
        <v>160</v>
      </c>
      <c r="S46" s="125"/>
      <c r="T46" s="124" t="s">
        <v>161</v>
      </c>
      <c r="U46" s="125"/>
      <c r="V46" s="4" t="s">
        <v>172</v>
      </c>
      <c r="Z46" s="136" t="s">
        <v>54</v>
      </c>
      <c r="AA46" s="136" t="s">
        <v>209</v>
      </c>
      <c r="AB46" s="136" t="s">
        <v>212</v>
      </c>
      <c r="AC46" s="136" t="s">
        <v>210</v>
      </c>
    </row>
    <row r="47" spans="1:32" s="4" customFormat="1" x14ac:dyDescent="0.3">
      <c r="A47" s="6" t="s">
        <v>158</v>
      </c>
      <c r="B47" s="9" t="s">
        <v>3</v>
      </c>
      <c r="C47" s="6" t="s">
        <v>158</v>
      </c>
      <c r="D47" s="9" t="s">
        <v>3</v>
      </c>
      <c r="E47" s="6" t="s">
        <v>158</v>
      </c>
      <c r="F47" s="9" t="s">
        <v>3</v>
      </c>
      <c r="G47" s="6" t="s">
        <v>158</v>
      </c>
      <c r="H47" s="9" t="s">
        <v>3</v>
      </c>
      <c r="I47" s="6" t="s">
        <v>158</v>
      </c>
      <c r="J47" s="9" t="s">
        <v>3</v>
      </c>
      <c r="L47" s="6" t="s">
        <v>158</v>
      </c>
      <c r="M47" s="9" t="s">
        <v>3</v>
      </c>
      <c r="N47" s="6" t="s">
        <v>158</v>
      </c>
      <c r="O47" s="9" t="s">
        <v>3</v>
      </c>
      <c r="P47" s="6" t="s">
        <v>158</v>
      </c>
      <c r="Q47" s="9" t="s">
        <v>3</v>
      </c>
      <c r="R47" s="6" t="s">
        <v>158</v>
      </c>
      <c r="S47" s="9" t="s">
        <v>3</v>
      </c>
      <c r="T47" s="6" t="s">
        <v>158</v>
      </c>
      <c r="U47" s="9" t="s">
        <v>3</v>
      </c>
    </row>
    <row r="48" spans="1:32" x14ac:dyDescent="0.3">
      <c r="A48" s="15">
        <v>3</v>
      </c>
      <c r="B48" s="126">
        <v>2</v>
      </c>
      <c r="C48" s="15">
        <v>4</v>
      </c>
      <c r="D48" s="126">
        <v>3</v>
      </c>
      <c r="E48" s="15">
        <v>5</v>
      </c>
      <c r="F48" s="126">
        <v>3</v>
      </c>
      <c r="G48" s="15">
        <v>3</v>
      </c>
      <c r="H48" s="126">
        <v>5</v>
      </c>
      <c r="I48" s="15">
        <v>2</v>
      </c>
      <c r="J48" s="126">
        <v>3</v>
      </c>
      <c r="K48" s="5">
        <v>90</v>
      </c>
      <c r="L48" s="127">
        <f>ROUND(A48*COS(RADIANS($K48))-B48*SIN(RADIANS($K48)), 6)</f>
        <v>-2</v>
      </c>
      <c r="M48">
        <f>ROUND(A48*SIN(RADIANS($K48))+B48*COS(RADIANS($K48)),6)</f>
        <v>3</v>
      </c>
      <c r="N48" s="127">
        <f>ROUND(C48*COS(RADIANS($K48))-D48*SIN(RADIANS($K48)), 6)</f>
        <v>-3</v>
      </c>
      <c r="O48">
        <f>ROUND(C48*SIN(RADIANS($K48))+D48*COS(RADIANS($K48)),6)</f>
        <v>4</v>
      </c>
      <c r="P48" s="127">
        <f>ROUND(E48*COS(RADIANS($K48))-F48*SIN(RADIANS($K48)), 6)</f>
        <v>-3</v>
      </c>
      <c r="Q48">
        <f>ROUND(E48*SIN(RADIANS($K48))+F48*COS(RADIANS($K48)),6)</f>
        <v>5</v>
      </c>
      <c r="R48" s="127">
        <f>ROUND(G48*COS(RADIANS($K48))-H48*SIN(RADIANS($K48)), 6)</f>
        <v>-5</v>
      </c>
      <c r="S48">
        <f>ROUND(G48*SIN(RADIANS($K48))+H48*COS(RADIANS($K48)),6)</f>
        <v>3</v>
      </c>
      <c r="T48" s="127">
        <f>ROUND(I48*COS(RADIANS($K48))-J48*SIN(RADIANS($K48)), 6)</f>
        <v>-3</v>
      </c>
      <c r="U48" s="10">
        <f>ROUND(I48*SIN(RADIANS($K48))+J48*COS(RADIANS($K48)),6)</f>
        <v>2</v>
      </c>
      <c r="V48" t="s">
        <v>200</v>
      </c>
      <c r="Z48" t="str">
        <f>"[TestCase("&amp;A48&amp;", "&amp;B48&amp;", "&amp;K48&amp;", "&amp;L48&amp;", "&amp;M48&amp;")]    // "&amp;V48</f>
        <v>[TestCase(3, 2, 90, -2, 3)]    // Rotate + to quadrant II</v>
      </c>
      <c r="AA48" t="str">
        <f>"[TestCase("&amp;A48&amp;", "&amp;B48&amp;", "&amp;C48&amp;", "&amp;D48&amp;", "&amp;K48&amp;", "&amp;L48&amp;", "&amp;M48&amp;", "&amp;N48&amp;", "&amp;O48&amp;")]    // "&amp;V48</f>
        <v>[TestCase(3, 2, 4, 3, 90, -2, 3, -3, 4)]    // Rotate + to quadrant II</v>
      </c>
      <c r="AB48" t="str">
        <f>"[TestCase("&amp;A48&amp;", "&amp;B48&amp;", "&amp;C48&amp;", "&amp;D48&amp;", "&amp;E48&amp;", "&amp;F48&amp;", "&amp;K48&amp;", "&amp;L48&amp;", "&amp;M48&amp;", "&amp;N48&amp;", "&amp;O48&amp;", "&amp;P48&amp;", "&amp;Q48&amp;")]    // "&amp;V48</f>
        <v>[TestCase(3, 2, 4, 3, 5, 3, 90, -2, 3, -3, 4, -3, 5)]    // Rotate + to quadrant II</v>
      </c>
      <c r="AC48" t="str">
        <f>"[TestCase("&amp;A48&amp;", "&amp;B48&amp;", "&amp;C48&amp;", "&amp;D48&amp;", "&amp;E48&amp;", "&amp;F48&amp;", "&amp;G48&amp;", "&amp;H48&amp;", "&amp;I48&amp;", "&amp;J48&amp;", "&amp;K48&amp;", "&amp;L48&amp;", "&amp;M48&amp;", "&amp;N48&amp;", "&amp;O48&amp;", "&amp;P48&amp;", "&amp;Q48&amp;", "&amp;R48&amp;", "&amp;S48&amp;", "&amp;T48&amp;", "&amp;U48&amp;")]    // "&amp;V48</f>
        <v>[TestCase(3, 2, 4, 3, 5, 3, 3, 5, 2, 3, 90, -2, 3, -3, 4, -3, 5, -5, 3, -3, 2)]    // Rotate + to quadrant II</v>
      </c>
    </row>
    <row r="49" spans="1:30" x14ac:dyDescent="0.3">
      <c r="A49" s="127">
        <f>A$48</f>
        <v>3</v>
      </c>
      <c r="B49" s="10">
        <f>B$48</f>
        <v>2</v>
      </c>
      <c r="C49" s="127">
        <f>C$48</f>
        <v>4</v>
      </c>
      <c r="D49" s="10">
        <f>D$48</f>
        <v>3</v>
      </c>
      <c r="E49" s="127">
        <f>E$48</f>
        <v>5</v>
      </c>
      <c r="F49" s="10">
        <f>F$48</f>
        <v>3</v>
      </c>
      <c r="G49" s="127">
        <f>G$48</f>
        <v>3</v>
      </c>
      <c r="H49" s="10">
        <f>H$48</f>
        <v>5</v>
      </c>
      <c r="I49" s="127">
        <f>I$48</f>
        <v>2</v>
      </c>
      <c r="J49" s="10">
        <f>J$48</f>
        <v>3</v>
      </c>
      <c r="K49" s="5">
        <v>180</v>
      </c>
      <c r="L49" s="127">
        <f t="shared" ref="L49:L55" si="91">ROUND(A49*COS(RADIANS($K49))-B49*SIN(RADIANS($K49)), 6)</f>
        <v>-3</v>
      </c>
      <c r="M49">
        <f t="shared" ref="M49:M55" si="92">ROUND(A49*SIN(RADIANS($K49))+B49*COS(RADIANS($K49)),6)</f>
        <v>-2</v>
      </c>
      <c r="N49" s="127">
        <f t="shared" ref="N49:N55" si="93">ROUND(C49*COS(RADIANS($K49))-D49*SIN(RADIANS($K49)), 6)</f>
        <v>-4</v>
      </c>
      <c r="O49">
        <f t="shared" ref="O49:O55" si="94">ROUND(C49*SIN(RADIANS($K49))+D49*COS(RADIANS($K49)),6)</f>
        <v>-3</v>
      </c>
      <c r="P49" s="127">
        <f t="shared" ref="P49:P55" si="95">ROUND(E49*COS(RADIANS($K49))-F49*SIN(RADIANS($K49)), 6)</f>
        <v>-5</v>
      </c>
      <c r="Q49">
        <f t="shared" ref="Q49:Q55" si="96">ROUND(E49*SIN(RADIANS($K49))+F49*COS(RADIANS($K49)),6)</f>
        <v>-3</v>
      </c>
      <c r="R49" s="127">
        <f t="shared" ref="R49:R55" si="97">ROUND(G49*COS(RADIANS($K49))-H49*SIN(RADIANS($K49)), 6)</f>
        <v>-3</v>
      </c>
      <c r="S49">
        <f t="shared" ref="S49:S55" si="98">ROUND(G49*SIN(RADIANS($K49))+H49*COS(RADIANS($K49)),6)</f>
        <v>-5</v>
      </c>
      <c r="T49" s="127">
        <f t="shared" ref="T49:T55" si="99">ROUND(I49*COS(RADIANS($K49))-J49*SIN(RADIANS($K49)), 6)</f>
        <v>-2</v>
      </c>
      <c r="U49" s="10">
        <f t="shared" ref="U49:U55" si="100">ROUND(I49*SIN(RADIANS($K49))+J49*COS(RADIANS($K49)),6)</f>
        <v>-3</v>
      </c>
      <c r="V49" t="s">
        <v>201</v>
      </c>
      <c r="Z49" t="str">
        <f t="shared" ref="Z49:Z55" si="101">"[TestCase("&amp;A49&amp;", "&amp;B49&amp;", "&amp;K49&amp;", "&amp;L49&amp;", "&amp;M49&amp;")]    // "&amp;V49</f>
        <v>[TestCase(3, 2, 180, -3, -2)]    // Rotate + to quadrant III</v>
      </c>
      <c r="AA49" t="str">
        <f t="shared" ref="AA49:AA55" si="102">"[TestCase("&amp;A49&amp;", "&amp;B49&amp;", "&amp;C49&amp;", "&amp;D49&amp;", "&amp;K49&amp;", "&amp;L49&amp;", "&amp;M49&amp;", "&amp;N49&amp;", "&amp;O49&amp;")]    // "&amp;V49</f>
        <v>[TestCase(3, 2, 4, 3, 180, -3, -2, -4, -3)]    // Rotate + to quadrant III</v>
      </c>
      <c r="AB49" t="str">
        <f>"[TestCase("&amp;A49&amp;", "&amp;B49&amp;", "&amp;C49&amp;", "&amp;D49&amp;", "&amp;E49&amp;", "&amp;F49&amp;", "&amp;K49&amp;", "&amp;L49&amp;", "&amp;M49&amp;", "&amp;N49&amp;", "&amp;O49&amp;", "&amp;P49&amp;", "&amp;Q49&amp;")]    // "&amp;V49</f>
        <v>[TestCase(3, 2, 4, 3, 5, 3, 180, -3, -2, -4, -3, -5, -3)]    // Rotate + to quadrant III</v>
      </c>
      <c r="AC49" t="str">
        <f t="shared" ref="AC49:AC55" si="103">"[TestCase("&amp;A49&amp;", "&amp;B49&amp;", "&amp;C49&amp;", "&amp;D49&amp;", "&amp;E49&amp;", "&amp;F49&amp;", "&amp;G49&amp;", "&amp;H49&amp;", "&amp;I49&amp;", "&amp;J49&amp;", "&amp;K49&amp;", "&amp;L49&amp;", "&amp;M49&amp;", "&amp;N49&amp;", "&amp;O49&amp;", "&amp;P49&amp;", "&amp;Q49&amp;", "&amp;R49&amp;", "&amp;S49&amp;", "&amp;T49&amp;", "&amp;U49&amp;")]    // "&amp;V49</f>
        <v>[TestCase(3, 2, 4, 3, 5, 3, 3, 5, 2, 3, 180, -3, -2, -4, -3, -5, -3, -3, -5, -2, -3)]    // Rotate + to quadrant III</v>
      </c>
    </row>
    <row r="50" spans="1:30" x14ac:dyDescent="0.3">
      <c r="A50" s="127">
        <f>A$48</f>
        <v>3</v>
      </c>
      <c r="B50" s="10">
        <f>B$48</f>
        <v>2</v>
      </c>
      <c r="C50" s="127">
        <f>C$48</f>
        <v>4</v>
      </c>
      <c r="D50" s="10">
        <f>D$48</f>
        <v>3</v>
      </c>
      <c r="E50" s="127">
        <f>E$48</f>
        <v>5</v>
      </c>
      <c r="F50" s="10">
        <f>F$48</f>
        <v>3</v>
      </c>
      <c r="G50" s="127">
        <f>G$48</f>
        <v>3</v>
      </c>
      <c r="H50" s="10">
        <f>H$48</f>
        <v>5</v>
      </c>
      <c r="I50" s="127">
        <f>I$48</f>
        <v>2</v>
      </c>
      <c r="J50" s="10">
        <f>J$48</f>
        <v>3</v>
      </c>
      <c r="K50" s="5">
        <v>270</v>
      </c>
      <c r="L50" s="127">
        <f t="shared" si="91"/>
        <v>2</v>
      </c>
      <c r="M50">
        <f t="shared" si="92"/>
        <v>-3</v>
      </c>
      <c r="N50" s="127">
        <f t="shared" si="93"/>
        <v>3</v>
      </c>
      <c r="O50">
        <f t="shared" si="94"/>
        <v>-4</v>
      </c>
      <c r="P50" s="127">
        <f t="shared" si="95"/>
        <v>3</v>
      </c>
      <c r="Q50">
        <f t="shared" si="96"/>
        <v>-5</v>
      </c>
      <c r="R50" s="127">
        <f t="shared" si="97"/>
        <v>5</v>
      </c>
      <c r="S50">
        <f t="shared" si="98"/>
        <v>-3</v>
      </c>
      <c r="T50" s="127">
        <f t="shared" si="99"/>
        <v>3</v>
      </c>
      <c r="U50" s="10">
        <f t="shared" si="100"/>
        <v>-2</v>
      </c>
      <c r="V50" t="s">
        <v>202</v>
      </c>
      <c r="Z50" t="str">
        <f t="shared" si="101"/>
        <v>[TestCase(3, 2, 270, 2, -3)]    // Rotate + to quadrant IV</v>
      </c>
      <c r="AA50" t="str">
        <f t="shared" si="102"/>
        <v>[TestCase(3, 2, 4, 3, 270, 2, -3, 3, -4)]    // Rotate + to quadrant IV</v>
      </c>
      <c r="AB50" t="str">
        <f>"[TestCase("&amp;A50&amp;", "&amp;B50&amp;", "&amp;C50&amp;", "&amp;D50&amp;", "&amp;E50&amp;", "&amp;F50&amp;", "&amp;K50&amp;", "&amp;L50&amp;", "&amp;M50&amp;", "&amp;N50&amp;", "&amp;O50&amp;", "&amp;P50&amp;", "&amp;Q50&amp;")]    // "&amp;V50</f>
        <v>[TestCase(3, 2, 4, 3, 5, 3, 270, 2, -3, 3, -4, 3, -5)]    // Rotate + to quadrant IV</v>
      </c>
      <c r="AC50" t="str">
        <f t="shared" si="103"/>
        <v>[TestCase(3, 2, 4, 3, 5, 3, 3, 5, 2, 3, 270, 2, -3, 3, -4, 3, -5, 5, -3, 3, -2)]    // Rotate + to quadrant IV</v>
      </c>
    </row>
    <row r="51" spans="1:30" x14ac:dyDescent="0.3">
      <c r="A51" s="127">
        <f>A$48</f>
        <v>3</v>
      </c>
      <c r="B51" s="10">
        <f>B$48</f>
        <v>2</v>
      </c>
      <c r="C51" s="127">
        <f>C$48</f>
        <v>4</v>
      </c>
      <c r="D51" s="10">
        <f>D$48</f>
        <v>3</v>
      </c>
      <c r="E51" s="127">
        <f>E$48</f>
        <v>5</v>
      </c>
      <c r="F51" s="10">
        <f>F$48</f>
        <v>3</v>
      </c>
      <c r="G51" s="127">
        <f>G$48</f>
        <v>3</v>
      </c>
      <c r="H51" s="10">
        <f>H$48</f>
        <v>5</v>
      </c>
      <c r="I51" s="127">
        <f>I$48</f>
        <v>2</v>
      </c>
      <c r="J51" s="10">
        <f>J$48</f>
        <v>3</v>
      </c>
      <c r="K51" s="5">
        <v>360</v>
      </c>
      <c r="L51" s="127">
        <f t="shared" si="91"/>
        <v>3</v>
      </c>
      <c r="M51">
        <f t="shared" si="92"/>
        <v>2</v>
      </c>
      <c r="N51" s="127">
        <f t="shared" si="93"/>
        <v>4</v>
      </c>
      <c r="O51">
        <f t="shared" si="94"/>
        <v>3</v>
      </c>
      <c r="P51" s="127">
        <f t="shared" si="95"/>
        <v>5</v>
      </c>
      <c r="Q51">
        <f t="shared" si="96"/>
        <v>3</v>
      </c>
      <c r="R51" s="127">
        <f t="shared" si="97"/>
        <v>3</v>
      </c>
      <c r="S51">
        <f t="shared" si="98"/>
        <v>5</v>
      </c>
      <c r="T51" s="127">
        <f t="shared" si="99"/>
        <v>2</v>
      </c>
      <c r="U51" s="10">
        <f t="shared" si="100"/>
        <v>3</v>
      </c>
      <c r="V51" t="s">
        <v>203</v>
      </c>
      <c r="Z51" t="str">
        <f t="shared" si="101"/>
        <v>[TestCase(3, 2, 360, 3, 2)]    // Rotate + full circle</v>
      </c>
      <c r="AA51" t="str">
        <f t="shared" si="102"/>
        <v>[TestCase(3, 2, 4, 3, 360, 3, 2, 4, 3)]    // Rotate + full circle</v>
      </c>
      <c r="AB51" t="str">
        <f>"[TestCase("&amp;A51&amp;", "&amp;B51&amp;", "&amp;C51&amp;", "&amp;D51&amp;", "&amp;E51&amp;", "&amp;F51&amp;", "&amp;K51&amp;", "&amp;L51&amp;", "&amp;M51&amp;", "&amp;N51&amp;", "&amp;O51&amp;", "&amp;P51&amp;", "&amp;Q51&amp;")]    // "&amp;V51</f>
        <v>[TestCase(3, 2, 4, 3, 5, 3, 360, 3, 2, 4, 3, 5, 3)]    // Rotate + full circle</v>
      </c>
      <c r="AC51" t="str">
        <f t="shared" si="103"/>
        <v>[TestCase(3, 2, 4, 3, 5, 3, 3, 5, 2, 3, 360, 3, 2, 4, 3, 5, 3, 3, 5, 2, 3)]    // Rotate + full circle</v>
      </c>
    </row>
    <row r="52" spans="1:30" x14ac:dyDescent="0.3">
      <c r="A52" s="127">
        <f>A$48</f>
        <v>3</v>
      </c>
      <c r="B52" s="10">
        <f>B$48</f>
        <v>2</v>
      </c>
      <c r="C52" s="127">
        <f>C$48</f>
        <v>4</v>
      </c>
      <c r="D52" s="10">
        <f>D$48</f>
        <v>3</v>
      </c>
      <c r="E52" s="127">
        <f>E$48</f>
        <v>5</v>
      </c>
      <c r="F52" s="10">
        <f>F$48</f>
        <v>3</v>
      </c>
      <c r="G52" s="127">
        <f>G$48</f>
        <v>3</v>
      </c>
      <c r="H52" s="10">
        <f>H$48</f>
        <v>5</v>
      </c>
      <c r="I52" s="127">
        <f>I$48</f>
        <v>2</v>
      </c>
      <c r="J52" s="10">
        <f>J$48</f>
        <v>3</v>
      </c>
      <c r="K52" s="5">
        <v>-90</v>
      </c>
      <c r="L52" s="127">
        <f t="shared" si="91"/>
        <v>2</v>
      </c>
      <c r="M52">
        <f t="shared" si="92"/>
        <v>-3</v>
      </c>
      <c r="N52" s="127">
        <f t="shared" si="93"/>
        <v>3</v>
      </c>
      <c r="O52">
        <f t="shared" si="94"/>
        <v>-4</v>
      </c>
      <c r="P52" s="127">
        <f t="shared" si="95"/>
        <v>3</v>
      </c>
      <c r="Q52">
        <f t="shared" si="96"/>
        <v>-5</v>
      </c>
      <c r="R52" s="127">
        <f t="shared" si="97"/>
        <v>5</v>
      </c>
      <c r="S52">
        <f t="shared" si="98"/>
        <v>-3</v>
      </c>
      <c r="T52" s="127">
        <f t="shared" si="99"/>
        <v>3</v>
      </c>
      <c r="U52" s="10">
        <f t="shared" si="100"/>
        <v>-2</v>
      </c>
      <c r="V52" t="s">
        <v>204</v>
      </c>
      <c r="Z52" t="str">
        <f t="shared" si="101"/>
        <v>[TestCase(3, 2, -90, 2, -3)]    // Rotate - to quadrant II</v>
      </c>
      <c r="AA52" t="str">
        <f t="shared" si="102"/>
        <v>[TestCase(3, 2, 4, 3, -90, 2, -3, 3, -4)]    // Rotate - to quadrant II</v>
      </c>
      <c r="AB52" t="str">
        <f>"[TestCase("&amp;A52&amp;", "&amp;B52&amp;", "&amp;C52&amp;", "&amp;D52&amp;", "&amp;E52&amp;", "&amp;F52&amp;", "&amp;K52&amp;", "&amp;L52&amp;", "&amp;M52&amp;", "&amp;N52&amp;", "&amp;O52&amp;", "&amp;P52&amp;", "&amp;Q52&amp;")]    // "&amp;V52</f>
        <v>[TestCase(3, 2, 4, 3, 5, 3, -90, 2, -3, 3, -4, 3, -5)]    // Rotate - to quadrant II</v>
      </c>
      <c r="AC52" t="str">
        <f t="shared" si="103"/>
        <v>[TestCase(3, 2, 4, 3, 5, 3, 3, 5, 2, 3, -90, 2, -3, 3, -4, 3, -5, 5, -3, 3, -2)]    // Rotate - to quadrant II</v>
      </c>
    </row>
    <row r="53" spans="1:30" x14ac:dyDescent="0.3">
      <c r="A53" s="127">
        <f>A$48</f>
        <v>3</v>
      </c>
      <c r="B53" s="10">
        <f>B$48</f>
        <v>2</v>
      </c>
      <c r="C53" s="127">
        <f>C$48</f>
        <v>4</v>
      </c>
      <c r="D53" s="10">
        <f>D$48</f>
        <v>3</v>
      </c>
      <c r="E53" s="127">
        <f>E$48</f>
        <v>5</v>
      </c>
      <c r="F53" s="10">
        <f>F$48</f>
        <v>3</v>
      </c>
      <c r="G53" s="127">
        <f>G$48</f>
        <v>3</v>
      </c>
      <c r="H53" s="10">
        <f>H$48</f>
        <v>5</v>
      </c>
      <c r="I53" s="127">
        <f>I$48</f>
        <v>2</v>
      </c>
      <c r="J53" s="10">
        <f>J$48</f>
        <v>3</v>
      </c>
      <c r="K53" s="5">
        <v>-180</v>
      </c>
      <c r="L53" s="127">
        <f t="shared" si="91"/>
        <v>-3</v>
      </c>
      <c r="M53">
        <f t="shared" si="92"/>
        <v>-2</v>
      </c>
      <c r="N53" s="127">
        <f t="shared" si="93"/>
        <v>-4</v>
      </c>
      <c r="O53">
        <f t="shared" si="94"/>
        <v>-3</v>
      </c>
      <c r="P53" s="127">
        <f t="shared" si="95"/>
        <v>-5</v>
      </c>
      <c r="Q53">
        <f t="shared" si="96"/>
        <v>-3</v>
      </c>
      <c r="R53" s="127">
        <f t="shared" si="97"/>
        <v>-3</v>
      </c>
      <c r="S53">
        <f t="shared" si="98"/>
        <v>-5</v>
      </c>
      <c r="T53" s="127">
        <f t="shared" si="99"/>
        <v>-2</v>
      </c>
      <c r="U53" s="10">
        <f t="shared" si="100"/>
        <v>-3</v>
      </c>
      <c r="V53" t="s">
        <v>205</v>
      </c>
      <c r="Z53" t="str">
        <f t="shared" si="101"/>
        <v>[TestCase(3, 2, -180, -3, -2)]    // Rotate - to quadrant III</v>
      </c>
      <c r="AA53" t="str">
        <f t="shared" si="102"/>
        <v>[TestCase(3, 2, 4, 3, -180, -3, -2, -4, -3)]    // Rotate - to quadrant III</v>
      </c>
      <c r="AB53" t="str">
        <f>"[TestCase("&amp;A53&amp;", "&amp;B53&amp;", "&amp;C53&amp;", "&amp;D53&amp;", "&amp;E53&amp;", "&amp;F53&amp;", "&amp;K53&amp;", "&amp;L53&amp;", "&amp;M53&amp;", "&amp;N53&amp;", "&amp;O53&amp;", "&amp;P53&amp;", "&amp;Q53&amp;")]    // "&amp;V53</f>
        <v>[TestCase(3, 2, 4, 3, 5, 3, -180, -3, -2, -4, -3, -5, -3)]    // Rotate - to quadrant III</v>
      </c>
      <c r="AC53" t="str">
        <f t="shared" si="103"/>
        <v>[TestCase(3, 2, 4, 3, 5, 3, 3, 5, 2, 3, -180, -3, -2, -4, -3, -5, -3, -3, -5, -2, -3)]    // Rotate - to quadrant III</v>
      </c>
    </row>
    <row r="54" spans="1:30" x14ac:dyDescent="0.3">
      <c r="A54" s="127">
        <f>A$48</f>
        <v>3</v>
      </c>
      <c r="B54" s="10">
        <f>B$48</f>
        <v>2</v>
      </c>
      <c r="C54" s="127">
        <f>C$48</f>
        <v>4</v>
      </c>
      <c r="D54" s="10">
        <f>D$48</f>
        <v>3</v>
      </c>
      <c r="E54" s="127">
        <f>E$48</f>
        <v>5</v>
      </c>
      <c r="F54" s="10">
        <f>F$48</f>
        <v>3</v>
      </c>
      <c r="G54" s="127">
        <f>G$48</f>
        <v>3</v>
      </c>
      <c r="H54" s="10">
        <f>H$48</f>
        <v>5</v>
      </c>
      <c r="I54" s="127">
        <f>I$48</f>
        <v>2</v>
      </c>
      <c r="J54" s="10">
        <f>J$48</f>
        <v>3</v>
      </c>
      <c r="K54" s="5">
        <v>-270</v>
      </c>
      <c r="L54" s="127">
        <f t="shared" si="91"/>
        <v>-2</v>
      </c>
      <c r="M54">
        <f t="shared" si="92"/>
        <v>3</v>
      </c>
      <c r="N54" s="127">
        <f t="shared" si="93"/>
        <v>-3</v>
      </c>
      <c r="O54">
        <f t="shared" si="94"/>
        <v>4</v>
      </c>
      <c r="P54" s="127">
        <f t="shared" si="95"/>
        <v>-3</v>
      </c>
      <c r="Q54">
        <f t="shared" si="96"/>
        <v>5</v>
      </c>
      <c r="R54" s="127">
        <f t="shared" si="97"/>
        <v>-5</v>
      </c>
      <c r="S54">
        <f t="shared" si="98"/>
        <v>3</v>
      </c>
      <c r="T54" s="127">
        <f t="shared" si="99"/>
        <v>-3</v>
      </c>
      <c r="U54" s="10">
        <f t="shared" si="100"/>
        <v>2</v>
      </c>
      <c r="V54" t="s">
        <v>206</v>
      </c>
      <c r="Z54" t="str">
        <f t="shared" si="101"/>
        <v>[TestCase(3, 2, -270, -2, 3)]    // Rotate - to quadrant IV</v>
      </c>
      <c r="AA54" t="str">
        <f t="shared" si="102"/>
        <v>[TestCase(3, 2, 4, 3, -270, -2, 3, -3, 4)]    // Rotate - to quadrant IV</v>
      </c>
      <c r="AB54" t="str">
        <f>"[TestCase("&amp;A54&amp;", "&amp;B54&amp;", "&amp;C54&amp;", "&amp;D54&amp;", "&amp;E54&amp;", "&amp;F54&amp;", "&amp;K54&amp;", "&amp;L54&amp;", "&amp;M54&amp;", "&amp;N54&amp;", "&amp;O54&amp;", "&amp;P54&amp;", "&amp;Q54&amp;")]    // "&amp;V54</f>
        <v>[TestCase(3, 2, 4, 3, 5, 3, -270, -2, 3, -3, 4, -3, 5)]    // Rotate - to quadrant IV</v>
      </c>
      <c r="AC54" t="str">
        <f t="shared" si="103"/>
        <v>[TestCase(3, 2, 4, 3, 5, 3, 3, 5, 2, 3, -270, -2, 3, -3, 4, -3, 5, -5, 3, -3, 2)]    // Rotate - to quadrant IV</v>
      </c>
    </row>
    <row r="55" spans="1:30" x14ac:dyDescent="0.3">
      <c r="A55" s="127">
        <f>A$48</f>
        <v>3</v>
      </c>
      <c r="B55" s="10">
        <f>B$48</f>
        <v>2</v>
      </c>
      <c r="C55" s="127">
        <f>C$48</f>
        <v>4</v>
      </c>
      <c r="D55" s="10">
        <f>D$48</f>
        <v>3</v>
      </c>
      <c r="E55" s="127">
        <f>E$48</f>
        <v>5</v>
      </c>
      <c r="F55" s="10">
        <f>F$48</f>
        <v>3</v>
      </c>
      <c r="G55" s="127">
        <f>G$48</f>
        <v>3</v>
      </c>
      <c r="H55" s="10">
        <f>H$48</f>
        <v>5</v>
      </c>
      <c r="I55" s="127">
        <f>I$48</f>
        <v>2</v>
      </c>
      <c r="J55" s="10">
        <f>J$48</f>
        <v>3</v>
      </c>
      <c r="K55" s="5">
        <v>-360</v>
      </c>
      <c r="L55" s="127">
        <f t="shared" si="91"/>
        <v>3</v>
      </c>
      <c r="M55">
        <f t="shared" si="92"/>
        <v>2</v>
      </c>
      <c r="N55" s="127">
        <f t="shared" si="93"/>
        <v>4</v>
      </c>
      <c r="O55">
        <f t="shared" si="94"/>
        <v>3</v>
      </c>
      <c r="P55" s="127">
        <f t="shared" si="95"/>
        <v>5</v>
      </c>
      <c r="Q55">
        <f t="shared" si="96"/>
        <v>3</v>
      </c>
      <c r="R55" s="127">
        <f t="shared" si="97"/>
        <v>3</v>
      </c>
      <c r="S55">
        <f t="shared" si="98"/>
        <v>5</v>
      </c>
      <c r="T55" s="127">
        <f t="shared" si="99"/>
        <v>2</v>
      </c>
      <c r="U55" s="10">
        <f t="shared" si="100"/>
        <v>3</v>
      </c>
      <c r="V55" t="s">
        <v>207</v>
      </c>
      <c r="Z55" t="str">
        <f t="shared" si="101"/>
        <v>[TestCase(3, 2, -360, 3, 2)]    // Rotate - full circle</v>
      </c>
      <c r="AA55" t="str">
        <f t="shared" si="102"/>
        <v>[TestCase(3, 2, 4, 3, -360, 3, 2, 4, 3)]    // Rotate - full circle</v>
      </c>
      <c r="AB55" t="str">
        <f>"[TestCase("&amp;A55&amp;", "&amp;B55&amp;", "&amp;C55&amp;", "&amp;D55&amp;", "&amp;E55&amp;", "&amp;F55&amp;", "&amp;K55&amp;", "&amp;L55&amp;", "&amp;M55&amp;", "&amp;N55&amp;", "&amp;O55&amp;", "&amp;P55&amp;", "&amp;Q55&amp;")]    // "&amp;V55</f>
        <v>[TestCase(3, 2, 4, 3, 5, 3, -360, 3, 2, 4, 3, 5, 3)]    // Rotate - full circle</v>
      </c>
      <c r="AC55" t="str">
        <f t="shared" si="103"/>
        <v>[TestCase(3, 2, 4, 3, 5, 3, 3, 5, 2, 3, -360, 3, 2, 4, 3, 5, 3, 3, 5, 2, 3)]    // Rotate - full circle</v>
      </c>
    </row>
    <row r="57" spans="1:30" s="2" customFormat="1" x14ac:dyDescent="0.3">
      <c r="A57" s="2" t="s">
        <v>169</v>
      </c>
    </row>
    <row r="58" spans="1:30" s="4" customFormat="1" x14ac:dyDescent="0.3">
      <c r="A58" s="124" t="s">
        <v>157</v>
      </c>
      <c r="B58" s="125"/>
      <c r="C58" s="124" t="s">
        <v>168</v>
      </c>
      <c r="D58" s="125"/>
      <c r="E58" s="124" t="s">
        <v>159</v>
      </c>
      <c r="F58" s="125"/>
      <c r="G58" s="124" t="s">
        <v>160</v>
      </c>
      <c r="H58" s="125"/>
      <c r="I58" s="124" t="s">
        <v>161</v>
      </c>
      <c r="J58" s="125"/>
      <c r="K58" s="124" t="s">
        <v>190</v>
      </c>
      <c r="L58" s="132"/>
      <c r="M58" s="122" t="s">
        <v>191</v>
      </c>
      <c r="N58" s="116"/>
      <c r="O58" s="124" t="s">
        <v>157</v>
      </c>
      <c r="P58" s="125"/>
      <c r="Q58" s="124" t="s">
        <v>168</v>
      </c>
      <c r="R58" s="125"/>
      <c r="S58" s="124" t="s">
        <v>159</v>
      </c>
      <c r="T58" s="125"/>
      <c r="U58" s="124" t="s">
        <v>160</v>
      </c>
      <c r="V58" s="125"/>
      <c r="W58" s="124" t="s">
        <v>161</v>
      </c>
      <c r="X58" s="125"/>
      <c r="Y58" s="4" t="s">
        <v>172</v>
      </c>
      <c r="AA58" s="4" t="s">
        <v>54</v>
      </c>
      <c r="AB58" s="136" t="s">
        <v>209</v>
      </c>
      <c r="AC58" s="136" t="s">
        <v>212</v>
      </c>
      <c r="AD58" s="136" t="s">
        <v>210</v>
      </c>
    </row>
    <row r="59" spans="1:30" s="4" customFormat="1" x14ac:dyDescent="0.3">
      <c r="A59" s="6" t="s">
        <v>158</v>
      </c>
      <c r="B59" s="9" t="s">
        <v>3</v>
      </c>
      <c r="C59" s="6" t="s">
        <v>158</v>
      </c>
      <c r="D59" s="9" t="s">
        <v>3</v>
      </c>
      <c r="E59" s="6" t="s">
        <v>158</v>
      </c>
      <c r="F59" s="9" t="s">
        <v>3</v>
      </c>
      <c r="G59" s="6" t="s">
        <v>158</v>
      </c>
      <c r="H59" s="9" t="s">
        <v>3</v>
      </c>
      <c r="I59" s="6" t="s">
        <v>158</v>
      </c>
      <c r="J59" s="9" t="s">
        <v>3</v>
      </c>
      <c r="K59" s="6" t="s">
        <v>2</v>
      </c>
      <c r="L59" s="112" t="s">
        <v>3</v>
      </c>
      <c r="M59" s="4" t="s">
        <v>2</v>
      </c>
      <c r="N59" s="4" t="s">
        <v>3</v>
      </c>
      <c r="O59" s="6" t="s">
        <v>158</v>
      </c>
      <c r="P59" s="9" t="s">
        <v>3</v>
      </c>
      <c r="Q59" s="6" t="s">
        <v>158</v>
      </c>
      <c r="R59" s="9" t="s">
        <v>3</v>
      </c>
      <c r="S59" s="6" t="s">
        <v>158</v>
      </c>
      <c r="T59" s="9" t="s">
        <v>3</v>
      </c>
      <c r="U59" s="6" t="s">
        <v>158</v>
      </c>
      <c r="V59" s="9" t="s">
        <v>3</v>
      </c>
      <c r="W59" s="6" t="s">
        <v>158</v>
      </c>
      <c r="X59" s="9" t="s">
        <v>3</v>
      </c>
    </row>
    <row r="60" spans="1:30" x14ac:dyDescent="0.3">
      <c r="A60" s="15">
        <v>3</v>
      </c>
      <c r="B60" s="126">
        <v>2</v>
      </c>
      <c r="C60" s="15">
        <v>4</v>
      </c>
      <c r="D60" s="126">
        <v>3</v>
      </c>
      <c r="E60" s="15">
        <v>5</v>
      </c>
      <c r="F60" s="126">
        <v>3</v>
      </c>
      <c r="G60" s="15">
        <v>3</v>
      </c>
      <c r="H60" s="126">
        <v>5</v>
      </c>
      <c r="I60" s="15">
        <v>2</v>
      </c>
      <c r="J60" s="126">
        <v>3</v>
      </c>
      <c r="K60" s="15">
        <v>0</v>
      </c>
      <c r="L60" s="135">
        <v>1</v>
      </c>
      <c r="M60" s="5">
        <v>0</v>
      </c>
      <c r="N60" s="5">
        <v>-1</v>
      </c>
      <c r="O60" s="142">
        <v>-3</v>
      </c>
      <c r="P60" s="143">
        <v>2</v>
      </c>
      <c r="Q60" s="142">
        <v>-4</v>
      </c>
      <c r="R60" s="143">
        <v>3</v>
      </c>
      <c r="S60" s="142">
        <v>-5</v>
      </c>
      <c r="T60" s="143">
        <v>3</v>
      </c>
      <c r="U60" s="142">
        <v>-3</v>
      </c>
      <c r="V60" s="143">
        <v>5</v>
      </c>
      <c r="W60" s="142">
        <v>-2</v>
      </c>
      <c r="X60" s="143">
        <v>3</v>
      </c>
      <c r="Y60" t="s">
        <v>192</v>
      </c>
      <c r="AA60" t="str">
        <f>"[TestCase("&amp;A60&amp;", "&amp;B60&amp;", "&amp;K60&amp;", "&amp;L60&amp;", "&amp;M60&amp;", "&amp;N60&amp;", "&amp;O60&amp;", "&amp;P60&amp;")]    // "&amp;Y60</f>
        <v>[TestCase(3, 2, 0, 1, 0, -1, -3, 2)]    // Mirror about y-axis to Quadrant II</v>
      </c>
      <c r="AB60" t="str">
        <f>"[TestCase("&amp;A60&amp;", "&amp;B60&amp;", "&amp;C60&amp;", "&amp;D60&amp;", "&amp;K60&amp;", "&amp;L60&amp;", "&amp;M60&amp;", "&amp;N60&amp;", "&amp;O60&amp;", "&amp;P60&amp;", "&amp;Q60&amp;", "&amp;R60&amp;")]    // "&amp;Y60</f>
        <v>[TestCase(3, 2, 4, 3, 0, 1, 0, -1, -3, 2, -4, 3)]    // Mirror about y-axis to Quadrant II</v>
      </c>
      <c r="AC60" t="str">
        <f>"[TestCase("&amp;A60&amp;", "&amp;B60&amp;", "&amp;C60&amp;", "&amp;D60&amp;", "&amp;E60&amp;", "&amp;F60&amp;", "&amp;K60&amp;", "&amp;L60&amp;", "&amp;M60&amp;", "&amp;N60&amp;", "&amp;O60&amp;", "&amp;P60&amp;", "&amp;Q60&amp;", "&amp;R60&amp;", "&amp;S60&amp;", "&amp;T60&amp;")]    // "&amp;Y60</f>
        <v>[TestCase(3, 2, 4, 3, 5, 3, 0, 1, 0, -1, -3, 2, -4, 3, -5, 3)]    // Mirror about y-axis to Quadrant II</v>
      </c>
      <c r="AD60" t="str">
        <f>"[TestCase("&amp;A60&amp;", "&amp;B60&amp;", "&amp;C60&amp;", "&amp;D60&amp;", "&amp;E60&amp;", "&amp;F60&amp;", "&amp;G60&amp;", "&amp;H60&amp;", "&amp;K60&amp;", "&amp;I60&amp;", "&amp;J60&amp;", "&amp;L60&amp;", "&amp;M60&amp;", "&amp;N60&amp;", "&amp;O60&amp;", "&amp;P60&amp;", "&amp;Q60&amp;", "&amp;R60&amp;", "&amp;S60&amp;", "&amp;T60&amp;", "&amp;U60&amp;", "&amp;V60&amp;", "&amp;W60&amp;", "&amp;X60&amp;")]    // "&amp;Y60</f>
        <v>[TestCase(3, 2, 4, 3, 5, 3, 3, 5, 0, 2, 3, 1, 0, -1, -3, 2, -4, 3, -5, 3, -3, 5, -2, 3)]    // Mirror about y-axis to Quadrant II</v>
      </c>
    </row>
    <row r="61" spans="1:30" x14ac:dyDescent="0.3">
      <c r="A61" s="127">
        <f>A$60</f>
        <v>3</v>
      </c>
      <c r="B61" s="10">
        <f t="shared" ref="B61:J61" si="104">B$60</f>
        <v>2</v>
      </c>
      <c r="C61" s="127">
        <f t="shared" si="104"/>
        <v>4</v>
      </c>
      <c r="D61" s="10">
        <f t="shared" si="104"/>
        <v>3</v>
      </c>
      <c r="E61" s="127">
        <f t="shared" si="104"/>
        <v>5</v>
      </c>
      <c r="F61" s="10">
        <f t="shared" si="104"/>
        <v>3</v>
      </c>
      <c r="G61" s="127">
        <f t="shared" si="104"/>
        <v>3</v>
      </c>
      <c r="H61" s="10">
        <f t="shared" si="104"/>
        <v>5</v>
      </c>
      <c r="I61" s="127">
        <f t="shared" si="104"/>
        <v>2</v>
      </c>
      <c r="J61" s="10">
        <f t="shared" si="104"/>
        <v>3</v>
      </c>
      <c r="K61" s="15">
        <v>0</v>
      </c>
      <c r="L61" s="135">
        <v>-1</v>
      </c>
      <c r="M61" s="5">
        <v>0</v>
      </c>
      <c r="N61" s="5">
        <v>1</v>
      </c>
      <c r="O61" s="142">
        <v>-3</v>
      </c>
      <c r="P61" s="143">
        <v>2</v>
      </c>
      <c r="Q61" s="142">
        <v>-4</v>
      </c>
      <c r="R61" s="143">
        <v>3</v>
      </c>
      <c r="S61" s="142">
        <v>-5</v>
      </c>
      <c r="T61" s="143">
        <v>3</v>
      </c>
      <c r="U61" s="142">
        <v>-3</v>
      </c>
      <c r="V61" s="143">
        <v>5</v>
      </c>
      <c r="W61" s="142">
        <v>-2</v>
      </c>
      <c r="X61" s="143">
        <v>3</v>
      </c>
      <c r="Y61" t="s">
        <v>193</v>
      </c>
      <c r="AA61" t="str">
        <f t="shared" ref="AA61:AA67" si="105">"[TestCase("&amp;A61&amp;", "&amp;B61&amp;", "&amp;K61&amp;", "&amp;L61&amp;", "&amp;M61&amp;", "&amp;N61&amp;", "&amp;O61&amp;", "&amp;P61&amp;")]    // "&amp;Y61</f>
        <v>[TestCase(3, 2, 0, -1, 0, 1, -3, 2)]    // Mirror about y-axis to Quadrant II, reversed line</v>
      </c>
      <c r="AB61" t="str">
        <f t="shared" ref="AB61:AB68" si="106">"[TestCase("&amp;A61&amp;", "&amp;B61&amp;", "&amp;C61&amp;", "&amp;D61&amp;", "&amp;K61&amp;", "&amp;L61&amp;", "&amp;M61&amp;", "&amp;N61&amp;", "&amp;O61&amp;", "&amp;P61&amp;", "&amp;Q61&amp;", "&amp;R61&amp;")]    // "&amp;Y61</f>
        <v>[TestCase(3, 2, 4, 3, 0, -1, 0, 1, -3, 2, -4, 3)]    // Mirror about y-axis to Quadrant II, reversed line</v>
      </c>
      <c r="AC61" t="str">
        <f t="shared" ref="AC61:AC67" si="107">"[TestCase("&amp;A61&amp;", "&amp;B61&amp;", "&amp;C61&amp;", "&amp;D61&amp;", "&amp;E61&amp;", "&amp;F61&amp;", "&amp;K61&amp;", "&amp;L61&amp;", "&amp;M61&amp;", "&amp;N61&amp;", "&amp;O61&amp;", "&amp;P61&amp;", "&amp;Q61&amp;", "&amp;R61&amp;", "&amp;S61&amp;", "&amp;T61&amp;")]    // "&amp;Y61</f>
        <v>[TestCase(3, 2, 4, 3, 5, 3, 0, -1, 0, 1, -3, 2, -4, 3, -5, 3)]    // Mirror about y-axis to Quadrant II, reversed line</v>
      </c>
      <c r="AD61" t="str">
        <f t="shared" ref="AD61:AD67" si="108">"[TestCase("&amp;A61&amp;", "&amp;B61&amp;", "&amp;C61&amp;", "&amp;D61&amp;", "&amp;E61&amp;", "&amp;F61&amp;", "&amp;G61&amp;", "&amp;H61&amp;", "&amp;K61&amp;", "&amp;I61&amp;", "&amp;J61&amp;", "&amp;L61&amp;", "&amp;M61&amp;", "&amp;N61&amp;", "&amp;O61&amp;", "&amp;P61&amp;", "&amp;Q61&amp;", "&amp;R61&amp;", "&amp;S61&amp;", "&amp;T61&amp;", "&amp;U61&amp;", "&amp;V61&amp;", "&amp;W61&amp;", "&amp;X61&amp;")]    // "&amp;Y61</f>
        <v>[TestCase(3, 2, 4, 3, 5, 3, 3, 5, 0, 2, 3, -1, 0, 1, -3, 2, -4, 3, -5, 3, -3, 5, -2, 3)]    // Mirror about y-axis to Quadrant II, reversed line</v>
      </c>
    </row>
    <row r="62" spans="1:30" x14ac:dyDescent="0.3">
      <c r="A62" s="127">
        <f t="shared" ref="A62:J71" si="109">A$60</f>
        <v>3</v>
      </c>
      <c r="B62" s="10">
        <f t="shared" si="109"/>
        <v>2</v>
      </c>
      <c r="C62" s="127">
        <f t="shared" si="109"/>
        <v>4</v>
      </c>
      <c r="D62" s="10">
        <f t="shared" si="109"/>
        <v>3</v>
      </c>
      <c r="E62" s="127">
        <f t="shared" si="109"/>
        <v>5</v>
      </c>
      <c r="F62" s="10">
        <f t="shared" si="109"/>
        <v>3</v>
      </c>
      <c r="G62" s="127">
        <f t="shared" si="109"/>
        <v>3</v>
      </c>
      <c r="H62" s="10">
        <f t="shared" si="109"/>
        <v>5</v>
      </c>
      <c r="I62" s="127">
        <f t="shared" si="109"/>
        <v>2</v>
      </c>
      <c r="J62" s="10">
        <f t="shared" si="109"/>
        <v>3</v>
      </c>
      <c r="K62" s="15">
        <v>1</v>
      </c>
      <c r="L62" s="135">
        <v>0</v>
      </c>
      <c r="M62" s="5">
        <v>-1</v>
      </c>
      <c r="N62" s="5">
        <v>0</v>
      </c>
      <c r="O62" s="142">
        <v>3</v>
      </c>
      <c r="P62" s="143">
        <v>-2</v>
      </c>
      <c r="Q62" s="142">
        <v>4</v>
      </c>
      <c r="R62" s="143">
        <v>-3</v>
      </c>
      <c r="S62" s="142">
        <v>5</v>
      </c>
      <c r="T62" s="143">
        <v>-3</v>
      </c>
      <c r="U62" s="142">
        <v>3</v>
      </c>
      <c r="V62" s="143">
        <v>-5</v>
      </c>
      <c r="W62" s="142">
        <v>2</v>
      </c>
      <c r="X62" s="143">
        <v>-3</v>
      </c>
      <c r="Y62" t="s">
        <v>194</v>
      </c>
      <c r="AA62" t="str">
        <f t="shared" si="105"/>
        <v>[TestCase(3, 2, 1, 0, -1, 0, 3, -2)]    // Mirror about x-axis to Quadrant IV</v>
      </c>
      <c r="AB62" t="str">
        <f t="shared" si="106"/>
        <v>[TestCase(3, 2, 4, 3, 1, 0, -1, 0, 3, -2, 4, -3)]    // Mirror about x-axis to Quadrant IV</v>
      </c>
      <c r="AC62" t="str">
        <f t="shared" si="107"/>
        <v>[TestCase(3, 2, 4, 3, 5, 3, 1, 0, -1, 0, 3, -2, 4, -3, 5, -3)]    // Mirror about x-axis to Quadrant IV</v>
      </c>
      <c r="AD62" t="str">
        <f t="shared" si="108"/>
        <v>[TestCase(3, 2, 4, 3, 5, 3, 3, 5, 1, 2, 3, 0, -1, 0, 3, -2, 4, -3, 5, -3, 3, -5, 2, -3)]    // Mirror about x-axis to Quadrant IV</v>
      </c>
    </row>
    <row r="63" spans="1:30" x14ac:dyDescent="0.3">
      <c r="A63" s="127">
        <f t="shared" si="109"/>
        <v>3</v>
      </c>
      <c r="B63" s="10">
        <f t="shared" si="109"/>
        <v>2</v>
      </c>
      <c r="C63" s="127">
        <f t="shared" si="109"/>
        <v>4</v>
      </c>
      <c r="D63" s="10">
        <f t="shared" si="109"/>
        <v>3</v>
      </c>
      <c r="E63" s="127">
        <f t="shared" si="109"/>
        <v>5</v>
      </c>
      <c r="F63" s="10">
        <f t="shared" si="109"/>
        <v>3</v>
      </c>
      <c r="G63" s="127">
        <f t="shared" si="109"/>
        <v>3</v>
      </c>
      <c r="H63" s="10">
        <f t="shared" si="109"/>
        <v>5</v>
      </c>
      <c r="I63" s="127">
        <f t="shared" si="109"/>
        <v>2</v>
      </c>
      <c r="J63" s="10">
        <f t="shared" si="109"/>
        <v>3</v>
      </c>
      <c r="K63" s="15">
        <v>-1</v>
      </c>
      <c r="L63" s="135">
        <v>0</v>
      </c>
      <c r="M63" s="5">
        <v>1</v>
      </c>
      <c r="N63" s="5">
        <v>0</v>
      </c>
      <c r="O63" s="142">
        <v>3</v>
      </c>
      <c r="P63" s="143">
        <v>-2</v>
      </c>
      <c r="Q63" s="142">
        <v>4</v>
      </c>
      <c r="R63" s="143">
        <v>-3</v>
      </c>
      <c r="S63" s="142">
        <v>5</v>
      </c>
      <c r="T63" s="143">
        <v>-3</v>
      </c>
      <c r="U63" s="142">
        <v>3</v>
      </c>
      <c r="V63" s="143">
        <v>-5</v>
      </c>
      <c r="W63" s="142">
        <v>2</v>
      </c>
      <c r="X63" s="143">
        <v>-3</v>
      </c>
      <c r="Y63" t="s">
        <v>195</v>
      </c>
      <c r="AA63" t="str">
        <f t="shared" si="105"/>
        <v>[TestCase(3, 2, -1, 0, 1, 0, 3, -2)]    // Mirror about x-axis to Quadrant IV, reversed line</v>
      </c>
      <c r="AB63" t="str">
        <f t="shared" si="106"/>
        <v>[TestCase(3, 2, 4, 3, -1, 0, 1, 0, 3, -2, 4, -3)]    // Mirror about x-axis to Quadrant IV, reversed line</v>
      </c>
      <c r="AC63" t="str">
        <f t="shared" si="107"/>
        <v>[TestCase(3, 2, 4, 3, 5, 3, -1, 0, 1, 0, 3, -2, 4, -3, 5, -3)]    // Mirror about x-axis to Quadrant IV, reversed line</v>
      </c>
      <c r="AD63" t="str">
        <f t="shared" si="108"/>
        <v>[TestCase(3, 2, 4, 3, 5, 3, 3, 5, -1, 2, 3, 0, 1, 0, 3, -2, 4, -3, 5, -3, 3, -5, 2, -3)]    // Mirror about x-axis to Quadrant IV, reversed line</v>
      </c>
    </row>
    <row r="64" spans="1:30" x14ac:dyDescent="0.3">
      <c r="A64" s="127">
        <f t="shared" si="109"/>
        <v>3</v>
      </c>
      <c r="B64" s="10">
        <f t="shared" si="109"/>
        <v>2</v>
      </c>
      <c r="C64" s="127">
        <f t="shared" si="109"/>
        <v>4</v>
      </c>
      <c r="D64" s="10">
        <f t="shared" si="109"/>
        <v>3</v>
      </c>
      <c r="E64" s="127">
        <f t="shared" si="109"/>
        <v>5</v>
      </c>
      <c r="F64" s="10">
        <f t="shared" si="109"/>
        <v>3</v>
      </c>
      <c r="G64" s="127">
        <f t="shared" si="109"/>
        <v>3</v>
      </c>
      <c r="H64" s="10">
        <f t="shared" si="109"/>
        <v>5</v>
      </c>
      <c r="I64" s="127">
        <f t="shared" si="109"/>
        <v>2</v>
      </c>
      <c r="J64" s="10">
        <f t="shared" si="109"/>
        <v>3</v>
      </c>
      <c r="K64" s="15">
        <v>0</v>
      </c>
      <c r="L64" s="135">
        <v>0</v>
      </c>
      <c r="M64" s="5">
        <v>1</v>
      </c>
      <c r="N64" s="5">
        <v>1</v>
      </c>
      <c r="O64" s="142">
        <v>2</v>
      </c>
      <c r="P64" s="143">
        <v>3</v>
      </c>
      <c r="Q64" s="142">
        <v>3</v>
      </c>
      <c r="R64" s="143">
        <v>4</v>
      </c>
      <c r="S64" s="142">
        <v>3</v>
      </c>
      <c r="T64" s="143">
        <v>5</v>
      </c>
      <c r="U64" s="142">
        <v>5</v>
      </c>
      <c r="V64" s="143">
        <v>3</v>
      </c>
      <c r="W64" s="142">
        <v>3</v>
      </c>
      <c r="X64" s="143">
        <v>2</v>
      </c>
      <c r="Y64" t="s">
        <v>196</v>
      </c>
      <c r="AA64" t="str">
        <f t="shared" si="105"/>
        <v>[TestCase(3, 2, 0, 0, 1, 1, 2, 3)]    // Mirror about 45 deg sloped line about shape center</v>
      </c>
      <c r="AB64" t="str">
        <f t="shared" si="106"/>
        <v>[TestCase(3, 2, 4, 3, 0, 0, 1, 1, 2, 3, 3, 4)]    // Mirror about 45 deg sloped line about shape center</v>
      </c>
      <c r="AC64" t="str">
        <f t="shared" si="107"/>
        <v>[TestCase(3, 2, 4, 3, 5, 3, 0, 0, 1, 1, 2, 3, 3, 4, 3, 5)]    // Mirror about 45 deg sloped line about shape center</v>
      </c>
      <c r="AD64" t="str">
        <f t="shared" si="108"/>
        <v>[TestCase(3, 2, 4, 3, 5, 3, 3, 5, 0, 2, 3, 0, 1, 1, 2, 3, 3, 4, 3, 5, 5, 3, 3, 2)]    // Mirror about 45 deg sloped line about shape center</v>
      </c>
    </row>
    <row r="65" spans="1:30" x14ac:dyDescent="0.3">
      <c r="A65" s="127">
        <f t="shared" si="109"/>
        <v>3</v>
      </c>
      <c r="B65" s="10">
        <f t="shared" si="109"/>
        <v>2</v>
      </c>
      <c r="C65" s="127">
        <f t="shared" si="109"/>
        <v>4</v>
      </c>
      <c r="D65" s="10">
        <f t="shared" si="109"/>
        <v>3</v>
      </c>
      <c r="E65" s="127">
        <f t="shared" si="109"/>
        <v>5</v>
      </c>
      <c r="F65" s="10">
        <f t="shared" si="109"/>
        <v>3</v>
      </c>
      <c r="G65" s="127">
        <f t="shared" si="109"/>
        <v>3</v>
      </c>
      <c r="H65" s="10">
        <f t="shared" si="109"/>
        <v>5</v>
      </c>
      <c r="I65" s="127">
        <f t="shared" si="109"/>
        <v>2</v>
      </c>
      <c r="J65" s="10">
        <f t="shared" si="109"/>
        <v>3</v>
      </c>
      <c r="K65" s="15">
        <v>0</v>
      </c>
      <c r="L65" s="135">
        <v>0</v>
      </c>
      <c r="M65" s="5">
        <v>-1</v>
      </c>
      <c r="N65" s="5">
        <v>-1</v>
      </c>
      <c r="O65" s="142">
        <v>2</v>
      </c>
      <c r="P65" s="143">
        <v>3</v>
      </c>
      <c r="Q65" s="142">
        <v>3</v>
      </c>
      <c r="R65" s="143">
        <v>4</v>
      </c>
      <c r="S65" s="142">
        <v>3</v>
      </c>
      <c r="T65" s="143">
        <v>5</v>
      </c>
      <c r="U65" s="142">
        <v>5</v>
      </c>
      <c r="V65" s="143">
        <v>3</v>
      </c>
      <c r="W65" s="142">
        <v>3</v>
      </c>
      <c r="X65" s="143">
        <v>2</v>
      </c>
      <c r="Y65" t="s">
        <v>198</v>
      </c>
      <c r="AA65" t="str">
        <f t="shared" si="105"/>
        <v>[TestCase(3, 2, 0, 0, -1, -1, 2, 3)]    // Mirror about 45 deg sloped line about shape center, reversed line</v>
      </c>
      <c r="AB65" t="str">
        <f t="shared" si="106"/>
        <v>[TestCase(3, 2, 4, 3, 0, 0, -1, -1, 2, 3, 3, 4)]    // Mirror about 45 deg sloped line about shape center, reversed line</v>
      </c>
      <c r="AC65" t="str">
        <f t="shared" si="107"/>
        <v>[TestCase(3, 2, 4, 3, 5, 3, 0, 0, -1, -1, 2, 3, 3, 4, 3, 5)]    // Mirror about 45 deg sloped line about shape center, reversed line</v>
      </c>
      <c r="AD65" t="str">
        <f t="shared" si="108"/>
        <v>[TestCase(3, 2, 4, 3, 5, 3, 3, 5, 0, 2, 3, 0, -1, -1, 2, 3, 3, 4, 3, 5, 5, 3, 3, 2)]    // Mirror about 45 deg sloped line about shape center, reversed line</v>
      </c>
    </row>
    <row r="66" spans="1:30" x14ac:dyDescent="0.3">
      <c r="A66" s="127">
        <f t="shared" si="109"/>
        <v>3</v>
      </c>
      <c r="B66" s="10">
        <f t="shared" si="109"/>
        <v>2</v>
      </c>
      <c r="C66" s="127">
        <f t="shared" si="109"/>
        <v>4</v>
      </c>
      <c r="D66" s="10">
        <f t="shared" si="109"/>
        <v>3</v>
      </c>
      <c r="E66" s="127">
        <f t="shared" si="109"/>
        <v>5</v>
      </c>
      <c r="F66" s="10">
        <f t="shared" si="109"/>
        <v>3</v>
      </c>
      <c r="G66" s="127">
        <f t="shared" si="109"/>
        <v>3</v>
      </c>
      <c r="H66" s="10">
        <f t="shared" si="109"/>
        <v>5</v>
      </c>
      <c r="I66" s="127">
        <f t="shared" si="109"/>
        <v>2</v>
      </c>
      <c r="J66" s="10">
        <f t="shared" si="109"/>
        <v>3</v>
      </c>
      <c r="K66" s="15">
        <v>0</v>
      </c>
      <c r="L66" s="135">
        <v>0</v>
      </c>
      <c r="M66" s="5">
        <v>-1</v>
      </c>
      <c r="N66" s="5">
        <v>1</v>
      </c>
      <c r="O66" s="142">
        <v>-2</v>
      </c>
      <c r="P66" s="143">
        <v>-3</v>
      </c>
      <c r="Q66" s="142">
        <v>-3</v>
      </c>
      <c r="R66" s="143">
        <v>-4</v>
      </c>
      <c r="S66" s="142">
        <v>-3</v>
      </c>
      <c r="T66" s="143">
        <v>-5</v>
      </c>
      <c r="U66" s="142">
        <v>-5</v>
      </c>
      <c r="V66" s="143">
        <v>-3</v>
      </c>
      <c r="W66" s="142">
        <v>-3</v>
      </c>
      <c r="X66" s="143">
        <v>-2</v>
      </c>
      <c r="Y66" t="s">
        <v>197</v>
      </c>
      <c r="AA66" t="str">
        <f t="shared" si="105"/>
        <v>[TestCase(3, 2, 0, 0, -1, 1, -2, -3)]    // Mirror about 45 deg sloped line to quadrant III</v>
      </c>
      <c r="AB66" t="str">
        <f t="shared" si="106"/>
        <v>[TestCase(3, 2, 4, 3, 0, 0, -1, 1, -2, -3, -3, -4)]    // Mirror about 45 deg sloped line to quadrant III</v>
      </c>
      <c r="AC66" t="str">
        <f t="shared" si="107"/>
        <v>[TestCase(3, 2, 4, 3, 5, 3, 0, 0, -1, 1, -2, -3, -3, -4, -3, -5)]    // Mirror about 45 deg sloped line to quadrant III</v>
      </c>
      <c r="AD66" t="str">
        <f t="shared" si="108"/>
        <v>[TestCase(3, 2, 4, 3, 5, 3, 3, 5, 0, 2, 3, 0, -1, 1, -2, -3, -3, -4, -3, -5, -5, -3, -3, -2)]    // Mirror about 45 deg sloped line to quadrant III</v>
      </c>
    </row>
    <row r="67" spans="1:30" x14ac:dyDescent="0.3">
      <c r="A67" s="127">
        <f t="shared" si="109"/>
        <v>3</v>
      </c>
      <c r="B67" s="10">
        <f t="shared" si="109"/>
        <v>2</v>
      </c>
      <c r="C67" s="127">
        <f t="shared" si="109"/>
        <v>4</v>
      </c>
      <c r="D67" s="10">
        <f t="shared" si="109"/>
        <v>3</v>
      </c>
      <c r="E67" s="127">
        <f t="shared" si="109"/>
        <v>5</v>
      </c>
      <c r="F67" s="10">
        <f t="shared" si="109"/>
        <v>3</v>
      </c>
      <c r="G67" s="127">
        <f t="shared" si="109"/>
        <v>3</v>
      </c>
      <c r="H67" s="10">
        <f t="shared" si="109"/>
        <v>5</v>
      </c>
      <c r="I67" s="127">
        <f t="shared" si="109"/>
        <v>2</v>
      </c>
      <c r="J67" s="10">
        <f t="shared" si="109"/>
        <v>3</v>
      </c>
      <c r="K67" s="15">
        <v>0</v>
      </c>
      <c r="L67" s="135">
        <v>0</v>
      </c>
      <c r="M67" s="5">
        <v>1</v>
      </c>
      <c r="N67" s="5">
        <v>-1</v>
      </c>
      <c r="O67" s="142">
        <v>-2</v>
      </c>
      <c r="P67" s="143">
        <v>-3</v>
      </c>
      <c r="Q67" s="142">
        <v>-3</v>
      </c>
      <c r="R67" s="143">
        <v>-4</v>
      </c>
      <c r="S67" s="142">
        <v>-3</v>
      </c>
      <c r="T67" s="143">
        <v>-5</v>
      </c>
      <c r="U67" s="142">
        <v>-5</v>
      </c>
      <c r="V67" s="143">
        <v>-3</v>
      </c>
      <c r="W67" s="142">
        <v>-3</v>
      </c>
      <c r="X67" s="143">
        <v>-2</v>
      </c>
      <c r="Y67" t="s">
        <v>199</v>
      </c>
      <c r="AA67" t="str">
        <f t="shared" si="105"/>
        <v>[TestCase(3, 2, 0, 0, 1, -1, -2, -3)]    // Mirror about 45 deg sloped line to quadrant III, reversed line</v>
      </c>
      <c r="AB67" t="str">
        <f t="shared" si="106"/>
        <v>[TestCase(3, 2, 4, 3, 0, 0, 1, -1, -2, -3, -3, -4)]    // Mirror about 45 deg sloped line to quadrant III, reversed line</v>
      </c>
      <c r="AC67" t="str">
        <f t="shared" si="107"/>
        <v>[TestCase(3, 2, 4, 3, 5, 3, 0, 0, 1, -1, -2, -3, -3, -4, -3, -5)]    // Mirror about 45 deg sloped line to quadrant III, reversed line</v>
      </c>
      <c r="AD67" t="str">
        <f t="shared" si="108"/>
        <v>[TestCase(3, 2, 4, 3, 5, 3, 3, 5, 0, 2, 3, 0, 1, -1, -2, -3, -3, -4, -3, -5, -5, -3, -3, -2)]    // Mirror about 45 deg sloped line to quadrant III, reversed line</v>
      </c>
    </row>
    <row r="68" spans="1:30" x14ac:dyDescent="0.3">
      <c r="A68" s="127">
        <f t="shared" si="109"/>
        <v>3</v>
      </c>
      <c r="B68" s="10">
        <f t="shared" si="109"/>
        <v>2</v>
      </c>
      <c r="C68" s="127">
        <f t="shared" si="109"/>
        <v>4</v>
      </c>
      <c r="D68" s="10">
        <f t="shared" si="109"/>
        <v>3</v>
      </c>
      <c r="E68" s="127"/>
      <c r="F68" s="10"/>
      <c r="G68" s="127"/>
      <c r="H68" s="10"/>
      <c r="I68" s="127"/>
      <c r="J68" s="10"/>
      <c r="K68" s="145">
        <f>A68</f>
        <v>3</v>
      </c>
      <c r="L68" s="147">
        <f>B68</f>
        <v>2</v>
      </c>
      <c r="M68" s="75">
        <f>K68</f>
        <v>3</v>
      </c>
      <c r="N68" s="75">
        <f>L68+1</f>
        <v>3</v>
      </c>
      <c r="O68" s="142">
        <v>-2</v>
      </c>
      <c r="P68" s="143">
        <v>-3</v>
      </c>
      <c r="Q68" s="142">
        <v>-3</v>
      </c>
      <c r="R68" s="143">
        <v>-4</v>
      </c>
      <c r="S68" s="142"/>
      <c r="T68" s="143"/>
      <c r="U68" s="142"/>
      <c r="V68" s="143"/>
      <c r="W68" s="142"/>
      <c r="X68" s="143"/>
      <c r="Y68" t="s">
        <v>237</v>
      </c>
      <c r="AB68" t="str">
        <f>"[TestCase("&amp;A68&amp;", "&amp;B68&amp;", "&amp;C68&amp;", "&amp;D68&amp;", "&amp;O68&amp;", "&amp;P68&amp;", "&amp;Q68&amp;", "&amp;R68&amp;")]    // "&amp;Y68</f>
        <v>[TestCase(3, 2, 4, 3, -2, -3, -3, -4)]    // I Mirror about y-axis to Quadrant II</v>
      </c>
    </row>
    <row r="69" spans="1:30" x14ac:dyDescent="0.3">
      <c r="A69" s="127">
        <f t="shared" si="109"/>
        <v>3</v>
      </c>
      <c r="B69" s="10">
        <f t="shared" si="109"/>
        <v>2</v>
      </c>
      <c r="C69" s="127">
        <f t="shared" si="109"/>
        <v>4</v>
      </c>
      <c r="D69" s="10">
        <f t="shared" si="109"/>
        <v>3</v>
      </c>
      <c r="E69" s="127"/>
      <c r="F69" s="10"/>
      <c r="G69" s="127"/>
      <c r="H69" s="10"/>
      <c r="I69" s="127"/>
      <c r="J69" s="10"/>
      <c r="K69" s="137">
        <f>A69</f>
        <v>3</v>
      </c>
      <c r="L69" s="133">
        <f>B69</f>
        <v>2</v>
      </c>
      <c r="M69" s="134">
        <f>K69+1</f>
        <v>4</v>
      </c>
      <c r="N69" s="134">
        <f>L69</f>
        <v>2</v>
      </c>
      <c r="O69" s="142">
        <v>-2</v>
      </c>
      <c r="P69" s="143">
        <v>-3</v>
      </c>
      <c r="Q69" s="142">
        <v>-3</v>
      </c>
      <c r="R69" s="143">
        <v>-4</v>
      </c>
      <c r="S69" s="142"/>
      <c r="T69" s="143"/>
      <c r="U69" s="142"/>
      <c r="V69" s="143"/>
      <c r="W69" s="142"/>
      <c r="X69" s="143"/>
      <c r="Y69" t="s">
        <v>238</v>
      </c>
      <c r="AB69" t="str">
        <f t="shared" ref="AB69:AB71" si="110">"[TestCase("&amp;A69&amp;", "&amp;B69&amp;", "&amp;C69&amp;", "&amp;D69&amp;", "&amp;O69&amp;", "&amp;P69&amp;", "&amp;Q69&amp;", "&amp;R69&amp;")]    // "&amp;Y69</f>
        <v>[TestCase(3, 2, 4, 3, -2, -3, -3, -4)]    // I Mirror about x-axis to Quadrant IV</v>
      </c>
    </row>
    <row r="70" spans="1:30" x14ac:dyDescent="0.3">
      <c r="A70" s="127">
        <f t="shared" si="109"/>
        <v>3</v>
      </c>
      <c r="B70" s="10">
        <f t="shared" si="109"/>
        <v>2</v>
      </c>
      <c r="C70" s="127">
        <f t="shared" si="109"/>
        <v>4</v>
      </c>
      <c r="D70" s="10">
        <f t="shared" si="109"/>
        <v>3</v>
      </c>
      <c r="E70" s="127"/>
      <c r="F70" s="10"/>
      <c r="G70" s="127"/>
      <c r="H70" s="10"/>
      <c r="I70" s="127"/>
      <c r="J70" s="10"/>
      <c r="K70" s="145">
        <f>C70</f>
        <v>4</v>
      </c>
      <c r="L70" s="147">
        <f>D70</f>
        <v>3</v>
      </c>
      <c r="M70" s="75">
        <f>K70</f>
        <v>4</v>
      </c>
      <c r="N70" s="75">
        <f>L70+1</f>
        <v>4</v>
      </c>
      <c r="O70" s="142">
        <v>-2</v>
      </c>
      <c r="P70" s="143">
        <v>-3</v>
      </c>
      <c r="Q70" s="142">
        <v>-3</v>
      </c>
      <c r="R70" s="143">
        <v>-4</v>
      </c>
      <c r="S70" s="142"/>
      <c r="T70" s="143"/>
      <c r="U70" s="142"/>
      <c r="V70" s="143"/>
      <c r="W70" s="142"/>
      <c r="X70" s="143"/>
      <c r="Y70" t="s">
        <v>239</v>
      </c>
      <c r="AB70" t="str">
        <f t="shared" si="110"/>
        <v>[TestCase(3, 2, 4, 3, -2, -3, -3, -4)]    // J Mirror about y-axis to Quadrant II</v>
      </c>
    </row>
    <row r="71" spans="1:30" x14ac:dyDescent="0.3">
      <c r="A71" s="127">
        <f t="shared" si="109"/>
        <v>3</v>
      </c>
      <c r="B71" s="10">
        <f t="shared" si="109"/>
        <v>2</v>
      </c>
      <c r="C71" s="127">
        <f t="shared" si="109"/>
        <v>4</v>
      </c>
      <c r="D71" s="10">
        <f t="shared" si="109"/>
        <v>3</v>
      </c>
      <c r="E71" s="127"/>
      <c r="F71" s="10"/>
      <c r="G71" s="127"/>
      <c r="H71" s="10"/>
      <c r="I71" s="127"/>
      <c r="J71" s="10"/>
      <c r="K71" s="137">
        <f>C71</f>
        <v>4</v>
      </c>
      <c r="L71" s="133">
        <f>D71</f>
        <v>3</v>
      </c>
      <c r="M71" s="134">
        <f>K71+1</f>
        <v>5</v>
      </c>
      <c r="N71" s="134">
        <f>L71</f>
        <v>3</v>
      </c>
      <c r="O71" s="142">
        <v>-2</v>
      </c>
      <c r="P71" s="143">
        <v>-3</v>
      </c>
      <c r="Q71" s="142">
        <v>-3</v>
      </c>
      <c r="R71" s="143">
        <v>-4</v>
      </c>
      <c r="S71" s="142"/>
      <c r="T71" s="143"/>
      <c r="U71" s="142"/>
      <c r="V71" s="143"/>
      <c r="W71" s="142"/>
      <c r="X71" s="143"/>
      <c r="Y71" t="s">
        <v>240</v>
      </c>
      <c r="AB71" t="str">
        <f t="shared" si="110"/>
        <v>[TestCase(3, 2, 4, 3, -2, -3, -3, -4)]    // J Mirror about x-axis to Quadrant IV</v>
      </c>
    </row>
  </sheetData>
  <mergeCells count="49">
    <mergeCell ref="K58:L58"/>
    <mergeCell ref="M58:N58"/>
    <mergeCell ref="I24:J24"/>
    <mergeCell ref="K24:L24"/>
    <mergeCell ref="M24:N24"/>
    <mergeCell ref="O58:P58"/>
    <mergeCell ref="Q58:R58"/>
    <mergeCell ref="S58:T58"/>
    <mergeCell ref="U58:V58"/>
    <mergeCell ref="W58:X58"/>
    <mergeCell ref="A58:B58"/>
    <mergeCell ref="C58:D58"/>
    <mergeCell ref="E58:F58"/>
    <mergeCell ref="G58:H58"/>
    <mergeCell ref="I58:J58"/>
    <mergeCell ref="M3:N3"/>
    <mergeCell ref="O3:P3"/>
    <mergeCell ref="Q3:R3"/>
    <mergeCell ref="C46:D46"/>
    <mergeCell ref="N46:O46"/>
    <mergeCell ref="A3:B3"/>
    <mergeCell ref="C3:D3"/>
    <mergeCell ref="E3:F3"/>
    <mergeCell ref="G3:H3"/>
    <mergeCell ref="K3:L3"/>
    <mergeCell ref="P46:Q46"/>
    <mergeCell ref="R46:S46"/>
    <mergeCell ref="T46:U46"/>
    <mergeCell ref="A13:B13"/>
    <mergeCell ref="C13:D13"/>
    <mergeCell ref="E13:F13"/>
    <mergeCell ref="G13:H13"/>
    <mergeCell ref="J13:K13"/>
    <mergeCell ref="L13:M13"/>
    <mergeCell ref="N13:O13"/>
    <mergeCell ref="P13:Q13"/>
    <mergeCell ref="A46:B46"/>
    <mergeCell ref="E46:F46"/>
    <mergeCell ref="G46:H46"/>
    <mergeCell ref="I46:J46"/>
    <mergeCell ref="L46:M46"/>
    <mergeCell ref="S24:T24"/>
    <mergeCell ref="U24:V24"/>
    <mergeCell ref="W24:X24"/>
    <mergeCell ref="Y24:Z24"/>
    <mergeCell ref="A24:B24"/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033D-0D4B-47C9-BEC2-54C9B12F8A53}">
  <sheetPr codeName="Sheet5"/>
  <dimension ref="A1"/>
  <sheetViews>
    <sheetView workbookViewId="0">
      <selection activeCell="I31" sqref="I31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A45A-6859-4A3D-9ABF-ADE54C452EBD}">
  <sheetPr codeName="Sheet6"/>
  <dimension ref="A37:L38"/>
  <sheetViews>
    <sheetView zoomScale="55" zoomScaleNormal="55" workbookViewId="0">
      <selection activeCell="M58" sqref="M58"/>
    </sheetView>
  </sheetViews>
  <sheetFormatPr defaultRowHeight="14.4" x14ac:dyDescent="0.3"/>
  <sheetData>
    <row r="37" spans="1:12" x14ac:dyDescent="0.3">
      <c r="A37" t="s">
        <v>220</v>
      </c>
    </row>
    <row r="38" spans="1:12" x14ac:dyDescent="0.3">
      <c r="L38" t="s">
        <v>221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1407-BD8A-4FA4-AB06-80A2CF6454D4}">
  <sheetPr codeName="Sheet7"/>
  <dimension ref="A1:O21"/>
  <sheetViews>
    <sheetView zoomScale="85" zoomScaleNormal="85" workbookViewId="0">
      <selection activeCell="R34" sqref="R34"/>
    </sheetView>
  </sheetViews>
  <sheetFormatPr defaultRowHeight="14.4" x14ac:dyDescent="0.3"/>
  <sheetData>
    <row r="1" spans="1:15" x14ac:dyDescent="0.3">
      <c r="N1" s="131" t="s">
        <v>214</v>
      </c>
      <c r="O1" t="s">
        <v>213</v>
      </c>
    </row>
    <row r="2" spans="1:15" x14ac:dyDescent="0.3">
      <c r="N2" s="131" t="s">
        <v>215</v>
      </c>
    </row>
    <row r="3" spans="1:15" x14ac:dyDescent="0.3">
      <c r="N3" s="131" t="s">
        <v>222</v>
      </c>
      <c r="O3" t="s">
        <v>223</v>
      </c>
    </row>
    <row r="4" spans="1:15" x14ac:dyDescent="0.3">
      <c r="N4" s="131" t="s">
        <v>224</v>
      </c>
    </row>
    <row r="12" spans="1:15" x14ac:dyDescent="0.3">
      <c r="A12" t="s">
        <v>216</v>
      </c>
    </row>
    <row r="13" spans="1:15" x14ac:dyDescent="0.3">
      <c r="B13" t="s">
        <v>217</v>
      </c>
    </row>
    <row r="14" spans="1:15" x14ac:dyDescent="0.3">
      <c r="B14" t="s">
        <v>218</v>
      </c>
    </row>
    <row r="15" spans="1:15" x14ac:dyDescent="0.3">
      <c r="B15" s="2" t="s">
        <v>219</v>
      </c>
    </row>
    <row r="17" spans="1:2" x14ac:dyDescent="0.3">
      <c r="A17" t="s">
        <v>225</v>
      </c>
    </row>
    <row r="18" spans="1:2" x14ac:dyDescent="0.3">
      <c r="B18" t="s">
        <v>226</v>
      </c>
    </row>
    <row r="19" spans="1:2" ht="17.399999999999999" customHeight="1" x14ac:dyDescent="0.3"/>
    <row r="20" spans="1:2" x14ac:dyDescent="0.3">
      <c r="A20" t="s">
        <v>227</v>
      </c>
    </row>
    <row r="21" spans="1:2" x14ac:dyDescent="0.3">
      <c r="B21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Extents</vt:lpstr>
      <vt:lpstr>LineSegment</vt:lpstr>
      <vt:lpstr>Shapes</vt:lpstr>
      <vt:lpstr>Transformations</vt:lpstr>
      <vt:lpstr>Fillets &amp; Chamfers</vt:lpstr>
      <vt:lpstr>Arc Types</vt:lpstr>
      <vt:lpstr>Other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2020-11-16T07:48:44Z</dcterms:modified>
</cp:coreProperties>
</file>