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gsareebgslsbs1\Users\MVinson\MyDocuments\R\R_Projects\LS_CiscoeLarvae\Data\"/>
    </mc:Choice>
  </mc:AlternateContent>
  <xr:revisionPtr revIDLastSave="0" documentId="13_ncr:1_{200B026D-2FE1-46D3-80CC-F95BA1B2F0CC}" xr6:coauthVersionLast="45" xr6:coauthVersionMax="45" xr10:uidLastSave="{00000000-0000-0000-0000-000000000000}"/>
  <bookViews>
    <workbookView xWindow="47904" yWindow="4092" windowWidth="15942" windowHeight="24792" activeTab="1" xr2:uid="{9BF3CD71-497A-4BC7-87CA-DE879C462AF3}"/>
  </bookViews>
  <sheets>
    <sheet name="Length" sheetId="4" r:id="rId1"/>
    <sheet name="Ackiss" sheetId="6" r:id="rId2"/>
    <sheet name="PrelimAssignPOP" sheetId="7" r:id="rId3"/>
    <sheet name="Effort" sheetId="1" r:id="rId4"/>
    <sheet name="CatchData" sheetId="5" r:id="rId5"/>
    <sheet name="MetaData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81" i="6" l="1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K1666" i="6"/>
  <c r="E1666" i="6"/>
  <c r="E1665" i="6"/>
  <c r="K1665" i="6" s="1"/>
  <c r="K1664" i="6"/>
  <c r="E1664" i="6"/>
  <c r="E1663" i="6"/>
  <c r="K1663" i="6" s="1"/>
  <c r="K1662" i="6"/>
  <c r="E1662" i="6"/>
  <c r="E1661" i="6"/>
  <c r="K1661" i="6" s="1"/>
  <c r="K1660" i="6"/>
  <c r="E1660" i="6"/>
  <c r="E1659" i="6"/>
  <c r="K1659" i="6" s="1"/>
  <c r="K1658" i="6"/>
  <c r="E1658" i="6"/>
  <c r="E1657" i="6"/>
  <c r="K1657" i="6" s="1"/>
  <c r="K1656" i="6"/>
  <c r="E1656" i="6"/>
  <c r="E1655" i="6"/>
  <c r="K1655" i="6" s="1"/>
  <c r="K1654" i="6"/>
  <c r="E1654" i="6"/>
  <c r="E1653" i="6"/>
  <c r="K1653" i="6" s="1"/>
  <c r="K1652" i="6"/>
  <c r="E1652" i="6"/>
  <c r="E1651" i="6"/>
  <c r="K1651" i="6" s="1"/>
  <c r="K1650" i="6"/>
  <c r="E1650" i="6"/>
  <c r="E1649" i="6"/>
  <c r="K1649" i="6" s="1"/>
  <c r="K1648" i="6"/>
  <c r="E1648" i="6"/>
  <c r="E1647" i="6"/>
  <c r="K1647" i="6" s="1"/>
  <c r="K1646" i="6"/>
  <c r="E1646" i="6"/>
  <c r="E1645" i="6"/>
  <c r="K1645" i="6" s="1"/>
  <c r="K1644" i="6"/>
  <c r="E1644" i="6"/>
  <c r="E1643" i="6"/>
  <c r="K1643" i="6" s="1"/>
  <c r="E1642" i="6"/>
  <c r="E1641" i="6"/>
  <c r="K1641" i="6" s="1"/>
  <c r="E1640" i="6"/>
  <c r="K1640" i="6" s="1"/>
  <c r="K1639" i="6"/>
  <c r="E1639" i="6"/>
  <c r="E1638" i="6"/>
  <c r="K1638" i="6" s="1"/>
  <c r="K1637" i="6"/>
  <c r="E1637" i="6"/>
  <c r="E1636" i="6"/>
  <c r="K1636" i="6" s="1"/>
  <c r="K1635" i="6"/>
  <c r="E1635" i="6"/>
  <c r="E1634" i="6"/>
  <c r="K1634" i="6" s="1"/>
  <c r="K1633" i="6"/>
  <c r="E1633" i="6"/>
  <c r="E1632" i="6"/>
  <c r="K1632" i="6" s="1"/>
  <c r="K1631" i="6"/>
  <c r="E1631" i="6"/>
  <c r="E1630" i="6"/>
  <c r="K1630" i="6" s="1"/>
  <c r="E1629" i="6"/>
  <c r="E1628" i="6"/>
  <c r="K1628" i="6" s="1"/>
  <c r="E1627" i="6"/>
  <c r="K1626" i="6"/>
  <c r="E1626" i="6"/>
  <c r="E1625" i="6"/>
  <c r="K1625" i="6" s="1"/>
  <c r="K1624" i="6"/>
  <c r="E1624" i="6"/>
  <c r="E1623" i="6"/>
  <c r="K1623" i="6" s="1"/>
  <c r="K1622" i="6"/>
  <c r="E1622" i="6"/>
  <c r="E1621" i="6"/>
  <c r="K1621" i="6" s="1"/>
  <c r="K1620" i="6"/>
  <c r="E1620" i="6"/>
  <c r="E1619" i="6"/>
  <c r="K1619" i="6" s="1"/>
  <c r="K1618" i="6"/>
  <c r="K1617" i="6"/>
  <c r="K1616" i="6"/>
  <c r="K1615" i="6"/>
  <c r="K1614" i="6"/>
  <c r="K1613" i="6"/>
  <c r="K1612" i="6"/>
  <c r="K1611" i="6"/>
  <c r="K1610" i="6"/>
  <c r="I1610" i="6"/>
  <c r="H1610" i="6"/>
  <c r="K1609" i="6"/>
  <c r="I1609" i="6"/>
  <c r="H1609" i="6"/>
  <c r="K1608" i="6"/>
  <c r="I1608" i="6"/>
  <c r="H1608" i="6"/>
  <c r="K1607" i="6"/>
  <c r="I1607" i="6"/>
  <c r="H1607" i="6"/>
  <c r="K1606" i="6"/>
  <c r="K1605" i="6"/>
  <c r="I1605" i="6"/>
  <c r="H1605" i="6"/>
  <c r="K1604" i="6"/>
  <c r="I1604" i="6"/>
  <c r="H1604" i="6"/>
  <c r="K1603" i="6"/>
  <c r="I1603" i="6"/>
  <c r="H1603" i="6"/>
  <c r="K1602" i="6"/>
  <c r="I1602" i="6"/>
  <c r="H1602" i="6"/>
  <c r="K1601" i="6"/>
  <c r="I1601" i="6"/>
  <c r="H1601" i="6"/>
  <c r="K1600" i="6"/>
  <c r="K1599" i="6"/>
  <c r="I1599" i="6"/>
  <c r="H1599" i="6"/>
  <c r="K1598" i="6"/>
  <c r="I1598" i="6"/>
  <c r="H1598" i="6"/>
  <c r="K1597" i="6"/>
  <c r="I1597" i="6"/>
  <c r="H1597" i="6"/>
  <c r="K1596" i="6"/>
  <c r="I1596" i="6"/>
  <c r="H1596" i="6"/>
  <c r="K1595" i="6"/>
  <c r="K1594" i="6"/>
  <c r="K1593" i="6"/>
  <c r="K1592" i="6"/>
  <c r="K1591" i="6"/>
  <c r="K1590" i="6"/>
  <c r="K1589" i="6"/>
  <c r="K1588" i="6"/>
  <c r="I1588" i="6"/>
  <c r="H1588" i="6"/>
  <c r="K1587" i="6"/>
  <c r="I1587" i="6"/>
  <c r="H1587" i="6"/>
  <c r="K1586" i="6"/>
  <c r="I1586" i="6"/>
  <c r="H1586" i="6"/>
  <c r="K1585" i="6"/>
  <c r="K1584" i="6"/>
  <c r="K1583" i="6"/>
  <c r="K1582" i="6"/>
  <c r="K1581" i="6"/>
  <c r="K1580" i="6"/>
  <c r="K1579" i="6"/>
  <c r="K1578" i="6"/>
  <c r="I1578" i="6"/>
  <c r="H1578" i="6"/>
  <c r="K1577" i="6"/>
  <c r="I1577" i="6"/>
  <c r="H1577" i="6"/>
  <c r="K1576" i="6"/>
  <c r="I1576" i="6"/>
  <c r="H1576" i="6"/>
  <c r="K1575" i="6"/>
  <c r="I1575" i="6"/>
  <c r="H1575" i="6"/>
  <c r="I1570" i="6"/>
  <c r="H1570" i="6"/>
  <c r="I1569" i="6"/>
  <c r="H1569" i="6"/>
  <c r="I1568" i="6"/>
  <c r="H1568" i="6"/>
  <c r="I1567" i="6"/>
  <c r="H1567" i="6"/>
  <c r="I1566" i="6"/>
  <c r="H1566" i="6"/>
  <c r="K1563" i="6"/>
  <c r="K1562" i="6"/>
  <c r="K1561" i="6"/>
  <c r="K1560" i="6"/>
  <c r="K1559" i="6"/>
  <c r="I1559" i="6"/>
  <c r="H1559" i="6"/>
  <c r="K1558" i="6"/>
  <c r="I1558" i="6"/>
  <c r="H1558" i="6"/>
  <c r="K1557" i="6"/>
  <c r="I1557" i="6"/>
  <c r="H1557" i="6"/>
  <c r="K1556" i="6"/>
  <c r="I1556" i="6"/>
  <c r="H1556" i="6"/>
  <c r="K1555" i="6"/>
  <c r="I1555" i="6"/>
  <c r="H1555" i="6"/>
  <c r="K1554" i="6"/>
  <c r="I1554" i="6"/>
  <c r="H1554" i="6"/>
  <c r="K1553" i="6"/>
  <c r="I1553" i="6"/>
  <c r="H1553" i="6"/>
  <c r="K1552" i="6"/>
  <c r="I1552" i="6"/>
  <c r="H1552" i="6"/>
  <c r="I1545" i="6"/>
  <c r="H1545" i="6"/>
  <c r="K1544" i="6"/>
  <c r="I1544" i="6"/>
  <c r="H1544" i="6"/>
  <c r="K1543" i="6"/>
  <c r="I1543" i="6"/>
  <c r="H1543" i="6"/>
  <c r="K1542" i="6"/>
  <c r="I1542" i="6"/>
  <c r="H1542" i="6"/>
  <c r="K1541" i="6"/>
  <c r="I1541" i="6"/>
  <c r="H1541" i="6"/>
  <c r="I1540" i="6"/>
  <c r="H1540" i="6"/>
  <c r="K1539" i="6"/>
  <c r="I1539" i="6"/>
  <c r="H1539" i="6"/>
  <c r="K1538" i="6"/>
  <c r="I1538" i="6"/>
  <c r="H1538" i="6"/>
  <c r="K1537" i="6"/>
  <c r="I1537" i="6"/>
  <c r="H1537" i="6"/>
  <c r="I1536" i="6"/>
  <c r="H1536" i="6"/>
  <c r="K1535" i="6"/>
  <c r="I1535" i="6"/>
  <c r="H1535" i="6"/>
  <c r="K1534" i="6"/>
  <c r="I1534" i="6"/>
  <c r="H1534" i="6"/>
  <c r="K1533" i="6"/>
  <c r="I1533" i="6"/>
  <c r="H1533" i="6"/>
  <c r="I1528" i="6"/>
  <c r="H1528" i="6"/>
  <c r="I1527" i="6"/>
  <c r="H1527" i="6"/>
  <c r="I1526" i="6"/>
  <c r="H1526" i="6"/>
  <c r="I1525" i="6"/>
  <c r="H1525" i="6"/>
  <c r="I1524" i="6"/>
  <c r="H1524" i="6"/>
  <c r="K1523" i="6"/>
  <c r="I1523" i="6"/>
  <c r="H1523" i="6"/>
  <c r="K1522" i="6"/>
  <c r="I1522" i="6"/>
  <c r="H1522" i="6"/>
  <c r="K1521" i="6"/>
  <c r="I1521" i="6"/>
  <c r="H1521" i="6"/>
  <c r="K1520" i="6"/>
  <c r="I1520" i="6"/>
  <c r="H1520" i="6"/>
  <c r="K1519" i="6"/>
  <c r="I1519" i="6"/>
  <c r="H1519" i="6"/>
  <c r="K1518" i="6"/>
  <c r="I1518" i="6"/>
  <c r="H1518" i="6"/>
  <c r="K1517" i="6"/>
  <c r="I1517" i="6"/>
  <c r="H1517" i="6"/>
  <c r="K1516" i="6"/>
  <c r="I1516" i="6"/>
  <c r="H1516" i="6"/>
  <c r="K1515" i="6"/>
  <c r="I1515" i="6"/>
  <c r="H1515" i="6"/>
  <c r="K1514" i="6"/>
  <c r="I1514" i="6"/>
  <c r="H1514" i="6"/>
  <c r="K1513" i="6"/>
  <c r="I1513" i="6"/>
  <c r="H1513" i="6"/>
  <c r="K1512" i="6"/>
  <c r="I1512" i="6"/>
  <c r="H1512" i="6"/>
  <c r="I1505" i="6"/>
  <c r="H1505" i="6"/>
  <c r="I1504" i="6"/>
  <c r="H1504" i="6"/>
  <c r="I1503" i="6"/>
  <c r="H1503" i="6"/>
  <c r="I1502" i="6"/>
  <c r="H1502" i="6"/>
  <c r="I1501" i="6"/>
  <c r="H1501" i="6"/>
  <c r="I1500" i="6"/>
  <c r="H1500" i="6"/>
  <c r="I1499" i="6"/>
  <c r="H1499" i="6"/>
  <c r="K1498" i="6"/>
  <c r="I1498" i="6"/>
  <c r="H1498" i="6"/>
  <c r="K1497" i="6"/>
  <c r="I1497" i="6"/>
  <c r="H1497" i="6"/>
  <c r="K1496" i="6"/>
  <c r="I1496" i="6"/>
  <c r="H1496" i="6"/>
  <c r="K1495" i="6"/>
  <c r="I1495" i="6"/>
  <c r="H1495" i="6"/>
  <c r="K1494" i="6"/>
  <c r="I1494" i="6"/>
  <c r="H1494" i="6"/>
  <c r="K1493" i="6"/>
  <c r="I1493" i="6"/>
  <c r="H1493" i="6"/>
  <c r="I1492" i="6"/>
  <c r="H1492" i="6"/>
  <c r="K1491" i="6"/>
  <c r="I1491" i="6"/>
  <c r="H1491" i="6"/>
  <c r="K1490" i="6"/>
  <c r="I1490" i="6"/>
  <c r="H1490" i="6"/>
  <c r="K1489" i="6"/>
  <c r="I1489" i="6"/>
  <c r="H1489" i="6"/>
  <c r="K1488" i="6"/>
  <c r="I1488" i="6"/>
  <c r="H1488" i="6"/>
  <c r="K1487" i="6"/>
  <c r="I1487" i="6"/>
  <c r="H1487" i="6"/>
  <c r="K1486" i="6"/>
  <c r="I1486" i="6"/>
  <c r="H1486" i="6"/>
  <c r="K1485" i="6"/>
  <c r="I1485" i="6"/>
  <c r="H1485" i="6"/>
  <c r="K1484" i="6"/>
  <c r="I1484" i="6"/>
  <c r="H1484" i="6"/>
  <c r="K1483" i="6"/>
  <c r="I1483" i="6"/>
  <c r="H1483" i="6"/>
  <c r="K1482" i="6"/>
  <c r="I1482" i="6"/>
  <c r="H1482" i="6"/>
  <c r="K1481" i="6"/>
  <c r="I1481" i="6"/>
  <c r="H1481" i="6"/>
  <c r="K1480" i="6"/>
  <c r="I1480" i="6"/>
  <c r="H1480" i="6"/>
  <c r="K1479" i="6"/>
  <c r="I1479" i="6"/>
  <c r="H1479" i="6"/>
  <c r="K1478" i="6"/>
  <c r="I1478" i="6"/>
  <c r="H1478" i="6"/>
  <c r="K1477" i="6"/>
  <c r="I1477" i="6"/>
  <c r="H1477" i="6"/>
  <c r="K1476" i="6"/>
  <c r="I1476" i="6"/>
  <c r="H1476" i="6"/>
  <c r="K1475" i="6"/>
  <c r="I1475" i="6"/>
  <c r="H1475" i="6"/>
  <c r="K1474" i="6"/>
  <c r="I1474" i="6"/>
  <c r="H1474" i="6"/>
  <c r="K1473" i="6"/>
  <c r="I1473" i="6"/>
  <c r="H1473" i="6"/>
  <c r="K1472" i="6"/>
  <c r="I1472" i="6"/>
  <c r="H1472" i="6"/>
  <c r="K1471" i="6"/>
  <c r="I1471" i="6"/>
  <c r="H1471" i="6"/>
  <c r="I1465" i="6"/>
  <c r="H1465" i="6"/>
  <c r="I1464" i="6"/>
  <c r="H1464" i="6"/>
  <c r="I1463" i="6"/>
  <c r="H1463" i="6"/>
  <c r="I1462" i="6"/>
  <c r="H1462" i="6"/>
  <c r="I1461" i="6"/>
  <c r="H1461" i="6"/>
  <c r="I1460" i="6"/>
  <c r="H1460" i="6"/>
  <c r="I1459" i="6"/>
  <c r="H1459" i="6"/>
  <c r="I1458" i="6"/>
  <c r="H1458" i="6"/>
  <c r="K1457" i="6"/>
  <c r="I1457" i="6"/>
  <c r="H1457" i="6"/>
  <c r="K1456" i="6"/>
  <c r="I1456" i="6"/>
  <c r="H1456" i="6"/>
  <c r="K1455" i="6"/>
  <c r="I1455" i="6"/>
  <c r="H1455" i="6"/>
  <c r="K1454" i="6"/>
  <c r="I1454" i="6"/>
  <c r="H1454" i="6"/>
  <c r="K1453" i="6"/>
  <c r="I1453" i="6"/>
  <c r="H1453" i="6"/>
  <c r="K1452" i="6"/>
  <c r="I1452" i="6"/>
  <c r="H1452" i="6"/>
  <c r="K1451" i="6"/>
  <c r="I1451" i="6"/>
  <c r="H1451" i="6"/>
  <c r="K1450" i="6"/>
  <c r="I1450" i="6"/>
  <c r="H1450" i="6"/>
  <c r="K1449" i="6"/>
  <c r="I1449" i="6"/>
  <c r="H1449" i="6"/>
  <c r="K1448" i="6"/>
  <c r="I1448" i="6"/>
  <c r="H1448" i="6"/>
  <c r="K1447" i="6"/>
  <c r="I1447" i="6"/>
  <c r="H1447" i="6"/>
  <c r="K1446" i="6"/>
  <c r="I1446" i="6"/>
  <c r="H1446" i="6"/>
  <c r="K1445" i="6"/>
  <c r="I1445" i="6"/>
  <c r="H1445" i="6"/>
  <c r="K1444" i="6"/>
  <c r="I1444" i="6"/>
  <c r="H1444" i="6"/>
  <c r="K1443" i="6"/>
  <c r="I1443" i="6"/>
  <c r="H1443" i="6"/>
  <c r="K1442" i="6"/>
  <c r="I1442" i="6"/>
  <c r="H1442" i="6"/>
  <c r="K1441" i="6"/>
  <c r="I1441" i="6"/>
  <c r="H1441" i="6"/>
  <c r="K1440" i="6"/>
  <c r="K1439" i="6"/>
  <c r="K1438" i="6"/>
  <c r="K1437" i="6"/>
  <c r="I1437" i="6"/>
  <c r="H1437" i="6"/>
  <c r="K1436" i="6"/>
  <c r="I1436" i="6"/>
  <c r="H1436" i="6"/>
  <c r="K1435" i="6"/>
  <c r="I1435" i="6"/>
  <c r="H1435" i="6"/>
  <c r="K1434" i="6"/>
  <c r="I1434" i="6"/>
  <c r="H1434" i="6"/>
  <c r="K1433" i="6"/>
  <c r="I1433" i="6"/>
  <c r="H1433" i="6"/>
  <c r="K1432" i="6"/>
  <c r="I1432" i="6"/>
  <c r="H1432" i="6"/>
  <c r="K1431" i="6"/>
  <c r="K1430" i="6"/>
  <c r="I1430" i="6"/>
  <c r="H1430" i="6"/>
  <c r="I1429" i="6"/>
  <c r="H1429" i="6"/>
  <c r="I1428" i="6"/>
  <c r="H1428" i="6"/>
  <c r="I1427" i="6"/>
  <c r="H1427" i="6"/>
  <c r="I1426" i="6"/>
  <c r="H1426" i="6"/>
  <c r="I1425" i="6"/>
  <c r="H1425" i="6"/>
  <c r="K1421" i="6"/>
  <c r="K1420" i="6"/>
  <c r="K1419" i="6"/>
  <c r="K1418" i="6"/>
  <c r="I1418" i="6"/>
  <c r="H1418" i="6"/>
  <c r="K1417" i="6"/>
  <c r="I1417" i="6"/>
  <c r="H1417" i="6"/>
  <c r="K1416" i="6"/>
  <c r="I1416" i="6"/>
  <c r="H1416" i="6"/>
  <c r="K1415" i="6"/>
  <c r="I1415" i="6"/>
  <c r="H1415" i="6"/>
  <c r="K1414" i="6"/>
  <c r="I1414" i="6"/>
  <c r="H1414" i="6"/>
  <c r="K1413" i="6"/>
  <c r="I1413" i="6"/>
  <c r="H1413" i="6"/>
  <c r="K1412" i="6"/>
  <c r="I1412" i="6"/>
  <c r="H1412" i="6"/>
  <c r="K1411" i="6"/>
  <c r="I1411" i="6"/>
  <c r="H1411" i="6"/>
  <c r="K1410" i="6"/>
  <c r="I1410" i="6"/>
  <c r="H1410" i="6"/>
  <c r="K1409" i="6"/>
  <c r="I1409" i="6"/>
  <c r="H1409" i="6"/>
  <c r="K1408" i="6"/>
  <c r="I1408" i="6"/>
  <c r="H1408" i="6"/>
  <c r="I1405" i="6"/>
  <c r="H1405" i="6"/>
  <c r="I1404" i="6"/>
  <c r="H1404" i="6"/>
  <c r="I1403" i="6"/>
  <c r="H1403" i="6"/>
  <c r="I1402" i="6"/>
  <c r="H1402" i="6"/>
  <c r="I1401" i="6"/>
  <c r="H1401" i="6"/>
  <c r="I1400" i="6"/>
  <c r="H1400" i="6"/>
  <c r="I1399" i="6"/>
  <c r="H1399" i="6"/>
  <c r="I1398" i="6"/>
  <c r="H1398" i="6"/>
  <c r="I1397" i="6"/>
  <c r="H1397" i="6"/>
  <c r="I1396" i="6"/>
  <c r="H1396" i="6"/>
  <c r="I1395" i="6"/>
  <c r="H1395" i="6"/>
  <c r="I1394" i="6"/>
  <c r="H1394" i="6"/>
  <c r="K1393" i="6"/>
  <c r="I1393" i="6"/>
  <c r="H1393" i="6"/>
  <c r="K1392" i="6"/>
  <c r="I1392" i="6"/>
  <c r="H1392" i="6"/>
  <c r="K1391" i="6"/>
  <c r="I1391" i="6"/>
  <c r="H1391" i="6"/>
  <c r="K1390" i="6"/>
  <c r="I1390" i="6"/>
  <c r="H1390" i="6"/>
  <c r="K1389" i="6"/>
  <c r="I1389" i="6"/>
  <c r="H1389" i="6"/>
  <c r="K1388" i="6"/>
  <c r="I1388" i="6"/>
  <c r="H1388" i="6"/>
  <c r="K1387" i="6"/>
  <c r="I1387" i="6"/>
  <c r="H1387" i="6"/>
  <c r="K1386" i="6"/>
  <c r="I1386" i="6"/>
  <c r="H1386" i="6"/>
  <c r="K1385" i="6"/>
  <c r="I1385" i="6"/>
  <c r="H1385" i="6"/>
  <c r="K1384" i="6"/>
  <c r="I1384" i="6"/>
  <c r="H1384" i="6"/>
  <c r="K1383" i="6"/>
  <c r="I1383" i="6"/>
  <c r="H1383" i="6"/>
  <c r="K1382" i="6"/>
  <c r="K1381" i="6"/>
  <c r="K1380" i="6"/>
  <c r="K1379" i="6"/>
  <c r="K1378" i="6"/>
  <c r="I1378" i="6"/>
  <c r="H1378" i="6"/>
  <c r="K1377" i="6"/>
  <c r="I1377" i="6"/>
  <c r="H1377" i="6"/>
  <c r="K1376" i="6"/>
  <c r="I1376" i="6"/>
  <c r="H1376" i="6"/>
  <c r="I1373" i="6"/>
  <c r="H1373" i="6"/>
  <c r="I1372" i="6"/>
  <c r="H1372" i="6"/>
  <c r="I1371" i="6"/>
  <c r="H1371" i="6"/>
  <c r="I1370" i="6"/>
  <c r="H1370" i="6"/>
  <c r="I1369" i="6"/>
  <c r="H1369" i="6"/>
  <c r="I1368" i="6"/>
  <c r="H1368" i="6"/>
  <c r="I1367" i="6"/>
  <c r="H1367" i="6"/>
  <c r="I1366" i="6"/>
  <c r="H1366" i="6"/>
  <c r="I1365" i="6"/>
  <c r="H1365" i="6"/>
  <c r="I1364" i="6"/>
  <c r="H1364" i="6"/>
  <c r="I1363" i="6"/>
  <c r="H1363" i="6"/>
  <c r="K1362" i="6"/>
  <c r="I1362" i="6"/>
  <c r="H1362" i="6"/>
  <c r="K1361" i="6"/>
  <c r="I1361" i="6"/>
  <c r="H1361" i="6"/>
  <c r="K1360" i="6"/>
  <c r="I1360" i="6"/>
  <c r="H1360" i="6"/>
  <c r="K1359" i="6"/>
  <c r="I1359" i="6"/>
  <c r="H1359" i="6"/>
  <c r="K1358" i="6"/>
  <c r="I1358" i="6"/>
  <c r="H1358" i="6"/>
  <c r="K1357" i="6"/>
  <c r="I1357" i="6"/>
  <c r="H1357" i="6"/>
  <c r="K1356" i="6"/>
  <c r="I1356" i="6"/>
  <c r="H1356" i="6"/>
  <c r="K1355" i="6"/>
  <c r="I1355" i="6"/>
  <c r="H1355" i="6"/>
  <c r="K1354" i="6"/>
  <c r="I1354" i="6"/>
  <c r="H1354" i="6"/>
  <c r="K1353" i="6"/>
  <c r="I1353" i="6"/>
  <c r="H1353" i="6"/>
  <c r="K1352" i="6"/>
  <c r="I1352" i="6"/>
  <c r="H1352" i="6"/>
  <c r="K1351" i="6"/>
  <c r="I1351" i="6"/>
  <c r="H1351" i="6"/>
  <c r="I1342" i="6"/>
  <c r="H1342" i="6"/>
  <c r="I1341" i="6"/>
  <c r="H1341" i="6"/>
  <c r="I1340" i="6"/>
  <c r="H1340" i="6"/>
  <c r="I1339" i="6"/>
  <c r="H1339" i="6"/>
  <c r="I1338" i="6"/>
  <c r="H1338" i="6"/>
  <c r="K1337" i="6"/>
  <c r="I1337" i="6"/>
  <c r="H1337" i="6"/>
  <c r="K1336" i="6"/>
  <c r="I1336" i="6"/>
  <c r="H1336" i="6"/>
  <c r="K1335" i="6"/>
  <c r="I1335" i="6"/>
  <c r="H1335" i="6"/>
  <c r="K1334" i="6"/>
  <c r="I1334" i="6"/>
  <c r="H1334" i="6"/>
  <c r="K1333" i="6"/>
  <c r="I1333" i="6"/>
  <c r="H1333" i="6"/>
  <c r="K1332" i="6"/>
  <c r="I1332" i="6"/>
  <c r="H1332" i="6"/>
  <c r="K1331" i="6"/>
  <c r="I1331" i="6"/>
  <c r="H1331" i="6"/>
  <c r="K1330" i="6"/>
  <c r="I1330" i="6"/>
  <c r="H1330" i="6"/>
  <c r="K1329" i="6"/>
  <c r="I1329" i="6"/>
  <c r="H1329" i="6"/>
  <c r="K1328" i="6"/>
  <c r="I1328" i="6"/>
  <c r="H1328" i="6"/>
  <c r="K1327" i="6"/>
  <c r="I1327" i="6"/>
  <c r="H1327" i="6"/>
  <c r="K1326" i="6"/>
  <c r="I1326" i="6"/>
  <c r="H1326" i="6"/>
  <c r="I1321" i="6"/>
  <c r="H1321" i="6"/>
  <c r="K1320" i="6"/>
  <c r="I1320" i="6"/>
  <c r="H1320" i="6"/>
  <c r="K1319" i="6"/>
  <c r="I1319" i="6"/>
  <c r="H1319" i="6"/>
  <c r="K1318" i="6"/>
  <c r="I1318" i="6"/>
  <c r="H1318" i="6"/>
  <c r="K1317" i="6"/>
  <c r="I1317" i="6"/>
  <c r="H1317" i="6"/>
  <c r="K1316" i="6"/>
  <c r="I1316" i="6"/>
  <c r="H1316" i="6"/>
  <c r="K1315" i="6"/>
  <c r="I1315" i="6"/>
  <c r="H1315" i="6"/>
  <c r="K1314" i="6"/>
  <c r="I1314" i="6"/>
  <c r="H1314" i="6"/>
  <c r="K1313" i="6"/>
  <c r="I1313" i="6"/>
  <c r="H1313" i="6"/>
  <c r="K1312" i="6"/>
  <c r="I1312" i="6"/>
  <c r="H1312" i="6"/>
  <c r="K1311" i="6"/>
  <c r="I1311" i="6"/>
  <c r="H1311" i="6"/>
  <c r="K1310" i="6"/>
  <c r="I1310" i="6"/>
  <c r="H1310" i="6"/>
  <c r="K1309" i="6"/>
  <c r="I1309" i="6"/>
  <c r="H1309" i="6"/>
  <c r="I1305" i="6"/>
  <c r="H1305" i="6"/>
  <c r="I1304" i="6"/>
  <c r="H1304" i="6"/>
  <c r="I1303" i="6"/>
  <c r="H1303" i="6"/>
  <c r="I1302" i="6"/>
  <c r="H1302" i="6"/>
  <c r="I1301" i="6"/>
  <c r="H1301" i="6"/>
  <c r="I1300" i="6"/>
  <c r="H1300" i="6"/>
  <c r="I1299" i="6"/>
  <c r="H1299" i="6"/>
  <c r="I1298" i="6"/>
  <c r="H1298" i="6"/>
  <c r="I1297" i="6"/>
  <c r="H1297" i="6"/>
  <c r="K1296" i="6"/>
  <c r="I1296" i="6"/>
  <c r="H1296" i="6"/>
  <c r="K1295" i="6"/>
  <c r="I1295" i="6"/>
  <c r="H1295" i="6"/>
  <c r="K1294" i="6"/>
  <c r="I1294" i="6"/>
  <c r="H1294" i="6"/>
  <c r="K1293" i="6"/>
  <c r="I1293" i="6"/>
  <c r="H1293" i="6"/>
  <c r="K1292" i="6"/>
  <c r="I1292" i="6"/>
  <c r="H1292" i="6"/>
  <c r="K1291" i="6"/>
  <c r="I1291" i="6"/>
  <c r="H1291" i="6"/>
  <c r="K1290" i="6"/>
  <c r="I1290" i="6"/>
  <c r="H1290" i="6"/>
  <c r="K1289" i="6"/>
  <c r="I1289" i="6"/>
  <c r="H1289" i="6"/>
  <c r="K1288" i="6"/>
  <c r="I1288" i="6"/>
  <c r="H1288" i="6"/>
  <c r="K1287" i="6"/>
  <c r="I1287" i="6"/>
  <c r="H1287" i="6"/>
  <c r="K1286" i="6"/>
  <c r="I1286" i="6"/>
  <c r="H1286" i="6"/>
  <c r="K1285" i="6"/>
  <c r="I1285" i="6"/>
  <c r="H1285" i="6"/>
  <c r="I1279" i="6"/>
  <c r="H1279" i="6"/>
  <c r="I1278" i="6"/>
  <c r="H1278" i="6"/>
  <c r="I1277" i="6"/>
  <c r="H1277" i="6"/>
  <c r="I1276" i="6"/>
  <c r="H1276" i="6"/>
  <c r="I1275" i="6"/>
  <c r="H1275" i="6"/>
  <c r="I1274" i="6"/>
  <c r="H1274" i="6"/>
  <c r="I1273" i="6"/>
  <c r="H1273" i="6"/>
  <c r="I1272" i="6"/>
  <c r="H1272" i="6"/>
  <c r="K1271" i="6"/>
  <c r="I1271" i="6"/>
  <c r="H1271" i="6"/>
  <c r="K1270" i="6"/>
  <c r="I1270" i="6"/>
  <c r="H1270" i="6"/>
  <c r="K1269" i="6"/>
  <c r="I1269" i="6"/>
  <c r="H1269" i="6"/>
  <c r="K1268" i="6"/>
  <c r="I1268" i="6"/>
  <c r="H1268" i="6"/>
  <c r="K1267" i="6"/>
  <c r="I1267" i="6"/>
  <c r="H1267" i="6"/>
  <c r="K1266" i="6"/>
  <c r="I1266" i="6"/>
  <c r="H1266" i="6"/>
  <c r="K1265" i="6"/>
  <c r="I1265" i="6"/>
  <c r="H1265" i="6"/>
  <c r="K1264" i="6"/>
  <c r="I1264" i="6"/>
  <c r="H1264" i="6"/>
  <c r="K1263" i="6"/>
  <c r="I1263" i="6"/>
  <c r="H1263" i="6"/>
  <c r="K1262" i="6"/>
  <c r="I1262" i="6"/>
  <c r="H1262" i="6"/>
  <c r="K1261" i="6"/>
  <c r="I1261" i="6"/>
  <c r="H1261" i="6"/>
  <c r="K1260" i="6"/>
  <c r="I1260" i="6"/>
  <c r="H1260" i="6"/>
  <c r="K1259" i="6"/>
  <c r="I1259" i="6"/>
  <c r="H1259" i="6"/>
  <c r="K1258" i="6"/>
  <c r="I1258" i="6"/>
  <c r="H1258" i="6"/>
  <c r="K1257" i="6"/>
  <c r="I1257" i="6"/>
  <c r="H1257" i="6"/>
  <c r="K1256" i="6"/>
  <c r="K1255" i="6"/>
  <c r="K1254" i="6"/>
  <c r="K1253" i="6"/>
  <c r="I1248" i="6"/>
  <c r="H1248" i="6"/>
  <c r="I1247" i="6"/>
  <c r="H1247" i="6"/>
  <c r="I1246" i="6"/>
  <c r="H1246" i="6"/>
  <c r="I1245" i="6"/>
  <c r="H1245" i="6"/>
  <c r="I1244" i="6"/>
  <c r="H1244" i="6"/>
  <c r="I1243" i="6"/>
  <c r="H1243" i="6"/>
  <c r="I1242" i="6"/>
  <c r="H1242" i="6"/>
  <c r="I1241" i="6"/>
  <c r="H1241" i="6"/>
  <c r="I1240" i="6"/>
  <c r="H1240" i="6"/>
  <c r="K1239" i="6"/>
  <c r="I1239" i="6"/>
  <c r="H1239" i="6"/>
  <c r="K1238" i="6"/>
  <c r="I1238" i="6"/>
  <c r="H1238" i="6"/>
  <c r="K1237" i="6"/>
  <c r="I1237" i="6"/>
  <c r="H1237" i="6"/>
  <c r="K1236" i="6"/>
  <c r="I1236" i="6"/>
  <c r="H1236" i="6"/>
  <c r="K1235" i="6"/>
  <c r="I1235" i="6"/>
  <c r="H1235" i="6"/>
  <c r="K1234" i="6"/>
  <c r="I1234" i="6"/>
  <c r="H1234" i="6"/>
  <c r="K1233" i="6"/>
  <c r="I1233" i="6"/>
  <c r="H1233" i="6"/>
  <c r="K1232" i="6"/>
  <c r="I1232" i="6"/>
  <c r="H1232" i="6"/>
  <c r="K1231" i="6"/>
  <c r="I1231" i="6"/>
  <c r="H1231" i="6"/>
  <c r="K1230" i="6"/>
  <c r="I1230" i="6"/>
  <c r="H1230" i="6"/>
  <c r="K1229" i="6"/>
  <c r="I1229" i="6"/>
  <c r="H1229" i="6"/>
  <c r="K1228" i="6"/>
  <c r="I1228" i="6"/>
  <c r="H1228" i="6"/>
  <c r="I1222" i="6"/>
  <c r="H1222" i="6"/>
  <c r="I1221" i="6"/>
  <c r="H1221" i="6"/>
  <c r="I1220" i="6"/>
  <c r="H1220" i="6"/>
  <c r="I1219" i="6"/>
  <c r="H1219" i="6"/>
  <c r="I1218" i="6"/>
  <c r="H1218" i="6"/>
  <c r="I1217" i="6"/>
  <c r="H1217" i="6"/>
  <c r="I1216" i="6"/>
  <c r="H1216" i="6"/>
  <c r="I1215" i="6"/>
  <c r="H1215" i="6"/>
  <c r="K1214" i="6"/>
  <c r="I1214" i="6"/>
  <c r="H1214" i="6"/>
  <c r="K1213" i="6"/>
  <c r="I1213" i="6"/>
  <c r="H1213" i="6"/>
  <c r="K1212" i="6"/>
  <c r="K1211" i="6"/>
  <c r="I1211" i="6"/>
  <c r="H1211" i="6"/>
  <c r="K1210" i="6"/>
  <c r="I1210" i="6"/>
  <c r="H1210" i="6"/>
  <c r="K1209" i="6"/>
  <c r="I1209" i="6"/>
  <c r="H1209" i="6"/>
  <c r="K1208" i="6"/>
  <c r="I1208" i="6"/>
  <c r="H1208" i="6"/>
  <c r="K1207" i="6"/>
  <c r="I1207" i="6"/>
  <c r="H1207" i="6"/>
  <c r="K1206" i="6"/>
  <c r="K1205" i="6"/>
  <c r="I1205" i="6"/>
  <c r="H1205" i="6"/>
  <c r="K1204" i="6"/>
  <c r="I1204" i="6"/>
  <c r="H1204" i="6"/>
  <c r="K1203" i="6"/>
  <c r="I1203" i="6"/>
  <c r="H1203" i="6"/>
  <c r="K1201" i="6"/>
  <c r="K1200" i="6"/>
  <c r="K1199" i="6"/>
  <c r="K1198" i="6"/>
  <c r="I1198" i="6"/>
  <c r="H1198" i="6"/>
  <c r="K1197" i="6"/>
  <c r="I1197" i="6"/>
  <c r="H1197" i="6"/>
  <c r="K1196" i="6"/>
  <c r="I1196" i="6"/>
  <c r="H1196" i="6"/>
  <c r="K1195" i="6"/>
  <c r="I1195" i="6"/>
  <c r="H1195" i="6"/>
  <c r="K1194" i="6"/>
  <c r="I1194" i="6"/>
  <c r="H1194" i="6"/>
  <c r="K1193" i="6"/>
  <c r="I1193" i="6"/>
  <c r="H1193" i="6"/>
  <c r="K1192" i="6"/>
  <c r="I1192" i="6"/>
  <c r="H1192" i="6"/>
  <c r="K1191" i="6"/>
  <c r="I1191" i="6"/>
  <c r="H1191" i="6"/>
  <c r="K1190" i="6"/>
  <c r="I1190" i="6"/>
  <c r="H1190" i="6"/>
  <c r="I1189" i="6"/>
  <c r="H1189" i="6"/>
  <c r="K1176" i="6"/>
  <c r="K1175" i="6"/>
  <c r="K1174" i="6"/>
  <c r="I1174" i="6"/>
  <c r="H1174" i="6"/>
  <c r="K1173" i="6"/>
  <c r="I1173" i="6"/>
  <c r="H1173" i="6"/>
  <c r="K1172" i="6"/>
  <c r="I1172" i="6"/>
  <c r="H1172" i="6"/>
  <c r="K1171" i="6"/>
  <c r="I1171" i="6"/>
  <c r="H1171" i="6"/>
  <c r="K1170" i="6"/>
  <c r="I1170" i="6"/>
  <c r="H1170" i="6"/>
  <c r="K1169" i="6"/>
  <c r="I1169" i="6"/>
  <c r="H1169" i="6"/>
  <c r="K1168" i="6"/>
  <c r="I1168" i="6"/>
  <c r="H1168" i="6"/>
  <c r="K1167" i="6"/>
  <c r="I1167" i="6"/>
  <c r="H1167" i="6"/>
  <c r="K1166" i="6"/>
  <c r="I1166" i="6"/>
  <c r="H1166" i="6"/>
  <c r="K1165" i="6"/>
  <c r="I1165" i="6"/>
  <c r="H1165" i="6"/>
  <c r="I1161" i="6"/>
  <c r="H1161" i="6"/>
  <c r="I1160" i="6"/>
  <c r="H1160" i="6"/>
  <c r="I1159" i="6"/>
  <c r="H1159" i="6"/>
  <c r="I1158" i="6"/>
  <c r="H1158" i="6"/>
  <c r="I1157" i="6"/>
  <c r="H1157" i="6"/>
  <c r="K1151" i="6"/>
  <c r="K1150" i="6"/>
  <c r="K1149" i="6"/>
  <c r="K1148" i="6"/>
  <c r="K1147" i="6"/>
  <c r="K1146" i="6"/>
  <c r="I1146" i="6"/>
  <c r="H1146" i="6"/>
  <c r="K1145" i="6"/>
  <c r="I1145" i="6"/>
  <c r="H1145" i="6"/>
  <c r="K1144" i="6"/>
  <c r="I1144" i="6"/>
  <c r="H1144" i="6"/>
  <c r="K1143" i="6"/>
  <c r="I1143" i="6"/>
  <c r="H1143" i="6"/>
  <c r="K1142" i="6"/>
  <c r="I1142" i="6"/>
  <c r="H1142" i="6"/>
  <c r="K1141" i="6"/>
  <c r="I1141" i="6"/>
  <c r="H1141" i="6"/>
  <c r="K1140" i="6"/>
  <c r="I1140" i="6"/>
  <c r="H1140" i="6"/>
  <c r="I1139" i="6"/>
  <c r="H1139" i="6"/>
  <c r="I1138" i="6"/>
  <c r="H1138" i="6"/>
  <c r="I1137" i="6"/>
  <c r="H1137" i="6"/>
  <c r="I1135" i="6"/>
  <c r="H1135" i="6"/>
  <c r="I1134" i="6"/>
  <c r="H1134" i="6"/>
  <c r="I1133" i="6"/>
  <c r="H1133" i="6"/>
  <c r="I1132" i="6"/>
  <c r="H1132" i="6"/>
  <c r="I1131" i="6"/>
  <c r="H1131" i="6"/>
  <c r="K1126" i="6"/>
  <c r="K1125" i="6"/>
  <c r="K1124" i="6"/>
  <c r="K1123" i="6"/>
  <c r="K1122" i="6"/>
  <c r="K1121" i="6"/>
  <c r="K1120" i="6"/>
  <c r="I1120" i="6"/>
  <c r="H1120" i="6"/>
  <c r="K1119" i="6"/>
  <c r="I1119" i="6"/>
  <c r="H1119" i="6"/>
  <c r="K1118" i="6"/>
  <c r="I1118" i="6"/>
  <c r="H1118" i="6"/>
  <c r="K1117" i="6"/>
  <c r="I1117" i="6"/>
  <c r="H1117" i="6"/>
  <c r="K1116" i="6"/>
  <c r="I1116" i="6"/>
  <c r="H1116" i="6"/>
  <c r="K1115" i="6"/>
  <c r="I1115" i="6"/>
  <c r="H1115" i="6"/>
  <c r="I1113" i="6"/>
  <c r="H1113" i="6"/>
  <c r="I1112" i="6"/>
  <c r="H1112" i="6"/>
  <c r="I1111" i="6"/>
  <c r="H1111" i="6"/>
  <c r="I1110" i="6"/>
  <c r="H1110" i="6"/>
  <c r="I1109" i="6"/>
  <c r="H1109" i="6"/>
  <c r="I1108" i="6"/>
  <c r="H1108" i="6"/>
  <c r="I1107" i="6"/>
  <c r="H1107" i="6"/>
  <c r="I1106" i="6"/>
  <c r="H1106" i="6"/>
  <c r="I1105" i="6"/>
  <c r="H1105" i="6"/>
  <c r="K1101" i="6"/>
  <c r="I1101" i="6"/>
  <c r="H1101" i="6"/>
  <c r="K1100" i="6"/>
  <c r="I1100" i="6"/>
  <c r="H1100" i="6"/>
  <c r="K1099" i="6"/>
  <c r="I1099" i="6"/>
  <c r="H1099" i="6"/>
  <c r="K1098" i="6"/>
  <c r="I1098" i="6"/>
  <c r="H1098" i="6"/>
  <c r="K1097" i="6"/>
  <c r="I1097" i="6"/>
  <c r="H1097" i="6"/>
  <c r="K1096" i="6"/>
  <c r="I1096" i="6"/>
  <c r="H1096" i="6"/>
  <c r="K1095" i="6"/>
  <c r="K1094" i="6"/>
  <c r="K1093" i="6"/>
  <c r="K1092" i="6"/>
  <c r="K1091" i="6"/>
  <c r="K1090" i="6"/>
  <c r="K1089" i="6"/>
  <c r="K1088" i="6"/>
  <c r="I1088" i="6"/>
  <c r="H1088" i="6"/>
  <c r="K1087" i="6"/>
  <c r="I1087" i="6"/>
  <c r="H1087" i="6"/>
  <c r="K1086" i="6"/>
  <c r="I1086" i="6"/>
  <c r="H1086" i="6"/>
  <c r="K1085" i="6"/>
  <c r="I1085" i="6"/>
  <c r="H1085" i="6"/>
  <c r="I1082" i="6"/>
  <c r="H1082" i="6"/>
  <c r="I1081" i="6"/>
  <c r="H1081" i="6"/>
  <c r="I1080" i="6"/>
  <c r="H1080" i="6"/>
  <c r="I1079" i="6"/>
  <c r="H1079" i="6"/>
  <c r="I1078" i="6"/>
  <c r="H1078" i="6"/>
  <c r="I1077" i="6"/>
  <c r="H1077" i="6"/>
  <c r="I1076" i="6"/>
  <c r="H1076" i="6"/>
  <c r="I1075" i="6"/>
  <c r="H1075" i="6"/>
  <c r="I1074" i="6"/>
  <c r="H1074" i="6"/>
  <c r="I1073" i="6"/>
  <c r="H1073" i="6"/>
  <c r="I1072" i="6"/>
  <c r="H1072" i="6"/>
  <c r="K1071" i="6"/>
  <c r="K1070" i="6"/>
  <c r="K1069" i="6"/>
  <c r="K1068" i="6"/>
  <c r="K1067" i="6"/>
  <c r="I1067" i="6"/>
  <c r="H1067" i="6"/>
  <c r="K1066" i="6"/>
  <c r="I1066" i="6"/>
  <c r="H1066" i="6"/>
  <c r="K1065" i="6"/>
  <c r="I1065" i="6"/>
  <c r="H1065" i="6"/>
  <c r="K1064" i="6"/>
  <c r="I1064" i="6"/>
  <c r="H1064" i="6"/>
  <c r="K1063" i="6"/>
  <c r="I1063" i="6"/>
  <c r="H1063" i="6"/>
  <c r="K1062" i="6"/>
  <c r="I1062" i="6"/>
  <c r="H1062" i="6"/>
  <c r="K1061" i="6"/>
  <c r="I1061" i="6"/>
  <c r="H1061" i="6"/>
  <c r="K1060" i="6"/>
  <c r="I1060" i="6"/>
  <c r="H1060" i="6"/>
  <c r="I1052" i="6"/>
  <c r="H1052" i="6"/>
  <c r="I1051" i="6"/>
  <c r="H1051" i="6"/>
  <c r="I1050" i="6"/>
  <c r="H1050" i="6"/>
  <c r="I1049" i="6"/>
  <c r="H1049" i="6"/>
  <c r="I1048" i="6"/>
  <c r="H1048" i="6"/>
  <c r="I1047" i="6"/>
  <c r="H1047" i="6"/>
  <c r="K1046" i="6"/>
  <c r="I1046" i="6"/>
  <c r="H1046" i="6"/>
  <c r="K1045" i="6"/>
  <c r="I1045" i="6"/>
  <c r="H1045" i="6"/>
  <c r="K1044" i="6"/>
  <c r="I1044" i="6"/>
  <c r="H1044" i="6"/>
  <c r="K1043" i="6"/>
  <c r="I1043" i="6"/>
  <c r="H1043" i="6"/>
  <c r="K1042" i="6"/>
  <c r="I1042" i="6"/>
  <c r="H1042" i="6"/>
  <c r="K1041" i="6"/>
  <c r="I1041" i="6"/>
  <c r="H1041" i="6"/>
  <c r="K1040" i="6"/>
  <c r="I1040" i="6"/>
  <c r="H1040" i="6"/>
  <c r="K1039" i="6"/>
  <c r="I1039" i="6"/>
  <c r="H1039" i="6"/>
  <c r="K1038" i="6"/>
  <c r="I1038" i="6"/>
  <c r="H1038" i="6"/>
  <c r="K1037" i="6"/>
  <c r="I1037" i="6"/>
  <c r="H1037" i="6"/>
  <c r="K1036" i="6"/>
  <c r="I1036" i="6"/>
  <c r="H1036" i="6"/>
  <c r="K1035" i="6"/>
  <c r="I1035" i="6"/>
  <c r="H1035" i="6"/>
  <c r="K1034" i="6"/>
  <c r="I1034" i="6"/>
  <c r="H1034" i="6"/>
  <c r="K1033" i="6"/>
  <c r="I1033" i="6"/>
  <c r="H1033" i="6"/>
  <c r="K1032" i="6"/>
  <c r="I1032" i="6"/>
  <c r="H1032" i="6"/>
  <c r="K1031" i="6"/>
  <c r="I1031" i="6"/>
  <c r="H1031" i="6"/>
  <c r="K1030" i="6"/>
  <c r="I1030" i="6"/>
  <c r="H1030" i="6"/>
  <c r="K1029" i="6"/>
  <c r="I1029" i="6"/>
  <c r="H1029" i="6"/>
  <c r="K1028" i="6"/>
  <c r="I1028" i="6"/>
  <c r="H1028" i="6"/>
  <c r="K1027" i="6"/>
  <c r="I1027" i="6"/>
  <c r="H1027" i="6"/>
  <c r="K1026" i="6"/>
  <c r="I1026" i="6"/>
  <c r="H1026" i="6"/>
  <c r="K1025" i="6"/>
  <c r="I1025" i="6"/>
  <c r="H1025" i="6"/>
  <c r="K1024" i="6"/>
  <c r="I1024" i="6"/>
  <c r="H1024" i="6"/>
  <c r="I1023" i="6"/>
  <c r="H1023" i="6"/>
  <c r="I1022" i="6"/>
  <c r="H1022" i="6"/>
  <c r="I1021" i="6"/>
  <c r="H1021" i="6"/>
  <c r="I1020" i="6"/>
  <c r="H1020" i="6"/>
  <c r="I1019" i="6"/>
  <c r="H1019" i="6"/>
  <c r="K1010" i="6"/>
  <c r="K1009" i="6"/>
  <c r="K1008" i="6"/>
  <c r="K1007" i="6"/>
  <c r="K1006" i="6"/>
  <c r="K1005" i="6"/>
  <c r="K1004" i="6"/>
  <c r="K1003" i="6"/>
  <c r="K1002" i="6"/>
  <c r="I1002" i="6"/>
  <c r="H1002" i="6"/>
  <c r="K1001" i="6"/>
  <c r="I1001" i="6"/>
  <c r="H1001" i="6"/>
  <c r="K1000" i="6"/>
  <c r="I1000" i="6"/>
  <c r="H1000" i="6"/>
  <c r="K999" i="6"/>
  <c r="I999" i="6"/>
  <c r="H999" i="6"/>
  <c r="I998" i="6"/>
  <c r="H998" i="6"/>
  <c r="I997" i="6"/>
  <c r="H997" i="6"/>
  <c r="I996" i="6"/>
  <c r="H996" i="6"/>
  <c r="I995" i="6"/>
  <c r="H995" i="6"/>
  <c r="I994" i="6"/>
  <c r="H994" i="6"/>
  <c r="I993" i="6"/>
  <c r="H993" i="6"/>
  <c r="I992" i="6"/>
  <c r="H992" i="6"/>
  <c r="I991" i="6"/>
  <c r="H991" i="6"/>
  <c r="I990" i="6"/>
  <c r="H990" i="6"/>
  <c r="I989" i="6"/>
  <c r="H989" i="6"/>
  <c r="I988" i="6"/>
  <c r="H988" i="6"/>
  <c r="I987" i="6"/>
  <c r="H987" i="6"/>
  <c r="I986" i="6"/>
  <c r="H986" i="6"/>
  <c r="K985" i="6"/>
  <c r="I985" i="6"/>
  <c r="H985" i="6"/>
  <c r="K984" i="6"/>
  <c r="I984" i="6"/>
  <c r="H984" i="6"/>
  <c r="K983" i="6"/>
  <c r="I983" i="6"/>
  <c r="H983" i="6"/>
  <c r="K982" i="6"/>
  <c r="I982" i="6"/>
  <c r="H982" i="6"/>
  <c r="K981" i="6"/>
  <c r="I981" i="6"/>
  <c r="H981" i="6"/>
  <c r="K980" i="6"/>
  <c r="I980" i="6"/>
  <c r="H980" i="6"/>
  <c r="K979" i="6"/>
  <c r="I979" i="6"/>
  <c r="H979" i="6"/>
  <c r="K978" i="6"/>
  <c r="I978" i="6"/>
  <c r="H978" i="6"/>
  <c r="K977" i="6"/>
  <c r="I977" i="6"/>
  <c r="H977" i="6"/>
  <c r="K976" i="6"/>
  <c r="I976" i="6"/>
  <c r="H976" i="6"/>
  <c r="K975" i="6"/>
  <c r="I975" i="6"/>
  <c r="H975" i="6"/>
  <c r="K974" i="6"/>
  <c r="I974" i="6"/>
  <c r="H974" i="6"/>
  <c r="I970" i="6"/>
  <c r="H970" i="6"/>
  <c r="I969" i="6"/>
  <c r="H969" i="6"/>
  <c r="I968" i="6"/>
  <c r="H968" i="6"/>
  <c r="I967" i="6"/>
  <c r="H967" i="6"/>
  <c r="I966" i="6"/>
  <c r="H966" i="6"/>
  <c r="I965" i="6"/>
  <c r="H965" i="6"/>
  <c r="I964" i="6"/>
  <c r="H964" i="6"/>
  <c r="I963" i="6"/>
  <c r="H963" i="6"/>
  <c r="I962" i="6"/>
  <c r="H962" i="6"/>
  <c r="I961" i="6"/>
  <c r="H961" i="6"/>
  <c r="K960" i="6"/>
  <c r="I960" i="6"/>
  <c r="H960" i="6"/>
  <c r="K959" i="6"/>
  <c r="I959" i="6"/>
  <c r="H959" i="6"/>
  <c r="K958" i="6"/>
  <c r="I958" i="6"/>
  <c r="H958" i="6"/>
  <c r="K957" i="6"/>
  <c r="I957" i="6"/>
  <c r="H957" i="6"/>
  <c r="K956" i="6"/>
  <c r="I956" i="6"/>
  <c r="H956" i="6"/>
  <c r="K955" i="6"/>
  <c r="I955" i="6"/>
  <c r="H955" i="6"/>
  <c r="K954" i="6"/>
  <c r="I954" i="6"/>
  <c r="H954" i="6"/>
  <c r="K953" i="6"/>
  <c r="I953" i="6"/>
  <c r="H953" i="6"/>
  <c r="K952" i="6"/>
  <c r="I952" i="6"/>
  <c r="H952" i="6"/>
  <c r="K951" i="6"/>
  <c r="I951" i="6"/>
  <c r="H951" i="6"/>
  <c r="K950" i="6"/>
  <c r="I950" i="6"/>
  <c r="H950" i="6"/>
  <c r="K949" i="6"/>
  <c r="I949" i="6"/>
  <c r="H949" i="6"/>
  <c r="I944" i="6"/>
  <c r="H944" i="6"/>
  <c r="I943" i="6"/>
  <c r="H943" i="6"/>
  <c r="I942" i="6"/>
  <c r="H942" i="6"/>
  <c r="I939" i="6"/>
  <c r="H939" i="6"/>
  <c r="I938" i="6"/>
  <c r="H938" i="6"/>
  <c r="I937" i="6"/>
  <c r="H937" i="6"/>
  <c r="I936" i="6"/>
  <c r="H936" i="6"/>
  <c r="K935" i="6"/>
  <c r="I935" i="6"/>
  <c r="H935" i="6"/>
  <c r="K934" i="6"/>
  <c r="I934" i="6"/>
  <c r="H934" i="6"/>
  <c r="K933" i="6"/>
  <c r="I933" i="6"/>
  <c r="H933" i="6"/>
  <c r="K932" i="6"/>
  <c r="K931" i="6"/>
  <c r="K930" i="6"/>
  <c r="K929" i="6"/>
  <c r="K928" i="6"/>
  <c r="K927" i="6"/>
  <c r="K926" i="6"/>
  <c r="K925" i="6"/>
  <c r="K924" i="6"/>
  <c r="I924" i="6"/>
  <c r="H924" i="6"/>
  <c r="K922" i="6"/>
  <c r="I922" i="6"/>
  <c r="H922" i="6"/>
  <c r="K921" i="6"/>
  <c r="I921" i="6"/>
  <c r="H921" i="6"/>
  <c r="K920" i="6"/>
  <c r="K919" i="6"/>
  <c r="I919" i="6"/>
  <c r="H919" i="6"/>
  <c r="K918" i="6"/>
  <c r="I918" i="6"/>
  <c r="H918" i="6"/>
  <c r="K917" i="6"/>
  <c r="I917" i="6"/>
  <c r="H917" i="6"/>
  <c r="K916" i="6"/>
  <c r="I916" i="6"/>
  <c r="H916" i="6"/>
  <c r="K915" i="6"/>
  <c r="I915" i="6"/>
  <c r="H915" i="6"/>
  <c r="K914" i="6"/>
  <c r="I914" i="6"/>
  <c r="H914" i="6"/>
  <c r="K913" i="6"/>
  <c r="I913" i="6"/>
  <c r="H913" i="6"/>
  <c r="K912" i="6"/>
  <c r="I912" i="6"/>
  <c r="H912" i="6"/>
  <c r="K911" i="6"/>
  <c r="I911" i="6"/>
  <c r="H911" i="6"/>
  <c r="K910" i="6"/>
  <c r="I910" i="6"/>
  <c r="H910" i="6"/>
  <c r="K909" i="6"/>
  <c r="I909" i="6"/>
  <c r="H909" i="6"/>
  <c r="K908" i="6"/>
  <c r="I908" i="6"/>
  <c r="H908" i="6"/>
  <c r="K907" i="6"/>
  <c r="I907" i="6"/>
  <c r="H907" i="6"/>
  <c r="K906" i="6"/>
  <c r="I906" i="6"/>
  <c r="H906" i="6"/>
  <c r="K905" i="6"/>
  <c r="I905" i="6"/>
  <c r="H905" i="6"/>
  <c r="K904" i="6"/>
  <c r="I904" i="6"/>
  <c r="H904" i="6"/>
  <c r="K903" i="6"/>
  <c r="I903" i="6"/>
  <c r="H903" i="6"/>
  <c r="K902" i="6"/>
  <c r="I902" i="6"/>
  <c r="H902" i="6"/>
  <c r="K901" i="6"/>
  <c r="I901" i="6"/>
  <c r="H901" i="6"/>
  <c r="I900" i="6"/>
  <c r="H900" i="6"/>
  <c r="I899" i="6"/>
  <c r="H899" i="6"/>
  <c r="I898" i="6"/>
  <c r="H898" i="6"/>
  <c r="I897" i="6"/>
  <c r="H897" i="6"/>
  <c r="I896" i="6"/>
  <c r="H896" i="6"/>
  <c r="I895" i="6"/>
  <c r="H895" i="6"/>
  <c r="I894" i="6"/>
  <c r="H894" i="6"/>
  <c r="I893" i="6"/>
  <c r="H893" i="6"/>
  <c r="I892" i="6"/>
  <c r="H892" i="6"/>
  <c r="I891" i="6"/>
  <c r="H891" i="6"/>
  <c r="I890" i="6"/>
  <c r="H890" i="6"/>
  <c r="I889" i="6"/>
  <c r="H889" i="6"/>
  <c r="I888" i="6"/>
  <c r="H888" i="6"/>
  <c r="K887" i="6"/>
  <c r="I887" i="6"/>
  <c r="H887" i="6"/>
  <c r="K886" i="6"/>
  <c r="I886" i="6"/>
  <c r="H886" i="6"/>
  <c r="K885" i="6"/>
  <c r="I885" i="6"/>
  <c r="H885" i="6"/>
  <c r="K884" i="6"/>
  <c r="I884" i="6"/>
  <c r="H884" i="6"/>
  <c r="K883" i="6"/>
  <c r="I883" i="6"/>
  <c r="H883" i="6"/>
  <c r="K882" i="6"/>
  <c r="I882" i="6"/>
  <c r="H882" i="6"/>
  <c r="K881" i="6"/>
  <c r="I881" i="6"/>
  <c r="H881" i="6"/>
  <c r="K880" i="6"/>
  <c r="K879" i="6"/>
  <c r="I879" i="6"/>
  <c r="H879" i="6"/>
  <c r="K878" i="6"/>
  <c r="I878" i="6"/>
  <c r="H878" i="6"/>
  <c r="K877" i="6"/>
  <c r="I877" i="6"/>
  <c r="H877" i="6"/>
  <c r="K876" i="6"/>
  <c r="I876" i="6"/>
  <c r="H876" i="6"/>
  <c r="K875" i="6"/>
  <c r="K874" i="6"/>
  <c r="I874" i="6"/>
  <c r="H874" i="6"/>
  <c r="K873" i="6"/>
  <c r="I873" i="6"/>
  <c r="H873" i="6"/>
  <c r="K872" i="6"/>
  <c r="I872" i="6"/>
  <c r="H872" i="6"/>
  <c r="I871" i="6"/>
  <c r="H871" i="6"/>
  <c r="K870" i="6"/>
  <c r="I870" i="6"/>
  <c r="H870" i="6"/>
  <c r="K869" i="6"/>
  <c r="I869" i="6"/>
  <c r="H869" i="6"/>
  <c r="K868" i="6"/>
  <c r="I868" i="6"/>
  <c r="H868" i="6"/>
  <c r="I867" i="6"/>
  <c r="H867" i="6"/>
  <c r="I866" i="6"/>
  <c r="H866" i="6"/>
  <c r="I865" i="6"/>
  <c r="H865" i="6"/>
  <c r="I864" i="6"/>
  <c r="H864" i="6"/>
  <c r="I863" i="6"/>
  <c r="H863" i="6"/>
  <c r="K862" i="6"/>
  <c r="I862" i="6"/>
  <c r="H862" i="6"/>
  <c r="K861" i="6"/>
  <c r="I861" i="6"/>
  <c r="H861" i="6"/>
  <c r="K860" i="6"/>
  <c r="I860" i="6"/>
  <c r="H860" i="6"/>
  <c r="K859" i="6"/>
  <c r="I859" i="6"/>
  <c r="H859" i="6"/>
  <c r="K858" i="6"/>
  <c r="I858" i="6"/>
  <c r="H858" i="6"/>
  <c r="K857" i="6"/>
  <c r="I857" i="6"/>
  <c r="H857" i="6"/>
  <c r="K856" i="6"/>
  <c r="I856" i="6"/>
  <c r="H856" i="6"/>
  <c r="K855" i="6"/>
  <c r="I855" i="6"/>
  <c r="H855" i="6"/>
  <c r="K854" i="6"/>
  <c r="I854" i="6"/>
  <c r="H854" i="6"/>
  <c r="K853" i="6"/>
  <c r="I853" i="6"/>
  <c r="H853" i="6"/>
  <c r="K852" i="6"/>
  <c r="I852" i="6"/>
  <c r="H852" i="6"/>
  <c r="K851" i="6"/>
  <c r="I851" i="6"/>
  <c r="H851" i="6"/>
  <c r="K850" i="6"/>
  <c r="I850" i="6"/>
  <c r="H850" i="6"/>
  <c r="K849" i="6"/>
  <c r="I849" i="6"/>
  <c r="H849" i="6"/>
  <c r="K848" i="6"/>
  <c r="I848" i="6"/>
  <c r="H848" i="6"/>
  <c r="K847" i="6"/>
  <c r="I847" i="6"/>
  <c r="H847" i="6"/>
  <c r="K846" i="6"/>
  <c r="I846" i="6"/>
  <c r="H846" i="6"/>
  <c r="K845" i="6"/>
  <c r="I845" i="6"/>
  <c r="H845" i="6"/>
  <c r="I844" i="6"/>
  <c r="H844" i="6"/>
  <c r="I843" i="6"/>
  <c r="H843" i="6"/>
  <c r="I842" i="6"/>
  <c r="H842" i="6"/>
  <c r="K841" i="6"/>
  <c r="I841" i="6"/>
  <c r="H841" i="6"/>
  <c r="K840" i="6"/>
  <c r="I840" i="6"/>
  <c r="H840" i="6"/>
  <c r="K839" i="6"/>
  <c r="I839" i="6"/>
  <c r="H839" i="6"/>
  <c r="K838" i="6"/>
  <c r="I838" i="6"/>
  <c r="H838" i="6"/>
  <c r="K837" i="6"/>
  <c r="I837" i="6"/>
  <c r="H837" i="6"/>
  <c r="K836" i="6"/>
  <c r="I836" i="6"/>
  <c r="H836" i="6"/>
  <c r="K835" i="6"/>
  <c r="I835" i="6"/>
  <c r="H835" i="6"/>
  <c r="K834" i="6"/>
  <c r="I834" i="6"/>
  <c r="H834" i="6"/>
  <c r="K833" i="6"/>
  <c r="I833" i="6"/>
  <c r="H833" i="6"/>
  <c r="K832" i="6"/>
  <c r="K831" i="6"/>
  <c r="I831" i="6"/>
  <c r="H831" i="6"/>
  <c r="K830" i="6"/>
  <c r="I830" i="6"/>
  <c r="H830" i="6"/>
  <c r="K829" i="6"/>
  <c r="I829" i="6"/>
  <c r="H829" i="6"/>
  <c r="K828" i="6"/>
  <c r="I828" i="6"/>
  <c r="H828" i="6"/>
  <c r="K827" i="6"/>
  <c r="I827" i="6"/>
  <c r="H827" i="6"/>
  <c r="K826" i="6"/>
  <c r="I826" i="6"/>
  <c r="H826" i="6"/>
  <c r="K825" i="6"/>
  <c r="I825" i="6"/>
  <c r="H825" i="6"/>
  <c r="K824" i="6"/>
  <c r="I823" i="6"/>
  <c r="H823" i="6"/>
  <c r="I822" i="6"/>
  <c r="H822" i="6"/>
  <c r="I821" i="6"/>
  <c r="H821" i="6"/>
  <c r="I820" i="6"/>
  <c r="H820" i="6"/>
  <c r="I819" i="6"/>
  <c r="H819" i="6"/>
  <c r="K818" i="6"/>
  <c r="I818" i="6"/>
  <c r="H818" i="6"/>
  <c r="K817" i="6"/>
  <c r="I817" i="6"/>
  <c r="H817" i="6"/>
  <c r="K816" i="6"/>
  <c r="I816" i="6"/>
  <c r="H816" i="6"/>
  <c r="K815" i="6"/>
  <c r="I815" i="6"/>
  <c r="H815" i="6"/>
  <c r="K814" i="6"/>
  <c r="I814" i="6"/>
  <c r="H814" i="6"/>
  <c r="K813" i="6"/>
  <c r="I813" i="6"/>
  <c r="H813" i="6"/>
  <c r="K812" i="6"/>
  <c r="I812" i="6"/>
  <c r="H812" i="6"/>
  <c r="K811" i="6"/>
  <c r="I811" i="6"/>
  <c r="H811" i="6"/>
  <c r="K810" i="6"/>
  <c r="I810" i="6"/>
  <c r="H810" i="6"/>
  <c r="K809" i="6"/>
  <c r="I809" i="6"/>
  <c r="H809" i="6"/>
  <c r="K808" i="6"/>
  <c r="I808" i="6"/>
  <c r="H808" i="6"/>
  <c r="K807" i="6"/>
  <c r="K806" i="6"/>
  <c r="K805" i="6"/>
  <c r="I805" i="6"/>
  <c r="H805" i="6"/>
  <c r="K804" i="6"/>
  <c r="I804" i="6"/>
  <c r="H804" i="6"/>
  <c r="K803" i="6"/>
  <c r="I803" i="6"/>
  <c r="H803" i="6"/>
  <c r="K802" i="6"/>
  <c r="I802" i="6"/>
  <c r="H802" i="6"/>
  <c r="K801" i="6"/>
  <c r="I801" i="6"/>
  <c r="H801" i="6"/>
  <c r="K800" i="6"/>
  <c r="I800" i="6"/>
  <c r="H800" i="6"/>
  <c r="I799" i="6"/>
  <c r="H799" i="6"/>
  <c r="I798" i="6"/>
  <c r="H798" i="6"/>
  <c r="I797" i="6"/>
  <c r="H797" i="6"/>
  <c r="I796" i="6"/>
  <c r="H796" i="6"/>
  <c r="I795" i="6"/>
  <c r="H795" i="6"/>
  <c r="I794" i="6"/>
  <c r="H794" i="6"/>
  <c r="I793" i="6"/>
  <c r="H793" i="6"/>
  <c r="I792" i="6"/>
  <c r="H792" i="6"/>
  <c r="I791" i="6"/>
  <c r="H791" i="6"/>
  <c r="I790" i="6"/>
  <c r="H790" i="6"/>
  <c r="I789" i="6"/>
  <c r="H789" i="6"/>
  <c r="I788" i="6"/>
  <c r="H788" i="6"/>
  <c r="I787" i="6"/>
  <c r="H787" i="6"/>
  <c r="K786" i="6"/>
  <c r="I786" i="6"/>
  <c r="H786" i="6"/>
  <c r="K785" i="6"/>
  <c r="I785" i="6"/>
  <c r="H785" i="6"/>
  <c r="K784" i="6"/>
  <c r="I784" i="6"/>
  <c r="H784" i="6"/>
  <c r="K783" i="6"/>
  <c r="I783" i="6"/>
  <c r="H783" i="6"/>
  <c r="K782" i="6"/>
  <c r="I782" i="6"/>
  <c r="H782" i="6"/>
  <c r="K781" i="6"/>
  <c r="I781" i="6"/>
  <c r="H781" i="6"/>
  <c r="K780" i="6"/>
  <c r="I780" i="6"/>
  <c r="H780" i="6"/>
  <c r="K779" i="6"/>
  <c r="I779" i="6"/>
  <c r="H779" i="6"/>
  <c r="K778" i="6"/>
  <c r="K777" i="6"/>
  <c r="K776" i="6"/>
  <c r="I776" i="6"/>
  <c r="H776" i="6"/>
  <c r="K775" i="6"/>
  <c r="I775" i="6"/>
  <c r="H775" i="6"/>
  <c r="K774" i="6"/>
  <c r="I774" i="6"/>
  <c r="H774" i="6"/>
  <c r="K773" i="6"/>
  <c r="I773" i="6"/>
  <c r="H773" i="6"/>
  <c r="K772" i="6"/>
  <c r="I772" i="6"/>
  <c r="H772" i="6"/>
  <c r="K771" i="6"/>
  <c r="I771" i="6"/>
  <c r="H771" i="6"/>
  <c r="K770" i="6"/>
  <c r="I770" i="6"/>
  <c r="H770" i="6"/>
  <c r="K769" i="6"/>
  <c r="I769" i="6"/>
  <c r="H769" i="6"/>
  <c r="K768" i="6"/>
  <c r="I768" i="6"/>
  <c r="H768" i="6"/>
  <c r="K767" i="6"/>
  <c r="I767" i="6"/>
  <c r="H767" i="6"/>
  <c r="K766" i="6"/>
  <c r="I766" i="6"/>
  <c r="H766" i="6"/>
  <c r="K765" i="6"/>
  <c r="I765" i="6"/>
  <c r="H765" i="6"/>
  <c r="I764" i="6"/>
  <c r="H764" i="6"/>
  <c r="I763" i="6"/>
  <c r="H763" i="6"/>
  <c r="I762" i="6"/>
  <c r="H762" i="6"/>
  <c r="K761" i="6"/>
  <c r="I761" i="6"/>
  <c r="H761" i="6"/>
  <c r="K760" i="6"/>
  <c r="I760" i="6"/>
  <c r="H760" i="6"/>
  <c r="K759" i="6"/>
  <c r="I759" i="6"/>
  <c r="H759" i="6"/>
  <c r="K758" i="6"/>
  <c r="I758" i="6"/>
  <c r="H758" i="6"/>
  <c r="K757" i="6"/>
  <c r="I757" i="6"/>
  <c r="H757" i="6"/>
  <c r="K756" i="6"/>
  <c r="I756" i="6"/>
  <c r="H756" i="6"/>
  <c r="K755" i="6"/>
  <c r="I755" i="6"/>
  <c r="H755" i="6"/>
  <c r="K754" i="6"/>
  <c r="I754" i="6"/>
  <c r="H754" i="6"/>
  <c r="K753" i="6"/>
  <c r="I753" i="6"/>
  <c r="H753" i="6"/>
  <c r="K752" i="6"/>
  <c r="I752" i="6"/>
  <c r="H752" i="6"/>
  <c r="K751" i="6"/>
  <c r="I751" i="6"/>
  <c r="H751" i="6"/>
  <c r="K750" i="6"/>
  <c r="I750" i="6"/>
  <c r="H750" i="6"/>
  <c r="I749" i="6"/>
  <c r="H749" i="6"/>
  <c r="I748" i="6"/>
  <c r="H748" i="6"/>
  <c r="I747" i="6"/>
  <c r="H747" i="6"/>
  <c r="I746" i="6"/>
  <c r="H746" i="6"/>
  <c r="I745" i="6"/>
  <c r="H745" i="6"/>
  <c r="I744" i="6"/>
  <c r="H744" i="6"/>
  <c r="I743" i="6"/>
  <c r="H743" i="6"/>
  <c r="I742" i="6"/>
  <c r="H742" i="6"/>
  <c r="I741" i="6"/>
  <c r="H741" i="6"/>
  <c r="I740" i="6"/>
  <c r="H740" i="6"/>
  <c r="I739" i="6"/>
  <c r="H739" i="6"/>
  <c r="I738" i="6"/>
  <c r="H738" i="6"/>
  <c r="I737" i="6"/>
  <c r="H737" i="6"/>
  <c r="K736" i="6"/>
  <c r="I736" i="6"/>
  <c r="H736" i="6"/>
  <c r="K735" i="6"/>
  <c r="I735" i="6"/>
  <c r="H735" i="6"/>
  <c r="K734" i="6"/>
  <c r="I734" i="6"/>
  <c r="H734" i="6"/>
  <c r="K733" i="6"/>
  <c r="I733" i="6"/>
  <c r="H733" i="6"/>
  <c r="K732" i="6"/>
  <c r="I732" i="6"/>
  <c r="H732" i="6"/>
  <c r="K731" i="6"/>
  <c r="I731" i="6"/>
  <c r="H731" i="6"/>
  <c r="K730" i="6"/>
  <c r="I730" i="6"/>
  <c r="H730" i="6"/>
  <c r="K729" i="6"/>
  <c r="K728" i="6"/>
  <c r="I728" i="6"/>
  <c r="H728" i="6"/>
  <c r="K727" i="6"/>
  <c r="I727" i="6"/>
  <c r="H727" i="6"/>
  <c r="K726" i="6"/>
  <c r="I726" i="6"/>
  <c r="H726" i="6"/>
  <c r="K725" i="6"/>
  <c r="I725" i="6"/>
  <c r="H725" i="6"/>
  <c r="I724" i="6"/>
  <c r="H724" i="6"/>
  <c r="I723" i="6"/>
  <c r="H723" i="6"/>
  <c r="I722" i="6"/>
  <c r="H722" i="6"/>
  <c r="I721" i="6"/>
  <c r="H721" i="6"/>
  <c r="I720" i="6"/>
  <c r="H720" i="6"/>
  <c r="I719" i="6"/>
  <c r="H719" i="6"/>
  <c r="I718" i="6"/>
  <c r="H718" i="6"/>
  <c r="I717" i="6"/>
  <c r="H717" i="6"/>
  <c r="I716" i="6"/>
  <c r="H716" i="6"/>
  <c r="I715" i="6"/>
  <c r="H715" i="6"/>
  <c r="I714" i="6"/>
  <c r="H714" i="6"/>
  <c r="I713" i="6"/>
  <c r="H713" i="6"/>
  <c r="I712" i="6"/>
  <c r="H712" i="6"/>
  <c r="K711" i="6"/>
  <c r="I711" i="6"/>
  <c r="H711" i="6"/>
  <c r="K710" i="6"/>
  <c r="I710" i="6"/>
  <c r="H710" i="6"/>
  <c r="K709" i="6"/>
  <c r="I709" i="6"/>
  <c r="H709" i="6"/>
  <c r="K708" i="6"/>
  <c r="I708" i="6"/>
  <c r="H708" i="6"/>
  <c r="K707" i="6"/>
  <c r="I707" i="6"/>
  <c r="H707" i="6"/>
  <c r="K706" i="6"/>
  <c r="I706" i="6"/>
  <c r="H706" i="6"/>
  <c r="K705" i="6"/>
  <c r="I705" i="6"/>
  <c r="H705" i="6"/>
  <c r="K704" i="6"/>
  <c r="I704" i="6"/>
  <c r="H704" i="6"/>
  <c r="K703" i="6"/>
  <c r="I703" i="6"/>
  <c r="H703" i="6"/>
  <c r="K702" i="6"/>
  <c r="I702" i="6"/>
  <c r="H702" i="6"/>
  <c r="K701" i="6"/>
  <c r="I701" i="6"/>
  <c r="H701" i="6"/>
  <c r="K700" i="6"/>
  <c r="I699" i="6"/>
  <c r="H699" i="6"/>
  <c r="I698" i="6"/>
  <c r="H698" i="6"/>
  <c r="I697" i="6"/>
  <c r="H697" i="6"/>
  <c r="I696" i="6"/>
  <c r="H696" i="6"/>
  <c r="I695" i="6"/>
  <c r="H695" i="6"/>
  <c r="I694" i="6"/>
  <c r="H694" i="6"/>
  <c r="I693" i="6"/>
  <c r="H693" i="6"/>
  <c r="I692" i="6"/>
  <c r="H692" i="6"/>
  <c r="I691" i="6"/>
  <c r="H691" i="6"/>
  <c r="I690" i="6"/>
  <c r="H690" i="6"/>
  <c r="I689" i="6"/>
  <c r="H689" i="6"/>
  <c r="I688" i="6"/>
  <c r="H688" i="6"/>
  <c r="I687" i="6"/>
  <c r="H687" i="6"/>
  <c r="K686" i="6"/>
  <c r="I686" i="6"/>
  <c r="H686" i="6"/>
  <c r="K685" i="6"/>
  <c r="I685" i="6"/>
  <c r="H685" i="6"/>
  <c r="K684" i="6"/>
  <c r="I684" i="6"/>
  <c r="H684" i="6"/>
  <c r="K683" i="6"/>
  <c r="I683" i="6"/>
  <c r="H683" i="6"/>
  <c r="K682" i="6"/>
  <c r="I682" i="6"/>
  <c r="H682" i="6"/>
  <c r="K681" i="6"/>
  <c r="I681" i="6"/>
  <c r="H681" i="6"/>
  <c r="K680" i="6"/>
  <c r="I680" i="6"/>
  <c r="H680" i="6"/>
  <c r="K679" i="6"/>
  <c r="I679" i="6"/>
  <c r="H679" i="6"/>
  <c r="K678" i="6"/>
  <c r="I678" i="6"/>
  <c r="H678" i="6"/>
  <c r="K677" i="6"/>
  <c r="I677" i="6"/>
  <c r="H677" i="6"/>
  <c r="K676" i="6"/>
  <c r="K675" i="6"/>
  <c r="I673" i="6"/>
  <c r="H673" i="6"/>
  <c r="I672" i="6"/>
  <c r="H672" i="6"/>
  <c r="I671" i="6"/>
  <c r="H671" i="6"/>
  <c r="I670" i="6"/>
  <c r="H670" i="6"/>
  <c r="I669" i="6"/>
  <c r="H669" i="6"/>
  <c r="I668" i="6"/>
  <c r="H668" i="6"/>
  <c r="I667" i="6"/>
  <c r="H667" i="6"/>
  <c r="I666" i="6"/>
  <c r="H666" i="6"/>
  <c r="I665" i="6"/>
  <c r="H665" i="6"/>
  <c r="I664" i="6"/>
  <c r="H664" i="6"/>
  <c r="I663" i="6"/>
  <c r="H663" i="6"/>
  <c r="I662" i="6"/>
  <c r="H662" i="6"/>
  <c r="K661" i="6"/>
  <c r="I661" i="6"/>
  <c r="H661" i="6"/>
  <c r="K660" i="6"/>
  <c r="I660" i="6"/>
  <c r="H660" i="6"/>
  <c r="K659" i="6"/>
  <c r="I659" i="6"/>
  <c r="H659" i="6"/>
  <c r="K658" i="6"/>
  <c r="I658" i="6"/>
  <c r="H658" i="6"/>
  <c r="K657" i="6"/>
  <c r="I657" i="6"/>
  <c r="H657" i="6"/>
  <c r="K656" i="6"/>
  <c r="I655" i="6"/>
  <c r="H655" i="6"/>
  <c r="K654" i="6"/>
  <c r="I654" i="6"/>
  <c r="H654" i="6"/>
  <c r="K653" i="6"/>
  <c r="K652" i="6"/>
  <c r="I652" i="6"/>
  <c r="H652" i="6"/>
  <c r="K651" i="6"/>
  <c r="I651" i="6"/>
  <c r="H651" i="6"/>
  <c r="K650" i="6"/>
  <c r="I649" i="6"/>
  <c r="H649" i="6"/>
  <c r="I648" i="6"/>
  <c r="H648" i="6"/>
  <c r="I647" i="6"/>
  <c r="H647" i="6"/>
  <c r="I646" i="6"/>
  <c r="H646" i="6"/>
  <c r="I645" i="6"/>
  <c r="H645" i="6"/>
  <c r="I644" i="6"/>
  <c r="H644" i="6"/>
  <c r="I643" i="6"/>
  <c r="H643" i="6"/>
  <c r="I642" i="6"/>
  <c r="H642" i="6"/>
  <c r="I641" i="6"/>
  <c r="H641" i="6"/>
  <c r="I640" i="6"/>
  <c r="H640" i="6"/>
  <c r="I639" i="6"/>
  <c r="H639" i="6"/>
  <c r="I638" i="6"/>
  <c r="H638" i="6"/>
  <c r="I637" i="6"/>
  <c r="H637" i="6"/>
  <c r="K636" i="6"/>
  <c r="I636" i="6"/>
  <c r="H636" i="6"/>
  <c r="K635" i="6"/>
  <c r="I635" i="6"/>
  <c r="H635" i="6"/>
  <c r="K634" i="6"/>
  <c r="I634" i="6"/>
  <c r="H634" i="6"/>
  <c r="K633" i="6"/>
  <c r="I633" i="6"/>
  <c r="H633" i="6"/>
  <c r="K632" i="6"/>
  <c r="K631" i="6"/>
  <c r="I631" i="6"/>
  <c r="H631" i="6"/>
  <c r="K630" i="6"/>
  <c r="I630" i="6"/>
  <c r="H630" i="6"/>
  <c r="K629" i="6"/>
  <c r="I629" i="6"/>
  <c r="H629" i="6"/>
  <c r="K628" i="6"/>
  <c r="I628" i="6"/>
  <c r="H628" i="6"/>
  <c r="K627" i="6"/>
  <c r="I627" i="6"/>
  <c r="H627" i="6"/>
  <c r="K626" i="6"/>
  <c r="I626" i="6"/>
  <c r="H626" i="6"/>
  <c r="K625" i="6"/>
  <c r="I625" i="6"/>
  <c r="H625" i="6"/>
  <c r="K624" i="6"/>
  <c r="I624" i="6"/>
  <c r="H624" i="6"/>
  <c r="K623" i="6"/>
  <c r="I623" i="6"/>
  <c r="H623" i="6"/>
  <c r="K622" i="6"/>
  <c r="I622" i="6"/>
  <c r="H622" i="6"/>
  <c r="K621" i="6"/>
  <c r="I621" i="6"/>
  <c r="H621" i="6"/>
  <c r="K620" i="6"/>
  <c r="I620" i="6"/>
  <c r="H620" i="6"/>
  <c r="I619" i="6"/>
  <c r="H619" i="6"/>
  <c r="I618" i="6"/>
  <c r="H618" i="6"/>
  <c r="I616" i="6"/>
  <c r="H616" i="6"/>
  <c r="I615" i="6"/>
  <c r="H615" i="6"/>
  <c r="I614" i="6"/>
  <c r="H614" i="6"/>
  <c r="I613" i="6"/>
  <c r="H613" i="6"/>
  <c r="I612" i="6"/>
  <c r="H612" i="6"/>
  <c r="I611" i="6"/>
  <c r="H611" i="6"/>
  <c r="I610" i="6"/>
  <c r="H610" i="6"/>
  <c r="I609" i="6"/>
  <c r="H609" i="6"/>
  <c r="I608" i="6"/>
  <c r="H608" i="6"/>
  <c r="I607" i="6"/>
  <c r="H607" i="6"/>
  <c r="K606" i="6"/>
  <c r="I606" i="6"/>
  <c r="H606" i="6"/>
  <c r="K605" i="6"/>
  <c r="I605" i="6"/>
  <c r="H605" i="6"/>
  <c r="K604" i="6"/>
  <c r="I604" i="6"/>
  <c r="H604" i="6"/>
  <c r="K603" i="6"/>
  <c r="I603" i="6"/>
  <c r="H603" i="6"/>
  <c r="K602" i="6"/>
  <c r="I602" i="6"/>
  <c r="H602" i="6"/>
  <c r="K601" i="6"/>
  <c r="I601" i="6"/>
  <c r="H601" i="6"/>
  <c r="K600" i="6"/>
  <c r="I600" i="6"/>
  <c r="H600" i="6"/>
  <c r="K599" i="6"/>
  <c r="I599" i="6"/>
  <c r="H599" i="6"/>
  <c r="K598" i="6"/>
  <c r="I598" i="6"/>
  <c r="H598" i="6"/>
  <c r="K597" i="6"/>
  <c r="I597" i="6"/>
  <c r="H597" i="6"/>
  <c r="K596" i="6"/>
  <c r="I596" i="6"/>
  <c r="H596" i="6"/>
  <c r="K595" i="6"/>
  <c r="I595" i="6"/>
  <c r="H595" i="6"/>
  <c r="I594" i="6"/>
  <c r="H594" i="6"/>
  <c r="I593" i="6"/>
  <c r="H593" i="6"/>
  <c r="I592" i="6"/>
  <c r="H592" i="6"/>
  <c r="I591" i="6"/>
  <c r="H591" i="6"/>
  <c r="I590" i="6"/>
  <c r="H590" i="6"/>
  <c r="I589" i="6"/>
  <c r="H589" i="6"/>
  <c r="I588" i="6"/>
  <c r="H588" i="6"/>
  <c r="I587" i="6"/>
  <c r="H587" i="6"/>
  <c r="I585" i="6"/>
  <c r="H585" i="6"/>
  <c r="I584" i="6"/>
  <c r="H584" i="6"/>
  <c r="I583" i="6"/>
  <c r="H583" i="6"/>
  <c r="I582" i="6"/>
  <c r="H582" i="6"/>
  <c r="K581" i="6"/>
  <c r="I581" i="6"/>
  <c r="H581" i="6"/>
  <c r="K580" i="6"/>
  <c r="I580" i="6"/>
  <c r="H580" i="6"/>
  <c r="K579" i="6"/>
  <c r="I579" i="6"/>
  <c r="H579" i="6"/>
  <c r="K578" i="6"/>
  <c r="I578" i="6"/>
  <c r="H578" i="6"/>
  <c r="K577" i="6"/>
  <c r="I577" i="6"/>
  <c r="H577" i="6"/>
  <c r="K576" i="6"/>
  <c r="I576" i="6"/>
  <c r="H576" i="6"/>
  <c r="K575" i="6"/>
  <c r="I575" i="6"/>
  <c r="H575" i="6"/>
  <c r="K574" i="6"/>
  <c r="I574" i="6"/>
  <c r="H574" i="6"/>
  <c r="K573" i="6"/>
  <c r="I573" i="6"/>
  <c r="H573" i="6"/>
  <c r="K572" i="6"/>
  <c r="I572" i="6"/>
  <c r="H572" i="6"/>
  <c r="K571" i="6"/>
  <c r="I571" i="6"/>
  <c r="H571" i="6"/>
  <c r="K570" i="6"/>
  <c r="I569" i="6"/>
  <c r="H569" i="6"/>
  <c r="I568" i="6"/>
  <c r="H568" i="6"/>
  <c r="I567" i="6"/>
  <c r="H567" i="6"/>
  <c r="I566" i="6"/>
  <c r="H566" i="6"/>
  <c r="I565" i="6"/>
  <c r="H565" i="6"/>
  <c r="I564" i="6"/>
  <c r="H564" i="6"/>
  <c r="I563" i="6"/>
  <c r="H563" i="6"/>
  <c r="I562" i="6"/>
  <c r="H562" i="6"/>
  <c r="I561" i="6"/>
  <c r="H561" i="6"/>
  <c r="I560" i="6"/>
  <c r="H560" i="6"/>
  <c r="I559" i="6"/>
  <c r="H559" i="6"/>
  <c r="I558" i="6"/>
  <c r="H558" i="6"/>
  <c r="I557" i="6"/>
  <c r="H557" i="6"/>
  <c r="K556" i="6"/>
  <c r="I556" i="6"/>
  <c r="H556" i="6"/>
  <c r="K555" i="6"/>
  <c r="I555" i="6"/>
  <c r="H555" i="6"/>
  <c r="K554" i="6"/>
  <c r="I554" i="6"/>
  <c r="H554" i="6"/>
  <c r="K553" i="6"/>
  <c r="I553" i="6"/>
  <c r="H553" i="6"/>
  <c r="K552" i="6"/>
  <c r="I552" i="6"/>
  <c r="H552" i="6"/>
  <c r="K551" i="6"/>
  <c r="I551" i="6"/>
  <c r="H551" i="6"/>
  <c r="K550" i="6"/>
  <c r="I550" i="6"/>
  <c r="H550" i="6"/>
  <c r="K549" i="6"/>
  <c r="I549" i="6"/>
  <c r="H549" i="6"/>
  <c r="K548" i="6"/>
  <c r="I548" i="6"/>
  <c r="H548" i="6"/>
  <c r="K547" i="6"/>
  <c r="I547" i="6"/>
  <c r="H547" i="6"/>
  <c r="K546" i="6"/>
  <c r="K545" i="6"/>
  <c r="I545" i="6"/>
  <c r="H545" i="6"/>
  <c r="I544" i="6"/>
  <c r="H544" i="6"/>
  <c r="I543" i="6"/>
  <c r="H543" i="6"/>
  <c r="I542" i="6"/>
  <c r="H542" i="6"/>
  <c r="I541" i="6"/>
  <c r="H541" i="6"/>
  <c r="I540" i="6"/>
  <c r="H540" i="6"/>
  <c r="I539" i="6"/>
  <c r="H539" i="6"/>
  <c r="I538" i="6"/>
  <c r="H538" i="6"/>
  <c r="I537" i="6"/>
  <c r="H537" i="6"/>
  <c r="I536" i="6"/>
  <c r="H536" i="6"/>
  <c r="I535" i="6"/>
  <c r="H535" i="6"/>
  <c r="I534" i="6"/>
  <c r="H534" i="6"/>
  <c r="I533" i="6"/>
  <c r="H533" i="6"/>
  <c r="I532" i="6"/>
  <c r="H532" i="6"/>
  <c r="K531" i="6"/>
  <c r="I531" i="6"/>
  <c r="H531" i="6"/>
  <c r="K530" i="6"/>
  <c r="I530" i="6"/>
  <c r="H530" i="6"/>
  <c r="K529" i="6"/>
  <c r="I529" i="6"/>
  <c r="H529" i="6"/>
  <c r="K528" i="6"/>
  <c r="I528" i="6"/>
  <c r="H528" i="6"/>
  <c r="K527" i="6"/>
  <c r="I527" i="6"/>
  <c r="H527" i="6"/>
  <c r="K526" i="6"/>
  <c r="I526" i="6"/>
  <c r="H526" i="6"/>
  <c r="K525" i="6"/>
  <c r="I525" i="6"/>
  <c r="H525" i="6"/>
  <c r="K524" i="6"/>
  <c r="I524" i="6"/>
  <c r="H524" i="6"/>
  <c r="K523" i="6"/>
  <c r="I523" i="6"/>
  <c r="H523" i="6"/>
  <c r="K522" i="6"/>
  <c r="I522" i="6"/>
  <c r="H522" i="6"/>
  <c r="K521" i="6"/>
  <c r="I521" i="6"/>
  <c r="H521" i="6"/>
  <c r="K520" i="6"/>
  <c r="I509" i="6"/>
  <c r="H509" i="6"/>
  <c r="I508" i="6"/>
  <c r="H508" i="6"/>
  <c r="I507" i="6"/>
  <c r="H507" i="6"/>
  <c r="I506" i="6"/>
  <c r="H506" i="6"/>
  <c r="K505" i="6"/>
  <c r="I505" i="6"/>
  <c r="H505" i="6"/>
  <c r="I504" i="6"/>
  <c r="H504" i="6"/>
  <c r="K503" i="6"/>
  <c r="I503" i="6"/>
  <c r="H503" i="6"/>
  <c r="K502" i="6"/>
  <c r="I502" i="6"/>
  <c r="H502" i="6"/>
  <c r="I501" i="6"/>
  <c r="H501" i="6"/>
  <c r="K500" i="6"/>
  <c r="I500" i="6"/>
  <c r="H500" i="6"/>
  <c r="I499" i="6"/>
  <c r="H499" i="6"/>
  <c r="K498" i="6"/>
  <c r="I498" i="6"/>
  <c r="H498" i="6"/>
  <c r="K497" i="6"/>
  <c r="I497" i="6"/>
  <c r="H497" i="6"/>
  <c r="K496" i="6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K482" i="6"/>
  <c r="I482" i="6"/>
  <c r="H482" i="6"/>
  <c r="K481" i="6"/>
  <c r="I481" i="6"/>
  <c r="H481" i="6"/>
  <c r="K480" i="6"/>
  <c r="I480" i="6"/>
  <c r="H480" i="6"/>
  <c r="K479" i="6"/>
  <c r="I479" i="6"/>
  <c r="H479" i="6"/>
  <c r="K478" i="6"/>
  <c r="I478" i="6"/>
  <c r="H478" i="6"/>
  <c r="K477" i="6"/>
  <c r="I477" i="6"/>
  <c r="H477" i="6"/>
  <c r="K476" i="6"/>
  <c r="I476" i="6"/>
  <c r="H476" i="6"/>
  <c r="K475" i="6"/>
  <c r="I475" i="6"/>
  <c r="H475" i="6"/>
  <c r="K474" i="6"/>
  <c r="I474" i="6"/>
  <c r="H474" i="6"/>
  <c r="I473" i="6"/>
  <c r="H473" i="6"/>
  <c r="K472" i="6"/>
  <c r="I472" i="6"/>
  <c r="H472" i="6"/>
  <c r="K471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K457" i="6"/>
  <c r="I457" i="6"/>
  <c r="H457" i="6"/>
  <c r="K456" i="6"/>
  <c r="I456" i="6"/>
  <c r="H456" i="6"/>
  <c r="K455" i="6"/>
  <c r="I455" i="6"/>
  <c r="H455" i="6"/>
  <c r="K454" i="6"/>
  <c r="I454" i="6"/>
  <c r="H454" i="6"/>
  <c r="K453" i="6"/>
  <c r="I453" i="6"/>
  <c r="H453" i="6"/>
  <c r="K452" i="6"/>
  <c r="I452" i="6"/>
  <c r="H452" i="6"/>
  <c r="K451" i="6"/>
  <c r="I451" i="6"/>
  <c r="H451" i="6"/>
  <c r="K450" i="6"/>
  <c r="I450" i="6"/>
  <c r="H450" i="6"/>
  <c r="K449" i="6"/>
  <c r="I449" i="6"/>
  <c r="H449" i="6"/>
  <c r="K448" i="6"/>
  <c r="I448" i="6"/>
  <c r="H448" i="6"/>
  <c r="K447" i="6"/>
  <c r="I447" i="6"/>
  <c r="H447" i="6"/>
  <c r="K446" i="6"/>
  <c r="I446" i="6"/>
  <c r="H446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K432" i="6"/>
  <c r="I432" i="6"/>
  <c r="H432" i="6"/>
  <c r="K431" i="6"/>
  <c r="I431" i="6"/>
  <c r="H431" i="6"/>
  <c r="K430" i="6"/>
  <c r="I430" i="6"/>
  <c r="H430" i="6"/>
  <c r="K429" i="6"/>
  <c r="I429" i="6"/>
  <c r="H429" i="6"/>
  <c r="K428" i="6"/>
  <c r="I428" i="6"/>
  <c r="H428" i="6"/>
  <c r="K427" i="6"/>
  <c r="I427" i="6"/>
  <c r="H427" i="6"/>
  <c r="K426" i="6"/>
  <c r="I426" i="6"/>
  <c r="H426" i="6"/>
  <c r="K425" i="6"/>
  <c r="I425" i="6"/>
  <c r="H425" i="6"/>
  <c r="K424" i="6"/>
  <c r="I424" i="6"/>
  <c r="H424" i="6"/>
  <c r="K423" i="6"/>
  <c r="I423" i="6"/>
  <c r="H423" i="6"/>
  <c r="K422" i="6"/>
  <c r="I422" i="6"/>
  <c r="H422" i="6"/>
  <c r="K421" i="6"/>
  <c r="I421" i="6"/>
  <c r="H421" i="6"/>
  <c r="K420" i="6"/>
  <c r="I420" i="6"/>
  <c r="H420" i="6"/>
  <c r="K419" i="6"/>
  <c r="I419" i="6"/>
  <c r="H419" i="6"/>
  <c r="K418" i="6"/>
  <c r="I418" i="6"/>
  <c r="H418" i="6"/>
  <c r="K417" i="6"/>
  <c r="I417" i="6"/>
  <c r="H417" i="6"/>
  <c r="K416" i="6"/>
  <c r="I416" i="6"/>
  <c r="H416" i="6"/>
  <c r="K415" i="6"/>
  <c r="I415" i="6"/>
  <c r="H415" i="6"/>
  <c r="K414" i="6"/>
  <c r="I414" i="6"/>
  <c r="H414" i="6"/>
  <c r="K413" i="6"/>
  <c r="I413" i="6"/>
  <c r="H413" i="6"/>
  <c r="K412" i="6"/>
  <c r="I412" i="6"/>
  <c r="H412" i="6"/>
  <c r="K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2" i="6"/>
  <c r="H402" i="6"/>
  <c r="I401" i="6"/>
  <c r="H401" i="6"/>
  <c r="I400" i="6"/>
  <c r="H400" i="6"/>
  <c r="I398" i="6"/>
  <c r="H398" i="6"/>
  <c r="K397" i="6"/>
  <c r="I397" i="6"/>
  <c r="H397" i="6"/>
  <c r="K396" i="6"/>
  <c r="I396" i="6"/>
  <c r="H396" i="6"/>
  <c r="K395" i="6"/>
  <c r="I395" i="6"/>
  <c r="H395" i="6"/>
  <c r="K394" i="6"/>
  <c r="I394" i="6"/>
  <c r="H394" i="6"/>
  <c r="K393" i="6"/>
  <c r="I393" i="6"/>
  <c r="H393" i="6"/>
  <c r="K392" i="6"/>
  <c r="I392" i="6"/>
  <c r="H392" i="6"/>
  <c r="K391" i="6"/>
  <c r="I391" i="6"/>
  <c r="H391" i="6"/>
  <c r="K390" i="6"/>
  <c r="I390" i="6"/>
  <c r="H390" i="6"/>
  <c r="K389" i="6"/>
  <c r="I389" i="6"/>
  <c r="H389" i="6"/>
  <c r="K388" i="6"/>
  <c r="I388" i="6"/>
  <c r="H388" i="6"/>
  <c r="K387" i="6"/>
  <c r="I387" i="6"/>
  <c r="H387" i="6"/>
  <c r="K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K372" i="6"/>
  <c r="I372" i="6"/>
  <c r="H372" i="6"/>
  <c r="K371" i="6"/>
  <c r="I371" i="6"/>
  <c r="H371" i="6"/>
  <c r="K370" i="6"/>
  <c r="I370" i="6"/>
  <c r="H370" i="6"/>
  <c r="K369" i="6"/>
  <c r="I369" i="6"/>
  <c r="H369" i="6"/>
  <c r="K368" i="6"/>
  <c r="I368" i="6"/>
  <c r="H368" i="6"/>
  <c r="K367" i="6"/>
  <c r="I367" i="6"/>
  <c r="H367" i="6"/>
  <c r="K366" i="6"/>
  <c r="I366" i="6"/>
  <c r="H366" i="6"/>
  <c r="K365" i="6"/>
  <c r="I365" i="6"/>
  <c r="H365" i="6"/>
  <c r="K364" i="6"/>
  <c r="I364" i="6"/>
  <c r="H364" i="6"/>
  <c r="K363" i="6"/>
  <c r="I363" i="6"/>
  <c r="H363" i="6"/>
  <c r="K362" i="6"/>
  <c r="I362" i="6"/>
  <c r="H362" i="6"/>
  <c r="K361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K347" i="6"/>
  <c r="I347" i="6"/>
  <c r="H347" i="6"/>
  <c r="K346" i="6"/>
  <c r="I346" i="6"/>
  <c r="H346" i="6"/>
  <c r="K345" i="6"/>
  <c r="I345" i="6"/>
  <c r="H345" i="6"/>
  <c r="K344" i="6"/>
  <c r="I344" i="6"/>
  <c r="H344" i="6"/>
  <c r="K343" i="6"/>
  <c r="I343" i="6"/>
  <c r="H343" i="6"/>
  <c r="K342" i="6"/>
  <c r="I342" i="6"/>
  <c r="H342" i="6"/>
  <c r="K341" i="6"/>
  <c r="I341" i="6"/>
  <c r="H341" i="6"/>
  <c r="K340" i="6"/>
  <c r="I340" i="6"/>
  <c r="H340" i="6"/>
  <c r="K339" i="6"/>
  <c r="I339" i="6"/>
  <c r="H339" i="6"/>
  <c r="K338" i="6"/>
  <c r="I338" i="6"/>
  <c r="H338" i="6"/>
  <c r="K337" i="6"/>
  <c r="I337" i="6"/>
  <c r="H337" i="6"/>
  <c r="K336" i="6"/>
  <c r="I336" i="6"/>
  <c r="H336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K322" i="6"/>
  <c r="I322" i="6"/>
  <c r="H322" i="6"/>
  <c r="K321" i="6"/>
  <c r="I321" i="6"/>
  <c r="H321" i="6"/>
  <c r="K320" i="6"/>
  <c r="I320" i="6"/>
  <c r="H320" i="6"/>
  <c r="K319" i="6"/>
  <c r="I319" i="6"/>
  <c r="H319" i="6"/>
  <c r="K318" i="6"/>
  <c r="I318" i="6"/>
  <c r="H318" i="6"/>
  <c r="K317" i="6"/>
  <c r="I317" i="6"/>
  <c r="H317" i="6"/>
  <c r="K316" i="6"/>
  <c r="I316" i="6"/>
  <c r="H316" i="6"/>
  <c r="K315" i="6"/>
  <c r="I315" i="6"/>
  <c r="H315" i="6"/>
  <c r="K314" i="6"/>
  <c r="I314" i="6"/>
  <c r="H314" i="6"/>
  <c r="K313" i="6"/>
  <c r="I313" i="6"/>
  <c r="H313" i="6"/>
  <c r="K312" i="6"/>
  <c r="I312" i="6"/>
  <c r="H312" i="6"/>
  <c r="K311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K297" i="6"/>
  <c r="I297" i="6"/>
  <c r="H297" i="6"/>
  <c r="K296" i="6"/>
  <c r="I296" i="6"/>
  <c r="H296" i="6"/>
  <c r="K295" i="6"/>
  <c r="I295" i="6"/>
  <c r="H295" i="6"/>
  <c r="K294" i="6"/>
  <c r="I294" i="6"/>
  <c r="H294" i="6"/>
  <c r="K293" i="6"/>
  <c r="I293" i="6"/>
  <c r="H293" i="6"/>
  <c r="K292" i="6"/>
  <c r="I292" i="6"/>
  <c r="H292" i="6"/>
  <c r="K291" i="6"/>
  <c r="I291" i="6"/>
  <c r="H291" i="6"/>
  <c r="K290" i="6"/>
  <c r="I290" i="6"/>
  <c r="H290" i="6"/>
  <c r="K289" i="6"/>
  <c r="I289" i="6"/>
  <c r="H289" i="6"/>
  <c r="K288" i="6"/>
  <c r="I288" i="6"/>
  <c r="H288" i="6"/>
  <c r="K287" i="6"/>
  <c r="I287" i="6"/>
  <c r="H287" i="6"/>
  <c r="K286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K272" i="6"/>
  <c r="I272" i="6"/>
  <c r="H272" i="6"/>
  <c r="K271" i="6"/>
  <c r="I271" i="6"/>
  <c r="H271" i="6"/>
  <c r="K270" i="6"/>
  <c r="I270" i="6"/>
  <c r="H270" i="6"/>
  <c r="K269" i="6"/>
  <c r="I269" i="6"/>
  <c r="H269" i="6"/>
  <c r="K268" i="6"/>
  <c r="I268" i="6"/>
  <c r="H268" i="6"/>
  <c r="K267" i="6"/>
  <c r="K266" i="6"/>
  <c r="I266" i="6"/>
  <c r="H266" i="6"/>
  <c r="K265" i="6"/>
  <c r="I265" i="6"/>
  <c r="H265" i="6"/>
  <c r="K264" i="6"/>
  <c r="I264" i="6"/>
  <c r="H264" i="6"/>
  <c r="K263" i="6"/>
  <c r="I263" i="6"/>
  <c r="H263" i="6"/>
  <c r="K262" i="6"/>
  <c r="I262" i="6"/>
  <c r="H262" i="6"/>
  <c r="K261" i="6"/>
  <c r="I261" i="6"/>
  <c r="H261" i="6"/>
  <c r="K259" i="6"/>
  <c r="I259" i="6"/>
  <c r="H259" i="6"/>
  <c r="K258" i="6"/>
  <c r="I258" i="6"/>
  <c r="H258" i="6"/>
  <c r="K257" i="6"/>
  <c r="I257" i="6"/>
  <c r="H257" i="6"/>
  <c r="K256" i="6"/>
  <c r="I256" i="6"/>
  <c r="H256" i="6"/>
  <c r="K255" i="6"/>
  <c r="I255" i="6"/>
  <c r="H255" i="6"/>
  <c r="K254" i="6"/>
  <c r="I254" i="6"/>
  <c r="H254" i="6"/>
  <c r="K253" i="6"/>
  <c r="I253" i="6"/>
  <c r="H253" i="6"/>
  <c r="K252" i="6"/>
  <c r="I252" i="6"/>
  <c r="H252" i="6"/>
  <c r="K251" i="6"/>
  <c r="I251" i="6"/>
  <c r="H251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39" i="6"/>
  <c r="H239" i="6"/>
  <c r="I238" i="6"/>
  <c r="H238" i="6"/>
  <c r="K237" i="6"/>
  <c r="I237" i="6"/>
  <c r="H237" i="6"/>
  <c r="K236" i="6"/>
  <c r="I236" i="6"/>
  <c r="H236" i="6"/>
  <c r="K235" i="6"/>
  <c r="I235" i="6"/>
  <c r="H235" i="6"/>
  <c r="K234" i="6"/>
  <c r="I234" i="6"/>
  <c r="H234" i="6"/>
  <c r="K233" i="6"/>
  <c r="I233" i="6"/>
  <c r="H233" i="6"/>
  <c r="K232" i="6"/>
  <c r="I232" i="6"/>
  <c r="H232" i="6"/>
  <c r="K231" i="6"/>
  <c r="I231" i="6"/>
  <c r="H231" i="6"/>
  <c r="K230" i="6"/>
  <c r="I230" i="6"/>
  <c r="H230" i="6"/>
  <c r="K229" i="6"/>
  <c r="I229" i="6"/>
  <c r="H229" i="6"/>
  <c r="K228" i="6"/>
  <c r="I228" i="6"/>
  <c r="H228" i="6"/>
  <c r="K227" i="6"/>
  <c r="I227" i="6"/>
  <c r="H227" i="6"/>
  <c r="K226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K212" i="6"/>
  <c r="I212" i="6"/>
  <c r="H212" i="6"/>
  <c r="K211" i="6"/>
  <c r="I211" i="6"/>
  <c r="H211" i="6"/>
  <c r="K210" i="6"/>
  <c r="I210" i="6"/>
  <c r="H210" i="6"/>
  <c r="K209" i="6"/>
  <c r="I209" i="6"/>
  <c r="H209" i="6"/>
  <c r="K208" i="6"/>
  <c r="I208" i="6"/>
  <c r="H208" i="6"/>
  <c r="K207" i="6"/>
  <c r="I207" i="6"/>
  <c r="H207" i="6"/>
  <c r="K206" i="6"/>
  <c r="I206" i="6"/>
  <c r="H206" i="6"/>
  <c r="K205" i="6"/>
  <c r="I205" i="6"/>
  <c r="H205" i="6"/>
  <c r="K204" i="6"/>
  <c r="K203" i="6"/>
  <c r="K202" i="6"/>
  <c r="K201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K187" i="6"/>
  <c r="I187" i="6"/>
  <c r="H187" i="6"/>
  <c r="K186" i="6"/>
  <c r="I186" i="6"/>
  <c r="H186" i="6"/>
  <c r="K185" i="6"/>
  <c r="I185" i="6"/>
  <c r="H185" i="6"/>
  <c r="K184" i="6"/>
  <c r="I184" i="6"/>
  <c r="H184" i="6"/>
  <c r="K183" i="6"/>
  <c r="I183" i="6"/>
  <c r="H183" i="6"/>
  <c r="K182" i="6"/>
  <c r="I182" i="6"/>
  <c r="H182" i="6"/>
  <c r="K181" i="6"/>
  <c r="I181" i="6"/>
  <c r="H181" i="6"/>
  <c r="K180" i="6"/>
  <c r="I180" i="6"/>
  <c r="H180" i="6"/>
  <c r="K179" i="6"/>
  <c r="I179" i="6"/>
  <c r="H179" i="6"/>
  <c r="K178" i="6"/>
  <c r="I178" i="6"/>
  <c r="H178" i="6"/>
  <c r="K177" i="6"/>
  <c r="I177" i="6"/>
  <c r="H177" i="6"/>
  <c r="K176" i="6"/>
  <c r="I176" i="6"/>
  <c r="H176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K163" i="6"/>
  <c r="I163" i="6"/>
  <c r="H163" i="6"/>
  <c r="K162" i="6"/>
  <c r="I162" i="6"/>
  <c r="H162" i="6"/>
  <c r="K161" i="6"/>
  <c r="I161" i="6"/>
  <c r="H161" i="6"/>
  <c r="K160" i="6"/>
  <c r="I160" i="6"/>
  <c r="H160" i="6"/>
  <c r="K159" i="6"/>
  <c r="I159" i="6"/>
  <c r="H159" i="6"/>
  <c r="K158" i="6"/>
  <c r="I158" i="6"/>
  <c r="H158" i="6"/>
  <c r="K157" i="6"/>
  <c r="I157" i="6"/>
  <c r="H157" i="6"/>
  <c r="K156" i="6"/>
  <c r="I156" i="6"/>
  <c r="H156" i="6"/>
  <c r="K155" i="6"/>
  <c r="I155" i="6"/>
  <c r="H155" i="6"/>
  <c r="K154" i="6"/>
  <c r="I154" i="6"/>
  <c r="H154" i="6"/>
  <c r="K153" i="6"/>
  <c r="I153" i="6"/>
  <c r="H153" i="6"/>
  <c r="K152" i="6"/>
  <c r="I152" i="6"/>
  <c r="H152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K138" i="6"/>
  <c r="I138" i="6"/>
  <c r="H138" i="6"/>
  <c r="K137" i="6"/>
  <c r="I137" i="6"/>
  <c r="H137" i="6"/>
  <c r="K136" i="6"/>
  <c r="I136" i="6"/>
  <c r="H136" i="6"/>
  <c r="K135" i="6"/>
  <c r="I135" i="6"/>
  <c r="H135" i="6"/>
  <c r="K134" i="6"/>
  <c r="I134" i="6"/>
  <c r="H134" i="6"/>
  <c r="K133" i="6"/>
  <c r="I133" i="6"/>
  <c r="H133" i="6"/>
  <c r="K132" i="6"/>
  <c r="I132" i="6"/>
  <c r="H132" i="6"/>
  <c r="K131" i="6"/>
  <c r="I131" i="6"/>
  <c r="H131" i="6"/>
  <c r="K130" i="6"/>
  <c r="I130" i="6"/>
  <c r="H130" i="6"/>
  <c r="K129" i="6"/>
  <c r="I129" i="6"/>
  <c r="H129" i="6"/>
  <c r="K128" i="6"/>
  <c r="I128" i="6"/>
  <c r="H128" i="6"/>
  <c r="K127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19" i="6"/>
  <c r="H119" i="6"/>
  <c r="I118" i="6"/>
  <c r="H118" i="6"/>
  <c r="I117" i="6"/>
  <c r="H117" i="6"/>
  <c r="I115" i="6"/>
  <c r="H115" i="6"/>
  <c r="I114" i="6"/>
  <c r="H114" i="6"/>
  <c r="K113" i="6"/>
  <c r="I113" i="6"/>
  <c r="H113" i="6"/>
  <c r="K112" i="6"/>
  <c r="I112" i="6"/>
  <c r="H112" i="6"/>
  <c r="K111" i="6"/>
  <c r="I111" i="6"/>
  <c r="H111" i="6"/>
  <c r="K110" i="6"/>
  <c r="I110" i="6"/>
  <c r="H110" i="6"/>
  <c r="K109" i="6"/>
  <c r="I109" i="6"/>
  <c r="H109" i="6"/>
  <c r="K108" i="6"/>
  <c r="I108" i="6"/>
  <c r="H108" i="6"/>
  <c r="K107" i="6"/>
  <c r="I107" i="6"/>
  <c r="H107" i="6"/>
  <c r="K106" i="6"/>
  <c r="I106" i="6"/>
  <c r="H106" i="6"/>
  <c r="K105" i="6"/>
  <c r="I105" i="6"/>
  <c r="H105" i="6"/>
  <c r="K104" i="6"/>
  <c r="I104" i="6"/>
  <c r="H104" i="6"/>
  <c r="K103" i="6"/>
  <c r="I103" i="6"/>
  <c r="H103" i="6"/>
  <c r="K102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K88" i="6"/>
  <c r="I88" i="6"/>
  <c r="H88" i="6"/>
  <c r="K87" i="6"/>
  <c r="I87" i="6"/>
  <c r="H87" i="6"/>
  <c r="K86" i="6"/>
  <c r="I86" i="6"/>
  <c r="H86" i="6"/>
  <c r="K85" i="6"/>
  <c r="I85" i="6"/>
  <c r="H85" i="6"/>
  <c r="K84" i="6"/>
  <c r="I84" i="6"/>
  <c r="H84" i="6"/>
  <c r="K83" i="6"/>
  <c r="K82" i="6"/>
  <c r="I82" i="6"/>
  <c r="H82" i="6"/>
  <c r="K81" i="6"/>
  <c r="I81" i="6"/>
  <c r="H81" i="6"/>
  <c r="K80" i="6"/>
  <c r="I80" i="6"/>
  <c r="H80" i="6"/>
  <c r="K79" i="6"/>
  <c r="I79" i="6"/>
  <c r="H79" i="6"/>
  <c r="K78" i="6"/>
  <c r="I78" i="6"/>
  <c r="H78" i="6"/>
  <c r="K77" i="6"/>
  <c r="I77" i="6"/>
  <c r="H77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K63" i="6"/>
  <c r="I63" i="6"/>
  <c r="H63" i="6"/>
  <c r="K62" i="6"/>
  <c r="I62" i="6"/>
  <c r="H62" i="6"/>
  <c r="K61" i="6"/>
  <c r="I61" i="6"/>
  <c r="H61" i="6"/>
  <c r="K60" i="6"/>
  <c r="I60" i="6"/>
  <c r="H60" i="6"/>
  <c r="K59" i="6"/>
  <c r="I59" i="6"/>
  <c r="H59" i="6"/>
  <c r="K58" i="6"/>
  <c r="I58" i="6"/>
  <c r="H58" i="6"/>
  <c r="K57" i="6"/>
  <c r="I57" i="6"/>
  <c r="H57" i="6"/>
  <c r="K56" i="6"/>
  <c r="I56" i="6"/>
  <c r="H56" i="6"/>
  <c r="K55" i="6"/>
  <c r="I55" i="6"/>
  <c r="H55" i="6"/>
  <c r="K54" i="6"/>
  <c r="I54" i="6"/>
  <c r="H54" i="6"/>
  <c r="K53" i="6"/>
  <c r="I53" i="6"/>
  <c r="H53" i="6"/>
  <c r="K52" i="6"/>
  <c r="I52" i="6"/>
  <c r="H52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K38" i="6"/>
  <c r="I38" i="6"/>
  <c r="H38" i="6"/>
  <c r="K37" i="6"/>
  <c r="I37" i="6"/>
  <c r="H37" i="6"/>
  <c r="K36" i="6"/>
  <c r="I36" i="6"/>
  <c r="H36" i="6"/>
  <c r="K35" i="6"/>
  <c r="I35" i="6"/>
  <c r="H35" i="6"/>
  <c r="K34" i="6"/>
  <c r="I34" i="6"/>
  <c r="H34" i="6"/>
  <c r="K33" i="6"/>
  <c r="I33" i="6"/>
  <c r="H33" i="6"/>
  <c r="K32" i="6"/>
  <c r="I32" i="6"/>
  <c r="H32" i="6"/>
  <c r="K31" i="6"/>
  <c r="I31" i="6"/>
  <c r="H31" i="6"/>
  <c r="K30" i="6"/>
  <c r="I30" i="6"/>
  <c r="H30" i="6"/>
  <c r="K29" i="6"/>
  <c r="I29" i="6"/>
  <c r="H29" i="6"/>
  <c r="K28" i="6"/>
  <c r="I28" i="6"/>
  <c r="H28" i="6"/>
  <c r="K27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K13" i="6"/>
  <c r="I13" i="6"/>
  <c r="H13" i="6"/>
  <c r="K12" i="6"/>
  <c r="I12" i="6"/>
  <c r="H12" i="6"/>
  <c r="K11" i="6"/>
  <c r="I11" i="6"/>
  <c r="H11" i="6"/>
  <c r="K10" i="6"/>
  <c r="I10" i="6"/>
  <c r="H10" i="6"/>
  <c r="K9" i="6"/>
  <c r="I9" i="6"/>
  <c r="H9" i="6"/>
  <c r="K8" i="6"/>
  <c r="I8" i="6"/>
  <c r="H8" i="6"/>
  <c r="K7" i="6"/>
  <c r="I7" i="6"/>
  <c r="H7" i="6"/>
  <c r="K6" i="6"/>
  <c r="I6" i="6"/>
  <c r="H6" i="6"/>
  <c r="K5" i="6"/>
  <c r="I5" i="6"/>
  <c r="H5" i="6"/>
  <c r="K4" i="6"/>
  <c r="I4" i="6"/>
  <c r="H4" i="6"/>
  <c r="K3" i="6"/>
  <c r="I3" i="6"/>
  <c r="H3" i="6"/>
  <c r="K2" i="6"/>
  <c r="I2" i="6"/>
  <c r="H2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<sst xmlns="http://schemas.openxmlformats.org/spreadsheetml/2006/main" count="28817" uniqueCount="5168">
  <si>
    <t>Number</t>
  </si>
  <si>
    <t>NeustonSerial</t>
  </si>
  <si>
    <t>Site</t>
  </si>
  <si>
    <t>Fish</t>
  </si>
  <si>
    <t>Genetics</t>
  </si>
  <si>
    <t>500/501</t>
  </si>
  <si>
    <t>Yes</t>
  </si>
  <si>
    <t>502/503</t>
  </si>
  <si>
    <t>504/505</t>
  </si>
  <si>
    <t>506/507</t>
  </si>
  <si>
    <t>508/509</t>
  </si>
  <si>
    <t>510/511</t>
  </si>
  <si>
    <t>512/513</t>
  </si>
  <si>
    <t>514/515</t>
  </si>
  <si>
    <t>516/517</t>
  </si>
  <si>
    <t>518/519</t>
  </si>
  <si>
    <t>520/521</t>
  </si>
  <si>
    <t>522/523</t>
  </si>
  <si>
    <t>524/525</t>
  </si>
  <si>
    <t>526/527</t>
  </si>
  <si>
    <t>528/529</t>
  </si>
  <si>
    <t>530/531</t>
  </si>
  <si>
    <t>532/533</t>
  </si>
  <si>
    <t>534/535</t>
  </si>
  <si>
    <t>536/537</t>
  </si>
  <si>
    <t>538/539</t>
  </si>
  <si>
    <t>540/541</t>
  </si>
  <si>
    <t>542/543</t>
  </si>
  <si>
    <t>No</t>
  </si>
  <si>
    <t>544/545</t>
  </si>
  <si>
    <t>546/547</t>
  </si>
  <si>
    <t>548/549</t>
  </si>
  <si>
    <t>550/551</t>
  </si>
  <si>
    <t>552/553</t>
  </si>
  <si>
    <t>556/557</t>
  </si>
  <si>
    <t>558/559</t>
  </si>
  <si>
    <t>560/561</t>
  </si>
  <si>
    <t>562/563</t>
  </si>
  <si>
    <t>564/565</t>
  </si>
  <si>
    <t>566/567</t>
  </si>
  <si>
    <t>568/569</t>
  </si>
  <si>
    <t>570/571</t>
  </si>
  <si>
    <t>574/575</t>
  </si>
  <si>
    <t>576/577</t>
  </si>
  <si>
    <t>578/579</t>
  </si>
  <si>
    <t>580/581</t>
  </si>
  <si>
    <t>582/583</t>
  </si>
  <si>
    <t>584/585</t>
  </si>
  <si>
    <t>588/589</t>
  </si>
  <si>
    <t>590/591</t>
  </si>
  <si>
    <t>592/593</t>
  </si>
  <si>
    <t>594/595</t>
  </si>
  <si>
    <t>596/597</t>
  </si>
  <si>
    <t>598/599</t>
  </si>
  <si>
    <t>600/601</t>
  </si>
  <si>
    <t>606/607</t>
  </si>
  <si>
    <t>610/611</t>
  </si>
  <si>
    <t>612/613</t>
  </si>
  <si>
    <t>614/615</t>
  </si>
  <si>
    <t>616/617</t>
  </si>
  <si>
    <t>618/619</t>
  </si>
  <si>
    <t>620/621</t>
  </si>
  <si>
    <t>622/623</t>
  </si>
  <si>
    <t>624/625</t>
  </si>
  <si>
    <t>626/627</t>
  </si>
  <si>
    <t>628/629</t>
  </si>
  <si>
    <t>634/635</t>
  </si>
  <si>
    <t>640/641</t>
  </si>
  <si>
    <t>642/643</t>
  </si>
  <si>
    <t>644/645</t>
  </si>
  <si>
    <t>646/647</t>
  </si>
  <si>
    <t>648/649</t>
  </si>
  <si>
    <t>650/651</t>
  </si>
  <si>
    <t>652/653</t>
  </si>
  <si>
    <t>654/655</t>
  </si>
  <si>
    <t>658/659</t>
  </si>
  <si>
    <t>660/661</t>
  </si>
  <si>
    <t>662/663</t>
  </si>
  <si>
    <t>664/665</t>
  </si>
  <si>
    <t>666/667</t>
  </si>
  <si>
    <t>668/669</t>
  </si>
  <si>
    <t>670/671</t>
  </si>
  <si>
    <t>672/673</t>
  </si>
  <si>
    <t>674/675</t>
  </si>
  <si>
    <t>676/677</t>
  </si>
  <si>
    <t>678/679</t>
  </si>
  <si>
    <t>680/681</t>
  </si>
  <si>
    <t>682/683</t>
  </si>
  <si>
    <t>684/685</t>
  </si>
  <si>
    <t>686/687</t>
  </si>
  <si>
    <t>688/689</t>
  </si>
  <si>
    <t>690/691</t>
  </si>
  <si>
    <t>692/693</t>
  </si>
  <si>
    <t>694/695</t>
  </si>
  <si>
    <t>696/697</t>
  </si>
  <si>
    <t>698/699</t>
  </si>
  <si>
    <t>700/701</t>
  </si>
  <si>
    <t>702/703</t>
  </si>
  <si>
    <t>704/705</t>
  </si>
  <si>
    <t>706/707</t>
  </si>
  <si>
    <t>708/709</t>
  </si>
  <si>
    <t>710/711</t>
  </si>
  <si>
    <t>712/713</t>
  </si>
  <si>
    <t>714/715</t>
  </si>
  <si>
    <t>716/717</t>
  </si>
  <si>
    <t>718/719</t>
  </si>
  <si>
    <t>720/721</t>
  </si>
  <si>
    <t>722/723</t>
  </si>
  <si>
    <t>724/725</t>
  </si>
  <si>
    <t>726/727</t>
  </si>
  <si>
    <t>N</t>
  </si>
  <si>
    <t>Site code</t>
  </si>
  <si>
    <t>Ind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</si>
  <si>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</si>
  <si>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</si>
  <si>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</si>
  <si>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</si>
  <si>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</si>
  <si>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</si>
  <si>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</si>
  <si>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</si>
  <si>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</si>
  <si>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</si>
  <si>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</si>
  <si>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</si>
  <si>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</si>
  <si>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</si>
  <si>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</si>
  <si>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</si>
  <si>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</si>
  <si>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</si>
  <si>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</si>
  <si>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</si>
  <si>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</si>
  <si>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</si>
  <si>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</si>
  <si>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</si>
  <si>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</si>
  <si>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</si>
  <si>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</si>
  <si>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</si>
  <si>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</si>
  <si>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</si>
  <si>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</si>
  <si>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</si>
  <si>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</si>
  <si>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</si>
  <si>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</si>
  <si>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</si>
  <si>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</si>
  <si>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</si>
  <si>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</si>
  <si>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</si>
  <si>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</si>
  <si>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</si>
  <si>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</si>
  <si>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</si>
  <si>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</si>
  <si>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</si>
  <si>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</si>
  <si>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</si>
  <si>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</si>
  <si>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</si>
  <si>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</si>
  <si>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</si>
  <si>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</si>
  <si>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</si>
  <si>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</si>
  <si>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</si>
  <si>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</si>
  <si>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</si>
  <si>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</si>
  <si>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</si>
  <si>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</si>
  <si>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</si>
  <si>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</si>
  <si>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</si>
  <si>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</si>
  <si>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</si>
  <si>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</si>
  <si>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</si>
  <si>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</si>
  <si>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</si>
  <si>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</si>
  <si>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</si>
  <si>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</si>
  <si>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</si>
  <si>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</si>
  <si>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</si>
  <si>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</si>
  <si>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</si>
  <si>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</si>
  <si>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</si>
  <si>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</si>
  <si>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</si>
  <si>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</si>
  <si>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</si>
  <si>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</si>
  <si>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</si>
  <si>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</si>
  <si>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</si>
  <si>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</si>
  <si>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</si>
  <si>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</si>
  <si>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</si>
  <si>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</si>
  <si>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</si>
  <si>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</si>
  <si>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</si>
  <si>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</si>
  <si>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19-168</t>
  </si>
  <si>
    <t>19-169</t>
  </si>
  <si>
    <t>19-170</t>
  </si>
  <si>
    <t>19-171</t>
  </si>
  <si>
    <t>19-172</t>
  </si>
  <si>
    <t>19-173</t>
  </si>
  <si>
    <t>19-174</t>
  </si>
  <si>
    <t>19-175</t>
  </si>
  <si>
    <t>19-176</t>
  </si>
  <si>
    <t>19-177</t>
  </si>
  <si>
    <t>Age-1 cisco</t>
  </si>
  <si>
    <t>Age-1 bloater</t>
  </si>
  <si>
    <t>Age-1 kiyi</t>
  </si>
  <si>
    <t>COR-19_71-01</t>
  </si>
  <si>
    <t>COR-19_71-02</t>
  </si>
  <si>
    <t>COR-19_71-03</t>
  </si>
  <si>
    <t>COR-19_71-04</t>
  </si>
  <si>
    <t>COR-19_71-05</t>
  </si>
  <si>
    <t>COR-19_71-06</t>
  </si>
  <si>
    <t>COR-19_71-07</t>
  </si>
  <si>
    <t>COR-19_71-08</t>
  </si>
  <si>
    <t>COR-19_71-09</t>
  </si>
  <si>
    <t>COR-19_71-10</t>
  </si>
  <si>
    <t>COR-19_71-11</t>
  </si>
  <si>
    <t>COR-19_71-12</t>
  </si>
  <si>
    <t>COR-19_71-13</t>
  </si>
  <si>
    <t>COR-19_71-14</t>
  </si>
  <si>
    <t>COR-19_71-15</t>
  </si>
  <si>
    <t>COR-19_71-16</t>
  </si>
  <si>
    <t>COR-19_71-17</t>
  </si>
  <si>
    <t>COR-19_71-18</t>
  </si>
  <si>
    <t>COR-19_71-19</t>
  </si>
  <si>
    <t>COR-19_71-20</t>
  </si>
  <si>
    <t>COR-19_71-21</t>
  </si>
  <si>
    <t>COR-19_71-22</t>
  </si>
  <si>
    <t>COR-19_71-23</t>
  </si>
  <si>
    <t>COR-19_71-24</t>
  </si>
  <si>
    <t>COR-19_71-25</t>
  </si>
  <si>
    <t>COR-19_75-01</t>
  </si>
  <si>
    <t>COR-19_75-02</t>
  </si>
  <si>
    <t>COR-19_75-03</t>
  </si>
  <si>
    <t>COR-19_75-04</t>
  </si>
  <si>
    <t>COR-19_75-05</t>
  </si>
  <si>
    <t>COR-19_75-06</t>
  </si>
  <si>
    <t>COR-19_75-07</t>
  </si>
  <si>
    <t>COR-19_75-08</t>
  </si>
  <si>
    <t>COR-19_75-09</t>
  </si>
  <si>
    <t>COR-19_75-10</t>
  </si>
  <si>
    <t>COR-19_75-11</t>
  </si>
  <si>
    <t>COR-19_75-12</t>
  </si>
  <si>
    <t>COR-19_75-13</t>
  </si>
  <si>
    <t>COR-19_75-14</t>
  </si>
  <si>
    <t>COR-19_75-15</t>
  </si>
  <si>
    <t>COR-19_75-16</t>
  </si>
  <si>
    <t>COR-19_75-17</t>
  </si>
  <si>
    <t>COR-19_75-18</t>
  </si>
  <si>
    <t>COR-19_75-19</t>
  </si>
  <si>
    <t>COR-19_75-20</t>
  </si>
  <si>
    <t>COR-19_75-21</t>
  </si>
  <si>
    <t>COR-19_75-22</t>
  </si>
  <si>
    <t>COR-19_75-23</t>
  </si>
  <si>
    <t>COR-19_75-24</t>
  </si>
  <si>
    <t>COR-19_75-25</t>
  </si>
  <si>
    <t>COR-19_87-01</t>
  </si>
  <si>
    <t>COR-19_87-02</t>
  </si>
  <si>
    <t>COR-19_87-03</t>
  </si>
  <si>
    <t>COR-19_87-04</t>
  </si>
  <si>
    <t>COR-19_87-05</t>
  </si>
  <si>
    <t>COR-19_87-06</t>
  </si>
  <si>
    <t>COR-19_87-07</t>
  </si>
  <si>
    <t>COR-19_87-08</t>
  </si>
  <si>
    <t>COR-19_87-09</t>
  </si>
  <si>
    <t>COR-19_87-10</t>
  </si>
  <si>
    <t>COR-19_87-11</t>
  </si>
  <si>
    <t>COR-19_87-12</t>
  </si>
  <si>
    <t>COR-19_87-13</t>
  </si>
  <si>
    <t>COR-19_87-14</t>
  </si>
  <si>
    <t>COR-19_87-15</t>
  </si>
  <si>
    <t>COR-19_87-16</t>
  </si>
  <si>
    <t>COR-19_87-17</t>
  </si>
  <si>
    <t>COR-19_87-18</t>
  </si>
  <si>
    <t>COR-19_87-19</t>
  </si>
  <si>
    <t>COR-19_87-20</t>
  </si>
  <si>
    <t>COR-19_87-21</t>
  </si>
  <si>
    <t>COR-19_87-22</t>
  </si>
  <si>
    <t>COR-19_87-23</t>
  </si>
  <si>
    <t>COR-19_87-24</t>
  </si>
  <si>
    <t>COR-19_87-25</t>
  </si>
  <si>
    <t>COR-19_86-01</t>
  </si>
  <si>
    <t>COR-19_86-02</t>
  </si>
  <si>
    <t>COR-19_86-03</t>
  </si>
  <si>
    <t>COR-19_86-04</t>
  </si>
  <si>
    <t>COR-19_86-05</t>
  </si>
  <si>
    <t>COR-19_86-06</t>
  </si>
  <si>
    <t>COR-19_86-07</t>
  </si>
  <si>
    <t>COR-19_86-08</t>
  </si>
  <si>
    <t>COR-19_86-09</t>
  </si>
  <si>
    <t>COR-19_86-10</t>
  </si>
  <si>
    <t>COR-19_86-11</t>
  </si>
  <si>
    <t>COR-19_86-12</t>
  </si>
  <si>
    <t>COR-19_86-13</t>
  </si>
  <si>
    <t>COR-19_86-14</t>
  </si>
  <si>
    <t>COR-19_86-15</t>
  </si>
  <si>
    <t>COR-19_86-16</t>
  </si>
  <si>
    <t>COR-19_86-17</t>
  </si>
  <si>
    <t>COR-19_86-18</t>
  </si>
  <si>
    <t>COR-19_86-19</t>
  </si>
  <si>
    <t>COR-19_86-20</t>
  </si>
  <si>
    <t>COR-19_86-21</t>
  </si>
  <si>
    <t>COR-19_86-22</t>
  </si>
  <si>
    <t>COR-19_86-23</t>
  </si>
  <si>
    <t>COR-19_86-24</t>
  </si>
  <si>
    <t>COR-19_86-25</t>
  </si>
  <si>
    <t>COR-19_2-01</t>
  </si>
  <si>
    <t>COR-19_2-02</t>
  </si>
  <si>
    <t>COR-19_2-03</t>
  </si>
  <si>
    <t>COR-19_2-04</t>
  </si>
  <si>
    <t>COR-19_2-05</t>
  </si>
  <si>
    <t>COR-19_2-06</t>
  </si>
  <si>
    <t>COR-19_2-07</t>
  </si>
  <si>
    <t>COR-19_2-08</t>
  </si>
  <si>
    <t>COR-19_2-09</t>
  </si>
  <si>
    <t>COR-19_2-10</t>
  </si>
  <si>
    <t>COR-19_2-11</t>
  </si>
  <si>
    <t>COR-19_2-12</t>
  </si>
  <si>
    <t>COR-19_2-13</t>
  </si>
  <si>
    <t>COR-19_2-14</t>
  </si>
  <si>
    <t>COR-19_2-15</t>
  </si>
  <si>
    <t>COR-19_2-16</t>
  </si>
  <si>
    <t>COR-19_2-17</t>
  </si>
  <si>
    <t>COR-19_2-18</t>
  </si>
  <si>
    <t>COR-19_2-19</t>
  </si>
  <si>
    <t>COR-19_2-20</t>
  </si>
  <si>
    <t>COR-19_2-21</t>
  </si>
  <si>
    <t>COR-19_2-22</t>
  </si>
  <si>
    <t>COR-19_2-23</t>
  </si>
  <si>
    <t>COR-19_2-24</t>
  </si>
  <si>
    <t>COR-19_2-25</t>
  </si>
  <si>
    <t>COR-19_24-01</t>
  </si>
  <si>
    <t>COR-19_24-02</t>
  </si>
  <si>
    <t>COR-19_24-03</t>
  </si>
  <si>
    <t>COR-19_24-04</t>
  </si>
  <si>
    <t>COR-19_24-05</t>
  </si>
  <si>
    <t>COR-19_24-06</t>
  </si>
  <si>
    <t>COR-19_24-07</t>
  </si>
  <si>
    <t>COR-19_24-08</t>
  </si>
  <si>
    <t>COR-19_24-09</t>
  </si>
  <si>
    <t>COR-19_24-10</t>
  </si>
  <si>
    <t>COR-19_24-11</t>
  </si>
  <si>
    <t>COR-19_24-12</t>
  </si>
  <si>
    <t>COR-19_24-13</t>
  </si>
  <si>
    <t>COR-19_24-14</t>
  </si>
  <si>
    <t>COR-19_24-15</t>
  </si>
  <si>
    <t>COR-19_24-16</t>
  </si>
  <si>
    <t>COR-19_24-17</t>
  </si>
  <si>
    <t>COR-19_24-18</t>
  </si>
  <si>
    <t>COR-19_24-19</t>
  </si>
  <si>
    <t>COR-19_24-20</t>
  </si>
  <si>
    <t>COR-19_24-21</t>
  </si>
  <si>
    <t>COR-19_24-22</t>
  </si>
  <si>
    <t>COR-19_24-23</t>
  </si>
  <si>
    <t>COR-19_24-24</t>
  </si>
  <si>
    <t>COR-19_24-25</t>
  </si>
  <si>
    <t>COR-19_52-01</t>
  </si>
  <si>
    <t>COR-19_52-02</t>
  </si>
  <si>
    <t>COR-19_52-03</t>
  </si>
  <si>
    <t>COR-19_52-04</t>
  </si>
  <si>
    <t>COR-19_52-05</t>
  </si>
  <si>
    <t>COR-19_52-06</t>
  </si>
  <si>
    <t>COR-19_52-07</t>
  </si>
  <si>
    <t>COR-19_52-08</t>
  </si>
  <si>
    <t>COR-19_52-09</t>
  </si>
  <si>
    <t>COR-19_52-10</t>
  </si>
  <si>
    <t>COR-19_52-11</t>
  </si>
  <si>
    <t>COR-19_52-12</t>
  </si>
  <si>
    <t>COR-19_52-13</t>
  </si>
  <si>
    <t>COR-19_52-14</t>
  </si>
  <si>
    <t>COR-19_52-15</t>
  </si>
  <si>
    <t>COR-19_52-16</t>
  </si>
  <si>
    <t>COR-19_52-17</t>
  </si>
  <si>
    <t>COR-19_52-18</t>
  </si>
  <si>
    <t>COR-19_52-19</t>
  </si>
  <si>
    <t>COR-19_52-20</t>
  </si>
  <si>
    <t>COR-19_52-21</t>
  </si>
  <si>
    <t>COR-19_52-22</t>
  </si>
  <si>
    <t>COR-19_52-23</t>
  </si>
  <si>
    <t>COR-19_52-24</t>
  </si>
  <si>
    <t>COR-19_44-01</t>
  </si>
  <si>
    <t>COR-19_44-02</t>
  </si>
  <si>
    <t>COR-19_44-03</t>
  </si>
  <si>
    <t>COR-19_44-04</t>
  </si>
  <si>
    <t>COR-19_44-05</t>
  </si>
  <si>
    <t>COR-19_44-06</t>
  </si>
  <si>
    <t>COR-19_44-07</t>
  </si>
  <si>
    <t>COR-19_44-08</t>
  </si>
  <si>
    <t>COR-19_44-09</t>
  </si>
  <si>
    <t>COR-19_44-10</t>
  </si>
  <si>
    <t>COR-19_44-11</t>
  </si>
  <si>
    <t>COR-19_44-12</t>
  </si>
  <si>
    <t>COR-19_44-13</t>
  </si>
  <si>
    <t>COR-19_44-14</t>
  </si>
  <si>
    <t>COR-19_44-15</t>
  </si>
  <si>
    <t>COR-19_44-16</t>
  </si>
  <si>
    <t>COR-19_44-17</t>
  </si>
  <si>
    <t>COR-19_44-18</t>
  </si>
  <si>
    <t>COR-19_44-19</t>
  </si>
  <si>
    <t>COR-19_44-20</t>
  </si>
  <si>
    <t>COR-19_44-21</t>
  </si>
  <si>
    <t>COR-19_44-22</t>
  </si>
  <si>
    <t>COR-19_44-23</t>
  </si>
  <si>
    <t>COR-19_44-24</t>
  </si>
  <si>
    <t>COR-19_44-25</t>
  </si>
  <si>
    <t>COR-19_45-01</t>
  </si>
  <si>
    <t>COR-19_45-02</t>
  </si>
  <si>
    <t>COR-19_45-03</t>
  </si>
  <si>
    <t>COR-19_45-04</t>
  </si>
  <si>
    <t>COR-19_45-05</t>
  </si>
  <si>
    <t>COR-19_45-06</t>
  </si>
  <si>
    <t>COR-19_45-07</t>
  </si>
  <si>
    <t>COR-19_45-08</t>
  </si>
  <si>
    <t>COR-19_45-09</t>
  </si>
  <si>
    <t>COR-19_45-10</t>
  </si>
  <si>
    <t>COR-19_45-11</t>
  </si>
  <si>
    <t>COR-19_45-12</t>
  </si>
  <si>
    <t>COR-19_45-13</t>
  </si>
  <si>
    <t>COR-19_45-14</t>
  </si>
  <si>
    <t>COR-19_45-15</t>
  </si>
  <si>
    <t>COR-19_45-16</t>
  </si>
  <si>
    <t>COR-19_45-17</t>
  </si>
  <si>
    <t>COR-19_45-18</t>
  </si>
  <si>
    <t>COR-19_45-19</t>
  </si>
  <si>
    <t>COR-19_45-20</t>
  </si>
  <si>
    <t>COR-19_45-21</t>
  </si>
  <si>
    <t>COR-19_45-22</t>
  </si>
  <si>
    <t>COR-19_45-23</t>
  </si>
  <si>
    <t>COR-19_45-24</t>
  </si>
  <si>
    <t>COR-19_45-25</t>
  </si>
  <si>
    <t>COR-19_190-01</t>
  </si>
  <si>
    <t>COR-19_190-02</t>
  </si>
  <si>
    <t>COR-19_190-03</t>
  </si>
  <si>
    <t>COR-19_190-04</t>
  </si>
  <si>
    <t>COR-19_190-05</t>
  </si>
  <si>
    <t>COR-19_190-06</t>
  </si>
  <si>
    <t>COR-19_190-07</t>
  </si>
  <si>
    <t>COR-19_190-08</t>
  </si>
  <si>
    <t>COR-19_190-09</t>
  </si>
  <si>
    <t>COR-19_190-10</t>
  </si>
  <si>
    <t>COR-19_190-11</t>
  </si>
  <si>
    <t>COR-19_190-12</t>
  </si>
  <si>
    <t>COR-19_190-13</t>
  </si>
  <si>
    <t>COR-19_190-14</t>
  </si>
  <si>
    <t>COR-19_190-15</t>
  </si>
  <si>
    <t>COR-19_190-16</t>
  </si>
  <si>
    <t>COR-19_190-17</t>
  </si>
  <si>
    <t>COR-19_190-18</t>
  </si>
  <si>
    <t>COR-19_190-19</t>
  </si>
  <si>
    <t>COR-19_190-20</t>
  </si>
  <si>
    <t>COR-19_190-21</t>
  </si>
  <si>
    <t>COR-19_190-22</t>
  </si>
  <si>
    <t>COR-19_190-23</t>
  </si>
  <si>
    <t>COR-19_190-24</t>
  </si>
  <si>
    <t>COR-19_190-25</t>
  </si>
  <si>
    <t>COR-19_208-01</t>
  </si>
  <si>
    <t>COR-19_208-02</t>
  </si>
  <si>
    <t>COR-19_208-03</t>
  </si>
  <si>
    <t>COR-19_208-04</t>
  </si>
  <si>
    <t>COR-19_208-05</t>
  </si>
  <si>
    <t>COR-19_208-06</t>
  </si>
  <si>
    <t>COR-19_208-07</t>
  </si>
  <si>
    <t>COR-19_208-08</t>
  </si>
  <si>
    <t>COR-19_208-09</t>
  </si>
  <si>
    <t>COR-19_208-10</t>
  </si>
  <si>
    <t>COR-19_65-01</t>
  </si>
  <si>
    <t>COR-19_65-02</t>
  </si>
  <si>
    <t>COR-19_65-03</t>
  </si>
  <si>
    <t>COR-19_65-04</t>
  </si>
  <si>
    <t>COR-19_65-05</t>
  </si>
  <si>
    <t>COR-19_65-06</t>
  </si>
  <si>
    <t>COR-19_65-07</t>
  </si>
  <si>
    <t>COR-19_65-08</t>
  </si>
  <si>
    <t>COR-19_65-09</t>
  </si>
  <si>
    <t>COR-19_65-10</t>
  </si>
  <si>
    <t>COR-19_65-11</t>
  </si>
  <si>
    <t>COR-19_65-12</t>
  </si>
  <si>
    <t>COR-19_65-13</t>
  </si>
  <si>
    <t>COR-19_65-14</t>
  </si>
  <si>
    <t>COR-19_65-15</t>
  </si>
  <si>
    <t>COR-19_65-16</t>
  </si>
  <si>
    <t>COR-19_65-17</t>
  </si>
  <si>
    <t>COR-19_65-18</t>
  </si>
  <si>
    <t>COR-19_65-19</t>
  </si>
  <si>
    <t>COR-19_65-20</t>
  </si>
  <si>
    <t>COR-19_65-21</t>
  </si>
  <si>
    <t>COR-19_65-22</t>
  </si>
  <si>
    <t>COR-19_65-23</t>
  </si>
  <si>
    <t>COR-19_65-24</t>
  </si>
  <si>
    <t>COR-19_65-25</t>
  </si>
  <si>
    <t>COR-19_172-01</t>
  </si>
  <si>
    <t>COR-19_172-02</t>
  </si>
  <si>
    <t>COR-19_172-03</t>
  </si>
  <si>
    <t>COR-19_172-04</t>
  </si>
  <si>
    <t>COR-19_172-05</t>
  </si>
  <si>
    <t>COR-19_172-06</t>
  </si>
  <si>
    <t>COR-19_172-07</t>
  </si>
  <si>
    <t>COR-19_172-08</t>
  </si>
  <si>
    <t>COR-19_172-09</t>
  </si>
  <si>
    <t>COR-19_172-10</t>
  </si>
  <si>
    <t>COR-19_172-11</t>
  </si>
  <si>
    <t>COR-19_172-12</t>
  </si>
  <si>
    <t>COR-19_172-13</t>
  </si>
  <si>
    <t>COR-19_172-14</t>
  </si>
  <si>
    <t>COR-19_172-15</t>
  </si>
  <si>
    <t>COR-19_172-16</t>
  </si>
  <si>
    <t>COR-19_172-17</t>
  </si>
  <si>
    <t>COR-19_172-18</t>
  </si>
  <si>
    <t>COR-19_172-19</t>
  </si>
  <si>
    <t>COR-19_172-20</t>
  </si>
  <si>
    <t>COR-19_172-21</t>
  </si>
  <si>
    <t>COR-19_172-22</t>
  </si>
  <si>
    <t>COR-19_172-23</t>
  </si>
  <si>
    <t>COR-19_172-24</t>
  </si>
  <si>
    <t>COR-19_172-25</t>
  </si>
  <si>
    <t>COR-19_188-01</t>
  </si>
  <si>
    <t>COR-19_188-02</t>
  </si>
  <si>
    <t>COR-19_188-03</t>
  </si>
  <si>
    <t>COR-19_188-04</t>
  </si>
  <si>
    <t>COR-19_188-05</t>
  </si>
  <si>
    <t>COR-19_188-06</t>
  </si>
  <si>
    <t>COR-19_188-07</t>
  </si>
  <si>
    <t>COR-19_188-08</t>
  </si>
  <si>
    <t>COR-19_188-09</t>
  </si>
  <si>
    <t>COR-19_188-10</t>
  </si>
  <si>
    <t>COR-19_188-11</t>
  </si>
  <si>
    <t>COR-19_188-12</t>
  </si>
  <si>
    <t>COR-19_188-13</t>
  </si>
  <si>
    <t>COR-19_188-14</t>
  </si>
  <si>
    <t>COR-19_188-15</t>
  </si>
  <si>
    <t>COR-19_188-16</t>
  </si>
  <si>
    <t>COR-19_188-17</t>
  </si>
  <si>
    <t>COR-19_188-18</t>
  </si>
  <si>
    <t>COR-19_188-19</t>
  </si>
  <si>
    <t>COR-19_188-20</t>
  </si>
  <si>
    <t>COR-19_188-21</t>
  </si>
  <si>
    <t>COR-19_188-22</t>
  </si>
  <si>
    <t>COR-19_188-23</t>
  </si>
  <si>
    <t>COR-19_188-24</t>
  </si>
  <si>
    <t>COR-19_188-25</t>
  </si>
  <si>
    <t>COR-19_36-01</t>
  </si>
  <si>
    <t>COR-19_36-02</t>
  </si>
  <si>
    <t>COR-19_36-03</t>
  </si>
  <si>
    <t>COR-19_36-04</t>
  </si>
  <si>
    <t>COR-19_36-05</t>
  </si>
  <si>
    <t>COR-19_36-06</t>
  </si>
  <si>
    <t>COR-19_36-07</t>
  </si>
  <si>
    <t>COR-19_36-08</t>
  </si>
  <si>
    <t>COR-19_36-09</t>
  </si>
  <si>
    <t>COR-19_36-10</t>
  </si>
  <si>
    <t>COR-19_36-11</t>
  </si>
  <si>
    <t>COR-19_36-12</t>
  </si>
  <si>
    <t>COR-19_36-13</t>
  </si>
  <si>
    <t>COR-19_36-14</t>
  </si>
  <si>
    <t>COR-19_36-15</t>
  </si>
  <si>
    <t>COR-19_36-16</t>
  </si>
  <si>
    <t>COR-19_36-17</t>
  </si>
  <si>
    <t>COR-19_36-18</t>
  </si>
  <si>
    <t>COR-19_36-19</t>
  </si>
  <si>
    <t>COR-19_36-20</t>
  </si>
  <si>
    <t>COR-19_36-21</t>
  </si>
  <si>
    <t>COR-19_36-22</t>
  </si>
  <si>
    <t>COR-19_36-23</t>
  </si>
  <si>
    <t>COR-19_36-24</t>
  </si>
  <si>
    <t>COR-19_36-25</t>
  </si>
  <si>
    <t>COR-19_210-01</t>
  </si>
  <si>
    <t>COR-19_210-02</t>
  </si>
  <si>
    <t>COR-19_210-03</t>
  </si>
  <si>
    <t>COR-19_210-04</t>
  </si>
  <si>
    <t>COR-19_210-05</t>
  </si>
  <si>
    <t>COR-19_210-06</t>
  </si>
  <si>
    <t>COR-19_210-07</t>
  </si>
  <si>
    <t>COR-19_210-08</t>
  </si>
  <si>
    <t>COR-19_210-09</t>
  </si>
  <si>
    <t>COR-19_210-10</t>
  </si>
  <si>
    <t>COR-19_210-11</t>
  </si>
  <si>
    <t>COR-19_210-12</t>
  </si>
  <si>
    <t>COR-19_210-13</t>
  </si>
  <si>
    <t>COR-19_210-14</t>
  </si>
  <si>
    <t>COR-19_210-15</t>
  </si>
  <si>
    <t>COR-19_210-16</t>
  </si>
  <si>
    <t>COR-19_210-17</t>
  </si>
  <si>
    <t>COR-19_210-18</t>
  </si>
  <si>
    <t>COR-19_210-19</t>
  </si>
  <si>
    <t>COR-19_210-20</t>
  </si>
  <si>
    <t>COR-19_210-21</t>
  </si>
  <si>
    <t>COR-19_210-22</t>
  </si>
  <si>
    <t>COR-19_210-23</t>
  </si>
  <si>
    <t>COR-19_210-24</t>
  </si>
  <si>
    <t>COR-19_210-25</t>
  </si>
  <si>
    <t>COR-19_206-01</t>
  </si>
  <si>
    <t>COR-19_206-02</t>
  </si>
  <si>
    <t>COR-19_206-03</t>
  </si>
  <si>
    <t>COR-19_206-04</t>
  </si>
  <si>
    <t>COR-19_206-05</t>
  </si>
  <si>
    <t>COR-19_206-06</t>
  </si>
  <si>
    <t>COR-19_206-07</t>
  </si>
  <si>
    <t>COR-19_206-08</t>
  </si>
  <si>
    <t>COR-19_206-09</t>
  </si>
  <si>
    <t>COR-19_206-10</t>
  </si>
  <si>
    <t>COR-19_206-11</t>
  </si>
  <si>
    <t>COR-19_206-12</t>
  </si>
  <si>
    <t>COR-19_206-13</t>
  </si>
  <si>
    <t>COR-19_206-14</t>
  </si>
  <si>
    <t>COR-19_206-15</t>
  </si>
  <si>
    <t>COR-19_206-16</t>
  </si>
  <si>
    <t>COR-19_206-17</t>
  </si>
  <si>
    <t>COR-19_206-18</t>
  </si>
  <si>
    <t>COR-19_206-19</t>
  </si>
  <si>
    <t>COR-19_206-20</t>
  </si>
  <si>
    <t>COR-19_206-21</t>
  </si>
  <si>
    <t>COR-19_206-22</t>
  </si>
  <si>
    <t>COR-19_206-23</t>
  </si>
  <si>
    <t>COR-19_206-24</t>
  </si>
  <si>
    <t>COR-19_206-25</t>
  </si>
  <si>
    <t>COR-19_205-01</t>
  </si>
  <si>
    <t>COR-19_205-02</t>
  </si>
  <si>
    <t>COR-19_205-03</t>
  </si>
  <si>
    <t>COR-19_205-04</t>
  </si>
  <si>
    <t>COR-19_205-05</t>
  </si>
  <si>
    <t>COR-19_205-06</t>
  </si>
  <si>
    <t>COR-19_205-07</t>
  </si>
  <si>
    <t>COR-19_205-08</t>
  </si>
  <si>
    <t>COR-19_205-09</t>
  </si>
  <si>
    <t>COR-19_205-10</t>
  </si>
  <si>
    <t>COR-19_187-01</t>
  </si>
  <si>
    <t>COR-19_187-02</t>
  </si>
  <si>
    <t>COR-19_187-03</t>
  </si>
  <si>
    <t>COR-19_187-04</t>
  </si>
  <si>
    <t>COR-19_187-05</t>
  </si>
  <si>
    <t>COR-19_187-06</t>
  </si>
  <si>
    <t>COR-19_187-07</t>
  </si>
  <si>
    <t>COR-19_187-08</t>
  </si>
  <si>
    <t>COR-19_187-09</t>
  </si>
  <si>
    <t>COR-19_187-10</t>
  </si>
  <si>
    <t>COR-19_187-11</t>
  </si>
  <si>
    <t>COR-19_187-12</t>
  </si>
  <si>
    <t>COR-19_187-13</t>
  </si>
  <si>
    <t>COR-19_187-14</t>
  </si>
  <si>
    <t>COR-19_187-15</t>
  </si>
  <si>
    <t>COR-19_187-16</t>
  </si>
  <si>
    <t>COR-19_187-17</t>
  </si>
  <si>
    <t>COR-19_187-18</t>
  </si>
  <si>
    <t>COR-19_187-19</t>
  </si>
  <si>
    <t>COR-19_187-20</t>
  </si>
  <si>
    <t>COR-19_187-21</t>
  </si>
  <si>
    <t>COR-19_187-22</t>
  </si>
  <si>
    <t>COR-19_187-23</t>
  </si>
  <si>
    <t>COR-19_187-24</t>
  </si>
  <si>
    <t>COR-19_187-25</t>
  </si>
  <si>
    <t>COR-19_151-01</t>
  </si>
  <si>
    <t>COR-19_151-02</t>
  </si>
  <si>
    <t>COR-19_151-03</t>
  </si>
  <si>
    <t>COR-19_151-04</t>
  </si>
  <si>
    <t>COR-19_151-05</t>
  </si>
  <si>
    <t>COR-19_151-06</t>
  </si>
  <si>
    <t>COR-19_151-07</t>
  </si>
  <si>
    <t>COR-19_151-08</t>
  </si>
  <si>
    <t>COR-19_151-09</t>
  </si>
  <si>
    <t>COR-19_151-10</t>
  </si>
  <si>
    <t>COR-19_151-11</t>
  </si>
  <si>
    <t>COR-19_151-12</t>
  </si>
  <si>
    <t>COR-19_151-13</t>
  </si>
  <si>
    <t>COR-19_151-14</t>
  </si>
  <si>
    <t>COR-19_151-15</t>
  </si>
  <si>
    <t>COR-19_151-16</t>
  </si>
  <si>
    <t>COR-19_151-17</t>
  </si>
  <si>
    <t>COR-19_151-18</t>
  </si>
  <si>
    <t>COR-19_151-19</t>
  </si>
  <si>
    <t>COR-19_151-20</t>
  </si>
  <si>
    <t>COR-19_151-21</t>
  </si>
  <si>
    <t>COR-19_151-22</t>
  </si>
  <si>
    <t>COR-19_151-23</t>
  </si>
  <si>
    <t>COR-19_151-24</t>
  </si>
  <si>
    <t>COR-19_151-25</t>
  </si>
  <si>
    <t>COR-19_76-01</t>
  </si>
  <si>
    <t>COR-19_76-02</t>
  </si>
  <si>
    <t>COR-19_76-03</t>
  </si>
  <si>
    <t>COR-19_76-04</t>
  </si>
  <si>
    <t>COR-19_76-05</t>
  </si>
  <si>
    <t>COR-19_76-06</t>
  </si>
  <si>
    <t>COR-19_76-07</t>
  </si>
  <si>
    <t>COR-19_76-08</t>
  </si>
  <si>
    <t>COR-19_76-09</t>
  </si>
  <si>
    <t>COR-19_76-10</t>
  </si>
  <si>
    <t>COR-19_76-11</t>
  </si>
  <si>
    <t>COR-19_76-12</t>
  </si>
  <si>
    <t>COR-19_76-13</t>
  </si>
  <si>
    <t>COR-19_76-14</t>
  </si>
  <si>
    <t>COR-19_76-15</t>
  </si>
  <si>
    <t>COR-19_76-16</t>
  </si>
  <si>
    <t>COR-19_76-17</t>
  </si>
  <si>
    <t>COR-19_76-18</t>
  </si>
  <si>
    <t>COR-19_76-19</t>
  </si>
  <si>
    <t>COR-19_76-20</t>
  </si>
  <si>
    <t>COR-19_76-21</t>
  </si>
  <si>
    <t>COR-19_76-22</t>
  </si>
  <si>
    <t>COR-19_76-23</t>
  </si>
  <si>
    <t>COR-19_76-24</t>
  </si>
  <si>
    <t>COR-19_76-25</t>
  </si>
  <si>
    <t>COR-19_139-01</t>
  </si>
  <si>
    <t>COR-19_139-02</t>
  </si>
  <si>
    <t>COR-19_139-03</t>
  </si>
  <si>
    <t>COR-19_139-04</t>
  </si>
  <si>
    <t>COR-19_139-05</t>
  </si>
  <si>
    <t>COR-19_139-06</t>
  </si>
  <si>
    <t>COR-19_139-07</t>
  </si>
  <si>
    <t>COR-19_139-08</t>
  </si>
  <si>
    <t>COR-19_139-09</t>
  </si>
  <si>
    <t>COR-19_139-10</t>
  </si>
  <si>
    <t>COR-19_139-11</t>
  </si>
  <si>
    <t>COR-19_139-12</t>
  </si>
  <si>
    <t>COR-19_139-13</t>
  </si>
  <si>
    <t>COR-19_139-14</t>
  </si>
  <si>
    <t>COR-19_139-15</t>
  </si>
  <si>
    <t>COR-19_139-16</t>
  </si>
  <si>
    <t>COR-19_139-17</t>
  </si>
  <si>
    <t>COR-19_139-18</t>
  </si>
  <si>
    <t>COR-19_139-19</t>
  </si>
  <si>
    <t>COR-19_139-20</t>
  </si>
  <si>
    <t>COR-19_139-21</t>
  </si>
  <si>
    <t>COR-19_139-22</t>
  </si>
  <si>
    <t>COR-19_139-23</t>
  </si>
  <si>
    <t>COR-19_139-24</t>
  </si>
  <si>
    <t>COR-19_139-25</t>
  </si>
  <si>
    <t>COR-19_184-01</t>
  </si>
  <si>
    <t>COR-19_184-02</t>
  </si>
  <si>
    <t>COR-19_184-03</t>
  </si>
  <si>
    <t>COR-19_184-04</t>
  </si>
  <si>
    <t>COR-19_184-05</t>
  </si>
  <si>
    <t>COR-19_184-06</t>
  </si>
  <si>
    <t>COR-19_184-07</t>
  </si>
  <si>
    <t>COR-19_184-08</t>
  </si>
  <si>
    <t>COR-19_184-09</t>
  </si>
  <si>
    <t>COR-19_184-10</t>
  </si>
  <si>
    <t>COR-19_184-11</t>
  </si>
  <si>
    <t>COR-19_184-12</t>
  </si>
  <si>
    <t>COR-19_184-13</t>
  </si>
  <si>
    <t>COR-19_184-14</t>
  </si>
  <si>
    <t>COR-19_184-15</t>
  </si>
  <si>
    <t>COR-19_184-16</t>
  </si>
  <si>
    <t>COR-19_184-17</t>
  </si>
  <si>
    <t>COR-19_184-18</t>
  </si>
  <si>
    <t>COR-19_184-19</t>
  </si>
  <si>
    <t>COR-19_184-20</t>
  </si>
  <si>
    <t>COR-19_184-21</t>
  </si>
  <si>
    <t>COR-19_184-22</t>
  </si>
  <si>
    <t>COR-19_184-23</t>
  </si>
  <si>
    <t>COR-19_184-24</t>
  </si>
  <si>
    <t>COR-19_184-25</t>
  </si>
  <si>
    <t>COR-19_192-01</t>
  </si>
  <si>
    <t>COR-19_192-02</t>
  </si>
  <si>
    <t>COR-19_192-03</t>
  </si>
  <si>
    <t>COR-19_192-04</t>
  </si>
  <si>
    <t>COR-19_192-05</t>
  </si>
  <si>
    <t>COR-19_192-06</t>
  </si>
  <si>
    <t>COR-19_192-07</t>
  </si>
  <si>
    <t>COR-19_192-08</t>
  </si>
  <si>
    <t>COR-19_192-09</t>
  </si>
  <si>
    <t>COR-19_192-10</t>
  </si>
  <si>
    <t>COR-19_192-11</t>
  </si>
  <si>
    <t>COR-19_192-12</t>
  </si>
  <si>
    <t>COR-19_192-13</t>
  </si>
  <si>
    <t>COR-19_192-14</t>
  </si>
  <si>
    <t>COR-19_192-15</t>
  </si>
  <si>
    <t>COR-19_192-16</t>
  </si>
  <si>
    <t>COR-19_192-17</t>
  </si>
  <si>
    <t>COR-19_192-18</t>
  </si>
  <si>
    <t>COR-19_192-19</t>
  </si>
  <si>
    <t>COR-19_192-20</t>
  </si>
  <si>
    <t>COR-19_192-21</t>
  </si>
  <si>
    <t>COR-19_192-22</t>
  </si>
  <si>
    <t>COR-19_192-23</t>
  </si>
  <si>
    <t>COR-19_192-24</t>
  </si>
  <si>
    <t>COR-19_192-25</t>
  </si>
  <si>
    <t>COR-19_57-01</t>
  </si>
  <si>
    <t>COR-19_57-02</t>
  </si>
  <si>
    <t>COR-19_57-03</t>
  </si>
  <si>
    <t>COR-19_57-04</t>
  </si>
  <si>
    <t>COR-19_57-05</t>
  </si>
  <si>
    <t>COR-19_57-06</t>
  </si>
  <si>
    <t>COR-19_57-07</t>
  </si>
  <si>
    <t>COR-19_57-08</t>
  </si>
  <si>
    <t>COR-19_57-09</t>
  </si>
  <si>
    <t>COR-19_57-10</t>
  </si>
  <si>
    <t>COR-19_57-11</t>
  </si>
  <si>
    <t>COR-19_57-12</t>
  </si>
  <si>
    <t>COR-19_57-13</t>
  </si>
  <si>
    <t>COR-19_57-14</t>
  </si>
  <si>
    <t>COR-19_57-15</t>
  </si>
  <si>
    <t>COR-19_57-16</t>
  </si>
  <si>
    <t>COR-19_57-17</t>
  </si>
  <si>
    <t>COR-19_57-18</t>
  </si>
  <si>
    <t>COR-19_57-19</t>
  </si>
  <si>
    <t>COR-19_57-20</t>
  </si>
  <si>
    <t>COR-19_57-21</t>
  </si>
  <si>
    <t>COR-19_57-22</t>
  </si>
  <si>
    <t>COR-19_57-23</t>
  </si>
  <si>
    <t>COR-19_57-24</t>
  </si>
  <si>
    <t>COR-19_57-25</t>
  </si>
  <si>
    <t>COR-19_183-01</t>
  </si>
  <si>
    <t>COR-19_183-02</t>
  </si>
  <si>
    <t>COR-19_183-03</t>
  </si>
  <si>
    <t>COR-19_183-04</t>
  </si>
  <si>
    <t>COR-19_183-05</t>
  </si>
  <si>
    <t>COR-19_183-06</t>
  </si>
  <si>
    <t>COR-19_183-07</t>
  </si>
  <si>
    <t>COR-19_183-08</t>
  </si>
  <si>
    <t>COR-19_183-09</t>
  </si>
  <si>
    <t>COR-19_183-10</t>
  </si>
  <si>
    <t>COR-19_183-11</t>
  </si>
  <si>
    <t>COR-19_183-12</t>
  </si>
  <si>
    <t>COR-19_183-13</t>
  </si>
  <si>
    <t>COR-19_183-14</t>
  </si>
  <si>
    <t>COR-19_183-15</t>
  </si>
  <si>
    <t>COR-19_183-16</t>
  </si>
  <si>
    <t>COR-19_183-17</t>
  </si>
  <si>
    <t>COR-19_183-18</t>
  </si>
  <si>
    <t>COR-19_183-19</t>
  </si>
  <si>
    <t>COR-19_183-20</t>
  </si>
  <si>
    <t>COR-19_183-21</t>
  </si>
  <si>
    <t>COR-19_183-22</t>
  </si>
  <si>
    <t>COR-19_183-23</t>
  </si>
  <si>
    <t>COR-19_183-24</t>
  </si>
  <si>
    <t>COR-19_183-25</t>
  </si>
  <si>
    <t>COR-19_182-01</t>
  </si>
  <si>
    <t>COR-19_182-02</t>
  </si>
  <si>
    <t>COR-19_182-03</t>
  </si>
  <si>
    <t>COR-19_182-04</t>
  </si>
  <si>
    <t>COR-19_182-05</t>
  </si>
  <si>
    <t>COR-19_82-01</t>
  </si>
  <si>
    <t>COR-19_82-02</t>
  </si>
  <si>
    <t>COR-19_82-03</t>
  </si>
  <si>
    <t>COR-19_82-04</t>
  </si>
  <si>
    <t>COR-19_82-05</t>
  </si>
  <si>
    <t>COR-19_82-06</t>
  </si>
  <si>
    <t>COR-19_82-07</t>
  </si>
  <si>
    <t>COR-19_82-08</t>
  </si>
  <si>
    <t>COR-19_82-09</t>
  </si>
  <si>
    <t>COR-19_82-10</t>
  </si>
  <si>
    <t>COR-19_82-11</t>
  </si>
  <si>
    <t>COR-19_82-12</t>
  </si>
  <si>
    <t>COR-19_82-13</t>
  </si>
  <si>
    <t>COR-19_82-14</t>
  </si>
  <si>
    <t>COR-19_82-15</t>
  </si>
  <si>
    <t>COR-19_82-16</t>
  </si>
  <si>
    <t>COR-19_82-17</t>
  </si>
  <si>
    <t>COR-19_82-18</t>
  </si>
  <si>
    <t>COR-19_82-19</t>
  </si>
  <si>
    <t>COR-19_82-20</t>
  </si>
  <si>
    <t>COR-19_82-21</t>
  </si>
  <si>
    <t>COR-19_82-22</t>
  </si>
  <si>
    <t>COR-19_82-23</t>
  </si>
  <si>
    <t>COR-19_82-24</t>
  </si>
  <si>
    <t>COR-19_82-25</t>
  </si>
  <si>
    <t>COR-19_84-01</t>
  </si>
  <si>
    <t>COR-19_84-02</t>
  </si>
  <si>
    <t>COR-19_84-03</t>
  </si>
  <si>
    <t>COR-19_84-04</t>
  </si>
  <si>
    <t>COR-19_84-05</t>
  </si>
  <si>
    <t>COR-19_84-06</t>
  </si>
  <si>
    <t>COR-19_84-07</t>
  </si>
  <si>
    <t>COR-19_84-08</t>
  </si>
  <si>
    <t>COR-19_84-09</t>
  </si>
  <si>
    <t>COR-19_84-10</t>
  </si>
  <si>
    <t>COR-19_84-11</t>
  </si>
  <si>
    <t>COR-19_84-12</t>
  </si>
  <si>
    <t>COR-19_84-13</t>
  </si>
  <si>
    <t>COR-19_84-14</t>
  </si>
  <si>
    <t>COR-19_84-15</t>
  </si>
  <si>
    <t>COR-19_84-16</t>
  </si>
  <si>
    <t>COR-19_84-17</t>
  </si>
  <si>
    <t>COR-19_84-18</t>
  </si>
  <si>
    <t>COR-19_84-19</t>
  </si>
  <si>
    <t>COR-19_84-20</t>
  </si>
  <si>
    <t>COR-19_84-21</t>
  </si>
  <si>
    <t>COR-19_84-22</t>
  </si>
  <si>
    <t>COR-19_84-23</t>
  </si>
  <si>
    <t>COR-19_84-24</t>
  </si>
  <si>
    <t>COR-19_84-25</t>
  </si>
  <si>
    <t>COR-19_85-01</t>
  </si>
  <si>
    <t>COR-19_85-02</t>
  </si>
  <si>
    <t>COR-19_85-03</t>
  </si>
  <si>
    <t>COR-19_85-04</t>
  </si>
  <si>
    <t>COR-19_85-05</t>
  </si>
  <si>
    <t>COR-19_85-06</t>
  </si>
  <si>
    <t>COR-19_85-07</t>
  </si>
  <si>
    <t>COR-19_85-08</t>
  </si>
  <si>
    <t>COR-19_85-09</t>
  </si>
  <si>
    <t>COR-19_85-10</t>
  </si>
  <si>
    <t>COR-19_85-11</t>
  </si>
  <si>
    <t>COR-19_85-12</t>
  </si>
  <si>
    <t>COR-19_85-13</t>
  </si>
  <si>
    <t>COR-19_85-14</t>
  </si>
  <si>
    <t>COR-19_85-15</t>
  </si>
  <si>
    <t>COR-19_85-16</t>
  </si>
  <si>
    <t>COR-19_85-17</t>
  </si>
  <si>
    <t>COR-19_85-18</t>
  </si>
  <si>
    <t>COR-19_85-19</t>
  </si>
  <si>
    <t>COR-19_85-20</t>
  </si>
  <si>
    <t>COR-19_85-21</t>
  </si>
  <si>
    <t>COR-19_85-22</t>
  </si>
  <si>
    <t>COR-19_85-23</t>
  </si>
  <si>
    <t>COR-19_85-24</t>
  </si>
  <si>
    <t>COR-19_85-25</t>
  </si>
  <si>
    <t>COR-19_101-01</t>
  </si>
  <si>
    <t>COR-19_101-02</t>
  </si>
  <si>
    <t>COR-19_101-03</t>
  </si>
  <si>
    <t>COR-19_101-04</t>
  </si>
  <si>
    <t>COR-19_101-05</t>
  </si>
  <si>
    <t>COR-19_101-06</t>
  </si>
  <si>
    <t>COR-19_101-07</t>
  </si>
  <si>
    <t>COR-19_101-08</t>
  </si>
  <si>
    <t>COR-19_101-09</t>
  </si>
  <si>
    <t>COR-19_101-10</t>
  </si>
  <si>
    <t>COR-19_101-11</t>
  </si>
  <si>
    <t>COR-19_101-12</t>
  </si>
  <si>
    <t>COR-19_101-13</t>
  </si>
  <si>
    <t>COR-19_101-14</t>
  </si>
  <si>
    <t>COR-19_101-15</t>
  </si>
  <si>
    <t>COR-19_101-16</t>
  </si>
  <si>
    <t>COR-19_101-17</t>
  </si>
  <si>
    <t>COR-19_101-18</t>
  </si>
  <si>
    <t>COR-19_101-19</t>
  </si>
  <si>
    <t>COR-19_101-20</t>
  </si>
  <si>
    <t>COR-19_101-21</t>
  </si>
  <si>
    <t>COR-19_101-22</t>
  </si>
  <si>
    <t>COR-19_101-23</t>
  </si>
  <si>
    <t>COR-19_101-24</t>
  </si>
  <si>
    <t>COR-19_101-25</t>
  </si>
  <si>
    <t>COR-19_158-01</t>
  </si>
  <si>
    <t>COR-19_158-02</t>
  </si>
  <si>
    <t>COR-19_158-03</t>
  </si>
  <si>
    <t>COR-19_158-04</t>
  </si>
  <si>
    <t>COR-19_158-05</t>
  </si>
  <si>
    <t>COR-19_158-06</t>
  </si>
  <si>
    <t>COR-19_158-07</t>
  </si>
  <si>
    <t>COR-19_158-08</t>
  </si>
  <si>
    <t>COR-19_158-09</t>
  </si>
  <si>
    <t>COR-19_158-10</t>
  </si>
  <si>
    <t>COR-19_158-11</t>
  </si>
  <si>
    <t>COR-19_158-12</t>
  </si>
  <si>
    <t>COR-19_158-13</t>
  </si>
  <si>
    <t>COR-19_158-14</t>
  </si>
  <si>
    <t>COR-19_158-15</t>
  </si>
  <si>
    <t>COR-19_158-16</t>
  </si>
  <si>
    <t>COR-19_158-17</t>
  </si>
  <si>
    <t>COR-19_158-18</t>
  </si>
  <si>
    <t>COR-19_158-19</t>
  </si>
  <si>
    <t>COR-19_158-20</t>
  </si>
  <si>
    <t>COR-19_158-21</t>
  </si>
  <si>
    <t>COR-19_158-22</t>
  </si>
  <si>
    <t>COR-19_158-23</t>
  </si>
  <si>
    <t>COR-19_158-24</t>
  </si>
  <si>
    <t>COR-19_158-25</t>
  </si>
  <si>
    <t>COR-19_196-01</t>
  </si>
  <si>
    <t>COR-19_196-02</t>
  </si>
  <si>
    <t>COR-19_196-03</t>
  </si>
  <si>
    <t>COR-19_196-04</t>
  </si>
  <si>
    <t>COR-19_196-05</t>
  </si>
  <si>
    <t>COR-19_196-06</t>
  </si>
  <si>
    <t>COR-19_196-07</t>
  </si>
  <si>
    <t>COR-19_196-08</t>
  </si>
  <si>
    <t>COR-19_196-09</t>
  </si>
  <si>
    <t>COR-19_196-10</t>
  </si>
  <si>
    <t>COR-19_196-11</t>
  </si>
  <si>
    <t>COR-19_196-12</t>
  </si>
  <si>
    <t>COR-19_196-13</t>
  </si>
  <si>
    <t>COR-19_196-14</t>
  </si>
  <si>
    <t>COR-19_196-15</t>
  </si>
  <si>
    <t>COR-19_120-01</t>
  </si>
  <si>
    <t>COR-19_120-02</t>
  </si>
  <si>
    <t>COR-19_120-03</t>
  </si>
  <si>
    <t>COR-19_120-04</t>
  </si>
  <si>
    <t>COR-19_120-05</t>
  </si>
  <si>
    <t>COR-19_120-06</t>
  </si>
  <si>
    <t>COR-19_209-01</t>
  </si>
  <si>
    <t>COR-19_178-01</t>
  </si>
  <si>
    <t>COR-19_178-02</t>
  </si>
  <si>
    <t>COR-19_178-03</t>
  </si>
  <si>
    <t>COR-19_177-01</t>
  </si>
  <si>
    <t>COR-19_177-02</t>
  </si>
  <si>
    <t>COR-19_177-03</t>
  </si>
  <si>
    <t>COR-19_177-04</t>
  </si>
  <si>
    <t>COR-19_177-05</t>
  </si>
  <si>
    <t>COR-19_177-06</t>
  </si>
  <si>
    <t>COR-19_177-07</t>
  </si>
  <si>
    <t>COR-19_177-08</t>
  </si>
  <si>
    <t>COR-19_177-09</t>
  </si>
  <si>
    <t>COR-19_177-10</t>
  </si>
  <si>
    <t>COR-19_177-11</t>
  </si>
  <si>
    <t>COR-19_177-12</t>
  </si>
  <si>
    <t>COR-19_177-13</t>
  </si>
  <si>
    <t>COR-19_177-14</t>
  </si>
  <si>
    <t>COR-19_177-15</t>
  </si>
  <si>
    <t>COR-19_177-16</t>
  </si>
  <si>
    <t>COR-19_177-17</t>
  </si>
  <si>
    <t>COR-19_177-18</t>
  </si>
  <si>
    <t>COR-19_177-19</t>
  </si>
  <si>
    <t>COR-19_177-20</t>
  </si>
  <si>
    <t>COR-19_177-21</t>
  </si>
  <si>
    <t>COR-19_177-22</t>
  </si>
  <si>
    <t>COR-19_177-23</t>
  </si>
  <si>
    <t>COR-19_177-24</t>
  </si>
  <si>
    <t>COR-19_177-25</t>
  </si>
  <si>
    <t>COR-19_176-01</t>
  </si>
  <si>
    <t>COR-19_176-02</t>
  </si>
  <si>
    <t>COR-19_176-03</t>
  </si>
  <si>
    <t>COR-19_176-04</t>
  </si>
  <si>
    <t>COR-19_176-05</t>
  </si>
  <si>
    <t>COR-19_176-06</t>
  </si>
  <si>
    <t>COR-19_176-07</t>
  </si>
  <si>
    <t>COR-19_195-01</t>
  </si>
  <si>
    <t>COR-19_195-02</t>
  </si>
  <si>
    <t>COR-19_195-03</t>
  </si>
  <si>
    <t>COR-19_195-04</t>
  </si>
  <si>
    <t>COR-19_195-05</t>
  </si>
  <si>
    <t>COR-19_195-06</t>
  </si>
  <si>
    <t>COR-19_195-07</t>
  </si>
  <si>
    <t>COR-19_195-08</t>
  </si>
  <si>
    <t>COR-19_195-09</t>
  </si>
  <si>
    <t>COR-19_195-10</t>
  </si>
  <si>
    <t>COR-19_195-11</t>
  </si>
  <si>
    <t>COR-19_195-12</t>
  </si>
  <si>
    <t>COR-19_195-13</t>
  </si>
  <si>
    <t>COR-19_195-14</t>
  </si>
  <si>
    <t>COR-19_195-15</t>
  </si>
  <si>
    <t>COR-19_195-16</t>
  </si>
  <si>
    <t>COR-19_195-17</t>
  </si>
  <si>
    <t>COR-19_194-01</t>
  </si>
  <si>
    <t>COR-19_193-01</t>
  </si>
  <si>
    <t>COR-19_174-01</t>
  </si>
  <si>
    <t>COR-19_174-02</t>
  </si>
  <si>
    <t>COR-19_174-03</t>
  </si>
  <si>
    <t>COR-19_174-04</t>
  </si>
  <si>
    <t>COR-19_460-01</t>
  </si>
  <si>
    <t>COR-19_460-02</t>
  </si>
  <si>
    <t>COR-19_460-03</t>
  </si>
  <si>
    <t>COR-19_460-04</t>
  </si>
  <si>
    <t>COR-19_460-05</t>
  </si>
  <si>
    <t>COR-19_460-06</t>
  </si>
  <si>
    <t>COR-19_460-07</t>
  </si>
  <si>
    <t>COR-19_460-08</t>
  </si>
  <si>
    <t>COR-19_460-09</t>
  </si>
  <si>
    <t>COR-19_460-10</t>
  </si>
  <si>
    <t>COR-19_460-11</t>
  </si>
  <si>
    <t>COR-19_460-12</t>
  </si>
  <si>
    <t>COR-19_460-13</t>
  </si>
  <si>
    <t>COR-19_460-14</t>
  </si>
  <si>
    <t>COR-19_460-15</t>
  </si>
  <si>
    <t>COR-19_459-01</t>
  </si>
  <si>
    <t>COR-19_459-02</t>
  </si>
  <si>
    <t>COR-19_459-03</t>
  </si>
  <si>
    <t>COR-19_459-04</t>
  </si>
  <si>
    <t>COR-19_459-05</t>
  </si>
  <si>
    <t>COR-19_459-06</t>
  </si>
  <si>
    <t>COR-19_461-01</t>
  </si>
  <si>
    <t>COR-19_461-02</t>
  </si>
  <si>
    <t>COR-19_461-03</t>
  </si>
  <si>
    <t>COR-19_461-04</t>
  </si>
  <si>
    <t>COR-19_461-05</t>
  </si>
  <si>
    <t>COR-19_461-06</t>
  </si>
  <si>
    <t>COR-19_461-07</t>
  </si>
  <si>
    <t>COR-19_461-08</t>
  </si>
  <si>
    <t>COR-19_461-09</t>
  </si>
  <si>
    <t>COR-19_461-10</t>
  </si>
  <si>
    <t>COR-19_461-11</t>
  </si>
  <si>
    <t>COR-19_461-12</t>
  </si>
  <si>
    <t>COR-19_461-13</t>
  </si>
  <si>
    <t>COR-19_461-14</t>
  </si>
  <si>
    <t>COR-19_461-15</t>
  </si>
  <si>
    <t>COR-19_461-16</t>
  </si>
  <si>
    <t>COR-19_461-17</t>
  </si>
  <si>
    <t>COR-19_457-01</t>
  </si>
  <si>
    <t>COR-19_457-02</t>
  </si>
  <si>
    <t>COR-19_457-03</t>
  </si>
  <si>
    <t>COR-19_457-04</t>
  </si>
  <si>
    <t>COR-19_457-05</t>
  </si>
  <si>
    <t>COR-19_457-06</t>
  </si>
  <si>
    <t>COR-19_457-07</t>
  </si>
  <si>
    <t>COR-19_457-08</t>
  </si>
  <si>
    <t>COR-19_456-01</t>
  </si>
  <si>
    <t>COR-19_456-02</t>
  </si>
  <si>
    <t>COR-19_456-03</t>
  </si>
  <si>
    <t>COR-19_456-04</t>
  </si>
  <si>
    <t>COR-19_456-05</t>
  </si>
  <si>
    <t>COR-19_456-06</t>
  </si>
  <si>
    <t>COR-19_456-07</t>
  </si>
  <si>
    <t>COR-19_456-08</t>
  </si>
  <si>
    <t>COR-19_456-09</t>
  </si>
  <si>
    <t>COR-19_456-10</t>
  </si>
  <si>
    <t>COR-19_456-11</t>
  </si>
  <si>
    <t>COR-19_456-12</t>
  </si>
  <si>
    <t>COR-19_456-13</t>
  </si>
  <si>
    <t>COR-19_456-14</t>
  </si>
  <si>
    <t>COR-19_456-15</t>
  </si>
  <si>
    <t>COR-19_456-16</t>
  </si>
  <si>
    <t>COR-19_456-17</t>
  </si>
  <si>
    <t>COR-19_456-18</t>
  </si>
  <si>
    <t>COR-19_456-19</t>
  </si>
  <si>
    <t>COR-19_456-20</t>
  </si>
  <si>
    <t>COR-19_456-21</t>
  </si>
  <si>
    <t>COR-19_456-22</t>
  </si>
  <si>
    <t>COR-19_456-23</t>
  </si>
  <si>
    <t>COR-19_456-24</t>
  </si>
  <si>
    <t>COR-19_456-25</t>
  </si>
  <si>
    <t>COR-19_451-01</t>
  </si>
  <si>
    <t>COR-19_451-02</t>
  </si>
  <si>
    <t>COR-19_451-03</t>
  </si>
  <si>
    <t>COR-19_451-04</t>
  </si>
  <si>
    <t>COR-19_451-05</t>
  </si>
  <si>
    <t>COR-19_451-06</t>
  </si>
  <si>
    <t>COR-19_451-07</t>
  </si>
  <si>
    <t>COR-19_451-08</t>
  </si>
  <si>
    <t>COR-19_451-09</t>
  </si>
  <si>
    <t>COR-19_463-01</t>
  </si>
  <si>
    <t>COR-19_463-02</t>
  </si>
  <si>
    <t>COR-19_463-03</t>
  </si>
  <si>
    <t>COR-19_464-01</t>
  </si>
  <si>
    <t>COR-19_464-02</t>
  </si>
  <si>
    <t>COR-19_465-01</t>
  </si>
  <si>
    <t>COR-19_465-02</t>
  </si>
  <si>
    <t>COR-19_465-03</t>
  </si>
  <si>
    <t>COR-19_465-04</t>
  </si>
  <si>
    <t>COR-19_465-05</t>
  </si>
  <si>
    <t>COR-19_465-06</t>
  </si>
  <si>
    <t>COR-19_465-07</t>
  </si>
  <si>
    <t>COR-19_465-08</t>
  </si>
  <si>
    <t>COR-19_422-01</t>
  </si>
  <si>
    <t>COR-19_422-02</t>
  </si>
  <si>
    <t>COR-19_422-03</t>
  </si>
  <si>
    <t>COR-19_422-04</t>
  </si>
  <si>
    <t>COR-19_422-05</t>
  </si>
  <si>
    <t>COR-19_422-06</t>
  </si>
  <si>
    <t>COR-19_422-07</t>
  </si>
  <si>
    <t>COR-19_422-08</t>
  </si>
  <si>
    <t>COR-19_422-09</t>
  </si>
  <si>
    <t>COR-19_422-10</t>
  </si>
  <si>
    <t>COR-19_422-11</t>
  </si>
  <si>
    <t>COR-19_422-12</t>
  </si>
  <si>
    <t>COR-19_422-13</t>
  </si>
  <si>
    <t>COR-19_422-14</t>
  </si>
  <si>
    <t>COR-19_422-15</t>
  </si>
  <si>
    <t>COR-19_422-16</t>
  </si>
  <si>
    <t>COR-19_422-17</t>
  </si>
  <si>
    <t>COR-19_422-18</t>
  </si>
  <si>
    <t>COR-19_422-19</t>
  </si>
  <si>
    <t>COR-19_422-20</t>
  </si>
  <si>
    <t>COR-19_422-21</t>
  </si>
  <si>
    <t>COR-19_422-22</t>
  </si>
  <si>
    <t>COR-19_422-23</t>
  </si>
  <si>
    <t>COR-19_422-24</t>
  </si>
  <si>
    <t>COR-19_422-25</t>
  </si>
  <si>
    <t>COR-19_420-01</t>
  </si>
  <si>
    <t>COR-19_420-02</t>
  </si>
  <si>
    <t>COR-19_420-03</t>
  </si>
  <si>
    <t>COR-19_420-04</t>
  </si>
  <si>
    <t>COR-19_420-05</t>
  </si>
  <si>
    <t>COR-19_420-06</t>
  </si>
  <si>
    <t>COR-19_420-07</t>
  </si>
  <si>
    <t>COR-19_420-08</t>
  </si>
  <si>
    <t>COR-19_420-09</t>
  </si>
  <si>
    <t>COR-19_420-10</t>
  </si>
  <si>
    <t>COR-19_420-11</t>
  </si>
  <si>
    <t>COR-19_420-12</t>
  </si>
  <si>
    <t>COR-19_420-13</t>
  </si>
  <si>
    <t>COR-19_420-14</t>
  </si>
  <si>
    <t>COR-19_420-15</t>
  </si>
  <si>
    <t>COR-19_420-16</t>
  </si>
  <si>
    <t>COR-19_420-17</t>
  </si>
  <si>
    <t>COR-19_420-18</t>
  </si>
  <si>
    <t>COR-19_420-19</t>
  </si>
  <si>
    <t>COR-19_420-20</t>
  </si>
  <si>
    <t>COR-19_420-21</t>
  </si>
  <si>
    <t>COR-19_420-22</t>
  </si>
  <si>
    <t>COR-19_420-23</t>
  </si>
  <si>
    <t>COR-19_420-24</t>
  </si>
  <si>
    <t>COR-19_420-25</t>
  </si>
  <si>
    <t>COR-19_419-01</t>
  </si>
  <si>
    <t>COR-19_419-02</t>
  </si>
  <si>
    <t>COR-19_419-03</t>
  </si>
  <si>
    <t>COR-19_419-04</t>
  </si>
  <si>
    <t>COR-19_419-05</t>
  </si>
  <si>
    <t>COR-19_419-06</t>
  </si>
  <si>
    <t>COR-19_419-07</t>
  </si>
  <si>
    <t>COR-19_419-08</t>
  </si>
  <si>
    <t>COR-19_419-09</t>
  </si>
  <si>
    <t>COR-19_419-10</t>
  </si>
  <si>
    <t>COR-19_419-11</t>
  </si>
  <si>
    <t>COR-19_419-12</t>
  </si>
  <si>
    <t>COR-19_419-13</t>
  </si>
  <si>
    <t>COR-19_419-14</t>
  </si>
  <si>
    <t>COR-19_419-15</t>
  </si>
  <si>
    <t>COR-19_419-16</t>
  </si>
  <si>
    <t>COR-19_419-17</t>
  </si>
  <si>
    <t>COR-19_419-18</t>
  </si>
  <si>
    <t>COR-19_419-19</t>
  </si>
  <si>
    <t>COR-19_419-20</t>
  </si>
  <si>
    <t>COR-19_419-21</t>
  </si>
  <si>
    <t>COR-19_419-22</t>
  </si>
  <si>
    <t>COR-19_419-23</t>
  </si>
  <si>
    <t>COR-19_419-24</t>
  </si>
  <si>
    <t>COR-19_419-25</t>
  </si>
  <si>
    <t>COR-19_418-01</t>
  </si>
  <si>
    <t>COR-19_418-02</t>
  </si>
  <si>
    <t>COR-19_418-03</t>
  </si>
  <si>
    <t>COR-19_418-04</t>
  </si>
  <si>
    <t>COR-19_418-05</t>
  </si>
  <si>
    <t>COR-19_418-06</t>
  </si>
  <si>
    <t>COR-19_418-07</t>
  </si>
  <si>
    <t>COR-19_418-08</t>
  </si>
  <si>
    <t>COR-19_418-09</t>
  </si>
  <si>
    <t>COR-19_418-10</t>
  </si>
  <si>
    <t>COR-19_418-11</t>
  </si>
  <si>
    <t>COR-19_418-12</t>
  </si>
  <si>
    <t>COR-19_418-13</t>
  </si>
  <si>
    <t>COR-19_418-14</t>
  </si>
  <si>
    <t>COR-19_418-15</t>
  </si>
  <si>
    <t>COR-19_418-16</t>
  </si>
  <si>
    <t>COR-19_418-17</t>
  </si>
  <si>
    <t>COR-19_418-18</t>
  </si>
  <si>
    <t>COR-19_418-19</t>
  </si>
  <si>
    <t>COR-19_418-20</t>
  </si>
  <si>
    <t>COR-19_418-21</t>
  </si>
  <si>
    <t>COR-19_418-22</t>
  </si>
  <si>
    <t>COR-19_418-23</t>
  </si>
  <si>
    <t>COR-19_418-24</t>
  </si>
  <si>
    <t>COR-19_418-25</t>
  </si>
  <si>
    <t>COR-19_417-01</t>
  </si>
  <si>
    <t>COR-19_417-02</t>
  </si>
  <si>
    <t>COR-19_417-03</t>
  </si>
  <si>
    <t>COR-19_417-04</t>
  </si>
  <si>
    <t>COR-19_417-05</t>
  </si>
  <si>
    <t>COR-19_417-06</t>
  </si>
  <si>
    <t>COR-19_417-07</t>
  </si>
  <si>
    <t>COR-19_417-08</t>
  </si>
  <si>
    <t>COR-19_417-09</t>
  </si>
  <si>
    <t>COR-19_417-10</t>
  </si>
  <si>
    <t>COR-19_417-11</t>
  </si>
  <si>
    <t>COR-19_415-01</t>
  </si>
  <si>
    <t>COR-19_415-02</t>
  </si>
  <si>
    <t>COR-19_415-03</t>
  </si>
  <si>
    <t>COR-19_415-04</t>
  </si>
  <si>
    <t>COR-19_415-05</t>
  </si>
  <si>
    <t>COR-19_415-06</t>
  </si>
  <si>
    <t>COR-19_415-07</t>
  </si>
  <si>
    <t>COR-19_415-08</t>
  </si>
  <si>
    <t>COR-19_415-09</t>
  </si>
  <si>
    <t>COR-19_415-10</t>
  </si>
  <si>
    <t>COR-19_415-11</t>
  </si>
  <si>
    <t>COR-19_415-12</t>
  </si>
  <si>
    <t>COR-19_415-13</t>
  </si>
  <si>
    <t>COR-19_415-14</t>
  </si>
  <si>
    <t>COR-19_415-15</t>
  </si>
  <si>
    <t>COR-19_415-16</t>
  </si>
  <si>
    <t>COR-19_415-17</t>
  </si>
  <si>
    <t>COR-19_415-18</t>
  </si>
  <si>
    <t>COR-19_415-19</t>
  </si>
  <si>
    <t>COR-19_415-20</t>
  </si>
  <si>
    <t>COR-19_415-21</t>
  </si>
  <si>
    <t>COR-19_415-22</t>
  </si>
  <si>
    <t>COR-19_415-23</t>
  </si>
  <si>
    <t>COR-19_415-24</t>
  </si>
  <si>
    <t>COR-19_415-25</t>
  </si>
  <si>
    <t>COR-19_414-01</t>
  </si>
  <si>
    <t>COR-19_414-02</t>
  </si>
  <si>
    <t>COR-19_414-03</t>
  </si>
  <si>
    <t>COR-19_414-04</t>
  </si>
  <si>
    <t>COR-19_414-05</t>
  </si>
  <si>
    <t>COR-19_414-06</t>
  </si>
  <si>
    <t>COR-19_414-07</t>
  </si>
  <si>
    <t>COR-19_414-08</t>
  </si>
  <si>
    <t>COR-19_414-09</t>
  </si>
  <si>
    <t>COR-19_414-10</t>
  </si>
  <si>
    <t>COR-19_414-11</t>
  </si>
  <si>
    <t>COR-19_414-12</t>
  </si>
  <si>
    <t>COR-19_414-13</t>
  </si>
  <si>
    <t>COR-19_414-14</t>
  </si>
  <si>
    <t>COR-19_414-15</t>
  </si>
  <si>
    <t>COR-19_414-16</t>
  </si>
  <si>
    <t>COR-19_414-17</t>
  </si>
  <si>
    <t>COR-19_414-18</t>
  </si>
  <si>
    <t>COR-19_414-19</t>
  </si>
  <si>
    <t>COR-19_414-20</t>
  </si>
  <si>
    <t>COR-19_414-21</t>
  </si>
  <si>
    <t>COR-19_414-22</t>
  </si>
  <si>
    <t>COR-19_414-23</t>
  </si>
  <si>
    <t>COR-19_414-24</t>
  </si>
  <si>
    <t>COR-19_414-25</t>
  </si>
  <si>
    <t>COR-19_406-01</t>
  </si>
  <si>
    <t>COR-19_405-01</t>
  </si>
  <si>
    <t>COR-19_405-02</t>
  </si>
  <si>
    <t>COR-19_405-03</t>
  </si>
  <si>
    <t>COR-19_405-04</t>
  </si>
  <si>
    <t>COR-19_401-01</t>
  </si>
  <si>
    <t>COR-19_401-02</t>
  </si>
  <si>
    <t>COR-19_401-03</t>
  </si>
  <si>
    <t>COR-19_401-04</t>
  </si>
  <si>
    <t>COR-19_401-05</t>
  </si>
  <si>
    <t>COR-19_401-06</t>
  </si>
  <si>
    <t>COR-19_401-07</t>
  </si>
  <si>
    <t>COR-19_401-08</t>
  </si>
  <si>
    <t>COR-19_401-09</t>
  </si>
  <si>
    <t>COR-19_401-10</t>
  </si>
  <si>
    <t>COR-19_401-11</t>
  </si>
  <si>
    <t>COR-19_401-12</t>
  </si>
  <si>
    <t>COR-19_401-13</t>
  </si>
  <si>
    <t>COR-19_401-14</t>
  </si>
  <si>
    <t>COR-19_401-15</t>
  </si>
  <si>
    <t>COR-19_401-16</t>
  </si>
  <si>
    <t>COR-19_401-17</t>
  </si>
  <si>
    <t>COR-19_401-18</t>
  </si>
  <si>
    <t>COR-19_401-19</t>
  </si>
  <si>
    <t>COR-19_401-20</t>
  </si>
  <si>
    <t>COR-19_401-21</t>
  </si>
  <si>
    <t>COR-19_401-22</t>
  </si>
  <si>
    <t>COR-19_401-23</t>
  </si>
  <si>
    <t>COR-19_401-24</t>
  </si>
  <si>
    <t>COR-19_401-25</t>
  </si>
  <si>
    <t>COR-19_402-01</t>
  </si>
  <si>
    <t>COR-19_402-02</t>
  </si>
  <si>
    <t>COR-19_402-03</t>
  </si>
  <si>
    <t>COR-19_402-04</t>
  </si>
  <si>
    <t>COR-19_402-05</t>
  </si>
  <si>
    <t>COR-19_402-06</t>
  </si>
  <si>
    <t>COR-19_402-07</t>
  </si>
  <si>
    <t>COR-19_402-08</t>
  </si>
  <si>
    <t>COR-19_402-09</t>
  </si>
  <si>
    <t>COR-19_402-10</t>
  </si>
  <si>
    <t>COR-19_402-11</t>
  </si>
  <si>
    <t>COR-19_402-12</t>
  </si>
  <si>
    <t>COR-19_402-13</t>
  </si>
  <si>
    <t>COR-19_402-14</t>
  </si>
  <si>
    <t>COR-19_402-15</t>
  </si>
  <si>
    <t>COR-19_402-16</t>
  </si>
  <si>
    <t>COR-19_402-17</t>
  </si>
  <si>
    <t>COR-19_402-18</t>
  </si>
  <si>
    <t>COR-19_402-19</t>
  </si>
  <si>
    <t>COR-19_402-20</t>
  </si>
  <si>
    <t>COR-19_402-21</t>
  </si>
  <si>
    <t>COR-19_402-22</t>
  </si>
  <si>
    <t>COR-19_402-23</t>
  </si>
  <si>
    <t>COR-19_402-24</t>
  </si>
  <si>
    <t>COR-19_402-25</t>
  </si>
  <si>
    <t>COR-19_404-01</t>
  </si>
  <si>
    <t>COR-19_404-02</t>
  </si>
  <si>
    <t>COR-19_404-03</t>
  </si>
  <si>
    <t>COR-19_404-04</t>
  </si>
  <si>
    <t>COR-19_404-05</t>
  </si>
  <si>
    <t>COR-19_404-06</t>
  </si>
  <si>
    <t>COR-19_404-07</t>
  </si>
  <si>
    <t>COR-19_404-08</t>
  </si>
  <si>
    <t>COR-19_404-09</t>
  </si>
  <si>
    <t>COR-19_404-10</t>
  </si>
  <si>
    <t>COR-19_404-11</t>
  </si>
  <si>
    <t>COR-19_404-12</t>
  </si>
  <si>
    <t>COR-19_404-13</t>
  </si>
  <si>
    <t>COR-19_404-14</t>
  </si>
  <si>
    <t>COR-19_404-15</t>
  </si>
  <si>
    <t>COR-19_404-16</t>
  </si>
  <si>
    <t>COR-19_404-17</t>
  </si>
  <si>
    <t>COR-19_404-18</t>
  </si>
  <si>
    <t>COR-19_404-19</t>
  </si>
  <si>
    <t>COR-19_404-20</t>
  </si>
  <si>
    <t>COR-19_404-21</t>
  </si>
  <si>
    <t>COR-19_404-22</t>
  </si>
  <si>
    <t>COR-19_404-23</t>
  </si>
  <si>
    <t>COR-19_404-24</t>
  </si>
  <si>
    <t>COR-19_404-25</t>
  </si>
  <si>
    <t>COR-19_403-01</t>
  </si>
  <si>
    <t>COR-19_403-02</t>
  </si>
  <si>
    <t>COR-19_403-03</t>
  </si>
  <si>
    <t>COR-19_403-04</t>
  </si>
  <si>
    <t>COR-19_403-05</t>
  </si>
  <si>
    <t>COR-19_403-06</t>
  </si>
  <si>
    <t>COR-19_403-07</t>
  </si>
  <si>
    <t>COR-19_403-08</t>
  </si>
  <si>
    <t>COR-19_403-09</t>
  </si>
  <si>
    <t>COR-19_403-10</t>
  </si>
  <si>
    <t>COR-19_403-11</t>
  </si>
  <si>
    <t>COR-19_403-12</t>
  </si>
  <si>
    <t>COR-19_403-13</t>
  </si>
  <si>
    <t>COR-19_403-14</t>
  </si>
  <si>
    <t>COR-19_403-15</t>
  </si>
  <si>
    <t>COR-19_403-16</t>
  </si>
  <si>
    <t>COR-19_403-17</t>
  </si>
  <si>
    <t>COR-19_403-18</t>
  </si>
  <si>
    <t>COR-19_403-19</t>
  </si>
  <si>
    <t>COR-19_403-20</t>
  </si>
  <si>
    <t>COR-19_403-21</t>
  </si>
  <si>
    <t>COR-19_403-22</t>
  </si>
  <si>
    <t>COR-19_403-23</t>
  </si>
  <si>
    <t>COR-19_403-24</t>
  </si>
  <si>
    <t>COR-19_403-25</t>
  </si>
  <si>
    <t>COR-19_400-01</t>
  </si>
  <si>
    <t>COR-19_400-02</t>
  </si>
  <si>
    <t>COR-19_400-03</t>
  </si>
  <si>
    <t>COR-19_400-04</t>
  </si>
  <si>
    <t>COR-19_400-05</t>
  </si>
  <si>
    <t>COR-19_400-06</t>
  </si>
  <si>
    <t>COR-19_400-07</t>
  </si>
  <si>
    <t>COR-19_400-08</t>
  </si>
  <si>
    <t>COR-19_400-09</t>
  </si>
  <si>
    <t>COR-19_400-10</t>
  </si>
  <si>
    <t>COR-19_400-11</t>
  </si>
  <si>
    <t>COR-19_400-12</t>
  </si>
  <si>
    <t>COR-19_400-13</t>
  </si>
  <si>
    <t>COR-19_191-01</t>
  </si>
  <si>
    <t>COR-19_191-02</t>
  </si>
  <si>
    <t>COR-19_191-03</t>
  </si>
  <si>
    <t>COR-19_191-04</t>
  </si>
  <si>
    <t>COR-19_191-05</t>
  </si>
  <si>
    <t>COR-19_191-06</t>
  </si>
  <si>
    <t>COR-19_191-07</t>
  </si>
  <si>
    <t>COR-19_191-08</t>
  </si>
  <si>
    <t>COR-19_191-09</t>
  </si>
  <si>
    <t>COR-19_191-10</t>
  </si>
  <si>
    <t>COR-19_191-11</t>
  </si>
  <si>
    <t>COR-19_191-12</t>
  </si>
  <si>
    <t>COR-19_191-13</t>
  </si>
  <si>
    <t>COR-19_191-14</t>
  </si>
  <si>
    <t>COR-19_191-15</t>
  </si>
  <si>
    <t>COR-19_191-16</t>
  </si>
  <si>
    <t>COR-19_191-17</t>
  </si>
  <si>
    <t>COR-19_191-18</t>
  </si>
  <si>
    <t>COR-19_191-19</t>
  </si>
  <si>
    <t>COR-19_191-20</t>
  </si>
  <si>
    <t>COR-19_191-21</t>
  </si>
  <si>
    <t>COR-19_191-22</t>
  </si>
  <si>
    <t>COR-19_191-23</t>
  </si>
  <si>
    <t>COR-19_191-24</t>
  </si>
  <si>
    <t>COR-19_191-25</t>
  </si>
  <si>
    <t>COR-19_207-01</t>
  </si>
  <si>
    <t>COR-19_207-02</t>
  </si>
  <si>
    <t>COR-19_207-03</t>
  </si>
  <si>
    <t>COR-19_207-04</t>
  </si>
  <si>
    <t>COR-19_207-05</t>
  </si>
  <si>
    <t>COR-19_207-06</t>
  </si>
  <si>
    <t>COR-19_207-07</t>
  </si>
  <si>
    <t>COR-19_207-08</t>
  </si>
  <si>
    <t>COR-19_207-09</t>
  </si>
  <si>
    <t>COR-19_207-10</t>
  </si>
  <si>
    <t>COR-19_207-11</t>
  </si>
  <si>
    <t>COR-19_207-12</t>
  </si>
  <si>
    <t>COR-19_207-13</t>
  </si>
  <si>
    <t>COR-19_207-14</t>
  </si>
  <si>
    <t>COR-19_207-15</t>
  </si>
  <si>
    <t>COR-19_207-16</t>
  </si>
  <si>
    <t>COR-19_207-17</t>
  </si>
  <si>
    <t>COR-19_207-18</t>
  </si>
  <si>
    <t>COR-19_207-19</t>
  </si>
  <si>
    <t>COR-19_207-20</t>
  </si>
  <si>
    <t>COR-19_207-21</t>
  </si>
  <si>
    <t>COR-19_207-22</t>
  </si>
  <si>
    <t>COR-19_207-23</t>
  </si>
  <si>
    <t>COR-19_207-24</t>
  </si>
  <si>
    <t>COR-19_207-25</t>
  </si>
  <si>
    <t>COR-19_2161-01</t>
  </si>
  <si>
    <t>COR-19_2161-02</t>
  </si>
  <si>
    <t>COR-19_2161-03</t>
  </si>
  <si>
    <t>COR-19_2161-04</t>
  </si>
  <si>
    <t>COR-19_2161-05</t>
  </si>
  <si>
    <t>COR-19_2161-06</t>
  </si>
  <si>
    <t>COR-19_2161-07</t>
  </si>
  <si>
    <t>COR-19_2133-01</t>
  </si>
  <si>
    <t>COR-19_2133-02</t>
  </si>
  <si>
    <t>COR-19_2133-03</t>
  </si>
  <si>
    <t>COR-19_2133-04</t>
  </si>
  <si>
    <t>COR-19_2133-05</t>
  </si>
  <si>
    <t>COR-19_2133-06</t>
  </si>
  <si>
    <t>COR-19_2133-07</t>
  </si>
  <si>
    <t>COR-19_2133-08</t>
  </si>
  <si>
    <t>COR-19_2133-09</t>
  </si>
  <si>
    <t>COR-19_2133-10</t>
  </si>
  <si>
    <t>COR-19_2133-11</t>
  </si>
  <si>
    <t>COR-19_2133-12</t>
  </si>
  <si>
    <t>COR-19_2133-13</t>
  </si>
  <si>
    <t>COR-19_2133-14</t>
  </si>
  <si>
    <t>COR-19_2133-15</t>
  </si>
  <si>
    <t>COR-19_2133-16</t>
  </si>
  <si>
    <t>COR-19_2133-17</t>
  </si>
  <si>
    <t>COR-19_2133-18</t>
  </si>
  <si>
    <t>COR-19_2133-19</t>
  </si>
  <si>
    <t>COR-19_2133-20</t>
  </si>
  <si>
    <t>COR-19_2133-21</t>
  </si>
  <si>
    <t>COR-19_2133-22</t>
  </si>
  <si>
    <t>COR-19_2133-23</t>
  </si>
  <si>
    <t>COR-19_2133-24</t>
  </si>
  <si>
    <t>COR-19_2133-25</t>
  </si>
  <si>
    <t>COR-19_2124-01</t>
  </si>
  <si>
    <t>COR-19_2124-02</t>
  </si>
  <si>
    <t>COR-19_2124-03</t>
  </si>
  <si>
    <t>COR-19_2124-04</t>
  </si>
  <si>
    <t>COR-19_2124-05</t>
  </si>
  <si>
    <t>COR-19_2124-06</t>
  </si>
  <si>
    <t>COR-19_2124-07</t>
  </si>
  <si>
    <t>COR-19_2124-08</t>
  </si>
  <si>
    <t>COR-19_2124-09</t>
  </si>
  <si>
    <t>COR-19_2124-10</t>
  </si>
  <si>
    <t>COR-19_2124-11</t>
  </si>
  <si>
    <t>COR-19_2124-12</t>
  </si>
  <si>
    <t>COR-19_2124-13</t>
  </si>
  <si>
    <t>COR-19_2124-14</t>
  </si>
  <si>
    <t>COR-19_2124-15</t>
  </si>
  <si>
    <t>COR-19_2124-16</t>
  </si>
  <si>
    <t>COR-19_2124-17</t>
  </si>
  <si>
    <t>COR-19_2124-18</t>
  </si>
  <si>
    <t>COR-19_2124-19</t>
  </si>
  <si>
    <t>COR-19_2124-20</t>
  </si>
  <si>
    <t>COR-19_2124-21</t>
  </si>
  <si>
    <t>COR-19_2124-22</t>
  </si>
  <si>
    <t>COR-19_2124-23</t>
  </si>
  <si>
    <t>COR-19_2124-24</t>
  </si>
  <si>
    <t>COR-19_2147-01</t>
  </si>
  <si>
    <t>COR-19_2147-02</t>
  </si>
  <si>
    <t>COR-19_2147-03</t>
  </si>
  <si>
    <t>COR-19_2147-04</t>
  </si>
  <si>
    <t>COR-19_2147-05</t>
  </si>
  <si>
    <t>COR-19_2147-06</t>
  </si>
  <si>
    <t>COR-19_2147-07</t>
  </si>
  <si>
    <t>COR-19_2147-08</t>
  </si>
  <si>
    <t>COR-19_2147-09</t>
  </si>
  <si>
    <t>COR-19_2147-10</t>
  </si>
  <si>
    <t>COR-19_2147-11</t>
  </si>
  <si>
    <t>COR-19_2147-12</t>
  </si>
  <si>
    <t>COR-19_2147-13</t>
  </si>
  <si>
    <t>COR-19_2147-14</t>
  </si>
  <si>
    <t>COR-19_2147-15</t>
  </si>
  <si>
    <t>COR-19_2147-16</t>
  </si>
  <si>
    <t>COR-19_2147-17</t>
  </si>
  <si>
    <t>COR-19_2120-01</t>
  </si>
  <si>
    <t>COR-19_2120-02</t>
  </si>
  <si>
    <t>COR-19_2120-03</t>
  </si>
  <si>
    <t>COR-19_2120-04</t>
  </si>
  <si>
    <t>COR-19_2120-05</t>
  </si>
  <si>
    <t>COR-19_2120-06</t>
  </si>
  <si>
    <t>COR-19_2120-07</t>
  </si>
  <si>
    <t>COR-19_2120-08</t>
  </si>
  <si>
    <t>COR-19_2120-09</t>
  </si>
  <si>
    <t>COR-19_2120-10</t>
  </si>
  <si>
    <t>COR-19_2120-11</t>
  </si>
  <si>
    <t>COR-19_2120-12</t>
  </si>
  <si>
    <t>COR-19_2120-13</t>
  </si>
  <si>
    <t>COR-19_2120-14</t>
  </si>
  <si>
    <t>COR-19_2120-15</t>
  </si>
  <si>
    <t>COR-19_2120-16</t>
  </si>
  <si>
    <t>COR-19_2120-17</t>
  </si>
  <si>
    <t>COR-19_2120-18</t>
  </si>
  <si>
    <t>COR-19_2120-19</t>
  </si>
  <si>
    <t>COR-19_2120-20</t>
  </si>
  <si>
    <t>COR-19_2120-21</t>
  </si>
  <si>
    <t>COR-19_2120-22</t>
  </si>
  <si>
    <t>COR-19_2120-23</t>
  </si>
  <si>
    <t>COR-19_2120-24</t>
  </si>
  <si>
    <t>COR-19_2120-25</t>
  </si>
  <si>
    <t>COR-19_2136-01</t>
  </si>
  <si>
    <t>COR-19_2136-02</t>
  </si>
  <si>
    <t>COR-19_2136-03</t>
  </si>
  <si>
    <t>COR-19_2136-04</t>
  </si>
  <si>
    <t>COR-19_2136-05</t>
  </si>
  <si>
    <t>COR-19_2136-06</t>
  </si>
  <si>
    <t>COR-19_2136-07</t>
  </si>
  <si>
    <t>COR-19_2136-08</t>
  </si>
  <si>
    <t>COR-19_2136-09</t>
  </si>
  <si>
    <t>COR-19_2136-10</t>
  </si>
  <si>
    <t>COR-19_2136-11</t>
  </si>
  <si>
    <t>COR-19_2136-12</t>
  </si>
  <si>
    <t>COR-19_2136-13</t>
  </si>
  <si>
    <t>COR-19_2136-14</t>
  </si>
  <si>
    <t>COR-19_2136-15</t>
  </si>
  <si>
    <t>COR-19_2136-16</t>
  </si>
  <si>
    <t>COR-19_2136-17</t>
  </si>
  <si>
    <t>COR-19_2136-18</t>
  </si>
  <si>
    <t>COR-19_2136-19</t>
  </si>
  <si>
    <t>COR-19_2136-20</t>
  </si>
  <si>
    <t>COR-19_2136-21</t>
  </si>
  <si>
    <t>COR-19_2136-22</t>
  </si>
  <si>
    <t>COR-19_2136-23</t>
  </si>
  <si>
    <t>COR-19_2136-24</t>
  </si>
  <si>
    <t>COR-19_2136-25</t>
  </si>
  <si>
    <t>COR-19_2151-01</t>
  </si>
  <si>
    <t>COR-19_2151-02</t>
  </si>
  <si>
    <t>COR-19_2151-03</t>
  </si>
  <si>
    <t>COR-19_2151-04</t>
  </si>
  <si>
    <t>COR-19_2151-05</t>
  </si>
  <si>
    <t>COR-19_2151-06</t>
  </si>
  <si>
    <t>COR-19_2151-07</t>
  </si>
  <si>
    <t>COR-19_2115-01</t>
  </si>
  <si>
    <t>COR-19_2115-02</t>
  </si>
  <si>
    <t>COR-19_2115-03</t>
  </si>
  <si>
    <t>COR-19_2115-04</t>
  </si>
  <si>
    <t>COR-19_2115-05</t>
  </si>
  <si>
    <t>COR-19_2115-06</t>
  </si>
  <si>
    <t>COR-19_2115-07</t>
  </si>
  <si>
    <t>COR-19_2115-08</t>
  </si>
  <si>
    <t>COR-19_2115-09</t>
  </si>
  <si>
    <t>COR-19_2115-10</t>
  </si>
  <si>
    <t>COR-19_2115-11</t>
  </si>
  <si>
    <t>COR-19_2115-12</t>
  </si>
  <si>
    <t>COR-19_2115-13</t>
  </si>
  <si>
    <t>COR-19_2115-14</t>
  </si>
  <si>
    <t>COR-19_2115-15</t>
  </si>
  <si>
    <t>COR-19_2115-16</t>
  </si>
  <si>
    <t>COR-19_2115-17</t>
  </si>
  <si>
    <t>COR-19_2115-18</t>
  </si>
  <si>
    <t>COR-19_2115-19</t>
  </si>
  <si>
    <t>COR-19_2115-20</t>
  </si>
  <si>
    <t>COR-19_2115-21</t>
  </si>
  <si>
    <t>COR-19_2115-22</t>
  </si>
  <si>
    <t>COR-19_2115-23</t>
  </si>
  <si>
    <t>COR-19_2115-24</t>
  </si>
  <si>
    <t>COR-19_2115-25</t>
  </si>
  <si>
    <t>COR-19_2128-01</t>
  </si>
  <si>
    <t>COR-19_2134-01</t>
  </si>
  <si>
    <t>COR-19_2118-01</t>
  </si>
  <si>
    <t>COR-19_2118-02</t>
  </si>
  <si>
    <t>COR-19_2118-03</t>
  </si>
  <si>
    <t>COR-19_2118-04</t>
  </si>
  <si>
    <t>COR-19_2118-05</t>
  </si>
  <si>
    <t>COR-19_2118-06</t>
  </si>
  <si>
    <t>COR-19_2118-07</t>
  </si>
  <si>
    <t>COR-19_2118-08</t>
  </si>
  <si>
    <t>COR-19_2118-09</t>
  </si>
  <si>
    <t>COR-19_2118-10</t>
  </si>
  <si>
    <t>COR-19_2118-11</t>
  </si>
  <si>
    <t>COR-19_2118-12</t>
  </si>
  <si>
    <t>COR-19_2118-13</t>
  </si>
  <si>
    <t>COR-19_2118-14</t>
  </si>
  <si>
    <t>COR-19_2118-15</t>
  </si>
  <si>
    <t>COR-19_2118-16</t>
  </si>
  <si>
    <t>COR-19_2118-17</t>
  </si>
  <si>
    <t>COR-19_2118-18</t>
  </si>
  <si>
    <t>COR-19_2118-19</t>
  </si>
  <si>
    <t>COR-19_2118-20</t>
  </si>
  <si>
    <t>COR-19_2122-01</t>
  </si>
  <si>
    <t>COR-19_2122-02</t>
  </si>
  <si>
    <t>COR-19_2138-01</t>
  </si>
  <si>
    <t>COR-19_2138-02</t>
  </si>
  <si>
    <t>COR-19_2150-01</t>
  </si>
  <si>
    <t>COR-19_2150-02</t>
  </si>
  <si>
    <t>COR-19_2150-03</t>
  </si>
  <si>
    <t>COR-19_2150-04</t>
  </si>
  <si>
    <t>COR-19_2150-05</t>
  </si>
  <si>
    <t>COR-19_2150-06</t>
  </si>
  <si>
    <t>COR-19_2154-01</t>
  </si>
  <si>
    <t>COR-19_2154-02</t>
  </si>
  <si>
    <t>COR-19_2152-01</t>
  </si>
  <si>
    <t>COR-19_2152-02</t>
  </si>
  <si>
    <t>COR-19_2152-03</t>
  </si>
  <si>
    <t>COR-19_2152-04</t>
  </si>
  <si>
    <t>COR-19_2116-01</t>
  </si>
  <si>
    <t>COR-19_2116-02</t>
  </si>
  <si>
    <t>COR-19_2116-03</t>
  </si>
  <si>
    <t>COR-19_2116-04</t>
  </si>
  <si>
    <t>COR-19_2116-05</t>
  </si>
  <si>
    <t>COR-19_2116-06</t>
  </si>
  <si>
    <t>COR-19_2116-07</t>
  </si>
  <si>
    <t>COR-19_2116-08</t>
  </si>
  <si>
    <t>COR-19_2116-09</t>
  </si>
  <si>
    <t>COR-19_2116-10</t>
  </si>
  <si>
    <t>COR-19_2116-11</t>
  </si>
  <si>
    <t>COR-19_2116-12</t>
  </si>
  <si>
    <t>COR-19_2116-13</t>
  </si>
  <si>
    <t>COR-19_2116-14</t>
  </si>
  <si>
    <t>COR-19_2116-15</t>
  </si>
  <si>
    <t>COR-19_2116-16</t>
  </si>
  <si>
    <t>COR-19_2116-17</t>
  </si>
  <si>
    <t>COR-19_2116-18</t>
  </si>
  <si>
    <t>COR-19_2116-19</t>
  </si>
  <si>
    <t>COR-19_2116-20</t>
  </si>
  <si>
    <t>COR-19_2116-21</t>
  </si>
  <si>
    <t>COR-19_2116-22</t>
  </si>
  <si>
    <t>COR-19_2116-23</t>
  </si>
  <si>
    <t>COR-19_2116-24</t>
  </si>
  <si>
    <t>COR-19_2116-25</t>
  </si>
  <si>
    <t>COR-19_2141-01</t>
  </si>
  <si>
    <t>COR-19_2141-02</t>
  </si>
  <si>
    <t>COR-19_2141-03</t>
  </si>
  <si>
    <t>COR-19_2141-04</t>
  </si>
  <si>
    <t>COR-19_2141-05</t>
  </si>
  <si>
    <t>COR-19_2141-06</t>
  </si>
  <si>
    <t>COR-19_2141-07</t>
  </si>
  <si>
    <t>COR-19_2141-08</t>
  </si>
  <si>
    <t>COR-19_2125-01</t>
  </si>
  <si>
    <t>COR-19_2125-02</t>
  </si>
  <si>
    <t>COR-19_2148-01</t>
  </si>
  <si>
    <t>COR-19_2148-02</t>
  </si>
  <si>
    <t>COR-19_2039-01</t>
  </si>
  <si>
    <t>COR-19_2039-02</t>
  </si>
  <si>
    <t>COR-19_2039-03</t>
  </si>
  <si>
    <t>COR-19_2039-04</t>
  </si>
  <si>
    <t>COR-19_2137-01</t>
  </si>
  <si>
    <t>COR-19_2137-02</t>
  </si>
  <si>
    <t>COR-19_2137-03</t>
  </si>
  <si>
    <t>COR-19_2137-04</t>
  </si>
  <si>
    <t>COR-19_2137-05</t>
  </si>
  <si>
    <t>COR-19_2137-06</t>
  </si>
  <si>
    <t>COR-19_2137-07</t>
  </si>
  <si>
    <t>COR-19_2137-08</t>
  </si>
  <si>
    <t>COR-19_2137-09</t>
  </si>
  <si>
    <t>COR-19_2137-10</t>
  </si>
  <si>
    <t>COR-19_2137-11</t>
  </si>
  <si>
    <t>COR-19_2137-12</t>
  </si>
  <si>
    <t>COR-19_2137-13</t>
  </si>
  <si>
    <t>COR-19_2137-14</t>
  </si>
  <si>
    <t>COR-19_2137-15</t>
  </si>
  <si>
    <t>COR-19_2137-16</t>
  </si>
  <si>
    <t>COR-19_2137-17</t>
  </si>
  <si>
    <t>COR-19_2137-18</t>
  </si>
  <si>
    <t>COR-19_2137-19</t>
  </si>
  <si>
    <t>COR-19_2137-20</t>
  </si>
  <si>
    <t>COR-19_2137-21</t>
  </si>
  <si>
    <t>COR-19_2137-22</t>
  </si>
  <si>
    <t>COR-19_2137-23</t>
  </si>
  <si>
    <t>COR-19_2137-24</t>
  </si>
  <si>
    <t>COR-19_2137-25</t>
  </si>
  <si>
    <t>COR-19_2121-01</t>
  </si>
  <si>
    <t>COR-19_2121-02</t>
  </si>
  <si>
    <t>COR-19_2121-03</t>
  </si>
  <si>
    <t>COR-19_2121-04</t>
  </si>
  <si>
    <t>COR-19_2121-05</t>
  </si>
  <si>
    <t>COR-19_2121-06</t>
  </si>
  <si>
    <t>COR-19_2121-07</t>
  </si>
  <si>
    <t>COR-19_2121-08</t>
  </si>
  <si>
    <t>COR-19_2121-09</t>
  </si>
  <si>
    <t>COR-19_2121-10</t>
  </si>
  <si>
    <t>COR-19_2121-11</t>
  </si>
  <si>
    <t>COR-19_2121-12</t>
  </si>
  <si>
    <t>COR-19_2121-13</t>
  </si>
  <si>
    <t>COR-19_2121-14</t>
  </si>
  <si>
    <t>COR-19_2121-15</t>
  </si>
  <si>
    <t>COR-19_2121-16</t>
  </si>
  <si>
    <t>COR-19_2121-17</t>
  </si>
  <si>
    <t>COR-19_2121-18</t>
  </si>
  <si>
    <t>COR-19_2121-19</t>
  </si>
  <si>
    <t>COR-19_2121-20</t>
  </si>
  <si>
    <t>COR-19_2121-21</t>
  </si>
  <si>
    <t>COR-19_2059-01</t>
  </si>
  <si>
    <t>COR-19_2059-02</t>
  </si>
  <si>
    <t>COR-19_2059-03</t>
  </si>
  <si>
    <t>COR-19_2059-04</t>
  </si>
  <si>
    <t>COR-19_2059-05</t>
  </si>
  <si>
    <t>COR-19_2059-06</t>
  </si>
  <si>
    <t>COR-19_2059-07</t>
  </si>
  <si>
    <t>COR-19_2059-08</t>
  </si>
  <si>
    <t>COR-19_2059-09</t>
  </si>
  <si>
    <t>COR-19_2059-10</t>
  </si>
  <si>
    <t>COR-19_2059-11</t>
  </si>
  <si>
    <t>COR-19_2059-12</t>
  </si>
  <si>
    <t>COR-19_2059-13</t>
  </si>
  <si>
    <t>COR-19_2059-14</t>
  </si>
  <si>
    <t>COR-19_2059-15</t>
  </si>
  <si>
    <t>COR-19_2059-16</t>
  </si>
  <si>
    <t>COR-19_2059-17</t>
  </si>
  <si>
    <t>COR-19_2059-18</t>
  </si>
  <si>
    <t>COR-19_2059-19</t>
  </si>
  <si>
    <t>COR-19_2153-01</t>
  </si>
  <si>
    <t>COR-19_2153-02</t>
  </si>
  <si>
    <t>COR-19_2153-03</t>
  </si>
  <si>
    <t>COR-19_2153-04</t>
  </si>
  <si>
    <t>COR-19_2153-05</t>
  </si>
  <si>
    <t>COR-19_2153-06</t>
  </si>
  <si>
    <t>COR-19_2153-07</t>
  </si>
  <si>
    <t>COR-19_2153-08</t>
  </si>
  <si>
    <t>COR-19_2153-09</t>
  </si>
  <si>
    <t>COR-19_2153-10</t>
  </si>
  <si>
    <t>COR-19_2153-11</t>
  </si>
  <si>
    <t>COR-19_2153-12</t>
  </si>
  <si>
    <t>COR-19_2153-13</t>
  </si>
  <si>
    <t>COR-19_2153-14</t>
  </si>
  <si>
    <t>COR-19_2153-15</t>
  </si>
  <si>
    <t>COR-19_2153-16</t>
  </si>
  <si>
    <t>COR-19_2153-17</t>
  </si>
  <si>
    <t>COR-19_2153-18</t>
  </si>
  <si>
    <t>COR-19_2153-19</t>
  </si>
  <si>
    <t>COR-19_2153-20</t>
  </si>
  <si>
    <t>COR-19_2153-21</t>
  </si>
  <si>
    <t>COR-19_2153-22</t>
  </si>
  <si>
    <t>COR-19_2153-23</t>
  </si>
  <si>
    <t>COR-19_2129-01</t>
  </si>
  <si>
    <t>COR-19_2129-02</t>
  </si>
  <si>
    <t>COR-19_2129-03</t>
  </si>
  <si>
    <t>COR-19_2145-01</t>
  </si>
  <si>
    <t>COR-19_2145-02</t>
  </si>
  <si>
    <t>COR-19_2145-03</t>
  </si>
  <si>
    <t>COR-19_2145-04</t>
  </si>
  <si>
    <t>COR-19_2165-01</t>
  </si>
  <si>
    <t>COR-19_2165-02</t>
  </si>
  <si>
    <t>COR-19_2165-03</t>
  </si>
  <si>
    <t>COR-19_2165-04</t>
  </si>
  <si>
    <t>COR-19_2126-01</t>
  </si>
  <si>
    <t>COR-19_2126-02</t>
  </si>
  <si>
    <t>COR-19_2119-01</t>
  </si>
  <si>
    <t>COR-19_2119-02</t>
  </si>
  <si>
    <t>COR-19_2119-03</t>
  </si>
  <si>
    <t>COR-19_2119-04</t>
  </si>
  <si>
    <t>COR-19_2135-01</t>
  </si>
  <si>
    <t>COR-19_2135-02</t>
  </si>
  <si>
    <t>COR-19_2139-01</t>
  </si>
  <si>
    <t>COR-19_2139-02</t>
  </si>
  <si>
    <t>COR-19_2139-03</t>
  </si>
  <si>
    <t>COR-19_2139-04</t>
  </si>
  <si>
    <t>COR-19_2139-05</t>
  </si>
  <si>
    <t>COR-19_2139-06</t>
  </si>
  <si>
    <t>COR-19_753-01</t>
  </si>
  <si>
    <t>COR-19_2155-01</t>
  </si>
  <si>
    <t>COR-19_2155-02</t>
  </si>
  <si>
    <t>COR-19_2155-03</t>
  </si>
  <si>
    <t>COR-19_2155-04</t>
  </si>
  <si>
    <t>COR-19_2155-05</t>
  </si>
  <si>
    <t>COR-19_2155-06</t>
  </si>
  <si>
    <t>COR-19_2127-01</t>
  </si>
  <si>
    <t>COR-19_2127-02</t>
  </si>
  <si>
    <t>COR-19_2127-03</t>
  </si>
  <si>
    <t>COR-19_2127-04</t>
  </si>
  <si>
    <t>COR-19_2127-05</t>
  </si>
  <si>
    <t>COR-19_2127-06</t>
  </si>
  <si>
    <t>COR-19_2127-07</t>
  </si>
  <si>
    <t>COR-19_2127-08</t>
  </si>
  <si>
    <t>COR-19_2127-09</t>
  </si>
  <si>
    <t>COR-19_2127-10</t>
  </si>
  <si>
    <t>COR-19_2127-11</t>
  </si>
  <si>
    <t>COR-19_2127-12</t>
  </si>
  <si>
    <t>18-14177</t>
  </si>
  <si>
    <t>18-14178</t>
  </si>
  <si>
    <t>18-14179</t>
  </si>
  <si>
    <t>18-14180</t>
  </si>
  <si>
    <t>18-14208</t>
  </si>
  <si>
    <t>18-14233</t>
  </si>
  <si>
    <t>18-14246</t>
  </si>
  <si>
    <t>18-14247</t>
  </si>
  <si>
    <t>18-14261</t>
  </si>
  <si>
    <t>18-14174</t>
  </si>
  <si>
    <t>18-14175</t>
  </si>
  <si>
    <t>18-14176</t>
  </si>
  <si>
    <t>18-14181</t>
  </si>
  <si>
    <t>18-14182</t>
  </si>
  <si>
    <t>18-14183</t>
  </si>
  <si>
    <t>18-14184</t>
  </si>
  <si>
    <t>18-14185</t>
  </si>
  <si>
    <t>18-14186</t>
  </si>
  <si>
    <t>18-14187</t>
  </si>
  <si>
    <t>18-14204</t>
  </si>
  <si>
    <t>18-14205</t>
  </si>
  <si>
    <t>18-14206</t>
  </si>
  <si>
    <t>18-14207</t>
  </si>
  <si>
    <t>18-14209</t>
  </si>
  <si>
    <t>18-14210</t>
  </si>
  <si>
    <t>18-14211</t>
  </si>
  <si>
    <t>18-14212</t>
  </si>
  <si>
    <t>18-14213</t>
  </si>
  <si>
    <t>18-14214</t>
  </si>
  <si>
    <t>18-14339</t>
  </si>
  <si>
    <t>18-14340</t>
  </si>
  <si>
    <t>18-14341</t>
  </si>
  <si>
    <t>18-14342</t>
  </si>
  <si>
    <t>18-14343</t>
  </si>
  <si>
    <t>18-14344</t>
  </si>
  <si>
    <t>18-14345</t>
  </si>
  <si>
    <t>18-14346</t>
  </si>
  <si>
    <t>18-14347</t>
  </si>
  <si>
    <t>18-14348</t>
  </si>
  <si>
    <t>18-14349</t>
  </si>
  <si>
    <t>18-14350</t>
  </si>
  <si>
    <t>18-14351</t>
  </si>
  <si>
    <t>18-14352</t>
  </si>
  <si>
    <t>18-14353</t>
  </si>
  <si>
    <t>18-14354</t>
  </si>
  <si>
    <t>18-14355</t>
  </si>
  <si>
    <t>18-14356</t>
  </si>
  <si>
    <t>18-14357</t>
  </si>
  <si>
    <t>taken on boat</t>
  </si>
  <si>
    <t>EZ4W</t>
  </si>
  <si>
    <t>Notes</t>
  </si>
  <si>
    <t>Y</t>
  </si>
  <si>
    <t>Image 001</t>
  </si>
  <si>
    <t>Image 004</t>
  </si>
  <si>
    <t>Image 005</t>
  </si>
  <si>
    <t>Image 006</t>
  </si>
  <si>
    <t>Image 007</t>
  </si>
  <si>
    <t>Image 008</t>
  </si>
  <si>
    <t>Image 009</t>
  </si>
  <si>
    <t>Image 010</t>
  </si>
  <si>
    <t>Image 011</t>
  </si>
  <si>
    <t>Image 012</t>
  </si>
  <si>
    <t>Image 013</t>
  </si>
  <si>
    <t>Image 014</t>
  </si>
  <si>
    <t>Image 015</t>
  </si>
  <si>
    <t>Image 016</t>
  </si>
  <si>
    <t>Image 017</t>
  </si>
  <si>
    <t>Image 018</t>
  </si>
  <si>
    <t>Image 019</t>
  </si>
  <si>
    <t>Image 020</t>
  </si>
  <si>
    <t>Image 021</t>
  </si>
  <si>
    <t>Image 022</t>
  </si>
  <si>
    <t>Image 023</t>
  </si>
  <si>
    <t>Image 024</t>
  </si>
  <si>
    <t>Image 025</t>
  </si>
  <si>
    <t>Image 002</t>
  </si>
  <si>
    <t>Image 003</t>
  </si>
  <si>
    <t>Image 026</t>
  </si>
  <si>
    <t>Image 027</t>
  </si>
  <si>
    <t>Image 028</t>
  </si>
  <si>
    <t>Image 029</t>
  </si>
  <si>
    <t>Image 030</t>
  </si>
  <si>
    <t>Image 031</t>
  </si>
  <si>
    <t>Image 032</t>
  </si>
  <si>
    <t>Image 033</t>
  </si>
  <si>
    <t>Image 034</t>
  </si>
  <si>
    <t>Image 035</t>
  </si>
  <si>
    <t>Image 036</t>
  </si>
  <si>
    <t>Image 037</t>
  </si>
  <si>
    <t>Image 038</t>
  </si>
  <si>
    <t>Image 039</t>
  </si>
  <si>
    <t>Image 040</t>
  </si>
  <si>
    <t>Image 041</t>
  </si>
  <si>
    <t>Image 042</t>
  </si>
  <si>
    <t>Image 043</t>
  </si>
  <si>
    <t>Image 044</t>
  </si>
  <si>
    <t>Image 045</t>
  </si>
  <si>
    <t>Image 046</t>
  </si>
  <si>
    <t>Image 047</t>
  </si>
  <si>
    <t>Image 048</t>
  </si>
  <si>
    <t>Image 049</t>
  </si>
  <si>
    <t>No Sample</t>
  </si>
  <si>
    <t>Image 050</t>
  </si>
  <si>
    <t>Image 051</t>
  </si>
  <si>
    <t>Image 052</t>
  </si>
  <si>
    <t>Image 053</t>
  </si>
  <si>
    <t>Image 054</t>
  </si>
  <si>
    <t>Image 055</t>
  </si>
  <si>
    <t>Image 056</t>
  </si>
  <si>
    <t>Image 057</t>
  </si>
  <si>
    <t>Image 058</t>
  </si>
  <si>
    <t>Image 059</t>
  </si>
  <si>
    <t>Image 060</t>
  </si>
  <si>
    <t>Image 061</t>
  </si>
  <si>
    <t>Image 062</t>
  </si>
  <si>
    <t>Image 063</t>
  </si>
  <si>
    <t>Image 064</t>
  </si>
  <si>
    <t>Image 065</t>
  </si>
  <si>
    <t>Image 066</t>
  </si>
  <si>
    <t>Image 067</t>
  </si>
  <si>
    <t>Image 068</t>
  </si>
  <si>
    <t>Image 069</t>
  </si>
  <si>
    <t>Image 070</t>
  </si>
  <si>
    <t>Image 071</t>
  </si>
  <si>
    <t>Image 072</t>
  </si>
  <si>
    <t>Image 073</t>
  </si>
  <si>
    <t>Image 074</t>
  </si>
  <si>
    <t>Image 075</t>
  </si>
  <si>
    <t>Image 076</t>
  </si>
  <si>
    <t>Image 077</t>
  </si>
  <si>
    <t>Image 078</t>
  </si>
  <si>
    <t>Image 079</t>
  </si>
  <si>
    <t>Image 080</t>
  </si>
  <si>
    <t>Image 081</t>
  </si>
  <si>
    <t>Image 082</t>
  </si>
  <si>
    <t>Image 083</t>
  </si>
  <si>
    <t>Image 084</t>
  </si>
  <si>
    <t>Image 085</t>
  </si>
  <si>
    <t>Image 086</t>
  </si>
  <si>
    <t>Image 087</t>
  </si>
  <si>
    <t>Image 088</t>
  </si>
  <si>
    <t>Image 089</t>
  </si>
  <si>
    <t>Image 090</t>
  </si>
  <si>
    <t>Image 091</t>
  </si>
  <si>
    <t>Image 092</t>
  </si>
  <si>
    <t>Image 093</t>
  </si>
  <si>
    <t>Image 094</t>
  </si>
  <si>
    <t>Image 095</t>
  </si>
  <si>
    <t>Image 096</t>
  </si>
  <si>
    <t>Image 097</t>
  </si>
  <si>
    <t>Image 098</t>
  </si>
  <si>
    <t>Image 099</t>
  </si>
  <si>
    <t>Image 100</t>
  </si>
  <si>
    <t>Image 101</t>
  </si>
  <si>
    <t>Image 102</t>
  </si>
  <si>
    <t>Image 103</t>
  </si>
  <si>
    <t>Image 104</t>
  </si>
  <si>
    <t>Image 105</t>
  </si>
  <si>
    <t>Image 106</t>
  </si>
  <si>
    <t>Image 107</t>
  </si>
  <si>
    <t>Image 108</t>
  </si>
  <si>
    <t>Image 109</t>
  </si>
  <si>
    <t>Image 110</t>
  </si>
  <si>
    <t>Image 111</t>
  </si>
  <si>
    <t>Image 112</t>
  </si>
  <si>
    <t>Image 113</t>
  </si>
  <si>
    <t>Image 114</t>
  </si>
  <si>
    <t>Image 115</t>
  </si>
  <si>
    <t>Image 116</t>
  </si>
  <si>
    <t>Image 117</t>
  </si>
  <si>
    <t>Image 118</t>
  </si>
  <si>
    <t>Image 119</t>
  </si>
  <si>
    <t>Image 120</t>
  </si>
  <si>
    <t>Image 121</t>
  </si>
  <si>
    <t>Image 122</t>
  </si>
  <si>
    <t>Image 123</t>
  </si>
  <si>
    <t>Image 124</t>
  </si>
  <si>
    <t>Image 125</t>
  </si>
  <si>
    <t>Image 126</t>
  </si>
  <si>
    <t>Image 127</t>
  </si>
  <si>
    <t>Image 128</t>
  </si>
  <si>
    <t>Image 129</t>
  </si>
  <si>
    <t>Image 130</t>
  </si>
  <si>
    <t>Image 131</t>
  </si>
  <si>
    <t>Image 132</t>
  </si>
  <si>
    <t>Image 133</t>
  </si>
  <si>
    <t>Image 134</t>
  </si>
  <si>
    <t>Image 135</t>
  </si>
  <si>
    <t>Image 136</t>
  </si>
  <si>
    <t>Image 137</t>
  </si>
  <si>
    <t>Image 138</t>
  </si>
  <si>
    <t>Image 139</t>
  </si>
  <si>
    <t>Image 140</t>
  </si>
  <si>
    <t>Image 141</t>
  </si>
  <si>
    <t>Image 142</t>
  </si>
  <si>
    <t>Image 143</t>
  </si>
  <si>
    <t>Image 144</t>
  </si>
  <si>
    <t>Image 145</t>
  </si>
  <si>
    <t>Image 146</t>
  </si>
  <si>
    <t>Image 147</t>
  </si>
  <si>
    <t>Image 148</t>
  </si>
  <si>
    <t>Image 149</t>
  </si>
  <si>
    <t>Image 150</t>
  </si>
  <si>
    <t>Image 151</t>
  </si>
  <si>
    <t>Image 152</t>
  </si>
  <si>
    <t>Image 153</t>
  </si>
  <si>
    <t>Image 154</t>
  </si>
  <si>
    <t>Image 155</t>
  </si>
  <si>
    <t>Image 156</t>
  </si>
  <si>
    <t>Image 157</t>
  </si>
  <si>
    <t>Image 158</t>
  </si>
  <si>
    <t>Image 159</t>
  </si>
  <si>
    <t>Image 160</t>
  </si>
  <si>
    <t>Image 161</t>
  </si>
  <si>
    <t>Image 162</t>
  </si>
  <si>
    <t>Image 163</t>
  </si>
  <si>
    <t>Image 164</t>
  </si>
  <si>
    <t>Image 165</t>
  </si>
  <si>
    <t>Image 166</t>
  </si>
  <si>
    <t>Image 167</t>
  </si>
  <si>
    <t>Image 168</t>
  </si>
  <si>
    <t>Image 169</t>
  </si>
  <si>
    <t>Image 170</t>
  </si>
  <si>
    <t>Image 171</t>
  </si>
  <si>
    <t>Image 181</t>
  </si>
  <si>
    <t>Image 191</t>
  </si>
  <si>
    <t>Image 172</t>
  </si>
  <si>
    <t>Image 173</t>
  </si>
  <si>
    <t>Image 174</t>
  </si>
  <si>
    <t>Image 175</t>
  </si>
  <si>
    <t>Image 176</t>
  </si>
  <si>
    <t>Image 177</t>
  </si>
  <si>
    <t>Image 178</t>
  </si>
  <si>
    <t>Image 179</t>
  </si>
  <si>
    <t>Image 180</t>
  </si>
  <si>
    <t>Image 182</t>
  </si>
  <si>
    <t>Image 183</t>
  </si>
  <si>
    <t>Image 184</t>
  </si>
  <si>
    <t>Image 185</t>
  </si>
  <si>
    <t>Image 186</t>
  </si>
  <si>
    <t>Image 187</t>
  </si>
  <si>
    <t>Image 188</t>
  </si>
  <si>
    <t>Image 189</t>
  </si>
  <si>
    <t>Image 190</t>
  </si>
  <si>
    <t>Image 192</t>
  </si>
  <si>
    <t>Image 193</t>
  </si>
  <si>
    <t>Image 194</t>
  </si>
  <si>
    <t>Image 195</t>
  </si>
  <si>
    <t>Image 196</t>
  </si>
  <si>
    <t>Image 197</t>
  </si>
  <si>
    <t>Image 198</t>
  </si>
  <si>
    <t>Image 199</t>
  </si>
  <si>
    <t>Image 200</t>
  </si>
  <si>
    <t>Image 201</t>
  </si>
  <si>
    <t>Image 202</t>
  </si>
  <si>
    <t>Image 203</t>
  </si>
  <si>
    <t>Image 204</t>
  </si>
  <si>
    <t>Image 205</t>
  </si>
  <si>
    <t>Image 206</t>
  </si>
  <si>
    <t>Image 207</t>
  </si>
  <si>
    <t>Image 208</t>
  </si>
  <si>
    <t>Image 209</t>
  </si>
  <si>
    <t>Image 210</t>
  </si>
  <si>
    <t>Image 211</t>
  </si>
  <si>
    <t>Image 212</t>
  </si>
  <si>
    <t>Image 213</t>
  </si>
  <si>
    <t>Image 214</t>
  </si>
  <si>
    <t>Image 215</t>
  </si>
  <si>
    <t>Image 216</t>
  </si>
  <si>
    <t>Image 217</t>
  </si>
  <si>
    <t>Image 218</t>
  </si>
  <si>
    <t>Image 219</t>
  </si>
  <si>
    <t>Image 220</t>
  </si>
  <si>
    <t>DC</t>
  </si>
  <si>
    <t>Image 221</t>
  </si>
  <si>
    <t>Image 222</t>
  </si>
  <si>
    <t>Image 223</t>
  </si>
  <si>
    <t>Image 224</t>
  </si>
  <si>
    <t>Image 225</t>
  </si>
  <si>
    <t>Image 226</t>
  </si>
  <si>
    <t>Image 227</t>
  </si>
  <si>
    <t>Image 228</t>
  </si>
  <si>
    <t>Image 229</t>
  </si>
  <si>
    <t>Image 230</t>
  </si>
  <si>
    <t>Image 231</t>
  </si>
  <si>
    <t>Image 232</t>
  </si>
  <si>
    <t>Image 233</t>
  </si>
  <si>
    <t>Image 234</t>
  </si>
  <si>
    <t>Image 235</t>
  </si>
  <si>
    <t>Image 236</t>
  </si>
  <si>
    <t>Image 237</t>
  </si>
  <si>
    <t>Image 238</t>
  </si>
  <si>
    <t>Image 239</t>
  </si>
  <si>
    <t>Image 240</t>
  </si>
  <si>
    <t>Image 241</t>
  </si>
  <si>
    <t>Image 242</t>
  </si>
  <si>
    <t>Image 243</t>
  </si>
  <si>
    <t>Image 244</t>
  </si>
  <si>
    <t>Image 245</t>
  </si>
  <si>
    <t>Image 246</t>
  </si>
  <si>
    <t>Image 247</t>
  </si>
  <si>
    <t>Image 248</t>
  </si>
  <si>
    <t>Image 249</t>
  </si>
  <si>
    <t>Image 250</t>
  </si>
  <si>
    <t>Image 251</t>
  </si>
  <si>
    <t>Image 252</t>
  </si>
  <si>
    <t>Image 253</t>
  </si>
  <si>
    <t>Image 254</t>
  </si>
  <si>
    <t>Image 255</t>
  </si>
  <si>
    <t>Image 256</t>
  </si>
  <si>
    <t>Image 257</t>
  </si>
  <si>
    <t>Image 258</t>
  </si>
  <si>
    <t>Image 259</t>
  </si>
  <si>
    <t>Image 260</t>
  </si>
  <si>
    <t>Image 261</t>
  </si>
  <si>
    <t>Image 262</t>
  </si>
  <si>
    <t>Image 263</t>
  </si>
  <si>
    <t>Image 264</t>
  </si>
  <si>
    <t>Image 265</t>
  </si>
  <si>
    <t>Image 266</t>
  </si>
  <si>
    <t>Image 267</t>
  </si>
  <si>
    <t>Image 268</t>
  </si>
  <si>
    <t>Image 269</t>
  </si>
  <si>
    <t>Image 270</t>
  </si>
  <si>
    <t>Image 271</t>
  </si>
  <si>
    <t>Image 272</t>
  </si>
  <si>
    <t>Image 273</t>
  </si>
  <si>
    <t>Image 274</t>
  </si>
  <si>
    <t>Image 275</t>
  </si>
  <si>
    <t>Image 276</t>
  </si>
  <si>
    <t>Image 277</t>
  </si>
  <si>
    <t>Image 278</t>
  </si>
  <si>
    <t>Image 279</t>
  </si>
  <si>
    <t>Image 280</t>
  </si>
  <si>
    <t>Image 281</t>
  </si>
  <si>
    <t>Image 282</t>
  </si>
  <si>
    <t>Image 283</t>
  </si>
  <si>
    <t>Image 284</t>
  </si>
  <si>
    <t>Image 285</t>
  </si>
  <si>
    <t>Image 286</t>
  </si>
  <si>
    <t>Image 287</t>
  </si>
  <si>
    <t>Image 288</t>
  </si>
  <si>
    <t>Image 289</t>
  </si>
  <si>
    <t>Image 290</t>
  </si>
  <si>
    <t>Image 291</t>
  </si>
  <si>
    <t>Image 292</t>
  </si>
  <si>
    <t>Image 293</t>
  </si>
  <si>
    <t>Image 294</t>
  </si>
  <si>
    <t>Image 295</t>
  </si>
  <si>
    <t>Image 296</t>
  </si>
  <si>
    <t>Image 297</t>
  </si>
  <si>
    <t>Image 298</t>
  </si>
  <si>
    <t>Image 299</t>
  </si>
  <si>
    <t>Image 300</t>
  </si>
  <si>
    <t>Image 301</t>
  </si>
  <si>
    <t>Image 302</t>
  </si>
  <si>
    <t>Image 303</t>
  </si>
  <si>
    <t>Image 304</t>
  </si>
  <si>
    <t>Image 305</t>
  </si>
  <si>
    <t>Image 306</t>
  </si>
  <si>
    <t>Image 307</t>
  </si>
  <si>
    <t>Image 308</t>
  </si>
  <si>
    <t>Image 309</t>
  </si>
  <si>
    <t>Image 310</t>
  </si>
  <si>
    <t>Image 311</t>
  </si>
  <si>
    <t>Image 312</t>
  </si>
  <si>
    <t>Image 313</t>
  </si>
  <si>
    <t>Image 314</t>
  </si>
  <si>
    <t>Image 315</t>
  </si>
  <si>
    <t>Image 316</t>
  </si>
  <si>
    <t>Image 317</t>
  </si>
  <si>
    <t>Image 318</t>
  </si>
  <si>
    <t>Image 319</t>
  </si>
  <si>
    <t>Image 320</t>
  </si>
  <si>
    <t>Image 321</t>
  </si>
  <si>
    <t>Image 322</t>
  </si>
  <si>
    <t>Image 323</t>
  </si>
  <si>
    <t>Image 324</t>
  </si>
  <si>
    <t>Image 325</t>
  </si>
  <si>
    <t>Image 326</t>
  </si>
  <si>
    <t>Image 327</t>
  </si>
  <si>
    <t>Image 328</t>
  </si>
  <si>
    <t>Image 329</t>
  </si>
  <si>
    <t>Image 330</t>
  </si>
  <si>
    <t>Image 331</t>
  </si>
  <si>
    <t>Image 332</t>
  </si>
  <si>
    <t>Image 333</t>
  </si>
  <si>
    <t>Image 334</t>
  </si>
  <si>
    <t>Image 335</t>
  </si>
  <si>
    <t>Image 336</t>
  </si>
  <si>
    <t>Image 337</t>
  </si>
  <si>
    <t>Image 338</t>
  </si>
  <si>
    <t>Image 339</t>
  </si>
  <si>
    <t>Image 340</t>
  </si>
  <si>
    <t>Image 341</t>
  </si>
  <si>
    <t>Image 342</t>
  </si>
  <si>
    <t>Image 343</t>
  </si>
  <si>
    <t>Image 344</t>
  </si>
  <si>
    <t>Image 345</t>
  </si>
  <si>
    <t>Image 346</t>
  </si>
  <si>
    <t>Image 347</t>
  </si>
  <si>
    <t>Image 348</t>
  </si>
  <si>
    <t>Image 349</t>
  </si>
  <si>
    <t>Image 350</t>
  </si>
  <si>
    <t>Image 351</t>
  </si>
  <si>
    <t>Image 352</t>
  </si>
  <si>
    <t>Image 353</t>
  </si>
  <si>
    <t>Image 354</t>
  </si>
  <si>
    <t>Image 355</t>
  </si>
  <si>
    <t>Image 356</t>
  </si>
  <si>
    <t>Image 357</t>
  </si>
  <si>
    <t>Image 358</t>
  </si>
  <si>
    <t>Image 359</t>
  </si>
  <si>
    <t>Image 360</t>
  </si>
  <si>
    <t>Image 361</t>
  </si>
  <si>
    <t>Image 362</t>
  </si>
  <si>
    <t>Image 363</t>
  </si>
  <si>
    <t>Image 364</t>
  </si>
  <si>
    <t>Image 365</t>
  </si>
  <si>
    <t>Image 366</t>
  </si>
  <si>
    <t>Image 367</t>
  </si>
  <si>
    <t>Image 368</t>
  </si>
  <si>
    <t>Image 369</t>
  </si>
  <si>
    <t>Image 370</t>
  </si>
  <si>
    <t>Image 371</t>
  </si>
  <si>
    <t>Image 372</t>
  </si>
  <si>
    <t>Image 373</t>
  </si>
  <si>
    <t>Image 374</t>
  </si>
  <si>
    <t>Image 375</t>
  </si>
  <si>
    <t>Image 376</t>
  </si>
  <si>
    <t>Image 377</t>
  </si>
  <si>
    <t>Image 378</t>
  </si>
  <si>
    <t>Image 379</t>
  </si>
  <si>
    <t>Image 380</t>
  </si>
  <si>
    <t>Image 381</t>
  </si>
  <si>
    <t>Image 382</t>
  </si>
  <si>
    <t>Image 383</t>
  </si>
  <si>
    <t>Image 384</t>
  </si>
  <si>
    <t>Image 385</t>
  </si>
  <si>
    <t>Image 386</t>
  </si>
  <si>
    <t>Image 387</t>
  </si>
  <si>
    <t>Image 388</t>
  </si>
  <si>
    <t>Image 389</t>
  </si>
  <si>
    <t>Image 390</t>
  </si>
  <si>
    <t>Image 391</t>
  </si>
  <si>
    <t>Image 392</t>
  </si>
  <si>
    <t>Image 393</t>
  </si>
  <si>
    <t>Image 394</t>
  </si>
  <si>
    <t>Image 395</t>
  </si>
  <si>
    <t>Image 396</t>
  </si>
  <si>
    <t>Image 397</t>
  </si>
  <si>
    <t>Image 398</t>
  </si>
  <si>
    <t>Image 399</t>
  </si>
  <si>
    <t>Image 400</t>
  </si>
  <si>
    <t>Image 401</t>
  </si>
  <si>
    <t>Image 402</t>
  </si>
  <si>
    <t>Image 403</t>
  </si>
  <si>
    <t>Image 404</t>
  </si>
  <si>
    <t>Image 405</t>
  </si>
  <si>
    <t>Image 406</t>
  </si>
  <si>
    <t>Image 407</t>
  </si>
  <si>
    <t>Image 408</t>
  </si>
  <si>
    <t>Image 409</t>
  </si>
  <si>
    <t>Image 410</t>
  </si>
  <si>
    <t>Image 411</t>
  </si>
  <si>
    <t>Image 412</t>
  </si>
  <si>
    <t>Image 413</t>
  </si>
  <si>
    <t>Image 414</t>
  </si>
  <si>
    <t>Image 415</t>
  </si>
  <si>
    <t>Image 416</t>
  </si>
  <si>
    <t>Image 417</t>
  </si>
  <si>
    <t>Image 418</t>
  </si>
  <si>
    <t>Image 419</t>
  </si>
  <si>
    <t>Image 420</t>
  </si>
  <si>
    <t>Image 421</t>
  </si>
  <si>
    <t>Image 422</t>
  </si>
  <si>
    <t>Image 423</t>
  </si>
  <si>
    <t>Image 424</t>
  </si>
  <si>
    <t>Image 425</t>
  </si>
  <si>
    <t>Image 426</t>
  </si>
  <si>
    <t>Image 427</t>
  </si>
  <si>
    <t>Image 428</t>
  </si>
  <si>
    <t>Image 429</t>
  </si>
  <si>
    <t>Image 430</t>
  </si>
  <si>
    <t>Image 431</t>
  </si>
  <si>
    <t>Image 432</t>
  </si>
  <si>
    <t>Image 433</t>
  </si>
  <si>
    <t>Image 434</t>
  </si>
  <si>
    <t>Image 435</t>
  </si>
  <si>
    <t>Image 436</t>
  </si>
  <si>
    <t>Image 437</t>
  </si>
  <si>
    <t>Image 438</t>
  </si>
  <si>
    <t>Image 439</t>
  </si>
  <si>
    <t>Image 440</t>
  </si>
  <si>
    <t>Image 441</t>
  </si>
  <si>
    <t>Image 442</t>
  </si>
  <si>
    <t>Image 443</t>
  </si>
  <si>
    <t>Image 444</t>
  </si>
  <si>
    <t>Image 445</t>
  </si>
  <si>
    <t>Image 446</t>
  </si>
  <si>
    <t>Image 447</t>
  </si>
  <si>
    <t>Image 448</t>
  </si>
  <si>
    <t>Image 449</t>
  </si>
  <si>
    <t>Image 450</t>
  </si>
  <si>
    <t>Image 451</t>
  </si>
  <si>
    <t>Image 452</t>
  </si>
  <si>
    <t>Image 453</t>
  </si>
  <si>
    <t>Image 454</t>
  </si>
  <si>
    <t>Image 455</t>
  </si>
  <si>
    <t>Image 456</t>
  </si>
  <si>
    <t>Image 457</t>
  </si>
  <si>
    <t>Image 458</t>
  </si>
  <si>
    <t>Image 459</t>
  </si>
  <si>
    <t>Image 460</t>
  </si>
  <si>
    <t>Image 461</t>
  </si>
  <si>
    <t>Image 462</t>
  </si>
  <si>
    <t>Image 463</t>
  </si>
  <si>
    <t>Image 464</t>
  </si>
  <si>
    <t>Image 465</t>
  </si>
  <si>
    <t>Image 466</t>
  </si>
  <si>
    <t>Image 467</t>
  </si>
  <si>
    <t>Image 468</t>
  </si>
  <si>
    <t>Image 469</t>
  </si>
  <si>
    <t>Image 470</t>
  </si>
  <si>
    <t>Image 471</t>
  </si>
  <si>
    <t>Image 472</t>
  </si>
  <si>
    <t>Image 473</t>
  </si>
  <si>
    <t>Image 474</t>
  </si>
  <si>
    <t>Image 475</t>
  </si>
  <si>
    <t>Image 476</t>
  </si>
  <si>
    <t>Image 477</t>
  </si>
  <si>
    <t>Image 478</t>
  </si>
  <si>
    <t>Image 479</t>
  </si>
  <si>
    <t>Image 480</t>
  </si>
  <si>
    <t>Image 481</t>
  </si>
  <si>
    <t>Image 482</t>
  </si>
  <si>
    <t>Image 483</t>
  </si>
  <si>
    <t>Image 484</t>
  </si>
  <si>
    <t>Image 485</t>
  </si>
  <si>
    <t>Image 486</t>
  </si>
  <si>
    <t>Image 487</t>
  </si>
  <si>
    <t>Image 488</t>
  </si>
  <si>
    <t>Image 489</t>
  </si>
  <si>
    <t>Image 490</t>
  </si>
  <si>
    <t>Image 491</t>
  </si>
  <si>
    <t>Image 492</t>
  </si>
  <si>
    <t>Image 493</t>
  </si>
  <si>
    <t>Image 494</t>
  </si>
  <si>
    <t>Image 495</t>
  </si>
  <si>
    <t>Image 496</t>
  </si>
  <si>
    <t>Image 497</t>
  </si>
  <si>
    <t>Image 498</t>
  </si>
  <si>
    <t>Image 499</t>
  </si>
  <si>
    <t>Image 500</t>
  </si>
  <si>
    <t>Image 501</t>
  </si>
  <si>
    <t>Image 502</t>
  </si>
  <si>
    <t>Image 503</t>
  </si>
  <si>
    <t>Image 504</t>
  </si>
  <si>
    <t>Image 505</t>
  </si>
  <si>
    <t>Image 506</t>
  </si>
  <si>
    <t>Image 507</t>
  </si>
  <si>
    <t>Image 508</t>
  </si>
  <si>
    <t>Image 509</t>
  </si>
  <si>
    <t>Image 510</t>
  </si>
  <si>
    <t>Image 511</t>
  </si>
  <si>
    <t>Image 512</t>
  </si>
  <si>
    <t>Image 513</t>
  </si>
  <si>
    <t>Image 514</t>
  </si>
  <si>
    <t>Image 515</t>
  </si>
  <si>
    <t>Image 516</t>
  </si>
  <si>
    <t>Image 517</t>
  </si>
  <si>
    <t>Image 518</t>
  </si>
  <si>
    <t>Image 519</t>
  </si>
  <si>
    <t>Image 520</t>
  </si>
  <si>
    <t>Image 521</t>
  </si>
  <si>
    <t>Image 522</t>
  </si>
  <si>
    <t>Image 523</t>
  </si>
  <si>
    <t>Image 524</t>
  </si>
  <si>
    <t>Image 525</t>
  </si>
  <si>
    <t>Image 526</t>
  </si>
  <si>
    <t>Image 527</t>
  </si>
  <si>
    <t>Image 528</t>
  </si>
  <si>
    <t>Image 529</t>
  </si>
  <si>
    <t>Image 530</t>
  </si>
  <si>
    <t>Image 531</t>
  </si>
  <si>
    <t>Image 532</t>
  </si>
  <si>
    <t>Image 533</t>
  </si>
  <si>
    <t>Image 534</t>
  </si>
  <si>
    <t>Image 535</t>
  </si>
  <si>
    <t>Image 536</t>
  </si>
  <si>
    <t>Image 537</t>
  </si>
  <si>
    <t>Image 538</t>
  </si>
  <si>
    <t>Image 539</t>
  </si>
  <si>
    <t>Image 540</t>
  </si>
  <si>
    <t>Image 541</t>
  </si>
  <si>
    <t>Image 542</t>
  </si>
  <si>
    <t>Image 543</t>
  </si>
  <si>
    <t>Image 544</t>
  </si>
  <si>
    <t>Image 545</t>
  </si>
  <si>
    <t>Image 546</t>
  </si>
  <si>
    <t>Image 547</t>
  </si>
  <si>
    <t>Image 548</t>
  </si>
  <si>
    <t>Image 549</t>
  </si>
  <si>
    <t>Image 550</t>
  </si>
  <si>
    <t>Image 551</t>
  </si>
  <si>
    <t>Image 552</t>
  </si>
  <si>
    <t>Image 553</t>
  </si>
  <si>
    <t>Image 554</t>
  </si>
  <si>
    <t>Image 555</t>
  </si>
  <si>
    <t>Image 556</t>
  </si>
  <si>
    <t>Image 557</t>
  </si>
  <si>
    <t>Image 558</t>
  </si>
  <si>
    <t>Image 559</t>
  </si>
  <si>
    <t>Image 560</t>
  </si>
  <si>
    <t>Image 561</t>
  </si>
  <si>
    <t>Image 562</t>
  </si>
  <si>
    <t>Image 563</t>
  </si>
  <si>
    <t>Image 564</t>
  </si>
  <si>
    <t>Image 565</t>
  </si>
  <si>
    <t>Image 566</t>
  </si>
  <si>
    <t>Image 567</t>
  </si>
  <si>
    <t>Image 568</t>
  </si>
  <si>
    <t>Image 569</t>
  </si>
  <si>
    <t>Image 570</t>
  </si>
  <si>
    <t>Image 571</t>
  </si>
  <si>
    <t>Image 572</t>
  </si>
  <si>
    <t>Image 573</t>
  </si>
  <si>
    <t>Image 574</t>
  </si>
  <si>
    <t>Image 575</t>
  </si>
  <si>
    <t>Image 576</t>
  </si>
  <si>
    <t>Image 577</t>
  </si>
  <si>
    <t>Image 578</t>
  </si>
  <si>
    <t>Image 579</t>
  </si>
  <si>
    <t>Image 580</t>
  </si>
  <si>
    <t>Image 581</t>
  </si>
  <si>
    <t>Image 582</t>
  </si>
  <si>
    <t>Image 583</t>
  </si>
  <si>
    <t>Image 584</t>
  </si>
  <si>
    <t>Image 585</t>
  </si>
  <si>
    <t>Image 586</t>
  </si>
  <si>
    <t>Image 587</t>
  </si>
  <si>
    <t>Image 588</t>
  </si>
  <si>
    <t>Image 589</t>
  </si>
  <si>
    <t>Image 590</t>
  </si>
  <si>
    <t>Image 591</t>
  </si>
  <si>
    <t>Image 592</t>
  </si>
  <si>
    <t>Image 593</t>
  </si>
  <si>
    <t>Image 594</t>
  </si>
  <si>
    <t>Image 595</t>
  </si>
  <si>
    <t>Image 596</t>
  </si>
  <si>
    <t>Image 597</t>
  </si>
  <si>
    <t>Image 598</t>
  </si>
  <si>
    <t>Image 599</t>
  </si>
  <si>
    <t>Image 600</t>
  </si>
  <si>
    <t>Image 601</t>
  </si>
  <si>
    <t>Image 602</t>
  </si>
  <si>
    <t>Image 603</t>
  </si>
  <si>
    <t>Image 604</t>
  </si>
  <si>
    <t>Image 605</t>
  </si>
  <si>
    <t>Image 606</t>
  </si>
  <si>
    <t>Image 607</t>
  </si>
  <si>
    <t>Image 608</t>
  </si>
  <si>
    <t>Image 609</t>
  </si>
  <si>
    <t>Image 610</t>
  </si>
  <si>
    <t>Image 611</t>
  </si>
  <si>
    <t>Image 612</t>
  </si>
  <si>
    <t>Image 613</t>
  </si>
  <si>
    <t>Image 614</t>
  </si>
  <si>
    <t>Image 615</t>
  </si>
  <si>
    <t>Image 616</t>
  </si>
  <si>
    <t>Image 617</t>
  </si>
  <si>
    <t>Image 618</t>
  </si>
  <si>
    <t>Image 619</t>
  </si>
  <si>
    <t>Image 620</t>
  </si>
  <si>
    <t>Image 621</t>
  </si>
  <si>
    <t>Image 622</t>
  </si>
  <si>
    <t>Image 623</t>
  </si>
  <si>
    <t>Image 624</t>
  </si>
  <si>
    <t>Image 625</t>
  </si>
  <si>
    <t>Image 626</t>
  </si>
  <si>
    <t>Image 627</t>
  </si>
  <si>
    <t>Image 628</t>
  </si>
  <si>
    <t>Image 629</t>
  </si>
  <si>
    <t>Image 630</t>
  </si>
  <si>
    <t>Image 631</t>
  </si>
  <si>
    <t>Image 632</t>
  </si>
  <si>
    <t>Image 633</t>
  </si>
  <si>
    <t>Image 634</t>
  </si>
  <si>
    <t>Image 635</t>
  </si>
  <si>
    <t>Image 636</t>
  </si>
  <si>
    <t>Image 637</t>
  </si>
  <si>
    <t>Image 638</t>
  </si>
  <si>
    <t>Image 639</t>
  </si>
  <si>
    <t>Image 640</t>
  </si>
  <si>
    <t>Image 641</t>
  </si>
  <si>
    <t>Image 642</t>
  </si>
  <si>
    <t>Image 643</t>
  </si>
  <si>
    <t>Image 644</t>
  </si>
  <si>
    <t>Image 645</t>
  </si>
  <si>
    <t>Image 646</t>
  </si>
  <si>
    <t>Image 647</t>
  </si>
  <si>
    <t>Image 648</t>
  </si>
  <si>
    <t>Image 649</t>
  </si>
  <si>
    <t>Image 650</t>
  </si>
  <si>
    <t>Image 651</t>
  </si>
  <si>
    <t>Image 652</t>
  </si>
  <si>
    <t>Image 653</t>
  </si>
  <si>
    <t>Image 654</t>
  </si>
  <si>
    <t>Image 655</t>
  </si>
  <si>
    <t>Image 656</t>
  </si>
  <si>
    <t>Image 657</t>
  </si>
  <si>
    <t>Image 658</t>
  </si>
  <si>
    <t>Image 659</t>
  </si>
  <si>
    <t>Image 660</t>
  </si>
  <si>
    <t>Image 661</t>
  </si>
  <si>
    <t>Image 662</t>
  </si>
  <si>
    <t>Image 663</t>
  </si>
  <si>
    <t>Image 664</t>
  </si>
  <si>
    <t>Image 665</t>
  </si>
  <si>
    <t>Image 666</t>
  </si>
  <si>
    <t>Image 667</t>
  </si>
  <si>
    <t>Image 668</t>
  </si>
  <si>
    <t>Image 669</t>
  </si>
  <si>
    <t>Image 670</t>
  </si>
  <si>
    <t>Image 671</t>
  </si>
  <si>
    <t>Image 672</t>
  </si>
  <si>
    <t>Image 673</t>
  </si>
  <si>
    <t>Image 674</t>
  </si>
  <si>
    <t>Image 675</t>
  </si>
  <si>
    <t>Image 676</t>
  </si>
  <si>
    <t>Image 677</t>
  </si>
  <si>
    <t>Image 678</t>
  </si>
  <si>
    <t>Image 679</t>
  </si>
  <si>
    <t>Image 680</t>
  </si>
  <si>
    <t>Image 681</t>
  </si>
  <si>
    <t>Image 682</t>
  </si>
  <si>
    <t>Image 683</t>
  </si>
  <si>
    <t>Image 684</t>
  </si>
  <si>
    <t>Image 685</t>
  </si>
  <si>
    <t>Image 686</t>
  </si>
  <si>
    <t>Image 687</t>
  </si>
  <si>
    <t>Image 688</t>
  </si>
  <si>
    <t>Image 689</t>
  </si>
  <si>
    <t>Image 690</t>
  </si>
  <si>
    <t>Image 691</t>
  </si>
  <si>
    <t>Image 692</t>
  </si>
  <si>
    <t>Image 693</t>
  </si>
  <si>
    <t>Image 694</t>
  </si>
  <si>
    <t>Image 695</t>
  </si>
  <si>
    <t>Image 696</t>
  </si>
  <si>
    <t>Image 697</t>
  </si>
  <si>
    <t>Image 698</t>
  </si>
  <si>
    <t>Image 699</t>
  </si>
  <si>
    <t>Image 700</t>
  </si>
  <si>
    <t>Image 701</t>
  </si>
  <si>
    <t>Image 702</t>
  </si>
  <si>
    <t>Image 703</t>
  </si>
  <si>
    <t>Image 704</t>
  </si>
  <si>
    <t>Image 705</t>
  </si>
  <si>
    <t>Image 706</t>
  </si>
  <si>
    <t>Image 707</t>
  </si>
  <si>
    <t>Image 708</t>
  </si>
  <si>
    <t>Image 709</t>
  </si>
  <si>
    <t>Image 710</t>
  </si>
  <si>
    <t>Image 711</t>
  </si>
  <si>
    <t>Image 712</t>
  </si>
  <si>
    <t>Image 713</t>
  </si>
  <si>
    <t>Image 714</t>
  </si>
  <si>
    <t>Image 715</t>
  </si>
  <si>
    <t>Image 716</t>
  </si>
  <si>
    <t>Image 717</t>
  </si>
  <si>
    <t>Image 718</t>
  </si>
  <si>
    <t>Image 719</t>
  </si>
  <si>
    <t>Image 720</t>
  </si>
  <si>
    <t>Image 721</t>
  </si>
  <si>
    <t>Image 722</t>
  </si>
  <si>
    <t>Image 723</t>
  </si>
  <si>
    <t>Image 724</t>
  </si>
  <si>
    <t>Image 725</t>
  </si>
  <si>
    <t>Image 726</t>
  </si>
  <si>
    <t>Image 727</t>
  </si>
  <si>
    <t>Image 728</t>
  </si>
  <si>
    <t>Image 729</t>
  </si>
  <si>
    <t>Image 730</t>
  </si>
  <si>
    <t>Image 731</t>
  </si>
  <si>
    <t>Image 732</t>
  </si>
  <si>
    <t>Image 733</t>
  </si>
  <si>
    <t>Image 734</t>
  </si>
  <si>
    <t>Image 735</t>
  </si>
  <si>
    <t>Image 736</t>
  </si>
  <si>
    <t>Image 737</t>
  </si>
  <si>
    <t>Image 738</t>
  </si>
  <si>
    <t>Image 739</t>
  </si>
  <si>
    <t>Image 740</t>
  </si>
  <si>
    <t>Image 741</t>
  </si>
  <si>
    <t>Image 742</t>
  </si>
  <si>
    <t>Image 743</t>
  </si>
  <si>
    <t>Image 744</t>
  </si>
  <si>
    <t>Image 745</t>
  </si>
  <si>
    <t>Image 746</t>
  </si>
  <si>
    <t>Image 747</t>
  </si>
  <si>
    <t>Image 748</t>
  </si>
  <si>
    <t>Image 749</t>
  </si>
  <si>
    <t>Image 750</t>
  </si>
  <si>
    <t>Image 751</t>
  </si>
  <si>
    <t>Image 752</t>
  </si>
  <si>
    <t>Image 753</t>
  </si>
  <si>
    <t>Image 754</t>
  </si>
  <si>
    <t>Image 755</t>
  </si>
  <si>
    <t>Image 756</t>
  </si>
  <si>
    <t>Image 757</t>
  </si>
  <si>
    <t>Image 758</t>
  </si>
  <si>
    <t>Image 759</t>
  </si>
  <si>
    <t>Image 760</t>
  </si>
  <si>
    <t>Image 761</t>
  </si>
  <si>
    <t>Image 762</t>
  </si>
  <si>
    <t>Image 763</t>
  </si>
  <si>
    <t>Image 764</t>
  </si>
  <si>
    <t>Image 765</t>
  </si>
  <si>
    <t>Image 766</t>
  </si>
  <si>
    <t>Image 767</t>
  </si>
  <si>
    <t>Image 768</t>
  </si>
  <si>
    <t>Image 769</t>
  </si>
  <si>
    <t>Image 770</t>
  </si>
  <si>
    <t>Image 771</t>
  </si>
  <si>
    <t>Image 772</t>
  </si>
  <si>
    <t>Image 773</t>
  </si>
  <si>
    <t>Image 774</t>
  </si>
  <si>
    <t>Image 775</t>
  </si>
  <si>
    <t>Image 776</t>
  </si>
  <si>
    <t>Image 777</t>
  </si>
  <si>
    <t>Image 778</t>
  </si>
  <si>
    <t>Image 779</t>
  </si>
  <si>
    <t>Image 780</t>
  </si>
  <si>
    <t>Image 781</t>
  </si>
  <si>
    <t>Image 782</t>
  </si>
  <si>
    <t>Image 783</t>
  </si>
  <si>
    <t>Image 784</t>
  </si>
  <si>
    <t>Image 785</t>
  </si>
  <si>
    <t>Image 786</t>
  </si>
  <si>
    <t>Image 787</t>
  </si>
  <si>
    <t>Image 788</t>
  </si>
  <si>
    <t>Image 789</t>
  </si>
  <si>
    <t>Image 790</t>
  </si>
  <si>
    <t>Image 791</t>
  </si>
  <si>
    <t>Image 792</t>
  </si>
  <si>
    <t>Image 793</t>
  </si>
  <si>
    <t>Image 794</t>
  </si>
  <si>
    <t>Image 795</t>
  </si>
  <si>
    <t>Image 796</t>
  </si>
  <si>
    <t>Image 797</t>
  </si>
  <si>
    <t>Image 798</t>
  </si>
  <si>
    <t>Image 799</t>
  </si>
  <si>
    <t>Image 800</t>
  </si>
  <si>
    <t>Image 801</t>
  </si>
  <si>
    <t>Image 802</t>
  </si>
  <si>
    <t>Image 803</t>
  </si>
  <si>
    <t>Image 804</t>
  </si>
  <si>
    <t>Image 805</t>
  </si>
  <si>
    <t>Image 806</t>
  </si>
  <si>
    <t>Image 807</t>
  </si>
  <si>
    <t>Image 808</t>
  </si>
  <si>
    <t>Image 809</t>
  </si>
  <si>
    <t>Image 810</t>
  </si>
  <si>
    <t>Image 811</t>
  </si>
  <si>
    <t>Image 812</t>
  </si>
  <si>
    <t>Image 813</t>
  </si>
  <si>
    <t>Image 814</t>
  </si>
  <si>
    <t>Image 815</t>
  </si>
  <si>
    <t>Image 816</t>
  </si>
  <si>
    <t>Image 817</t>
  </si>
  <si>
    <t>Image 818</t>
  </si>
  <si>
    <t>Image 819</t>
  </si>
  <si>
    <t>Image 820</t>
  </si>
  <si>
    <t>Image 821</t>
  </si>
  <si>
    <t>Image 822</t>
  </si>
  <si>
    <t>Image 823</t>
  </si>
  <si>
    <t>Image 824</t>
  </si>
  <si>
    <t>Image 825</t>
  </si>
  <si>
    <t>Image 826</t>
  </si>
  <si>
    <t>Image 827</t>
  </si>
  <si>
    <t>Image 828</t>
  </si>
  <si>
    <t>Image 829</t>
  </si>
  <si>
    <t>Image 830</t>
  </si>
  <si>
    <t>Image 831</t>
  </si>
  <si>
    <t>Image 832</t>
  </si>
  <si>
    <t>Image 833</t>
  </si>
  <si>
    <t>Image 834</t>
  </si>
  <si>
    <t>Image 835</t>
  </si>
  <si>
    <t>Image 836</t>
  </si>
  <si>
    <t>Image 837</t>
  </si>
  <si>
    <t>Image 838</t>
  </si>
  <si>
    <t>Image 839</t>
  </si>
  <si>
    <t>Image 840</t>
  </si>
  <si>
    <t>Image 841</t>
  </si>
  <si>
    <t>Image 842</t>
  </si>
  <si>
    <t>Image 843</t>
  </si>
  <si>
    <t>Image 844</t>
  </si>
  <si>
    <t>Image 845</t>
  </si>
  <si>
    <t>Image 846</t>
  </si>
  <si>
    <t>Image 847</t>
  </si>
  <si>
    <t>Image 848</t>
  </si>
  <si>
    <t>Image 849</t>
  </si>
  <si>
    <t>Image 850</t>
  </si>
  <si>
    <t>Image 851</t>
  </si>
  <si>
    <t>Image 852</t>
  </si>
  <si>
    <t>Image 853</t>
  </si>
  <si>
    <t>Image 854</t>
  </si>
  <si>
    <t>Image 855</t>
  </si>
  <si>
    <t>Image 856</t>
  </si>
  <si>
    <t>Image 857</t>
  </si>
  <si>
    <t>Image 858</t>
  </si>
  <si>
    <t>Image 859</t>
  </si>
  <si>
    <t>Image 860</t>
  </si>
  <si>
    <t>Image 861</t>
  </si>
  <si>
    <t>Image 862</t>
  </si>
  <si>
    <t>Image 863</t>
  </si>
  <si>
    <t>Image 864</t>
  </si>
  <si>
    <t>Image 865</t>
  </si>
  <si>
    <t>Image 866</t>
  </si>
  <si>
    <t>Image 867</t>
  </si>
  <si>
    <t>Image 868</t>
  </si>
  <si>
    <t>Image 869</t>
  </si>
  <si>
    <t>Image 870</t>
  </si>
  <si>
    <t>Image 871</t>
  </si>
  <si>
    <t>Image 872</t>
  </si>
  <si>
    <t>Image 873</t>
  </si>
  <si>
    <t>Image 874</t>
  </si>
  <si>
    <t>Image 875</t>
  </si>
  <si>
    <t>Image 876</t>
  </si>
  <si>
    <t>Image 877</t>
  </si>
  <si>
    <t>Image 878</t>
  </si>
  <si>
    <t>Image 879</t>
  </si>
  <si>
    <t>Image 880</t>
  </si>
  <si>
    <t>Image 881</t>
  </si>
  <si>
    <t>Image 882</t>
  </si>
  <si>
    <t>Image 883</t>
  </si>
  <si>
    <t>Image 884</t>
  </si>
  <si>
    <t>Image 885</t>
  </si>
  <si>
    <t>Image 886</t>
  </si>
  <si>
    <t>Image 887</t>
  </si>
  <si>
    <t>Image 888</t>
  </si>
  <si>
    <t>Image 889</t>
  </si>
  <si>
    <t>Image 890</t>
  </si>
  <si>
    <t>Image 891</t>
  </si>
  <si>
    <t>Image 892</t>
  </si>
  <si>
    <t>Image 893</t>
  </si>
  <si>
    <t>Image 894</t>
  </si>
  <si>
    <t>Image 895</t>
  </si>
  <si>
    <t>Image 896</t>
  </si>
  <si>
    <t>Image 897</t>
  </si>
  <si>
    <t>Image 898</t>
  </si>
  <si>
    <t>Image 899</t>
  </si>
  <si>
    <t>Image 900</t>
  </si>
  <si>
    <t>Image 901</t>
  </si>
  <si>
    <t>Image 902</t>
  </si>
  <si>
    <t>Image 903</t>
  </si>
  <si>
    <t>Image 904</t>
  </si>
  <si>
    <t>Image 905</t>
  </si>
  <si>
    <t>Image 906</t>
  </si>
  <si>
    <t>Image 907</t>
  </si>
  <si>
    <t>Image 908</t>
  </si>
  <si>
    <t>Image 909</t>
  </si>
  <si>
    <t>Image 910</t>
  </si>
  <si>
    <t>Image 911</t>
  </si>
  <si>
    <t>Image 912</t>
  </si>
  <si>
    <t>Image 913</t>
  </si>
  <si>
    <t>Image 914</t>
  </si>
  <si>
    <t>Image 915</t>
  </si>
  <si>
    <t>Image 916</t>
  </si>
  <si>
    <t>Image 917</t>
  </si>
  <si>
    <t>Image 918</t>
  </si>
  <si>
    <t>Image 919</t>
  </si>
  <si>
    <t>Image 920</t>
  </si>
  <si>
    <t>Image 921</t>
  </si>
  <si>
    <t>Image 922</t>
  </si>
  <si>
    <t>Image 923</t>
  </si>
  <si>
    <t>Image 924</t>
  </si>
  <si>
    <t>Image 925</t>
  </si>
  <si>
    <t>Image 926</t>
  </si>
  <si>
    <t>Image 927</t>
  </si>
  <si>
    <t>Image 928</t>
  </si>
  <si>
    <t>Image 929</t>
  </si>
  <si>
    <t>Image 930</t>
  </si>
  <si>
    <t>Image 931</t>
  </si>
  <si>
    <t>Image 932</t>
  </si>
  <si>
    <t>Image 933</t>
  </si>
  <si>
    <t>Image 934</t>
  </si>
  <si>
    <t>Image 935</t>
  </si>
  <si>
    <t>Image 936</t>
  </si>
  <si>
    <t>Image 937</t>
  </si>
  <si>
    <t>Image 938</t>
  </si>
  <si>
    <t>Image 939</t>
  </si>
  <si>
    <t>Image 940</t>
  </si>
  <si>
    <t>Image 941</t>
  </si>
  <si>
    <t>Image 942</t>
  </si>
  <si>
    <t>Image 943</t>
  </si>
  <si>
    <t>Image 944</t>
  </si>
  <si>
    <t>Image 945</t>
  </si>
  <si>
    <t>Image 946</t>
  </si>
  <si>
    <t>Image 947</t>
  </si>
  <si>
    <t>Image 948</t>
  </si>
  <si>
    <t>Image 949</t>
  </si>
  <si>
    <t>Image 950</t>
  </si>
  <si>
    <t>Image 951</t>
  </si>
  <si>
    <t>Image 952</t>
  </si>
  <si>
    <t>Image 953</t>
  </si>
  <si>
    <t>Image 954</t>
  </si>
  <si>
    <t>Image 955</t>
  </si>
  <si>
    <t>Image 956</t>
  </si>
  <si>
    <t>Image 957</t>
  </si>
  <si>
    <t>Image 958</t>
  </si>
  <si>
    <t>Image 959</t>
  </si>
  <si>
    <t>Image 960</t>
  </si>
  <si>
    <t>Image 961</t>
  </si>
  <si>
    <t>Image 962</t>
  </si>
  <si>
    <t>Image 963</t>
  </si>
  <si>
    <t>Image 964</t>
  </si>
  <si>
    <t>Image 965</t>
  </si>
  <si>
    <t>Image 966</t>
  </si>
  <si>
    <t>Image 967</t>
  </si>
  <si>
    <t>Image 968</t>
  </si>
  <si>
    <t>Image 969</t>
  </si>
  <si>
    <t>Image 970</t>
  </si>
  <si>
    <t>Image 971</t>
  </si>
  <si>
    <t>Image 972</t>
  </si>
  <si>
    <t>Image 973</t>
  </si>
  <si>
    <t>Image 974</t>
  </si>
  <si>
    <t>Image 975</t>
  </si>
  <si>
    <t>Image 976</t>
  </si>
  <si>
    <t>Image 977</t>
  </si>
  <si>
    <t>Image 978</t>
  </si>
  <si>
    <t>Image 979</t>
  </si>
  <si>
    <t>Image 980</t>
  </si>
  <si>
    <t>Image 981</t>
  </si>
  <si>
    <t>Image 982</t>
  </si>
  <si>
    <t>Image 983</t>
  </si>
  <si>
    <t>Image 984</t>
  </si>
  <si>
    <t>Image 985</t>
  </si>
  <si>
    <t>Image 986</t>
  </si>
  <si>
    <t>Image 987</t>
  </si>
  <si>
    <t>Image 988</t>
  </si>
  <si>
    <t>Image 989</t>
  </si>
  <si>
    <t>Image 990</t>
  </si>
  <si>
    <t>Image 991</t>
  </si>
  <si>
    <t>Image 992</t>
  </si>
  <si>
    <t>Image 993</t>
  </si>
  <si>
    <t>Image 994</t>
  </si>
  <si>
    <t>Image 995</t>
  </si>
  <si>
    <t>Image 996</t>
  </si>
  <si>
    <t>Image 997</t>
  </si>
  <si>
    <t>Image 998</t>
  </si>
  <si>
    <t>Image 999</t>
  </si>
  <si>
    <t>Image 1000</t>
  </si>
  <si>
    <t>Image 1001</t>
  </si>
  <si>
    <t>Image 1002</t>
  </si>
  <si>
    <t>Image 1003</t>
  </si>
  <si>
    <t>Image 1004</t>
  </si>
  <si>
    <t>Image 1005</t>
  </si>
  <si>
    <t>Image 1006</t>
  </si>
  <si>
    <t>Image 1007</t>
  </si>
  <si>
    <t>Image 1008</t>
  </si>
  <si>
    <t>Image 1009</t>
  </si>
  <si>
    <t>Image 1010</t>
  </si>
  <si>
    <t>Image 1011</t>
  </si>
  <si>
    <t>Image 1012</t>
  </si>
  <si>
    <t>Image 1013</t>
  </si>
  <si>
    <t>Image 1014</t>
  </si>
  <si>
    <t>Image 1015</t>
  </si>
  <si>
    <t>Image 1016</t>
  </si>
  <si>
    <t>Image 1017</t>
  </si>
  <si>
    <t>Image 1018</t>
  </si>
  <si>
    <t>Image 1019</t>
  </si>
  <si>
    <t>Image 1020</t>
  </si>
  <si>
    <t>Image 1021</t>
  </si>
  <si>
    <t>Image 1022</t>
  </si>
  <si>
    <t>Image 1023</t>
  </si>
  <si>
    <t>Image 1024</t>
  </si>
  <si>
    <t>Image 1025</t>
  </si>
  <si>
    <t>Image 1026</t>
  </si>
  <si>
    <t>Image 1027</t>
  </si>
  <si>
    <t>Image 1028</t>
  </si>
  <si>
    <t>Image 1029</t>
  </si>
  <si>
    <t>Image 1030</t>
  </si>
  <si>
    <t>Image 1031</t>
  </si>
  <si>
    <t>Image 1032</t>
  </si>
  <si>
    <t>Image 1033</t>
  </si>
  <si>
    <t>Image 1034</t>
  </si>
  <si>
    <t>Image 1035</t>
  </si>
  <si>
    <t>Image 1036</t>
  </si>
  <si>
    <t>Image 1037</t>
  </si>
  <si>
    <t>Image 1038</t>
  </si>
  <si>
    <t>Image 1039</t>
  </si>
  <si>
    <t>Image 1040</t>
  </si>
  <si>
    <t>Image 1041</t>
  </si>
  <si>
    <t>Image 1042</t>
  </si>
  <si>
    <t>Image 1043</t>
  </si>
  <si>
    <t>Image 1044</t>
  </si>
  <si>
    <t>Image 1045</t>
  </si>
  <si>
    <t>Image 1046</t>
  </si>
  <si>
    <t>Image 1047</t>
  </si>
  <si>
    <t>Image 1048</t>
  </si>
  <si>
    <t>Image 1049</t>
  </si>
  <si>
    <t>Image 1050</t>
  </si>
  <si>
    <t>Image 1051</t>
  </si>
  <si>
    <t>Image 1052</t>
  </si>
  <si>
    <t>Image 1053</t>
  </si>
  <si>
    <t>Image 1054</t>
  </si>
  <si>
    <t>Image 1055</t>
  </si>
  <si>
    <t>Image 1056</t>
  </si>
  <si>
    <t>Image 1057</t>
  </si>
  <si>
    <t>Image 1058</t>
  </si>
  <si>
    <t>Image 1059</t>
  </si>
  <si>
    <t>Image 1060</t>
  </si>
  <si>
    <t>Image 1061</t>
  </si>
  <si>
    <t>Image 1062</t>
  </si>
  <si>
    <t>Image 1063</t>
  </si>
  <si>
    <t>Image 1064</t>
  </si>
  <si>
    <t>Image 1065</t>
  </si>
  <si>
    <t>Image 1066</t>
  </si>
  <si>
    <t>Image 1067</t>
  </si>
  <si>
    <t>Image 1068</t>
  </si>
  <si>
    <t>Image 1069</t>
  </si>
  <si>
    <t>Image 1070</t>
  </si>
  <si>
    <t>Image 1071</t>
  </si>
  <si>
    <t>Image 1072</t>
  </si>
  <si>
    <t>Image 1073</t>
  </si>
  <si>
    <t>Image 1074</t>
  </si>
  <si>
    <t>Image 1075</t>
  </si>
  <si>
    <t>Image 1076</t>
  </si>
  <si>
    <t>Image 1077</t>
  </si>
  <si>
    <t>Image 1078</t>
  </si>
  <si>
    <t>Image 1079</t>
  </si>
  <si>
    <t>Image 1080</t>
  </si>
  <si>
    <t>Image 1081</t>
  </si>
  <si>
    <t>Image 1082</t>
  </si>
  <si>
    <t>Image 1083</t>
  </si>
  <si>
    <t>Image 1084</t>
  </si>
  <si>
    <t>Image 1085</t>
  </si>
  <si>
    <t>Image 1086</t>
  </si>
  <si>
    <t>Image 1087</t>
  </si>
  <si>
    <t>Image 1088</t>
  </si>
  <si>
    <t>Image 1089</t>
  </si>
  <si>
    <t>Image 1090</t>
  </si>
  <si>
    <t>Image 1091</t>
  </si>
  <si>
    <t>Image 1092</t>
  </si>
  <si>
    <t>Image 1114</t>
  </si>
  <si>
    <t>Image 1115</t>
  </si>
  <si>
    <t>Image 1116</t>
  </si>
  <si>
    <t>Image 1117</t>
  </si>
  <si>
    <t>Image 1118</t>
  </si>
  <si>
    <t>Image 1119</t>
  </si>
  <si>
    <t>Image 1120</t>
  </si>
  <si>
    <t>Image 1121</t>
  </si>
  <si>
    <t>Image 1122</t>
  </si>
  <si>
    <t>Image 1123</t>
  </si>
  <si>
    <t>Image 1124</t>
  </si>
  <si>
    <t>Image 1125</t>
  </si>
  <si>
    <t>Image 1126</t>
  </si>
  <si>
    <t>Image 1127</t>
  </si>
  <si>
    <t>Image 1128</t>
  </si>
  <si>
    <t>Image 1129</t>
  </si>
  <si>
    <t>Image 1130</t>
  </si>
  <si>
    <t>Image 1131</t>
  </si>
  <si>
    <t>Image 1132</t>
  </si>
  <si>
    <t>Image 1133</t>
  </si>
  <si>
    <t>Image 1134</t>
  </si>
  <si>
    <t>Image 1135</t>
  </si>
  <si>
    <t>Image 1136</t>
  </si>
  <si>
    <t>Image 1137</t>
  </si>
  <si>
    <t>Image 1138</t>
  </si>
  <si>
    <t>Image 1139</t>
  </si>
  <si>
    <t>Image 1140</t>
  </si>
  <si>
    <t>Image 1141</t>
  </si>
  <si>
    <t>Image 1142</t>
  </si>
  <si>
    <t>Image 1143</t>
  </si>
  <si>
    <t>Image 1144</t>
  </si>
  <si>
    <t>Image 1145</t>
  </si>
  <si>
    <t>Image 1146</t>
  </si>
  <si>
    <t>Image 1147</t>
  </si>
  <si>
    <t>Image 1148</t>
  </si>
  <si>
    <t>Image 1149</t>
  </si>
  <si>
    <t>Image 1150</t>
  </si>
  <si>
    <t>Image 1151</t>
  </si>
  <si>
    <t>Image 1152</t>
  </si>
  <si>
    <t>Image 1153</t>
  </si>
  <si>
    <t>Image 1154</t>
  </si>
  <si>
    <t>Image 1155</t>
  </si>
  <si>
    <t>Image 1156</t>
  </si>
  <si>
    <t>Image 1157</t>
  </si>
  <si>
    <t>Image 1158</t>
  </si>
  <si>
    <t>Image 1159</t>
  </si>
  <si>
    <t>Image 1160</t>
  </si>
  <si>
    <t>Image 1161</t>
  </si>
  <si>
    <t>Image 1162</t>
  </si>
  <si>
    <t>Image 1163</t>
  </si>
  <si>
    <t>Image 1164</t>
  </si>
  <si>
    <t>Image 1165</t>
  </si>
  <si>
    <t>Image 1166</t>
  </si>
  <si>
    <t>Image 1167</t>
  </si>
  <si>
    <t>Image 1168</t>
  </si>
  <si>
    <t>Image 1169</t>
  </si>
  <si>
    <t>Image 1170</t>
  </si>
  <si>
    <t>Image 1171</t>
  </si>
  <si>
    <t>Image 1172</t>
  </si>
  <si>
    <t>Image 1173</t>
  </si>
  <si>
    <t>Image 1174</t>
  </si>
  <si>
    <t>Image 1175</t>
  </si>
  <si>
    <t>Image 1176</t>
  </si>
  <si>
    <t>Image 1177</t>
  </si>
  <si>
    <t>Image 1178</t>
  </si>
  <si>
    <t>Image 1179</t>
  </si>
  <si>
    <t>Image 1180</t>
  </si>
  <si>
    <t>Image 1181</t>
  </si>
  <si>
    <t>Image 1182</t>
  </si>
  <si>
    <t>Image 1183</t>
  </si>
  <si>
    <t>Image 1184</t>
  </si>
  <si>
    <t>Image 1185</t>
  </si>
  <si>
    <t>Image 1186</t>
  </si>
  <si>
    <t>Image 1187</t>
  </si>
  <si>
    <t>Image 1188</t>
  </si>
  <si>
    <t>Image 1189</t>
  </si>
  <si>
    <t>Image 1190</t>
  </si>
  <si>
    <t>Image 1191</t>
  </si>
  <si>
    <t>Image 1192</t>
  </si>
  <si>
    <t>Image 1193</t>
  </si>
  <si>
    <t>Image 1194</t>
  </si>
  <si>
    <t>Image 1195</t>
  </si>
  <si>
    <t>Image 1196</t>
  </si>
  <si>
    <t>Image 1197</t>
  </si>
  <si>
    <t>Image 1198</t>
  </si>
  <si>
    <t>Image 1199</t>
  </si>
  <si>
    <t>Image 1200</t>
  </si>
  <si>
    <t>Image 1201</t>
  </si>
  <si>
    <t>Image 1202</t>
  </si>
  <si>
    <t>Image 1203</t>
  </si>
  <si>
    <t>Image 1204</t>
  </si>
  <si>
    <t>Image 1205</t>
  </si>
  <si>
    <t>Image 1206</t>
  </si>
  <si>
    <t>Image 1207</t>
  </si>
  <si>
    <t>Image 1208</t>
  </si>
  <si>
    <t>Image 1209</t>
  </si>
  <si>
    <t>Image 1210</t>
  </si>
  <si>
    <t>Image 1211</t>
  </si>
  <si>
    <t>Image 1212</t>
  </si>
  <si>
    <t>Image 1213</t>
  </si>
  <si>
    <t>Image 1214</t>
  </si>
  <si>
    <t>Image 1215</t>
  </si>
  <si>
    <t>Image 1216</t>
  </si>
  <si>
    <t>Image 1217</t>
  </si>
  <si>
    <t>Image 1218</t>
  </si>
  <si>
    <t>Image 1219</t>
  </si>
  <si>
    <t>Image 1220</t>
  </si>
  <si>
    <t>Image 1221</t>
  </si>
  <si>
    <t>Image 1222</t>
  </si>
  <si>
    <t>Image 1223</t>
  </si>
  <si>
    <t>Image 1224</t>
  </si>
  <si>
    <t>Image 1225</t>
  </si>
  <si>
    <t>Image 1226</t>
  </si>
  <si>
    <t>Image 1227</t>
  </si>
  <si>
    <t>Image 1228</t>
  </si>
  <si>
    <t>Image 1229</t>
  </si>
  <si>
    <t>Image 1230</t>
  </si>
  <si>
    <t>Image 1231</t>
  </si>
  <si>
    <t>Image 1232</t>
  </si>
  <si>
    <t>Image 1233</t>
  </si>
  <si>
    <t>Image 1234</t>
  </si>
  <si>
    <t>Image 1235</t>
  </si>
  <si>
    <t>Image 1236</t>
  </si>
  <si>
    <t>Image 1237</t>
  </si>
  <si>
    <t>Image 1238</t>
  </si>
  <si>
    <t>Image 1239</t>
  </si>
  <si>
    <t>Image 1240</t>
  </si>
  <si>
    <t>Image 1241</t>
  </si>
  <si>
    <t>Image 1242</t>
  </si>
  <si>
    <t>Imae 1093</t>
  </si>
  <si>
    <t>Imae 1094</t>
  </si>
  <si>
    <t>Imae 1095</t>
  </si>
  <si>
    <t>Imae 1096</t>
  </si>
  <si>
    <t>Imae 1097</t>
  </si>
  <si>
    <t>Imae 1098</t>
  </si>
  <si>
    <t>Imae 1099</t>
  </si>
  <si>
    <t>Imae 1100</t>
  </si>
  <si>
    <t>Imae 1101</t>
  </si>
  <si>
    <t>Imae 1102</t>
  </si>
  <si>
    <t>Imae 1103</t>
  </si>
  <si>
    <t>Imae 1104</t>
  </si>
  <si>
    <t>Imae 1105</t>
  </si>
  <si>
    <t>Imae 1106</t>
  </si>
  <si>
    <t>Imae 1107</t>
  </si>
  <si>
    <t>Imae 1108</t>
  </si>
  <si>
    <t>Imae 1109</t>
  </si>
  <si>
    <t>Imae 1110</t>
  </si>
  <si>
    <t>Imae 1111</t>
  </si>
  <si>
    <t>Imae 1112</t>
  </si>
  <si>
    <t>Imae 1113</t>
  </si>
  <si>
    <t>Image 1243</t>
  </si>
  <si>
    <t>Image 1244</t>
  </si>
  <si>
    <t>Image 1245</t>
  </si>
  <si>
    <t>Image 1246</t>
  </si>
  <si>
    <t>Image 1247</t>
  </si>
  <si>
    <t>Image 1248</t>
  </si>
  <si>
    <t>Image 1249</t>
  </si>
  <si>
    <t>Image 1250</t>
  </si>
  <si>
    <t>Image 1251</t>
  </si>
  <si>
    <t>Image 1252</t>
  </si>
  <si>
    <t>Image 1253</t>
  </si>
  <si>
    <t>Image 1254</t>
  </si>
  <si>
    <t>Image 1255</t>
  </si>
  <si>
    <t>Image 1256</t>
  </si>
  <si>
    <t>Image 1257</t>
  </si>
  <si>
    <t>Image 1258</t>
  </si>
  <si>
    <t>Image 1259</t>
  </si>
  <si>
    <t>Image 1260</t>
  </si>
  <si>
    <t>Image 1261</t>
  </si>
  <si>
    <t>Image 1262</t>
  </si>
  <si>
    <t>Image 1263</t>
  </si>
  <si>
    <t>Image 1264</t>
  </si>
  <si>
    <t>Image 1265</t>
  </si>
  <si>
    <t>Image 1266</t>
  </si>
  <si>
    <t>Image 1267</t>
  </si>
  <si>
    <t>Image 1268</t>
  </si>
  <si>
    <t>Image 1269</t>
  </si>
  <si>
    <t>Image 1270</t>
  </si>
  <si>
    <t>Image 1271</t>
  </si>
  <si>
    <t>Image 1272</t>
  </si>
  <si>
    <t>Image 1273</t>
  </si>
  <si>
    <t>Image 1274</t>
  </si>
  <si>
    <t>Image 1275</t>
  </si>
  <si>
    <t>Image 1276</t>
  </si>
  <si>
    <t>Image 1277</t>
  </si>
  <si>
    <t>Image 1278</t>
  </si>
  <si>
    <t>Image 1279</t>
  </si>
  <si>
    <t>Image 1280</t>
  </si>
  <si>
    <t>Image 1281</t>
  </si>
  <si>
    <t>Image 1282</t>
  </si>
  <si>
    <t>Image 1283</t>
  </si>
  <si>
    <t>Image 1284</t>
  </si>
  <si>
    <t>Image 1285</t>
  </si>
  <si>
    <t>Image 1286</t>
  </si>
  <si>
    <t>Image 1287</t>
  </si>
  <si>
    <t>Image 1288</t>
  </si>
  <si>
    <t>Image 1289</t>
  </si>
  <si>
    <t>Image 1290</t>
  </si>
  <si>
    <t>Image 1291</t>
  </si>
  <si>
    <t>Image 1292</t>
  </si>
  <si>
    <t>Image 1293</t>
  </si>
  <si>
    <t>Image 1294</t>
  </si>
  <si>
    <t>Image 1295</t>
  </si>
  <si>
    <t>Image 1296</t>
  </si>
  <si>
    <t>Image 1297</t>
  </si>
  <si>
    <t>Image 1298</t>
  </si>
  <si>
    <t>Image 1299</t>
  </si>
  <si>
    <t>Image 1300</t>
  </si>
  <si>
    <t>Image 1301</t>
  </si>
  <si>
    <t>Image 1302</t>
  </si>
  <si>
    <t>Image 1303</t>
  </si>
  <si>
    <t>Image 1304</t>
  </si>
  <si>
    <t>Image 1305</t>
  </si>
  <si>
    <t>Image 1306</t>
  </si>
  <si>
    <t>Image 1307</t>
  </si>
  <si>
    <t>Image 1308</t>
  </si>
  <si>
    <t>Image 1309</t>
  </si>
  <si>
    <t>Image 1310</t>
  </si>
  <si>
    <t>Image 1311</t>
  </si>
  <si>
    <t>Image 1312</t>
  </si>
  <si>
    <t>Image 1313</t>
  </si>
  <si>
    <t>Image 1314</t>
  </si>
  <si>
    <t>Image 1315</t>
  </si>
  <si>
    <t>Image 1316</t>
  </si>
  <si>
    <t>Image 1317</t>
  </si>
  <si>
    <t>Image 1318</t>
  </si>
  <si>
    <t>Image 1319</t>
  </si>
  <si>
    <t>Image 1320</t>
  </si>
  <si>
    <t>Image 1321</t>
  </si>
  <si>
    <t>Image 1322</t>
  </si>
  <si>
    <t>Image 1323</t>
  </si>
  <si>
    <t>Image 1324</t>
  </si>
  <si>
    <t>Image 1325</t>
  </si>
  <si>
    <t>Image 1326</t>
  </si>
  <si>
    <t>Image 1327</t>
  </si>
  <si>
    <t>Image 1328</t>
  </si>
  <si>
    <t>Image 1329</t>
  </si>
  <si>
    <t>Image 1330</t>
  </si>
  <si>
    <t>Image 1331</t>
  </si>
  <si>
    <t>Image 1332</t>
  </si>
  <si>
    <t>Image 1333</t>
  </si>
  <si>
    <t>Image 1334</t>
  </si>
  <si>
    <t>Image 1335</t>
  </si>
  <si>
    <t>Image 1336</t>
  </si>
  <si>
    <t>Image 1337</t>
  </si>
  <si>
    <t>Image 1338</t>
  </si>
  <si>
    <t>Image 1339</t>
  </si>
  <si>
    <t>Image 1340</t>
  </si>
  <si>
    <t>Image 1341</t>
  </si>
  <si>
    <t>Image 1342</t>
  </si>
  <si>
    <t>Image 1343</t>
  </si>
  <si>
    <t>Image 1344</t>
  </si>
  <si>
    <t>Image 1345</t>
  </si>
  <si>
    <t>Image 1346</t>
  </si>
  <si>
    <t>Image 1347</t>
  </si>
  <si>
    <t>Image 1348</t>
  </si>
  <si>
    <t>Image 1349</t>
  </si>
  <si>
    <t>Image 1350</t>
  </si>
  <si>
    <t>Image 1351</t>
  </si>
  <si>
    <t>Image 1352</t>
  </si>
  <si>
    <t>Image 1353</t>
  </si>
  <si>
    <t>Image 1354</t>
  </si>
  <si>
    <t>Image 1355</t>
  </si>
  <si>
    <t>Image 1356</t>
  </si>
  <si>
    <t>Image 1357</t>
  </si>
  <si>
    <t>Image 1358</t>
  </si>
  <si>
    <t>Image 1359</t>
  </si>
  <si>
    <t>Image 1360</t>
  </si>
  <si>
    <t>Image 1361</t>
  </si>
  <si>
    <t>Image 1362</t>
  </si>
  <si>
    <t>Image 1363</t>
  </si>
  <si>
    <t>Image 1364</t>
  </si>
  <si>
    <t>Image 1365</t>
  </si>
  <si>
    <t>Image 1366</t>
  </si>
  <si>
    <t>Image 1368</t>
  </si>
  <si>
    <t>Image 1367</t>
  </si>
  <si>
    <t>Image 1369</t>
  </si>
  <si>
    <t>Image 1370</t>
  </si>
  <si>
    <t>Image 1371</t>
  </si>
  <si>
    <t>Image 1372</t>
  </si>
  <si>
    <t>Image 1373</t>
  </si>
  <si>
    <t>Image1374</t>
  </si>
  <si>
    <t>Image1375</t>
  </si>
  <si>
    <t>Image1376</t>
  </si>
  <si>
    <t>Image1377</t>
  </si>
  <si>
    <t>Image1378</t>
  </si>
  <si>
    <t>Image 1379</t>
  </si>
  <si>
    <t>Image 1380</t>
  </si>
  <si>
    <t>Image 1381</t>
  </si>
  <si>
    <t>Image 1382</t>
  </si>
  <si>
    <t>19-20451</t>
  </si>
  <si>
    <t>19-20452</t>
  </si>
  <si>
    <t>19-20453</t>
  </si>
  <si>
    <t>19-20454</t>
  </si>
  <si>
    <t>19-20455</t>
  </si>
  <si>
    <t>19-20456</t>
  </si>
  <si>
    <t>19-20457</t>
  </si>
  <si>
    <t>19-20458</t>
  </si>
  <si>
    <t>19-20459</t>
  </si>
  <si>
    <t>19-20460</t>
  </si>
  <si>
    <t>19-20461</t>
  </si>
  <si>
    <t>19-20462</t>
  </si>
  <si>
    <t>19-20463</t>
  </si>
  <si>
    <t>19-20464</t>
  </si>
  <si>
    <t>19-20465</t>
  </si>
  <si>
    <t>Lake Herrin</t>
  </si>
  <si>
    <t>19-178</t>
  </si>
  <si>
    <t>Image 1383</t>
  </si>
  <si>
    <t>Image 1384</t>
  </si>
  <si>
    <t>Image 1385</t>
  </si>
  <si>
    <t>Image 1386</t>
  </si>
  <si>
    <t>Image 1387</t>
  </si>
  <si>
    <t>Image 1388</t>
  </si>
  <si>
    <t>Image 1389</t>
  </si>
  <si>
    <t>TL_mm</t>
  </si>
  <si>
    <t>TL_method</t>
  </si>
  <si>
    <t>Field</t>
  </si>
  <si>
    <t>Fish sent to UWSP</t>
  </si>
  <si>
    <t>Picture_Y_N</t>
  </si>
  <si>
    <t>ExtractionPlate</t>
  </si>
  <si>
    <t>Site_Code</t>
  </si>
  <si>
    <t>Record</t>
  </si>
  <si>
    <t>USGS neuston serial number</t>
  </si>
  <si>
    <t>Location with some extra genetic workup information</t>
  </si>
  <si>
    <t>individual genetic analysis number for tracking</t>
  </si>
  <si>
    <t>Total length in mm</t>
  </si>
  <si>
    <t>Method used to determine total length</t>
  </si>
  <si>
    <t>Was a picture taken?</t>
  </si>
  <si>
    <t>Extraction plate identifieer</t>
  </si>
  <si>
    <t>well plate location</t>
  </si>
  <si>
    <t>RECORD</t>
  </si>
  <si>
    <t>SERIAL</t>
  </si>
  <si>
    <t>FISH</t>
  </si>
  <si>
    <t>LOCATION</t>
  </si>
  <si>
    <t>INDIVIDUAL</t>
  </si>
  <si>
    <t>TL_METHOD</t>
  </si>
  <si>
    <t>PICTURE_Y_N</t>
  </si>
  <si>
    <t>EXTRACTION_PLATE</t>
  </si>
  <si>
    <t>WELL</t>
  </si>
  <si>
    <t>NOTES</t>
  </si>
  <si>
    <t>Species</t>
  </si>
  <si>
    <t>Bloater</t>
  </si>
  <si>
    <t>Cisco</t>
  </si>
  <si>
    <t>Kiyi</t>
  </si>
  <si>
    <t>Unknown</t>
  </si>
  <si>
    <t>OP_ID</t>
  </si>
  <si>
    <t>OP_DATE</t>
  </si>
  <si>
    <t>TIME</t>
  </si>
  <si>
    <t>YEAR</t>
  </si>
  <si>
    <t>VESSEL</t>
  </si>
  <si>
    <t>CRUISE</t>
  </si>
  <si>
    <t>IP_DESIGN</t>
  </si>
  <si>
    <t>LATITUDE</t>
  </si>
  <si>
    <t>LONGITUDE</t>
  </si>
  <si>
    <t>END_LATITUDE</t>
  </si>
  <si>
    <t>END_LONGITUDE</t>
  </si>
  <si>
    <t>BEG_LATITUDE_DD</t>
  </si>
  <si>
    <t>BEG_LONGITUDE_DD</t>
  </si>
  <si>
    <t>END_LATITUDE_DD</t>
  </si>
  <si>
    <t>END_LONGITUDE_DD</t>
  </si>
  <si>
    <t>DIST_SHORE_M</t>
  </si>
  <si>
    <t>BEG_DEPTH</t>
  </si>
  <si>
    <t>END_DEPTH</t>
  </si>
  <si>
    <t>FISHING_DEPTH</t>
  </si>
  <si>
    <t>DEPTH_UNITS</t>
  </si>
  <si>
    <t>BUCKET_TEMP</t>
  </si>
  <si>
    <t>SEABIRD_TEMP</t>
  </si>
  <si>
    <t>SEABIRD_CHL</t>
  </si>
  <si>
    <t>SEABIRD_BEAM</t>
  </si>
  <si>
    <t>TOW_TIME</t>
  </si>
  <si>
    <t>DISTANCE</t>
  </si>
  <si>
    <t>SPECIES</t>
  </si>
  <si>
    <t>Lake Whitefish</t>
  </si>
  <si>
    <t>Hill TL (mm)</t>
  </si>
  <si>
    <t>Measurement method (EZ4W/DC)</t>
  </si>
  <si>
    <t>Ackiss EZ4W TL (mm)</t>
  </si>
  <si>
    <t>Ackiss EZ4W/Hill DC TL (mm)</t>
  </si>
  <si>
    <t>Picture (Y/N)</t>
  </si>
  <si>
    <t>Genetic Assignment</t>
  </si>
  <si>
    <t>Extraction Plate</t>
  </si>
  <si>
    <t>COR-19_71</t>
  </si>
  <si>
    <t>COR-19-71-01</t>
  </si>
  <si>
    <t>COR-19-71-02</t>
  </si>
  <si>
    <t>COR-19-71-03</t>
  </si>
  <si>
    <t>COR-19-71-04</t>
  </si>
  <si>
    <t>COR-19-71-05</t>
  </si>
  <si>
    <t>COR-19-71-06</t>
  </si>
  <si>
    <t>COR-19-71-07</t>
  </si>
  <si>
    <t>COR-19-71-08</t>
  </si>
  <si>
    <t>COR-19-71-09</t>
  </si>
  <si>
    <t>COR-19-71-10</t>
  </si>
  <si>
    <t>COR-19-71-11</t>
  </si>
  <si>
    <t>COR-19-71-12</t>
  </si>
  <si>
    <t>COR-19-71-13</t>
  </si>
  <si>
    <t>COR-19-71-14</t>
  </si>
  <si>
    <t>COR-19-71-15</t>
  </si>
  <si>
    <t>COR-19-71-16</t>
  </si>
  <si>
    <t>COR-19-71-17</t>
  </si>
  <si>
    <t>COR-19-71-18</t>
  </si>
  <si>
    <t>COR-19-71-19</t>
  </si>
  <si>
    <t>COR-19-71-20</t>
  </si>
  <si>
    <t>COR-19-71-21</t>
  </si>
  <si>
    <t>COR-19-71-22</t>
  </si>
  <si>
    <t>COR-19-71-23</t>
  </si>
  <si>
    <t>COR-19-71-24</t>
  </si>
  <si>
    <t>COR-19-71-25</t>
  </si>
  <si>
    <t>COR-19_75</t>
  </si>
  <si>
    <t>COR-19-75-01</t>
  </si>
  <si>
    <t>COR-19-75-02</t>
  </si>
  <si>
    <t>COR-19-75-03</t>
  </si>
  <si>
    <t>COR-19-75-04</t>
  </si>
  <si>
    <t>COR-19-75-05</t>
  </si>
  <si>
    <t>COR-19-75-06</t>
  </si>
  <si>
    <t>COR-19-75-07</t>
  </si>
  <si>
    <t>COR-19-75-08</t>
  </si>
  <si>
    <t>COR-19-75-09</t>
  </si>
  <si>
    <t>COR-19-75-10</t>
  </si>
  <si>
    <t>COR-19-75-11</t>
  </si>
  <si>
    <t>COR-19-75-12</t>
  </si>
  <si>
    <t>COR-19-75-13</t>
  </si>
  <si>
    <t>COR-19-75-14</t>
  </si>
  <si>
    <t>COR-19-75-15</t>
  </si>
  <si>
    <t>COR-19-75-16</t>
  </si>
  <si>
    <t>COR-19-75-17</t>
  </si>
  <si>
    <t>COR-19-75-18</t>
  </si>
  <si>
    <t>COR-19-75-19</t>
  </si>
  <si>
    <t>COR-19-75-20</t>
  </si>
  <si>
    <t>COR-19-75-21</t>
  </si>
  <si>
    <t>COR-19-75-22</t>
  </si>
  <si>
    <t>COR-19-75-23</t>
  </si>
  <si>
    <t>COR-19-75-24</t>
  </si>
  <si>
    <t>after image049, photos switch to pixels and need to be calibrated with a length of 6.32 mm</t>
  </si>
  <si>
    <t>COR-19-75-25</t>
  </si>
  <si>
    <t>COR-19_87</t>
  </si>
  <si>
    <t>COR-19-87-01</t>
  </si>
  <si>
    <t>COR-19-87-02</t>
  </si>
  <si>
    <t>COR-19-87-03</t>
  </si>
  <si>
    <t>COR-19-87-04</t>
  </si>
  <si>
    <t>COR-19-87-05</t>
  </si>
  <si>
    <t>COR-19-87-06</t>
  </si>
  <si>
    <t>COR-19-87-07</t>
  </si>
  <si>
    <t>COR-19-87-08</t>
  </si>
  <si>
    <t>COR-19-87-09</t>
  </si>
  <si>
    <t>COR-19-87-10</t>
  </si>
  <si>
    <t>COR-19-87-11</t>
  </si>
  <si>
    <t>COR-19-87-12</t>
  </si>
  <si>
    <t>COR-19-87-13</t>
  </si>
  <si>
    <t>COR-19-87-14</t>
  </si>
  <si>
    <t>COR-19-87-15</t>
  </si>
  <si>
    <t>COR-19-87-16</t>
  </si>
  <si>
    <t>COR-19-87-17</t>
  </si>
  <si>
    <t>COR-19-87-18</t>
  </si>
  <si>
    <t>COR-19-87-19</t>
  </si>
  <si>
    <t>COR-19-87-20</t>
  </si>
  <si>
    <t>COR-19-87-21</t>
  </si>
  <si>
    <t>COR-19-87-22</t>
  </si>
  <si>
    <t>COR-19-87-23</t>
  </si>
  <si>
    <t>COR-19-87-24</t>
  </si>
  <si>
    <t>headless?</t>
  </si>
  <si>
    <t>COR-19-87-25</t>
  </si>
  <si>
    <t>COR-19_86</t>
  </si>
  <si>
    <t>COR-19-86-01</t>
  </si>
  <si>
    <t>COR-19-86-02</t>
  </si>
  <si>
    <t>COR-19-86-03</t>
  </si>
  <si>
    <t>COR-19-86-04</t>
  </si>
  <si>
    <t>COR-19-86-05</t>
  </si>
  <si>
    <t>COR-19-86-06</t>
  </si>
  <si>
    <t>COR-19-86-07</t>
  </si>
  <si>
    <t>COR-19-86-08</t>
  </si>
  <si>
    <t>COR-19-86-09</t>
  </si>
  <si>
    <t>COR-19-86-10</t>
  </si>
  <si>
    <t>COR-19-86-11</t>
  </si>
  <si>
    <t>COR-19-86-12</t>
  </si>
  <si>
    <t>COR-19-86-13</t>
  </si>
  <si>
    <t>COR-19-86-14</t>
  </si>
  <si>
    <t>COR-19-86-15</t>
  </si>
  <si>
    <t>COR-19-86-16</t>
  </si>
  <si>
    <t>COR-19-86-17</t>
  </si>
  <si>
    <t>COR-19-86-18</t>
  </si>
  <si>
    <t>COR-19-86-19</t>
  </si>
  <si>
    <t>COR-19-86-20</t>
  </si>
  <si>
    <t>COR-19-86-21</t>
  </si>
  <si>
    <t>COR-19-86-22</t>
  </si>
  <si>
    <t>COR-19-86-23</t>
  </si>
  <si>
    <t>COR-19-86-24</t>
  </si>
  <si>
    <t>COR-19-86-25</t>
  </si>
  <si>
    <t>COR-19_2</t>
  </si>
  <si>
    <t>COR-19-2-01</t>
  </si>
  <si>
    <t>COR-19-2-02</t>
  </si>
  <si>
    <t>COR-19-2-03</t>
  </si>
  <si>
    <t>COR-19-2-04</t>
  </si>
  <si>
    <t>COR-19-2-05</t>
  </si>
  <si>
    <t>COR-19-2-06</t>
  </si>
  <si>
    <t>COR-19-2-07</t>
  </si>
  <si>
    <t>COR-19-2-08</t>
  </si>
  <si>
    <t>COR-19-2-09</t>
  </si>
  <si>
    <t>COR-19-2-10</t>
  </si>
  <si>
    <t>COR-19-2-11</t>
  </si>
  <si>
    <t>COR-19-2-12</t>
  </si>
  <si>
    <t>COR-19-2-13</t>
  </si>
  <si>
    <t>COR-19-2-14</t>
  </si>
  <si>
    <t>COR-19-2-15</t>
  </si>
  <si>
    <t>COR-19-2-16</t>
  </si>
  <si>
    <t>COR-19-2-17</t>
  </si>
  <si>
    <t>COR-19-2-18</t>
  </si>
  <si>
    <t>COR-19-2-19</t>
  </si>
  <si>
    <t>COR-19-2-20</t>
  </si>
  <si>
    <t>COR-19-2-21</t>
  </si>
  <si>
    <t>COR-19-2-22</t>
  </si>
  <si>
    <t>COR-19-2-23</t>
  </si>
  <si>
    <t>COR-19-2-24</t>
  </si>
  <si>
    <t>COR-19-2-25</t>
  </si>
  <si>
    <t>COR-19_24</t>
  </si>
  <si>
    <t>COR-19-24-01</t>
  </si>
  <si>
    <t>COR-19-24-02</t>
  </si>
  <si>
    <t>COR-19-24-03</t>
  </si>
  <si>
    <t>COR-19-24-04</t>
  </si>
  <si>
    <t>COR-19-24-05</t>
  </si>
  <si>
    <t>COR-19-24-06</t>
  </si>
  <si>
    <t>COR-19-24-07</t>
  </si>
  <si>
    <t>eyeless - headless?</t>
  </si>
  <si>
    <t>COR-19-24-08</t>
  </si>
  <si>
    <t>COR-19-24-09</t>
  </si>
  <si>
    <t>COR-19-24-10</t>
  </si>
  <si>
    <t>COR-19-24-11</t>
  </si>
  <si>
    <t>caudal fin damage</t>
  </si>
  <si>
    <t>COR-19-24-12</t>
  </si>
  <si>
    <t>COR-19-24-13</t>
  </si>
  <si>
    <t>head damage</t>
  </si>
  <si>
    <t>COR-19-24-14</t>
  </si>
  <si>
    <t>COR-19-24-15</t>
  </si>
  <si>
    <t>COR-19-24-16</t>
  </si>
  <si>
    <t>COR-19-24-17</t>
  </si>
  <si>
    <t>COR-19-24-18</t>
  </si>
  <si>
    <t>COR-19-24-19</t>
  </si>
  <si>
    <t>COR-19-24-20</t>
  </si>
  <si>
    <t>COR-19-24-21</t>
  </si>
  <si>
    <t>COR-19-24-22</t>
  </si>
  <si>
    <t>COR-19-24-23</t>
  </si>
  <si>
    <t>COR-19-24-24</t>
  </si>
  <si>
    <t>COR-19-24-25</t>
  </si>
  <si>
    <t>COR-19_52</t>
  </si>
  <si>
    <t>COR-19-52-01</t>
  </si>
  <si>
    <t>COR-19-52-02</t>
  </si>
  <si>
    <t>COR-19-52-03</t>
  </si>
  <si>
    <t>COR-19-52-04</t>
  </si>
  <si>
    <t>COR-19-52-05</t>
  </si>
  <si>
    <t>COR-19-52-06</t>
  </si>
  <si>
    <t>COR-19-52-07</t>
  </si>
  <si>
    <t>COR-19-52-08</t>
  </si>
  <si>
    <t>caudal fin fades</t>
  </si>
  <si>
    <t>COR-19-52-09</t>
  </si>
  <si>
    <t>COR-19-52-10</t>
  </si>
  <si>
    <t>COR-19-52-11</t>
  </si>
  <si>
    <t>COR-19-52-12</t>
  </si>
  <si>
    <t>COR-19-52-13</t>
  </si>
  <si>
    <t>COR-19-52-14</t>
  </si>
  <si>
    <t>COR-19-52-15</t>
  </si>
  <si>
    <t>COR-19-52-16</t>
  </si>
  <si>
    <t>COR-19-52-17</t>
  </si>
  <si>
    <t>COR-19-52-18</t>
  </si>
  <si>
    <t>COR-19-52-19</t>
  </si>
  <si>
    <t>COR-19-52-20</t>
  </si>
  <si>
    <t>COR-19-52-21</t>
  </si>
  <si>
    <t>COR-19-52-22</t>
  </si>
  <si>
    <t>COR-19-52-23</t>
  </si>
  <si>
    <t>COR-19-52-24</t>
  </si>
  <si>
    <t>COR-19_44</t>
  </si>
  <si>
    <t>COR-19-44-01</t>
  </si>
  <si>
    <t>COR-19-44-02</t>
  </si>
  <si>
    <t>COR-19-44-03</t>
  </si>
  <si>
    <t>COR-19-44-04</t>
  </si>
  <si>
    <t>COR-19-44-05</t>
  </si>
  <si>
    <t>COR-19-44-06</t>
  </si>
  <si>
    <t>COR-19-44-07</t>
  </si>
  <si>
    <t>COR-19-44-08</t>
  </si>
  <si>
    <t>COR-19-44-09</t>
  </si>
  <si>
    <t>COR-19-44-10</t>
  </si>
  <si>
    <t>COR-19-44-11</t>
  </si>
  <si>
    <t>COR-19-44-12</t>
  </si>
  <si>
    <t>COR-19-44-13</t>
  </si>
  <si>
    <t>COR-19-44-14</t>
  </si>
  <si>
    <t>COR-19-44-15</t>
  </si>
  <si>
    <t>COR-19-44-16</t>
  </si>
  <si>
    <t>COR-19-44-17</t>
  </si>
  <si>
    <t>COR-19-44-18</t>
  </si>
  <si>
    <t>COR-19-44-19</t>
  </si>
  <si>
    <t>COR-19-44-20</t>
  </si>
  <si>
    <t>COR-19-44-21</t>
  </si>
  <si>
    <t>COR-19-44-22</t>
  </si>
  <si>
    <t>COR-19-44-23</t>
  </si>
  <si>
    <t>COR-19-44-24</t>
  </si>
  <si>
    <t>COR-19-44-25</t>
  </si>
  <si>
    <t>missing eyes?</t>
  </si>
  <si>
    <t>COR-19_45</t>
  </si>
  <si>
    <t>COR-19-45-01</t>
  </si>
  <si>
    <t>COR-19-45-02</t>
  </si>
  <si>
    <t>COR-19-45-03</t>
  </si>
  <si>
    <t>COR-19-45-04</t>
  </si>
  <si>
    <t>COR-19-45-05</t>
  </si>
  <si>
    <t>COR-19-45-06</t>
  </si>
  <si>
    <t>COR-19-45-07</t>
  </si>
  <si>
    <t>COR-19-45-08</t>
  </si>
  <si>
    <t>COR-19-45-09</t>
  </si>
  <si>
    <t>COR-19-45-10</t>
  </si>
  <si>
    <t>COR-19-45-11</t>
  </si>
  <si>
    <t>COR-19-45-12</t>
  </si>
  <si>
    <t>COR-19-45-13</t>
  </si>
  <si>
    <t>COR-19-45-14</t>
  </si>
  <si>
    <t>COR-19-45-15</t>
  </si>
  <si>
    <t>COR-19-45-16</t>
  </si>
  <si>
    <t>COR-19-45-17</t>
  </si>
  <si>
    <t>COR-19-45-18</t>
  </si>
  <si>
    <t>COR-19-45-19</t>
  </si>
  <si>
    <t>COR-19-45-20</t>
  </si>
  <si>
    <t>COR-19-45-21</t>
  </si>
  <si>
    <t>COR-19-45-22</t>
  </si>
  <si>
    <t>COR-19-45-23</t>
  </si>
  <si>
    <t>COR-19-45-24</t>
  </si>
  <si>
    <t>COR-19-45-25</t>
  </si>
  <si>
    <t>COR-19_190</t>
  </si>
  <si>
    <t>COR-19-190-01</t>
  </si>
  <si>
    <t>COR-19-190-02</t>
  </si>
  <si>
    <t>COR-19-190-03</t>
  </si>
  <si>
    <t>COR-19-190-04</t>
  </si>
  <si>
    <t>COR-19-190-05</t>
  </si>
  <si>
    <t>caudal fin partially obscured</t>
  </si>
  <si>
    <t>COR-19-190-06</t>
  </si>
  <si>
    <t>caudal fin obscured</t>
  </si>
  <si>
    <t>COR-19-190-07</t>
  </si>
  <si>
    <t>COR-19-190-08</t>
  </si>
  <si>
    <t>COR-19-190-09</t>
  </si>
  <si>
    <t>COR-19-190-10</t>
  </si>
  <si>
    <t>COR-19-190-11</t>
  </si>
  <si>
    <t>COR-19-190-12</t>
  </si>
  <si>
    <t>COR-19-190-13</t>
  </si>
  <si>
    <t>COR-19-190-14</t>
  </si>
  <si>
    <t>same as image 232</t>
  </si>
  <si>
    <t>COR-19-190-15</t>
  </si>
  <si>
    <t>duplicate</t>
  </si>
  <si>
    <t>same as image 231</t>
  </si>
  <si>
    <t>COR-19-190-16</t>
  </si>
  <si>
    <t>COR-19-190-17</t>
  </si>
  <si>
    <t>COR-19-190-18</t>
  </si>
  <si>
    <t>COR-19-190-19</t>
  </si>
  <si>
    <t>COR-19-190-20</t>
  </si>
  <si>
    <t>COR-19-190-21</t>
  </si>
  <si>
    <t>COR-19-190-22</t>
  </si>
  <si>
    <t>COR-19-190-23</t>
  </si>
  <si>
    <t>COR-19-190-24</t>
  </si>
  <si>
    <t>COR-19-190-25</t>
  </si>
  <si>
    <t>COR-19_208</t>
  </si>
  <si>
    <t>COR-19-208-01</t>
  </si>
  <si>
    <t>COR-19-208-02</t>
  </si>
  <si>
    <t>COR-19-208-03</t>
  </si>
  <si>
    <t>COR-19-208-04</t>
  </si>
  <si>
    <t>COR-19-208-05</t>
  </si>
  <si>
    <t>COR-19-208-06</t>
  </si>
  <si>
    <t>COR-19-208-07</t>
  </si>
  <si>
    <t>COR-19-208-08</t>
  </si>
  <si>
    <t>COR-19-208-09</t>
  </si>
  <si>
    <t>COR-19-208-10</t>
  </si>
  <si>
    <t>COR-19_65</t>
  </si>
  <si>
    <t>COR-19-65-01</t>
  </si>
  <si>
    <t>COR-19-65-02</t>
  </si>
  <si>
    <t>COR-19-65-03</t>
  </si>
  <si>
    <t>COR-19-65-04</t>
  </si>
  <si>
    <t>COR-19-65-05</t>
  </si>
  <si>
    <t>COR-19-65-06</t>
  </si>
  <si>
    <t>COR-19-65-07</t>
  </si>
  <si>
    <t>COR-19-65-08</t>
  </si>
  <si>
    <t>COR-19-65-09</t>
  </si>
  <si>
    <t>COR-19-65-10</t>
  </si>
  <si>
    <t>COR-19-65-11</t>
  </si>
  <si>
    <t>COR-19-65-12</t>
  </si>
  <si>
    <t>COR-19-65-13</t>
  </si>
  <si>
    <t>COR-19-65-14</t>
  </si>
  <si>
    <t>COR-19-65-15</t>
  </si>
  <si>
    <t>COR-19-65-16</t>
  </si>
  <si>
    <t>COR-19-65-17</t>
  </si>
  <si>
    <t>COR-19-65-18</t>
  </si>
  <si>
    <t>COR-19-65-19</t>
  </si>
  <si>
    <t>COR-19-65-20</t>
  </si>
  <si>
    <t>COR-19-65-21</t>
  </si>
  <si>
    <t>COR-19-65-22</t>
  </si>
  <si>
    <t>COR-19-65-23</t>
  </si>
  <si>
    <t>COR-19-65-24</t>
  </si>
  <si>
    <t>COR-19-65-25</t>
  </si>
  <si>
    <t>COR-19_172</t>
  </si>
  <si>
    <t>COR-19-172-01</t>
  </si>
  <si>
    <t>COR-19-172-02</t>
  </si>
  <si>
    <t>COR-19-172-03</t>
  </si>
  <si>
    <t>COR-19-172-04</t>
  </si>
  <si>
    <t>COR-19-172-05</t>
  </si>
  <si>
    <t>COR-19-172-06</t>
  </si>
  <si>
    <t>COR-19-172-07</t>
  </si>
  <si>
    <t>COR-19-172-08</t>
  </si>
  <si>
    <t>COR-19-172-09</t>
  </si>
  <si>
    <t>COR-19-172-10</t>
  </si>
  <si>
    <t>COR-19-172-11</t>
  </si>
  <si>
    <t>COR-19-172-12</t>
  </si>
  <si>
    <t>COR-19-172-13</t>
  </si>
  <si>
    <t>COR-19-172-14</t>
  </si>
  <si>
    <t>COR-19-172-15</t>
  </si>
  <si>
    <t>COR-19-172-16</t>
  </si>
  <si>
    <t>COR-19-172-17</t>
  </si>
  <si>
    <t>COR-19-172-18</t>
  </si>
  <si>
    <t>COR-19-172-19</t>
  </si>
  <si>
    <t>COR-19-172-20</t>
  </si>
  <si>
    <t>COR-19-172-21</t>
  </si>
  <si>
    <t>COR-19-172-22</t>
  </si>
  <si>
    <t>COR-19-172-23</t>
  </si>
  <si>
    <t>COR-19-172-24</t>
  </si>
  <si>
    <t>COR-19-172-25</t>
  </si>
  <si>
    <t>COR-19_188</t>
  </si>
  <si>
    <t>COR-19-188-01</t>
  </si>
  <si>
    <t>COR-19-188-02</t>
  </si>
  <si>
    <t>COR-19-188-03</t>
  </si>
  <si>
    <t>COR-19-188-04</t>
  </si>
  <si>
    <t>COR-19-188-05</t>
  </si>
  <si>
    <t>COR-19-188-06</t>
  </si>
  <si>
    <t>COR-19-188-07</t>
  </si>
  <si>
    <t>COR-19-188-08</t>
  </si>
  <si>
    <t>COR-19-188-09</t>
  </si>
  <si>
    <t>COR-19-188-10</t>
  </si>
  <si>
    <t>COR-19-188-11</t>
  </si>
  <si>
    <t>COR-19-188-12</t>
  </si>
  <si>
    <t>COR-19-188-13</t>
  </si>
  <si>
    <t>COR-19-188-14</t>
  </si>
  <si>
    <t>COR-19-188-15</t>
  </si>
  <si>
    <t>COR-19-188-16</t>
  </si>
  <si>
    <t>COR-19-188-17</t>
  </si>
  <si>
    <t>COR-19-188-18</t>
  </si>
  <si>
    <t>COR-19-188-19</t>
  </si>
  <si>
    <t>COR-19-188-20</t>
  </si>
  <si>
    <t>COR-19-188-21</t>
  </si>
  <si>
    <t>COR-19-188-22</t>
  </si>
  <si>
    <t>COR-19-188-23</t>
  </si>
  <si>
    <t>COR-19-188-24</t>
  </si>
  <si>
    <t>COR-19-188-25</t>
  </si>
  <si>
    <t>COR-19_36</t>
  </si>
  <si>
    <t>COR-19-36-01</t>
  </si>
  <si>
    <t>COR-19-36-02</t>
  </si>
  <si>
    <t>COR-19-36-03</t>
  </si>
  <si>
    <t>COR-19-36-04</t>
  </si>
  <si>
    <t>COR-19-36-05</t>
  </si>
  <si>
    <t>COR-19-36-06</t>
  </si>
  <si>
    <t>COR-19-36-07</t>
  </si>
  <si>
    <t>COR-19-36-08</t>
  </si>
  <si>
    <t>COR-19-36-09</t>
  </si>
  <si>
    <t>COR-19-36-10</t>
  </si>
  <si>
    <t>COR-19-36-11</t>
  </si>
  <si>
    <t>COR-19-36-12</t>
  </si>
  <si>
    <t>COR-19-36-13</t>
  </si>
  <si>
    <t>COR-19-36-14</t>
  </si>
  <si>
    <t>COR-19-36-15</t>
  </si>
  <si>
    <t>COR-19-36-16</t>
  </si>
  <si>
    <t>COR-19-36-17</t>
  </si>
  <si>
    <t>COR-19-36-18</t>
  </si>
  <si>
    <t>COR-19-36-19</t>
  </si>
  <si>
    <t>COR-19-36-20</t>
  </si>
  <si>
    <t>COR-19-36-21</t>
  </si>
  <si>
    <t>COR-19-36-22</t>
  </si>
  <si>
    <t>COR-19-36-23</t>
  </si>
  <si>
    <t>COR-19-36-24</t>
  </si>
  <si>
    <t>COR-19-36-25</t>
  </si>
  <si>
    <t>COR-19_210</t>
  </si>
  <si>
    <t>COR-19-210-01</t>
  </si>
  <si>
    <t>COR-19-210-02</t>
  </si>
  <si>
    <t>COR-19-210-03</t>
  </si>
  <si>
    <t>COR-19-210-04</t>
  </si>
  <si>
    <t>COR-19-210-05</t>
  </si>
  <si>
    <t>COR-19-210-06</t>
  </si>
  <si>
    <t>COR-19-210-07</t>
  </si>
  <si>
    <t>COR-19-210-08</t>
  </si>
  <si>
    <t>COR-19-210-09</t>
  </si>
  <si>
    <t>COR-19-210-10</t>
  </si>
  <si>
    <t>COR-19-210-11</t>
  </si>
  <si>
    <t>COR-19-210-12</t>
  </si>
  <si>
    <t>COR-19-210-13</t>
  </si>
  <si>
    <t>COR-19-210-14</t>
  </si>
  <si>
    <t>COR-19-210-15</t>
  </si>
  <si>
    <t>COR-19-210-16</t>
  </si>
  <si>
    <t>COR-19-210-17</t>
  </si>
  <si>
    <t>COR-19-210-18</t>
  </si>
  <si>
    <t>COR-19-210-19</t>
  </si>
  <si>
    <t>COR-19-210-20</t>
  </si>
  <si>
    <t>COR-19-210-21</t>
  </si>
  <si>
    <t>COR-19-210-22</t>
  </si>
  <si>
    <t>COR-19-210-23</t>
  </si>
  <si>
    <t>COR-19-210-24</t>
  </si>
  <si>
    <t>COR-19-210-25</t>
  </si>
  <si>
    <t>COR-19_206</t>
  </si>
  <si>
    <t>COR-19-206-01</t>
  </si>
  <si>
    <t>COR-19-206-02</t>
  </si>
  <si>
    <t>COR-19-206-03</t>
  </si>
  <si>
    <t>COR-19-206-04</t>
  </si>
  <si>
    <t>COR-19-206-05</t>
  </si>
  <si>
    <t>COR-19-206-06</t>
  </si>
  <si>
    <t>COR-19-206-07</t>
  </si>
  <si>
    <t>COR-19-206-08</t>
  </si>
  <si>
    <t>COR-19-206-09</t>
  </si>
  <si>
    <t>COR-19-206-10</t>
  </si>
  <si>
    <t>COR-19-206-11</t>
  </si>
  <si>
    <t>COR-19-206-12</t>
  </si>
  <si>
    <t>COR-19-206-13</t>
  </si>
  <si>
    <t>COR-19-206-14</t>
  </si>
  <si>
    <t>COR-19-206-15</t>
  </si>
  <si>
    <t>COR-19-206-16</t>
  </si>
  <si>
    <t>COR-19-206-17</t>
  </si>
  <si>
    <t>COR-19-206-18</t>
  </si>
  <si>
    <t>COR-19-206-19</t>
  </si>
  <si>
    <t>COR-19-206-20</t>
  </si>
  <si>
    <t>COR-19-206-21</t>
  </si>
  <si>
    <t>COR-19-206-22</t>
  </si>
  <si>
    <t>COR-19-206-23</t>
  </si>
  <si>
    <t>COR-19-206-24</t>
  </si>
  <si>
    <t>COR-19-206-25</t>
  </si>
  <si>
    <t>COR-19_205</t>
  </si>
  <si>
    <t>COR-19-205-01</t>
  </si>
  <si>
    <t>COR-19-205-02</t>
  </si>
  <si>
    <t>COR-19-205-03</t>
  </si>
  <si>
    <t>COR-19-205-04</t>
  </si>
  <si>
    <t>COR-19-205-05</t>
  </si>
  <si>
    <t>COR-19-205-06</t>
  </si>
  <si>
    <t>COR-19-205-07</t>
  </si>
  <si>
    <t>COR-19-205-08</t>
  </si>
  <si>
    <t>COR-19-205-09</t>
  </si>
  <si>
    <t>COR-19-205-10</t>
  </si>
  <si>
    <t>COR-19_187</t>
  </si>
  <si>
    <t>COR-19-187-01</t>
  </si>
  <si>
    <t>COR-19-187-02</t>
  </si>
  <si>
    <t>COR-19-187-03</t>
  </si>
  <si>
    <t>COR-19-187-04</t>
  </si>
  <si>
    <t>COR-19-187-05</t>
  </si>
  <si>
    <t>COR-19-187-06</t>
  </si>
  <si>
    <t>COR-19-187-07</t>
  </si>
  <si>
    <t>COR-19-187-08</t>
  </si>
  <si>
    <t>COR-19-187-09</t>
  </si>
  <si>
    <t>COR-19-187-10</t>
  </si>
  <si>
    <t>COR-19-187-11</t>
  </si>
  <si>
    <t>COR-19-187-12</t>
  </si>
  <si>
    <t>COR-19-187-13</t>
  </si>
  <si>
    <t>COR-19-187-14</t>
  </si>
  <si>
    <t>COR-19-187-15</t>
  </si>
  <si>
    <t>COR-19-187-16</t>
  </si>
  <si>
    <t>COR-19-187-17</t>
  </si>
  <si>
    <t>COR-19-187-18</t>
  </si>
  <si>
    <t>COR-19-187-19</t>
  </si>
  <si>
    <t>COR-19-187-20</t>
  </si>
  <si>
    <t>COR-19-187-21</t>
  </si>
  <si>
    <t>COR-19-187-22</t>
  </si>
  <si>
    <t>COR-19-187-23</t>
  </si>
  <si>
    <t>COR-19-187-24</t>
  </si>
  <si>
    <t>COR-19-187-25</t>
  </si>
  <si>
    <t>COR-19_151</t>
  </si>
  <si>
    <t>COR-19-151-01</t>
  </si>
  <si>
    <t>COR-19-151-02</t>
  </si>
  <si>
    <t>COR-19-151-03</t>
  </si>
  <si>
    <t>COR-19-151-04</t>
  </si>
  <si>
    <t>COR-19-151-05</t>
  </si>
  <si>
    <t>COR-19-151-06</t>
  </si>
  <si>
    <t>COR-19-151-07</t>
  </si>
  <si>
    <t>COR-19-151-08</t>
  </si>
  <si>
    <t>COR-19-151-09</t>
  </si>
  <si>
    <t>COR-19-151-10</t>
  </si>
  <si>
    <t>COR-19-151-11</t>
  </si>
  <si>
    <t>COR-19-151-12</t>
  </si>
  <si>
    <t>COR-19-151-13</t>
  </si>
  <si>
    <t>COR-19-151-14</t>
  </si>
  <si>
    <t>COR-19-151-15</t>
  </si>
  <si>
    <t>COR-19-151-16</t>
  </si>
  <si>
    <t>COR-19-151-17</t>
  </si>
  <si>
    <t>COR-19-151-18</t>
  </si>
  <si>
    <t>COR-19-151-19</t>
  </si>
  <si>
    <t>COR-19-151-20</t>
  </si>
  <si>
    <t>COR-19-151-21</t>
  </si>
  <si>
    <t>COR-19-151-22</t>
  </si>
  <si>
    <t>COR-19-151-23</t>
  </si>
  <si>
    <t>COR-19-151-24</t>
  </si>
  <si>
    <t>COR-19-151-25</t>
  </si>
  <si>
    <t>COR-19_76</t>
  </si>
  <si>
    <t>COR-19-76-01</t>
  </si>
  <si>
    <t>COR-19-76-02</t>
  </si>
  <si>
    <t>COR-19-76-03</t>
  </si>
  <si>
    <t>COR-19-76-04</t>
  </si>
  <si>
    <t>COR-19-76-05</t>
  </si>
  <si>
    <t>COR-19-76-06</t>
  </si>
  <si>
    <t>COR-19-76-07</t>
  </si>
  <si>
    <t>COR-19-76-08</t>
  </si>
  <si>
    <t>COR-19-76-09</t>
  </si>
  <si>
    <t>COR-19-76-10</t>
  </si>
  <si>
    <t>COR-19-76-11</t>
  </si>
  <si>
    <t>COR-19-76-12</t>
  </si>
  <si>
    <t>COR-19-76-13</t>
  </si>
  <si>
    <t>COR-19-76-14</t>
  </si>
  <si>
    <t>COR-19-76-15</t>
  </si>
  <si>
    <t>COR-19-76-16</t>
  </si>
  <si>
    <t>COR-19-76-17</t>
  </si>
  <si>
    <t>COR-19-76-18</t>
  </si>
  <si>
    <t>COR-19-76-19</t>
  </si>
  <si>
    <t>COR-19-76-20</t>
  </si>
  <si>
    <t>COR-19-76-21</t>
  </si>
  <si>
    <t>COR-19-76-22</t>
  </si>
  <si>
    <t>COR-19-76-23</t>
  </si>
  <si>
    <t>COR-19-76-24</t>
  </si>
  <si>
    <t>COR-19-76-25</t>
  </si>
  <si>
    <t>COR-19_139</t>
  </si>
  <si>
    <t>COR-19-139-01</t>
  </si>
  <si>
    <t>RNA later specimen</t>
  </si>
  <si>
    <t>COR-19-139-02</t>
  </si>
  <si>
    <t>COR-19-139-03</t>
  </si>
  <si>
    <t>COR-19-139-04</t>
  </si>
  <si>
    <t>COR-19-139-05</t>
  </si>
  <si>
    <t>COR-19-139-06</t>
  </si>
  <si>
    <t>RNA later specimen; same fish as image 483</t>
  </si>
  <si>
    <t>COR-19-139-07</t>
  </si>
  <si>
    <t>COR-19-139-08</t>
  </si>
  <si>
    <t>COR-19-139-09</t>
  </si>
  <si>
    <t>COR-19-139-10</t>
  </si>
  <si>
    <t>COR-19-139-11</t>
  </si>
  <si>
    <t>COR-19-139-12</t>
  </si>
  <si>
    <t>COR-19-139-13</t>
  </si>
  <si>
    <t>COR-19-139-14</t>
  </si>
  <si>
    <t>COR-19-139-15</t>
  </si>
  <si>
    <t>No sample - DUP BATCH</t>
  </si>
  <si>
    <t>COR-19-139-16</t>
  </si>
  <si>
    <t>COR-19-139-17</t>
  </si>
  <si>
    <t>COR-19-139-18</t>
  </si>
  <si>
    <t>COR-19-139-19</t>
  </si>
  <si>
    <t>COR-19-139-20</t>
  </si>
  <si>
    <t>COR-19-139-21</t>
  </si>
  <si>
    <t>COR-19-139-22</t>
  </si>
  <si>
    <t>COR-19-139-23</t>
  </si>
  <si>
    <t>COR-19-139-24</t>
  </si>
  <si>
    <t>COR-19-139-25</t>
  </si>
  <si>
    <t>COR-19_184</t>
  </si>
  <si>
    <t>COR-19-184-01</t>
  </si>
  <si>
    <t>COR-19-184-02</t>
  </si>
  <si>
    <t>COR-19-184-03</t>
  </si>
  <si>
    <t>COR-19-184-04</t>
  </si>
  <si>
    <t>COR-19-184-05</t>
  </si>
  <si>
    <t>COR-19-184-06</t>
  </si>
  <si>
    <t>COR-19-184-07</t>
  </si>
  <si>
    <t>COR-19-184-08</t>
  </si>
  <si>
    <t>COR-19-184-09</t>
  </si>
  <si>
    <t>COR-19-184-10</t>
  </si>
  <si>
    <t>COR-19-184-11</t>
  </si>
  <si>
    <t>COR-19-184-12</t>
  </si>
  <si>
    <t>COR-19-184-13</t>
  </si>
  <si>
    <t>COR-19-184-14</t>
  </si>
  <si>
    <t>COR-19-184-15</t>
  </si>
  <si>
    <t>COR-19-184-16</t>
  </si>
  <si>
    <t>COR-19-184-17</t>
  </si>
  <si>
    <t>COR-19-184-18</t>
  </si>
  <si>
    <t>COR-19-184-19</t>
  </si>
  <si>
    <t>COR-19-184-20</t>
  </si>
  <si>
    <t>COR-19-184-21</t>
  </si>
  <si>
    <t>COR-19-184-22</t>
  </si>
  <si>
    <t>COR-19-184-23</t>
  </si>
  <si>
    <t>COR-19-184-24</t>
  </si>
  <si>
    <t>COR-19-184-25</t>
  </si>
  <si>
    <t>COR-19_192</t>
  </si>
  <si>
    <t>COR-19-192-01</t>
  </si>
  <si>
    <t>COR-19-192-02</t>
  </si>
  <si>
    <t>COR-19-192-03</t>
  </si>
  <si>
    <t>COR-19-192-04</t>
  </si>
  <si>
    <t>COR-19-192-05</t>
  </si>
  <si>
    <t>COR-19-192-06</t>
  </si>
  <si>
    <t>COR-19-192-07</t>
  </si>
  <si>
    <t>COR-19-192-08</t>
  </si>
  <si>
    <t>COR-19-192-09</t>
  </si>
  <si>
    <t>COR-19-192-10</t>
  </si>
  <si>
    <t>COR-19-192-11</t>
  </si>
  <si>
    <t>COR-19-192-12</t>
  </si>
  <si>
    <t>COR-19-192-13</t>
  </si>
  <si>
    <t>COR-19-192-14</t>
  </si>
  <si>
    <t>COR-19-192-15</t>
  </si>
  <si>
    <t>COR-19-192-16</t>
  </si>
  <si>
    <t>COR-19-192-17</t>
  </si>
  <si>
    <t>COR-19-192-18</t>
  </si>
  <si>
    <t>COR-19-192-19</t>
  </si>
  <si>
    <t>COR-19-192-20</t>
  </si>
  <si>
    <t>COR-19-192-21</t>
  </si>
  <si>
    <t>COR-19-192-22</t>
  </si>
  <si>
    <t>COR-19-192-23</t>
  </si>
  <si>
    <t>COR-19-192-24</t>
  </si>
  <si>
    <t>COR-19-192-25</t>
  </si>
  <si>
    <t>COR-19_57</t>
  </si>
  <si>
    <t>COR-19-57-01</t>
  </si>
  <si>
    <t>COR-19-57-02</t>
  </si>
  <si>
    <t>COR-19-57-03</t>
  </si>
  <si>
    <t>COR-19-57-04</t>
  </si>
  <si>
    <t>COR-19-57-05</t>
  </si>
  <si>
    <t>COR-19-57-06</t>
  </si>
  <si>
    <t>COR-19-57-07</t>
  </si>
  <si>
    <t>COR-19-57-08</t>
  </si>
  <si>
    <t>COR-19-57-09</t>
  </si>
  <si>
    <t>COR-19-57-10</t>
  </si>
  <si>
    <t>COR-19-57-11</t>
  </si>
  <si>
    <t>COR-19-57-12</t>
  </si>
  <si>
    <t>COR-19-57-13</t>
  </si>
  <si>
    <t>COR-19-57-14</t>
  </si>
  <si>
    <t>COR-19-57-15</t>
  </si>
  <si>
    <t>COR-19-57-16</t>
  </si>
  <si>
    <t>DUPLICATE - same specimen as Image 557</t>
  </si>
  <si>
    <t>COR-19-57-17</t>
  </si>
  <si>
    <t>COR-19-57-18</t>
  </si>
  <si>
    <t>COR-19-57-19</t>
  </si>
  <si>
    <t>COR-19-57-20</t>
  </si>
  <si>
    <t>COR-19-57-21</t>
  </si>
  <si>
    <t>COR-19-57-22</t>
  </si>
  <si>
    <t>COR-19-57-23</t>
  </si>
  <si>
    <t>COR-19-57-24</t>
  </si>
  <si>
    <t>COR-19-57-25</t>
  </si>
  <si>
    <t>COR-19_183</t>
  </si>
  <si>
    <t>COR-19-183-01</t>
  </si>
  <si>
    <t>COR-19-183-02</t>
  </si>
  <si>
    <t>COR-19-183-03</t>
  </si>
  <si>
    <t>COR-19-183-04</t>
  </si>
  <si>
    <t>COR-19-183-05</t>
  </si>
  <si>
    <t>COR-19-183-06</t>
  </si>
  <si>
    <t>COR-19-183-07</t>
  </si>
  <si>
    <t>COR-19-183-08</t>
  </si>
  <si>
    <t>COR-19-183-09</t>
  </si>
  <si>
    <t>COR-19-183-10</t>
  </si>
  <si>
    <t>COR-19-183-11</t>
  </si>
  <si>
    <t>COR-19-183-12</t>
  </si>
  <si>
    <t>COR-19-183-13</t>
  </si>
  <si>
    <t>COR-19-183-14</t>
  </si>
  <si>
    <t>COR-19-183-15</t>
  </si>
  <si>
    <t>COR-19-183-16</t>
  </si>
  <si>
    <t>COR-19-183-17</t>
  </si>
  <si>
    <t>COR-19-183-18</t>
  </si>
  <si>
    <t>COR-19-183-19</t>
  </si>
  <si>
    <t>COR-19-183-20</t>
  </si>
  <si>
    <t>COR-19-183-21</t>
  </si>
  <si>
    <t>COR-19-183-22</t>
  </si>
  <si>
    <t>COR-19-183-23</t>
  </si>
  <si>
    <t>COR-19-183-24</t>
  </si>
  <si>
    <t>COR-19-183-25</t>
  </si>
  <si>
    <t>COR-19_182</t>
  </si>
  <si>
    <t>COR-19-182-01</t>
  </si>
  <si>
    <t>COR-19-182-02</t>
  </si>
  <si>
    <t>COR-19-182-03</t>
  </si>
  <si>
    <t>COR-19-182-04</t>
  </si>
  <si>
    <t>COR-19-182-05</t>
  </si>
  <si>
    <t>COR-19_82</t>
  </si>
  <si>
    <t>COR-19-82-01</t>
  </si>
  <si>
    <t>COR-19-82-02</t>
  </si>
  <si>
    <t>COR-19-82-03</t>
  </si>
  <si>
    <t>COR-19-82-04</t>
  </si>
  <si>
    <t>COR-19-82-05</t>
  </si>
  <si>
    <t>COR-19-82-06</t>
  </si>
  <si>
    <t>COR-19-82-07</t>
  </si>
  <si>
    <t>COR-19-82-08</t>
  </si>
  <si>
    <t>COR-19-82-09</t>
  </si>
  <si>
    <t>COR-19-82-10</t>
  </si>
  <si>
    <t>COR-19-82-11</t>
  </si>
  <si>
    <t>COR-19-82-12</t>
  </si>
  <si>
    <t>DUPLICATE - same specimen as Image 608</t>
  </si>
  <si>
    <t>COR-19-82-13</t>
  </si>
  <si>
    <t>COR-19-82-14</t>
  </si>
  <si>
    <t>COR-19-82-15</t>
  </si>
  <si>
    <t>COR-19-82-16</t>
  </si>
  <si>
    <t>COR-19-82-17</t>
  </si>
  <si>
    <t>COR-19-82-18</t>
  </si>
  <si>
    <t>COR-19-82-19</t>
  </si>
  <si>
    <t>COR-19-82-20</t>
  </si>
  <si>
    <t>COR-19-82-21</t>
  </si>
  <si>
    <t>COR-19-82-22</t>
  </si>
  <si>
    <t>COR-19-82-23</t>
  </si>
  <si>
    <t>COR-19-82-24</t>
  </si>
  <si>
    <t>COR-19-82-25</t>
  </si>
  <si>
    <t>COR-19_84</t>
  </si>
  <si>
    <t>COR-19-84-01</t>
  </si>
  <si>
    <t>COR-19-84-02</t>
  </si>
  <si>
    <t>COR-19-84-03</t>
  </si>
  <si>
    <t>COR-19-84-04</t>
  </si>
  <si>
    <t>COR-19-84-05</t>
  </si>
  <si>
    <t>COR-19-84-06</t>
  </si>
  <si>
    <t>COR-19-84-07</t>
  </si>
  <si>
    <t>COR-19-84-08</t>
  </si>
  <si>
    <t>COR-19-84-09</t>
  </si>
  <si>
    <t>COR-19-84-10</t>
  </si>
  <si>
    <t>COR-19-84-11</t>
  </si>
  <si>
    <t>COR-19-84-12</t>
  </si>
  <si>
    <t>COR-19-84-13</t>
  </si>
  <si>
    <t>COR-19-84-14</t>
  </si>
  <si>
    <t>COR-19-84-15</t>
  </si>
  <si>
    <t>COR-19-84-16</t>
  </si>
  <si>
    <t>COR-19-84-17</t>
  </si>
  <si>
    <t>COR-19-84-18</t>
  </si>
  <si>
    <t>COR-19-84-19</t>
  </si>
  <si>
    <t>COR-19-84-20</t>
  </si>
  <si>
    <t>COR-19-84-21</t>
  </si>
  <si>
    <t>COR-19-84-22</t>
  </si>
  <si>
    <t>COR-19-84-23</t>
  </si>
  <si>
    <t>COR-19-84-24</t>
  </si>
  <si>
    <t>COR-19-84-25</t>
  </si>
  <si>
    <t>COR-19_85</t>
  </si>
  <si>
    <t>COR-19-85-01</t>
  </si>
  <si>
    <t>COR-19-85-02</t>
  </si>
  <si>
    <t>COR-19-85-03</t>
  </si>
  <si>
    <t>COR-19-85-04</t>
  </si>
  <si>
    <t>COR-19-85-05</t>
  </si>
  <si>
    <t>COR-19-85-06</t>
  </si>
  <si>
    <t>COR-19-85-07</t>
  </si>
  <si>
    <t>COR-19-85-08</t>
  </si>
  <si>
    <t>COR-19-85-09</t>
  </si>
  <si>
    <t>COR-19-85-10</t>
  </si>
  <si>
    <t>COR-19-85-11</t>
  </si>
  <si>
    <t>COR-19-85-12</t>
  </si>
  <si>
    <t>COR-19-85-13</t>
  </si>
  <si>
    <t>COR-19-85-14</t>
  </si>
  <si>
    <t>COR-19-85-15</t>
  </si>
  <si>
    <t>COR-19-85-16</t>
  </si>
  <si>
    <t>COR-19-85-17</t>
  </si>
  <si>
    <t>COR-19-85-18</t>
  </si>
  <si>
    <t>COR-19-85-19</t>
  </si>
  <si>
    <t>COR-19-85-20</t>
  </si>
  <si>
    <t>COR-19-85-21</t>
  </si>
  <si>
    <t>COR-19-85-22</t>
  </si>
  <si>
    <t>COR-19-85-23</t>
  </si>
  <si>
    <t>COR-19-85-24</t>
  </si>
  <si>
    <t>COR-19-85-25</t>
  </si>
  <si>
    <t>COR-19_101</t>
  </si>
  <si>
    <t>COR-19-101-01</t>
  </si>
  <si>
    <t>COR-19-101-02</t>
  </si>
  <si>
    <t>COR-19-101-03</t>
  </si>
  <si>
    <t>COR-19-101-04</t>
  </si>
  <si>
    <t>COR-19-101-05</t>
  </si>
  <si>
    <t>COR-19-101-06</t>
  </si>
  <si>
    <t>COR-19-101-07</t>
  </si>
  <si>
    <t>COR-19-101-08</t>
  </si>
  <si>
    <t>COR-19-101-09</t>
  </si>
  <si>
    <t>COR-19-101-10</t>
  </si>
  <si>
    <t>COR-19-101-11</t>
  </si>
  <si>
    <t>COR-19-101-12</t>
  </si>
  <si>
    <t>COR-19-101-13</t>
  </si>
  <si>
    <t>COR-19-101-14</t>
  </si>
  <si>
    <t>COR-19-101-15</t>
  </si>
  <si>
    <t>COR-19-101-16</t>
  </si>
  <si>
    <t>COR-19-101-17</t>
  </si>
  <si>
    <t>COR-19-101-18</t>
  </si>
  <si>
    <t>COR-19-101-19</t>
  </si>
  <si>
    <t>COR-19-101-20</t>
  </si>
  <si>
    <t>COR-19-101-21</t>
  </si>
  <si>
    <t>COR-19-101-22</t>
  </si>
  <si>
    <t>COR-19-101-23</t>
  </si>
  <si>
    <t>COR-19-101-24</t>
  </si>
  <si>
    <t>COR-19-101-25</t>
  </si>
  <si>
    <t>COR-19_158</t>
  </si>
  <si>
    <t>COR-19-158-01</t>
  </si>
  <si>
    <t>COR-19-158-02</t>
  </si>
  <si>
    <t>COR-19-158-03</t>
  </si>
  <si>
    <t>COR-19-158-04</t>
  </si>
  <si>
    <t>COR-19-158-05</t>
  </si>
  <si>
    <t>COR-19-158-06</t>
  </si>
  <si>
    <t>COR-19-158-07</t>
  </si>
  <si>
    <t>COR-19-158-08</t>
  </si>
  <si>
    <t>COR-19-158-09</t>
  </si>
  <si>
    <t>COR-19-158-10</t>
  </si>
  <si>
    <t>COR-19-158-11</t>
  </si>
  <si>
    <t>COR-19-158-12</t>
  </si>
  <si>
    <t>COR-19-158-13</t>
  </si>
  <si>
    <t>COR-19-158-14</t>
  </si>
  <si>
    <t>COR-19-158-15</t>
  </si>
  <si>
    <t>COR-19-158-16</t>
  </si>
  <si>
    <t>COR-19-158-17</t>
  </si>
  <si>
    <t>COR-19-158-18</t>
  </si>
  <si>
    <t>COR-19-158-19</t>
  </si>
  <si>
    <t>COR-19-158-20</t>
  </si>
  <si>
    <t>COR-19-158-21</t>
  </si>
  <si>
    <t>COR-19-158-22</t>
  </si>
  <si>
    <t>COR-19-158-23</t>
  </si>
  <si>
    <t>COR-19-158-24</t>
  </si>
  <si>
    <t>COR-19-158-25</t>
  </si>
  <si>
    <t>COR-19_196</t>
  </si>
  <si>
    <t>COR-19-196-01</t>
  </si>
  <si>
    <t>COR-19-196-02</t>
  </si>
  <si>
    <t>COR-19-196-03</t>
  </si>
  <si>
    <t>COR-19-196-04</t>
  </si>
  <si>
    <t>COR-19-196-05</t>
  </si>
  <si>
    <t>COR-19-196-06</t>
  </si>
  <si>
    <t>COR-19-196-07</t>
  </si>
  <si>
    <t>COR-19-196-08</t>
  </si>
  <si>
    <t>COR-19-196-09</t>
  </si>
  <si>
    <t>COR-19-196-10</t>
  </si>
  <si>
    <t>COR-19-196-11</t>
  </si>
  <si>
    <t>COR-19-196-12</t>
  </si>
  <si>
    <t>COR-19-196-13</t>
  </si>
  <si>
    <t>COR-19-196-14</t>
  </si>
  <si>
    <t>COR-19-196-15</t>
  </si>
  <si>
    <t>COR-19_120</t>
  </si>
  <si>
    <t>COR-19-120-01</t>
  </si>
  <si>
    <t>COR-19-120-02</t>
  </si>
  <si>
    <t>COR-19-120-03</t>
  </si>
  <si>
    <t>COR-19-120-04</t>
  </si>
  <si>
    <t>COR-19-120-05</t>
  </si>
  <si>
    <t>COR-19-120-06</t>
  </si>
  <si>
    <t>COR-19_209</t>
  </si>
  <si>
    <t>COR-19-209-01</t>
  </si>
  <si>
    <t>COR-19_178</t>
  </si>
  <si>
    <t>COR-19-178-01</t>
  </si>
  <si>
    <t>COR-19-178-02</t>
  </si>
  <si>
    <t>COR-19-178-03</t>
  </si>
  <si>
    <t>COR-19_177</t>
  </si>
  <si>
    <t>COR-19-177-01</t>
  </si>
  <si>
    <t>COR-19-177-02</t>
  </si>
  <si>
    <t>COR-19-177-03</t>
  </si>
  <si>
    <t>COR-19-177-04</t>
  </si>
  <si>
    <t>COR-19-177-05</t>
  </si>
  <si>
    <t>COR-19-177-06</t>
  </si>
  <si>
    <t>COR-19-177-07</t>
  </si>
  <si>
    <t>COR-19-177-08</t>
  </si>
  <si>
    <t>COR-19-177-09</t>
  </si>
  <si>
    <t>COR-19-177-10</t>
  </si>
  <si>
    <t>COR-19-177-11</t>
  </si>
  <si>
    <t>COR-19-177-12</t>
  </si>
  <si>
    <t>COR-19-177-13</t>
  </si>
  <si>
    <t>COR-19-177-14</t>
  </si>
  <si>
    <t>COR-19-177-15</t>
  </si>
  <si>
    <t>COR-19-177-16</t>
  </si>
  <si>
    <t>COR-19-177-17</t>
  </si>
  <si>
    <t>COR-19-177-18</t>
  </si>
  <si>
    <t>COR-19-177-19</t>
  </si>
  <si>
    <t>COR-19-177-20</t>
  </si>
  <si>
    <t>COR-19-177-21</t>
  </si>
  <si>
    <t>COR-19-177-22</t>
  </si>
  <si>
    <t>COR-19-177-23</t>
  </si>
  <si>
    <t>COR-19-177-24</t>
  </si>
  <si>
    <t>COR-19-177-25</t>
  </si>
  <si>
    <t>COR-19_176</t>
  </si>
  <si>
    <t>COR-19-176-01</t>
  </si>
  <si>
    <t>COR-19-176-02</t>
  </si>
  <si>
    <t>COR-19-176-03</t>
  </si>
  <si>
    <t>COR-19-176-04</t>
  </si>
  <si>
    <t>COR-19-176-05</t>
  </si>
  <si>
    <t>COR-19-176-06</t>
  </si>
  <si>
    <t>COR-19-176-07</t>
  </si>
  <si>
    <t>COR-19_195</t>
  </si>
  <si>
    <t>COR-19-195-01</t>
  </si>
  <si>
    <t>COR-19-195-02</t>
  </si>
  <si>
    <t>COR-19-195-03</t>
  </si>
  <si>
    <t>COR-19-195-04</t>
  </si>
  <si>
    <t>COR-19-195-05</t>
  </si>
  <si>
    <t>COR-19-195-06</t>
  </si>
  <si>
    <t>COR-19-195-07</t>
  </si>
  <si>
    <t>COR-19-195-08</t>
  </si>
  <si>
    <t>COR-19-195-09</t>
  </si>
  <si>
    <t>COR-19-195-10</t>
  </si>
  <si>
    <t>COR-19-195-11</t>
  </si>
  <si>
    <t>COR-19-195-12</t>
  </si>
  <si>
    <t>COR-19-195-13</t>
  </si>
  <si>
    <t>COR-19-195-14</t>
  </si>
  <si>
    <t>COR-19-195-15</t>
  </si>
  <si>
    <t>COR-19-195-16</t>
  </si>
  <si>
    <t>COR-19-195-17</t>
  </si>
  <si>
    <t>COR-19_194</t>
  </si>
  <si>
    <t>COR-19-194-01</t>
  </si>
  <si>
    <t>COR-19_193</t>
  </si>
  <si>
    <t>COR-19-193-01</t>
  </si>
  <si>
    <t>COR-19_174</t>
  </si>
  <si>
    <t>COR-19-174-01</t>
  </si>
  <si>
    <t>COR-19-174-02</t>
  </si>
  <si>
    <t>COR-19-174-03</t>
  </si>
  <si>
    <t>COR-19-174-04</t>
  </si>
  <si>
    <t>COR-19_460</t>
  </si>
  <si>
    <t>COR-19-460-01</t>
  </si>
  <si>
    <t>COR-19-460-02</t>
  </si>
  <si>
    <t>COR-19-460-03</t>
  </si>
  <si>
    <t>COR-19-460-04</t>
  </si>
  <si>
    <t>COR-19-460-05</t>
  </si>
  <si>
    <t>COR-19-460-06</t>
  </si>
  <si>
    <t>COR-19-460-07</t>
  </si>
  <si>
    <t>COR-19-460-08</t>
  </si>
  <si>
    <t>COR-19-460-09</t>
  </si>
  <si>
    <t>COR-19-460-10</t>
  </si>
  <si>
    <t>COR-19-460-11</t>
  </si>
  <si>
    <t>COR-19-460-12</t>
  </si>
  <si>
    <t>COR-19-460-13</t>
  </si>
  <si>
    <t>COR-19-460-14</t>
  </si>
  <si>
    <t>COR-19-460-15</t>
  </si>
  <si>
    <t>COR-19_459</t>
  </si>
  <si>
    <t>COR-19-459-01</t>
  </si>
  <si>
    <t>COR-19-459-02</t>
  </si>
  <si>
    <t>COR-19-459-03</t>
  </si>
  <si>
    <t>COR-19-459-04</t>
  </si>
  <si>
    <t>COR-19-459-05</t>
  </si>
  <si>
    <t>COR-19-459-06</t>
  </si>
  <si>
    <t>COR-19_461</t>
  </si>
  <si>
    <t>COR-19-461-01</t>
  </si>
  <si>
    <t>COR-19-461-02</t>
  </si>
  <si>
    <t>COR-19-461-03</t>
  </si>
  <si>
    <t>COR-19-461-04</t>
  </si>
  <si>
    <t>COR-19-461-05</t>
  </si>
  <si>
    <t>COR-19-461-06</t>
  </si>
  <si>
    <t>COR-19-461-07</t>
  </si>
  <si>
    <t>COR-19-461-08</t>
  </si>
  <si>
    <t>COR-19-461-09</t>
  </si>
  <si>
    <t>COR-19-461-10</t>
  </si>
  <si>
    <t>COR-19-461-11</t>
  </si>
  <si>
    <t>COR-19-461-12</t>
  </si>
  <si>
    <t>COR-19-461-13</t>
  </si>
  <si>
    <t>COR-19-461-14</t>
  </si>
  <si>
    <t>COR-19-461-15</t>
  </si>
  <si>
    <t>COR-19-461-16</t>
  </si>
  <si>
    <t>COR-19-461-17</t>
  </si>
  <si>
    <t>COR-19_457</t>
  </si>
  <si>
    <t>COR-19-457-01</t>
  </si>
  <si>
    <t>COR-19-457-02</t>
  </si>
  <si>
    <t>COR-19-457-03</t>
  </si>
  <si>
    <t>COR-19-457-04</t>
  </si>
  <si>
    <t>COR-19-457-05</t>
  </si>
  <si>
    <t>COR-19-457-06</t>
  </si>
  <si>
    <t>COR-19-457-07</t>
  </si>
  <si>
    <t>COR-19-457-08</t>
  </si>
  <si>
    <t>COR-19_456</t>
  </si>
  <si>
    <t>COR-19-456-01</t>
  </si>
  <si>
    <t>COR-19-456-02</t>
  </si>
  <si>
    <t>COR-19-456-03</t>
  </si>
  <si>
    <t>COR-19-456-04</t>
  </si>
  <si>
    <t>COR-19-456-05</t>
  </si>
  <si>
    <t>COR-19-456-06</t>
  </si>
  <si>
    <t>COR-19-456-07</t>
  </si>
  <si>
    <t>COR-19-456-08</t>
  </si>
  <si>
    <t>COR-19-456-09</t>
  </si>
  <si>
    <t>COR-19-456-10</t>
  </si>
  <si>
    <t>COR-19-456-11</t>
  </si>
  <si>
    <t>COR-19-456-12</t>
  </si>
  <si>
    <t>COR-19-456-13</t>
  </si>
  <si>
    <t>COR-19-456-14</t>
  </si>
  <si>
    <t>COR-19-456-15</t>
  </si>
  <si>
    <t>COR-19-456-16</t>
  </si>
  <si>
    <t>COR-19-456-17</t>
  </si>
  <si>
    <t>COR-19-456-18</t>
  </si>
  <si>
    <t>COR-19-456-19</t>
  </si>
  <si>
    <t>COR-19-456-20</t>
  </si>
  <si>
    <t>COR-19-456-21</t>
  </si>
  <si>
    <t>COR-19-456-22</t>
  </si>
  <si>
    <t>COR-19-456-23</t>
  </si>
  <si>
    <t>COR-19-456-24</t>
  </si>
  <si>
    <t>COR-19-456-25</t>
  </si>
  <si>
    <t>COR-19_451</t>
  </si>
  <si>
    <t>COR-19-451-01</t>
  </si>
  <si>
    <t>COR-19-451-02</t>
  </si>
  <si>
    <t>COR-19-451-03</t>
  </si>
  <si>
    <t>COR-19-451-04</t>
  </si>
  <si>
    <t>COR-19-451-05</t>
  </si>
  <si>
    <t>COR-19-451-06</t>
  </si>
  <si>
    <t>COR-19-451-07</t>
  </si>
  <si>
    <t>COR-19-451-08</t>
  </si>
  <si>
    <t>COR-19-451-09</t>
  </si>
  <si>
    <t>COR-19_463</t>
  </si>
  <si>
    <t>COR-19-463-01</t>
  </si>
  <si>
    <t>COR-19-463-02</t>
  </si>
  <si>
    <t>COR-19-463-03</t>
  </si>
  <si>
    <t>COR-19_464</t>
  </si>
  <si>
    <t>COR-19-464-01</t>
  </si>
  <si>
    <t>COR-19-464-02</t>
  </si>
  <si>
    <t>COR-19_465</t>
  </si>
  <si>
    <t>COR-19-465-01</t>
  </si>
  <si>
    <t>COR-19-465-02</t>
  </si>
  <si>
    <t>COR-19-465-03</t>
  </si>
  <si>
    <t>COR-19-465-04</t>
  </si>
  <si>
    <t>COR-19-465-05</t>
  </si>
  <si>
    <t>COR-19-465-06</t>
  </si>
  <si>
    <t>DUPLICATE - same specimen as Image 888</t>
  </si>
  <si>
    <t>COR-19-465-07</t>
  </si>
  <si>
    <t>COR-19-465-08</t>
  </si>
  <si>
    <t>COR-19_422</t>
  </si>
  <si>
    <t>COR-19-422-01</t>
  </si>
  <si>
    <t>COR-19-422-02</t>
  </si>
  <si>
    <t>COR-19-422-03</t>
  </si>
  <si>
    <t>COR-19-422-04</t>
  </si>
  <si>
    <t>COR-19-422-05</t>
  </si>
  <si>
    <t>COR-19-422-06</t>
  </si>
  <si>
    <t>COR-19-422-07</t>
  </si>
  <si>
    <t>COR-19-422-08</t>
  </si>
  <si>
    <t>COR-19-422-09</t>
  </si>
  <si>
    <t>COR-19-422-10</t>
  </si>
  <si>
    <t>COR-19-422-11</t>
  </si>
  <si>
    <t>COR-19-422-12</t>
  </si>
  <si>
    <t>COR-19-422-13</t>
  </si>
  <si>
    <t>COR-19-422-14</t>
  </si>
  <si>
    <t>COR-19-422-15</t>
  </si>
  <si>
    <t>COR-19-422-16</t>
  </si>
  <si>
    <t>COR-19-422-17</t>
  </si>
  <si>
    <t>COR-19-422-18</t>
  </si>
  <si>
    <t>COR-19-422-19</t>
  </si>
  <si>
    <t>COR-19-422-20</t>
  </si>
  <si>
    <t>COR-19-422-21</t>
  </si>
  <si>
    <t>COR-19-422-22</t>
  </si>
  <si>
    <t>COR-19-422-23</t>
  </si>
  <si>
    <t>COR-19-422-24</t>
  </si>
  <si>
    <t>COR-19-422-25</t>
  </si>
  <si>
    <t>COR-19_420</t>
  </si>
  <si>
    <t>COR-19-420-01</t>
  </si>
  <si>
    <t>COR-19-420-02</t>
  </si>
  <si>
    <t>COR-19-420-03</t>
  </si>
  <si>
    <t>COR-19-420-04</t>
  </si>
  <si>
    <t>COR-19-420-05</t>
  </si>
  <si>
    <t>COR-19-420-06</t>
  </si>
  <si>
    <t>COR-19-420-07</t>
  </si>
  <si>
    <t>COR-19-420-08</t>
  </si>
  <si>
    <t>COR-19-420-09</t>
  </si>
  <si>
    <t>COR-19-420-10</t>
  </si>
  <si>
    <t>COR-19-420-11</t>
  </si>
  <si>
    <t>COR-19-420-12</t>
  </si>
  <si>
    <t>COR-19-420-13</t>
  </si>
  <si>
    <t>COR-19-420-14</t>
  </si>
  <si>
    <t>COR-19-420-15</t>
  </si>
  <si>
    <t>COR-19-420-16</t>
  </si>
  <si>
    <t>COR-19-420-17</t>
  </si>
  <si>
    <t>COR-19-420-18</t>
  </si>
  <si>
    <t>COR-19-420-19</t>
  </si>
  <si>
    <t>COR-19-420-20</t>
  </si>
  <si>
    <t>COR-19-420-21</t>
  </si>
  <si>
    <t>COR-19-420-22</t>
  </si>
  <si>
    <t>COR-19-420-23</t>
  </si>
  <si>
    <t>COR-19-420-24</t>
  </si>
  <si>
    <t>COR-19-420-25</t>
  </si>
  <si>
    <t>COR-19_419</t>
  </si>
  <si>
    <t>COR-19-419-01</t>
  </si>
  <si>
    <t>COR-19-419-02</t>
  </si>
  <si>
    <t>COR-19-419-03</t>
  </si>
  <si>
    <t>COR-19-419-04</t>
  </si>
  <si>
    <t>COR-19-419-05</t>
  </si>
  <si>
    <t>COR-19-419-06</t>
  </si>
  <si>
    <t>COR-19-419-07</t>
  </si>
  <si>
    <t>COR-19-419-08</t>
  </si>
  <si>
    <t>COR-19-419-09</t>
  </si>
  <si>
    <t>COR-19-419-10</t>
  </si>
  <si>
    <t>COR-19-419-11</t>
  </si>
  <si>
    <t>COR-19-419-12</t>
  </si>
  <si>
    <t>COR-19-419-13</t>
  </si>
  <si>
    <t>COR-19-419-14</t>
  </si>
  <si>
    <t>COR-19-419-15</t>
  </si>
  <si>
    <t>COR-19-419-16</t>
  </si>
  <si>
    <t>COR-19-419-17</t>
  </si>
  <si>
    <t>COR-19-419-18</t>
  </si>
  <si>
    <t>COR-19-419-19</t>
  </si>
  <si>
    <t>COR-19-419-20</t>
  </si>
  <si>
    <t>COR-19-419-21</t>
  </si>
  <si>
    <t>COR-19-419-22</t>
  </si>
  <si>
    <t>COR-19-419-23</t>
  </si>
  <si>
    <t>COR-19-419-24</t>
  </si>
  <si>
    <t>COR-19-419-25</t>
  </si>
  <si>
    <t>COR-19_418</t>
  </si>
  <si>
    <t>COR-19-418-01</t>
  </si>
  <si>
    <t>COR-19-418-02</t>
  </si>
  <si>
    <t>COR-19-418-03</t>
  </si>
  <si>
    <t>COR-19-418-04</t>
  </si>
  <si>
    <t>COR-19-418-05</t>
  </si>
  <si>
    <t>COR-19-418-06</t>
  </si>
  <si>
    <t>COR-19-418-07</t>
  </si>
  <si>
    <t>COR-19-418-08</t>
  </si>
  <si>
    <t>COR-19-418-09</t>
  </si>
  <si>
    <t>COR-19-418-10</t>
  </si>
  <si>
    <t>COR-19-418-11</t>
  </si>
  <si>
    <t>COR-19-418-12</t>
  </si>
  <si>
    <t>COR-19-418-13</t>
  </si>
  <si>
    <t>COR-19-418-14</t>
  </si>
  <si>
    <t>COR-19-418-15</t>
  </si>
  <si>
    <t>COR-19-418-16</t>
  </si>
  <si>
    <t>COR-19-418-17</t>
  </si>
  <si>
    <t>COR-19-418-18</t>
  </si>
  <si>
    <t>COR-19-418-19</t>
  </si>
  <si>
    <t>COR-19-418-20</t>
  </si>
  <si>
    <t>COR-19-418-21</t>
  </si>
  <si>
    <t>COR-19-418-22</t>
  </si>
  <si>
    <t>COR-19-418-23</t>
  </si>
  <si>
    <t>COR-19-418-24</t>
  </si>
  <si>
    <t>COR-19-418-25</t>
  </si>
  <si>
    <t>COR-19_417</t>
  </si>
  <si>
    <t>COR-19-417-01</t>
  </si>
  <si>
    <t>COR-19-417-02</t>
  </si>
  <si>
    <t>COR-19-417-03</t>
  </si>
  <si>
    <t>COR-19-417-04</t>
  </si>
  <si>
    <t>COR-19-417-05</t>
  </si>
  <si>
    <t>COR-19-417-06</t>
  </si>
  <si>
    <t>COR-19-417-07</t>
  </si>
  <si>
    <t>COR-19-417-08</t>
  </si>
  <si>
    <t>COR-19-417-09</t>
  </si>
  <si>
    <t>COR-19-417-10</t>
  </si>
  <si>
    <t>COR-19-417-11</t>
  </si>
  <si>
    <t>COR-19_415</t>
  </si>
  <si>
    <t>COR-19-415-01</t>
  </si>
  <si>
    <t>COR-19-415-02</t>
  </si>
  <si>
    <t>COR-19-415-03</t>
  </si>
  <si>
    <t>COR-19-415-04</t>
  </si>
  <si>
    <t>COR-19-415-05</t>
  </si>
  <si>
    <t>COR-19-415-06</t>
  </si>
  <si>
    <t>COR-19-415-07</t>
  </si>
  <si>
    <t>COR-19-415-08</t>
  </si>
  <si>
    <t>COR-19-415-09</t>
  </si>
  <si>
    <t>COR-19-415-10</t>
  </si>
  <si>
    <t>COR-19-415-11</t>
  </si>
  <si>
    <t>COR-19-415-12</t>
  </si>
  <si>
    <t>COR-19-415-13</t>
  </si>
  <si>
    <t>COR-19-415-14</t>
  </si>
  <si>
    <t>COR-19-415-15</t>
  </si>
  <si>
    <t>COR-19-415-16</t>
  </si>
  <si>
    <t>COR-19-415-17</t>
  </si>
  <si>
    <t>COR-19-415-18</t>
  </si>
  <si>
    <t>COR-19-415-19</t>
  </si>
  <si>
    <t>COR-19-415-20</t>
  </si>
  <si>
    <t>COR-19-415-21</t>
  </si>
  <si>
    <t>COR-19-415-22</t>
  </si>
  <si>
    <t>COR-19-415-23</t>
  </si>
  <si>
    <t>COR-19-415-24</t>
  </si>
  <si>
    <t>COR-19-415-25</t>
  </si>
  <si>
    <t>COR-19_414</t>
  </si>
  <si>
    <t>COR-19-414-01</t>
  </si>
  <si>
    <t>COR-19-414-02</t>
  </si>
  <si>
    <t>COR-19-414-03</t>
  </si>
  <si>
    <t>COR-19-414-04</t>
  </si>
  <si>
    <t>COR-19-414-05</t>
  </si>
  <si>
    <t>COR-19-414-06</t>
  </si>
  <si>
    <t>COR-19-414-07</t>
  </si>
  <si>
    <t>COR-19-414-08</t>
  </si>
  <si>
    <t>COR-19-414-09</t>
  </si>
  <si>
    <t>COR-19-414-10</t>
  </si>
  <si>
    <t>COR-19-414-11</t>
  </si>
  <si>
    <t>COR-19-414-12</t>
  </si>
  <si>
    <t>COR-19-414-13</t>
  </si>
  <si>
    <t>COR-19-414-14</t>
  </si>
  <si>
    <t>COR-19-414-15</t>
  </si>
  <si>
    <t>COR-19-414-16</t>
  </si>
  <si>
    <t>COR-19-414-17</t>
  </si>
  <si>
    <t>COR-19-414-18</t>
  </si>
  <si>
    <t>COR-19-414-19</t>
  </si>
  <si>
    <t>COR-19-414-20</t>
  </si>
  <si>
    <t>COR-19-414-21</t>
  </si>
  <si>
    <t>COR-19-414-22</t>
  </si>
  <si>
    <t>COR-19-414-23</t>
  </si>
  <si>
    <t>COR-19-414-24</t>
  </si>
  <si>
    <t>COR-19-414-25</t>
  </si>
  <si>
    <t>COR-19_406</t>
  </si>
  <si>
    <t>COR-19-406-01</t>
  </si>
  <si>
    <t>COR-19_405</t>
  </si>
  <si>
    <t>COR-19-405-01</t>
  </si>
  <si>
    <t>COR-19-405-02</t>
  </si>
  <si>
    <t>COR-19-405-03</t>
  </si>
  <si>
    <t>COR-19-405-04</t>
  </si>
  <si>
    <t>COR-19_401</t>
  </si>
  <si>
    <t>COR-19-401-01</t>
  </si>
  <si>
    <t>COR-19-401-02</t>
  </si>
  <si>
    <t>COR-19-401-03</t>
  </si>
  <si>
    <t>COR-19-401-04</t>
  </si>
  <si>
    <t>COR-19-401-05</t>
  </si>
  <si>
    <t>COR-19-401-06</t>
  </si>
  <si>
    <t>COR-19-401-07</t>
  </si>
  <si>
    <t>COR-19-401-08</t>
  </si>
  <si>
    <t>COR-19-401-09</t>
  </si>
  <si>
    <t>COR-19-401-10</t>
  </si>
  <si>
    <t>COR-19-401-11</t>
  </si>
  <si>
    <t>COR-19-401-12</t>
  </si>
  <si>
    <t>COR-19-401-13</t>
  </si>
  <si>
    <t>COR-19-401-14</t>
  </si>
  <si>
    <t>COR-19-401-15</t>
  </si>
  <si>
    <t>COR-19-401-16</t>
  </si>
  <si>
    <t>COR-19-401-17</t>
  </si>
  <si>
    <t>COR-19-401-18</t>
  </si>
  <si>
    <t>COR-19-401-19</t>
  </si>
  <si>
    <t>COR-19-401-20</t>
  </si>
  <si>
    <t>COR-19-401-21</t>
  </si>
  <si>
    <t>COR-19-401-22</t>
  </si>
  <si>
    <t>COR-19-401-23</t>
  </si>
  <si>
    <t>COR-19-401-24</t>
  </si>
  <si>
    <t>COR-19-401-25</t>
  </si>
  <si>
    <t>COR-19_402</t>
  </si>
  <si>
    <t>COR-19-402-01</t>
  </si>
  <si>
    <t>COR-19-402-02</t>
  </si>
  <si>
    <t>COR-19-402-03</t>
  </si>
  <si>
    <t>COR-19-402-04</t>
  </si>
  <si>
    <t>COR-19-402-05</t>
  </si>
  <si>
    <t>COR-19-402-06</t>
  </si>
  <si>
    <t>COR-19-402-07</t>
  </si>
  <si>
    <t>COR-19-402-08</t>
  </si>
  <si>
    <t>COR-19-402-09</t>
  </si>
  <si>
    <t>COR-19-402-10</t>
  </si>
  <si>
    <t>COR-19-402-11</t>
  </si>
  <si>
    <t>COR-19-402-12</t>
  </si>
  <si>
    <t>COR-19-402-13</t>
  </si>
  <si>
    <t>COR-19-402-14</t>
  </si>
  <si>
    <t>COR-19-402-15</t>
  </si>
  <si>
    <t>COR-19-402-16</t>
  </si>
  <si>
    <t>COR-19-402-17</t>
  </si>
  <si>
    <t>COR-19-402-18</t>
  </si>
  <si>
    <t>COR-19-402-19</t>
  </si>
  <si>
    <t>COR-19-402-20</t>
  </si>
  <si>
    <t>COR-19-402-21</t>
  </si>
  <si>
    <t>COR-19-402-22</t>
  </si>
  <si>
    <t>COR-19-402-23</t>
  </si>
  <si>
    <t>COR-19-402-24</t>
  </si>
  <si>
    <t>COR-19-402-25</t>
  </si>
  <si>
    <t>COR-19_404</t>
  </si>
  <si>
    <t>COR-19-404-01</t>
  </si>
  <si>
    <t>COR-19-404-02</t>
  </si>
  <si>
    <t>COR-19-404-03</t>
  </si>
  <si>
    <t>COR-19-404-04</t>
  </si>
  <si>
    <t>COR-19-404-05</t>
  </si>
  <si>
    <t>COR-19-404-06</t>
  </si>
  <si>
    <t>COR-19-404-07</t>
  </si>
  <si>
    <t>COR-19-404-08</t>
  </si>
  <si>
    <t>COR-19-404-09</t>
  </si>
  <si>
    <t>COR-19-404-10</t>
  </si>
  <si>
    <t>COR-19-404-11</t>
  </si>
  <si>
    <t>COR-19-404-12</t>
  </si>
  <si>
    <t>COR-19-404-13</t>
  </si>
  <si>
    <t>COR-19-404-14</t>
  </si>
  <si>
    <t>COR-19-404-15</t>
  </si>
  <si>
    <t>COR-19-404-16</t>
  </si>
  <si>
    <t>COR-19-404-17</t>
  </si>
  <si>
    <t>COR-19-404-18</t>
  </si>
  <si>
    <t>COR-19-404-19</t>
  </si>
  <si>
    <t>COR-19-404-20</t>
  </si>
  <si>
    <t>COR-19-404-21</t>
  </si>
  <si>
    <t>COR-19-404-22</t>
  </si>
  <si>
    <t>COR-19-404-23</t>
  </si>
  <si>
    <t>COR-19-404-24</t>
  </si>
  <si>
    <t>COR-19-404-25</t>
  </si>
  <si>
    <t>COR-19_403</t>
  </si>
  <si>
    <t>COR-19-403-01</t>
  </si>
  <si>
    <t>COR-19-403-02</t>
  </si>
  <si>
    <t>COR-19-403-03</t>
  </si>
  <si>
    <t>COR-19-403-04</t>
  </si>
  <si>
    <t>COR-19-403-05</t>
  </si>
  <si>
    <t>COR-19-403-06</t>
  </si>
  <si>
    <t>COR-19-403-07</t>
  </si>
  <si>
    <t>COR-19-403-08</t>
  </si>
  <si>
    <t>COR-19-403-09</t>
  </si>
  <si>
    <t>COR-19-403-10</t>
  </si>
  <si>
    <t>COR-19-403-11</t>
  </si>
  <si>
    <t>COR-19-403-12</t>
  </si>
  <si>
    <t>COR-19-403-13</t>
  </si>
  <si>
    <t>COR-19-403-14</t>
  </si>
  <si>
    <t>COR-19-403-15</t>
  </si>
  <si>
    <t>COR-19-403-16</t>
  </si>
  <si>
    <t>COR-19-403-17</t>
  </si>
  <si>
    <t>COR-19-403-18</t>
  </si>
  <si>
    <t>COR-19-403-19</t>
  </si>
  <si>
    <t>COR-19-403-20</t>
  </si>
  <si>
    <t>COR-19-403-21</t>
  </si>
  <si>
    <t>COR-19-403-22</t>
  </si>
  <si>
    <t>COR-19-403-23</t>
  </si>
  <si>
    <t>COR-19-403-24</t>
  </si>
  <si>
    <t>COR-19-403-25</t>
  </si>
  <si>
    <t>COR-19_400</t>
  </si>
  <si>
    <t>COR-19-400-01</t>
  </si>
  <si>
    <t>COR-19-400-02</t>
  </si>
  <si>
    <t>COR-19-400-03</t>
  </si>
  <si>
    <t>COR-19-400-04</t>
  </si>
  <si>
    <t>COR-19-400-05</t>
  </si>
  <si>
    <t>COR-19-400-06</t>
  </si>
  <si>
    <t>COR-19-400-07</t>
  </si>
  <si>
    <t>COR-19-400-08</t>
  </si>
  <si>
    <t>COR-19-400-09</t>
  </si>
  <si>
    <t>COR-19-400-10</t>
  </si>
  <si>
    <t>COR-19-400-11</t>
  </si>
  <si>
    <t>COR-19-400-12</t>
  </si>
  <si>
    <t>COR-19-400-13</t>
  </si>
  <si>
    <t>COR-19_191</t>
  </si>
  <si>
    <t>COR-19-191-01</t>
  </si>
  <si>
    <t>COR-19-191-02</t>
  </si>
  <si>
    <t>COR-19-191-03</t>
  </si>
  <si>
    <t>COR-19-191-04</t>
  </si>
  <si>
    <t>COR-19-191-05</t>
  </si>
  <si>
    <t>COR-19-191-06</t>
  </si>
  <si>
    <t>COR-19-191-07</t>
  </si>
  <si>
    <t>COR-19-191-08</t>
  </si>
  <si>
    <t>COR-19-191-09</t>
  </si>
  <si>
    <t>COR-19-191-10</t>
  </si>
  <si>
    <t>COR-19-191-11</t>
  </si>
  <si>
    <t>COR-19-191-12</t>
  </si>
  <si>
    <t>COR-19-191-13</t>
  </si>
  <si>
    <t>COR-19-191-14</t>
  </si>
  <si>
    <t>COR-19-191-15</t>
  </si>
  <si>
    <t>COR-19-191-16</t>
  </si>
  <si>
    <t>COR-19-191-17</t>
  </si>
  <si>
    <t>COR-19-191-18</t>
  </si>
  <si>
    <t>COR-19-191-19</t>
  </si>
  <si>
    <t>COR-19-191-20</t>
  </si>
  <si>
    <t>COR-19-191-21</t>
  </si>
  <si>
    <t>COR-19-191-22</t>
  </si>
  <si>
    <t>COR-19-191-23</t>
  </si>
  <si>
    <t>COR-19-191-24</t>
  </si>
  <si>
    <t>COR-19-191-25</t>
  </si>
  <si>
    <t>COR-19_207</t>
  </si>
  <si>
    <t>COR-19-207-01</t>
  </si>
  <si>
    <t>COR-19-207-02</t>
  </si>
  <si>
    <t>COR-19-207-03</t>
  </si>
  <si>
    <t>COR-19-207-04</t>
  </si>
  <si>
    <t>COR-19-207-05</t>
  </si>
  <si>
    <t>COR-19-207-06</t>
  </si>
  <si>
    <t>COR-19-207-07</t>
  </si>
  <si>
    <t>COR-19-207-08</t>
  </si>
  <si>
    <t>COR-19-207-09</t>
  </si>
  <si>
    <t>COR-19-207-10</t>
  </si>
  <si>
    <t>COR-19-207-11</t>
  </si>
  <si>
    <t>COR-19-207-12</t>
  </si>
  <si>
    <t>COR-19-207-13</t>
  </si>
  <si>
    <t>COR-19-207-14</t>
  </si>
  <si>
    <t>COR-19-207-15</t>
  </si>
  <si>
    <t>COR-19-207-16</t>
  </si>
  <si>
    <t>COR-19-207-17</t>
  </si>
  <si>
    <t>COR-19-207-18</t>
  </si>
  <si>
    <t>COR-19-207-19</t>
  </si>
  <si>
    <t>COR-19-207-20</t>
  </si>
  <si>
    <t>COR-19-207-21</t>
  </si>
  <si>
    <t>COR-19-207-22</t>
  </si>
  <si>
    <t>COR-19-207-23</t>
  </si>
  <si>
    <t>COR-19-207-24</t>
  </si>
  <si>
    <t>COR-19-207-25</t>
  </si>
  <si>
    <t>COR-19_2161</t>
  </si>
  <si>
    <t>COR-19-2161-01</t>
  </si>
  <si>
    <t>COR-19-2161-02</t>
  </si>
  <si>
    <t>COR-19-2161-03</t>
  </si>
  <si>
    <t>COR-19-2161-04</t>
  </si>
  <si>
    <t>COR-19-2161-05</t>
  </si>
  <si>
    <t>COR-19-2161-06</t>
  </si>
  <si>
    <t>COR-19-2161-07</t>
  </si>
  <si>
    <t>COR-19_2133</t>
  </si>
  <si>
    <t>COR-19-2133-01</t>
  </si>
  <si>
    <t>COR-19-2133-02</t>
  </si>
  <si>
    <t>COR-19-2133-03</t>
  </si>
  <si>
    <t>COR-19-2133-04</t>
  </si>
  <si>
    <t>COR-19-2133-05</t>
  </si>
  <si>
    <t>COR-19-2133-06</t>
  </si>
  <si>
    <t>COR-19-2133-07</t>
  </si>
  <si>
    <t>COR-19-2133-08</t>
  </si>
  <si>
    <t>COR-19-2133-09</t>
  </si>
  <si>
    <t>COR-19-2133-10</t>
  </si>
  <si>
    <t>COR-19-2133-11</t>
  </si>
  <si>
    <t>COR-19-2133-12</t>
  </si>
  <si>
    <t>COR-19-2133-13</t>
  </si>
  <si>
    <t>COR-19-2133-14</t>
  </si>
  <si>
    <t>COR-19-2133-15</t>
  </si>
  <si>
    <t>COR-19-2133-16</t>
  </si>
  <si>
    <t>COR-19-2133-17</t>
  </si>
  <si>
    <t>COR-19-2133-18</t>
  </si>
  <si>
    <t>COR-19-2133-19</t>
  </si>
  <si>
    <t>COR-19-2133-20</t>
  </si>
  <si>
    <t>COR-19-2133-21</t>
  </si>
  <si>
    <t>COR-19-2133-22</t>
  </si>
  <si>
    <t>COR-19-2133-23</t>
  </si>
  <si>
    <t>COR-19-2133-24</t>
  </si>
  <si>
    <t>COR-19-2133-25</t>
  </si>
  <si>
    <t>COR-19_2124</t>
  </si>
  <si>
    <t>COR-19-2124-01</t>
  </si>
  <si>
    <t>COR-19-2124-02</t>
  </si>
  <si>
    <t>COR-19-2124-03</t>
  </si>
  <si>
    <t>COR-19-2124-04</t>
  </si>
  <si>
    <t>COR-19-2124-05</t>
  </si>
  <si>
    <t>COR-19-2124-06</t>
  </si>
  <si>
    <t>COR-19-2124-07</t>
  </si>
  <si>
    <t>COR-19-2124-08</t>
  </si>
  <si>
    <t>COR-19-2124-09</t>
  </si>
  <si>
    <t>COR-19-2124-10</t>
  </si>
  <si>
    <t>COR-19-2124-11</t>
  </si>
  <si>
    <t>COR-19-2124-12</t>
  </si>
  <si>
    <t>COR-19-2124-13</t>
  </si>
  <si>
    <t>COR-19-2124-14</t>
  </si>
  <si>
    <t>COR-19-2124-15</t>
  </si>
  <si>
    <t>COR-19-2124-16</t>
  </si>
  <si>
    <t>COR-19-2124-17</t>
  </si>
  <si>
    <t>COR-19-2124-18</t>
  </si>
  <si>
    <t>COR-19-2124-19</t>
  </si>
  <si>
    <t>COR-19-2124-20</t>
  </si>
  <si>
    <t>COR-19-2124-21</t>
  </si>
  <si>
    <t>COR-19-2124-22</t>
  </si>
  <si>
    <t>COR-19-2124-23</t>
  </si>
  <si>
    <t>COR-19-2124-24</t>
  </si>
  <si>
    <t>COR-19_2147</t>
  </si>
  <si>
    <t>COR-19-2147-01</t>
  </si>
  <si>
    <t>COR-19-2147-02</t>
  </si>
  <si>
    <t>COR-19-2147-03</t>
  </si>
  <si>
    <t>COR-19-2147-04</t>
  </si>
  <si>
    <t>COR-19-2147-05</t>
  </si>
  <si>
    <t>COR-19-2147-06</t>
  </si>
  <si>
    <t>COR-19-2147-07</t>
  </si>
  <si>
    <t>COR-19-2147-08</t>
  </si>
  <si>
    <t>COR-19-2147-09</t>
  </si>
  <si>
    <t>COR-19-2147-10</t>
  </si>
  <si>
    <t>COR-19-2147-11</t>
  </si>
  <si>
    <t>COR-19-2147-12</t>
  </si>
  <si>
    <t>COR-19-2147-13</t>
  </si>
  <si>
    <t>COR-19-2147-14</t>
  </si>
  <si>
    <t>COR-19-2147-15</t>
  </si>
  <si>
    <t>COR-19-2147-16</t>
  </si>
  <si>
    <t>COR-19-2147-17</t>
  </si>
  <si>
    <t>COR-19_2120</t>
  </si>
  <si>
    <t>COR-19-2120-01</t>
  </si>
  <si>
    <t>COR-19-2120-02</t>
  </si>
  <si>
    <t>COR-19-2120-03</t>
  </si>
  <si>
    <t>COR-19-2120-04</t>
  </si>
  <si>
    <t>COR-19-2120-05</t>
  </si>
  <si>
    <t>COR-19-2120-06</t>
  </si>
  <si>
    <t>COR-19-2120-07</t>
  </si>
  <si>
    <t>COR-19-2120-08</t>
  </si>
  <si>
    <t>COR-19-2120-09</t>
  </si>
  <si>
    <t>COR-19-2120-10</t>
  </si>
  <si>
    <t>COR-19-2120-11</t>
  </si>
  <si>
    <t>COR-19-2120-12</t>
  </si>
  <si>
    <t>COR-19-2120-13</t>
  </si>
  <si>
    <t>COR-19-2120-14</t>
  </si>
  <si>
    <t>COR-19-2120-15</t>
  </si>
  <si>
    <t>COR-19-2120-16</t>
  </si>
  <si>
    <t>COR-19-2120-17</t>
  </si>
  <si>
    <t>COR-19-2120-18</t>
  </si>
  <si>
    <t>COR-19-2120-19</t>
  </si>
  <si>
    <t>COR-19-2120-20</t>
  </si>
  <si>
    <t>COR-19-2120-21</t>
  </si>
  <si>
    <t>COR-19-2120-22</t>
  </si>
  <si>
    <t>COR-19-2120-23</t>
  </si>
  <si>
    <t>COR-19-2120-24</t>
  </si>
  <si>
    <t>COR-19-2120-25</t>
  </si>
  <si>
    <t>COR-19_2136</t>
  </si>
  <si>
    <t>COR-19-2136-01</t>
  </si>
  <si>
    <t>COR-19-2136-02</t>
  </si>
  <si>
    <t>COR-19-2136-03</t>
  </si>
  <si>
    <t>COR-19-2136-04</t>
  </si>
  <si>
    <t>COR-19-2136-05</t>
  </si>
  <si>
    <t>COR-19-2136-06</t>
  </si>
  <si>
    <t>COR-19-2136-07</t>
  </si>
  <si>
    <t>COR-19-2136-08</t>
  </si>
  <si>
    <t>COR-19-2136-09</t>
  </si>
  <si>
    <t>COR-19-2136-10</t>
  </si>
  <si>
    <t>COR-19-2136-11</t>
  </si>
  <si>
    <t>COR-19-2136-12</t>
  </si>
  <si>
    <t>COR-19-2136-13</t>
  </si>
  <si>
    <t>COR-19-2136-14</t>
  </si>
  <si>
    <t>COR-19-2136-15</t>
  </si>
  <si>
    <t>COR-19-2136-16</t>
  </si>
  <si>
    <t>COR-19-2136-17</t>
  </si>
  <si>
    <t>COR-19-2136-18</t>
  </si>
  <si>
    <t>COR-19-2136-19</t>
  </si>
  <si>
    <t>COR-19-2136-20</t>
  </si>
  <si>
    <t>COR-19-2136-21</t>
  </si>
  <si>
    <t>COR-19-2136-22</t>
  </si>
  <si>
    <t>COR-19-2136-23</t>
  </si>
  <si>
    <t>COR-19-2136-24</t>
  </si>
  <si>
    <t>COR-19-2136-25</t>
  </si>
  <si>
    <t>COR-19_2151</t>
  </si>
  <si>
    <t>COR-19-2151-01</t>
  </si>
  <si>
    <t>COR-19-2151-02</t>
  </si>
  <si>
    <t>COR-19-2151-03</t>
  </si>
  <si>
    <t>COR-19-2151-04</t>
  </si>
  <si>
    <t>COR-19-2151-05</t>
  </si>
  <si>
    <t>COR-19-2151-06</t>
  </si>
  <si>
    <t>COR-19-2151-07</t>
  </si>
  <si>
    <t>COR-19_2115</t>
  </si>
  <si>
    <t>COR-19-2115-01</t>
  </si>
  <si>
    <t>COR-19-2115-02</t>
  </si>
  <si>
    <t>COR-19-2115-03</t>
  </si>
  <si>
    <t>COR-19-2115-04</t>
  </si>
  <si>
    <t>COR-19-2115-05</t>
  </si>
  <si>
    <t>COR-19-2115-06</t>
  </si>
  <si>
    <t>COR-19-2115-07</t>
  </si>
  <si>
    <t>COR-19-2115-08</t>
  </si>
  <si>
    <t>COR-19-2115-09</t>
  </si>
  <si>
    <t>COR-19-2115-10</t>
  </si>
  <si>
    <t>COR-19-2115-11</t>
  </si>
  <si>
    <t>COR-19-2115-12</t>
  </si>
  <si>
    <t>COR-19-2115-13</t>
  </si>
  <si>
    <t>COR-19-2115-14</t>
  </si>
  <si>
    <t>COR-19-2115-15</t>
  </si>
  <si>
    <t>COR-19-2115-16</t>
  </si>
  <si>
    <t>COR-19-2115-17</t>
  </si>
  <si>
    <t>COR-19-2115-18</t>
  </si>
  <si>
    <t>COR-19-2115-19</t>
  </si>
  <si>
    <t>COR-19-2115-20</t>
  </si>
  <si>
    <t>COR-19-2115-21</t>
  </si>
  <si>
    <t>COR-19-2115-22</t>
  </si>
  <si>
    <t>COR-19-2115-23</t>
  </si>
  <si>
    <t>COR-19-2115-24</t>
  </si>
  <si>
    <t>COR-19-2115-25</t>
  </si>
  <si>
    <t>COR-19_2128</t>
  </si>
  <si>
    <t>COR-19-2128-01</t>
  </si>
  <si>
    <t>COR-19_2134</t>
  </si>
  <si>
    <t>COR-19-2134-01</t>
  </si>
  <si>
    <t>COR-19_2118</t>
  </si>
  <si>
    <t>COR-19-2118-01</t>
  </si>
  <si>
    <t>COR-19-2118-02</t>
  </si>
  <si>
    <t>COR-19-2118-03</t>
  </si>
  <si>
    <t>COR-19-2118-04</t>
  </si>
  <si>
    <t>COR-19-2118-05</t>
  </si>
  <si>
    <t>COR-19-2118-06</t>
  </si>
  <si>
    <t>COR-19-2118-07</t>
  </si>
  <si>
    <t>COR-19-2118-08</t>
  </si>
  <si>
    <t>COR-19-2118-09</t>
  </si>
  <si>
    <t>COR-19-2118-10</t>
  </si>
  <si>
    <t>COR-19-2118-11</t>
  </si>
  <si>
    <t>COR-19-2118-12</t>
  </si>
  <si>
    <t>COR-19-2118-13</t>
  </si>
  <si>
    <t>COR-19-2118-14</t>
  </si>
  <si>
    <t>COR-19-2118-15</t>
  </si>
  <si>
    <t>COR-19-2118-16</t>
  </si>
  <si>
    <t>COR-19-2118-17</t>
  </si>
  <si>
    <t>COR-19-2118-18</t>
  </si>
  <si>
    <t>COR-19-2118-19</t>
  </si>
  <si>
    <t>COR-19-2118-20</t>
  </si>
  <si>
    <t>COR-19_2122</t>
  </si>
  <si>
    <t>COR-19-2122-01</t>
  </si>
  <si>
    <t>COR-19-2122-02</t>
  </si>
  <si>
    <t>COR-19_2138</t>
  </si>
  <si>
    <t>COR-19-2138-01</t>
  </si>
  <si>
    <t>COR-19-2138-02</t>
  </si>
  <si>
    <t>COR-19_2150</t>
  </si>
  <si>
    <t>COR-19-2150-01</t>
  </si>
  <si>
    <t>COR-19-2150-02</t>
  </si>
  <si>
    <t>COR-19-2150-03</t>
  </si>
  <si>
    <t>COR-19-2150-04</t>
  </si>
  <si>
    <t>COR-19-2150-05</t>
  </si>
  <si>
    <t>COR-19-2150-06</t>
  </si>
  <si>
    <t>COR-19_2154</t>
  </si>
  <si>
    <t>COR-19-2154-01</t>
  </si>
  <si>
    <t>COR-19-2154-02</t>
  </si>
  <si>
    <t>COR-19_2152</t>
  </si>
  <si>
    <t>COR-19-2152-01</t>
  </si>
  <si>
    <t>COR-19-2152-02</t>
  </si>
  <si>
    <t>COR-19-2152-03</t>
  </si>
  <si>
    <t>COR-19-2152-04</t>
  </si>
  <si>
    <t>COR-19_2116</t>
  </si>
  <si>
    <t>COR-19-2116-01</t>
  </si>
  <si>
    <t>COR-19-2116-02</t>
  </si>
  <si>
    <t>COR-19-2116-03</t>
  </si>
  <si>
    <t>COR-19-2116-04</t>
  </si>
  <si>
    <t>COR-19-2116-05</t>
  </si>
  <si>
    <t>COR-19-2116-06</t>
  </si>
  <si>
    <t>COR-19-2116-07</t>
  </si>
  <si>
    <t>COR-19-2116-08</t>
  </si>
  <si>
    <t>COR-19-2116-09</t>
  </si>
  <si>
    <t>COR-19-2116-10</t>
  </si>
  <si>
    <t>COR-19-2116-11</t>
  </si>
  <si>
    <t>COR-19-2116-12</t>
  </si>
  <si>
    <t>COR-19-2116-13</t>
  </si>
  <si>
    <t>COR-19-2116-14</t>
  </si>
  <si>
    <t>COR-19-2116-15</t>
  </si>
  <si>
    <t>COR-19-2116-16</t>
  </si>
  <si>
    <t>COR-19-2116-17</t>
  </si>
  <si>
    <t>COR-19-2116-18</t>
  </si>
  <si>
    <t>COR-19-2116-19</t>
  </si>
  <si>
    <t>COR-19-2116-20</t>
  </si>
  <si>
    <t>COR-19-2116-21</t>
  </si>
  <si>
    <t>COR-19-2116-22</t>
  </si>
  <si>
    <t>COR-19-2116-23</t>
  </si>
  <si>
    <t>COR-19-2116-24</t>
  </si>
  <si>
    <t>COR-19-2116-25</t>
  </si>
  <si>
    <t>COR-19_2141</t>
  </si>
  <si>
    <t>COR-19-2141-01</t>
  </si>
  <si>
    <t>COR-19-2141-02</t>
  </si>
  <si>
    <t>COR-19-2141-03</t>
  </si>
  <si>
    <t>COR-19-2141-04</t>
  </si>
  <si>
    <t>COR-19-2141-05</t>
  </si>
  <si>
    <t>COR-19-2141-06</t>
  </si>
  <si>
    <t>COR-19-2141-07</t>
  </si>
  <si>
    <t>COR-19-2141-08</t>
  </si>
  <si>
    <t>COR-19_2125</t>
  </si>
  <si>
    <t>COR-19-2125-01</t>
  </si>
  <si>
    <t>COR-19-2125-02</t>
  </si>
  <si>
    <t>COR-19_2148</t>
  </si>
  <si>
    <t>COR-19-2148-01</t>
  </si>
  <si>
    <t>COR-19-2148-02</t>
  </si>
  <si>
    <t>COR-19_2039</t>
  </si>
  <si>
    <t>COR-19-2039-01</t>
  </si>
  <si>
    <t>COR-19-2039-02</t>
  </si>
  <si>
    <t>COR-19-2039-03</t>
  </si>
  <si>
    <t>COR-19-2039-04</t>
  </si>
  <si>
    <t>COR-19_2137</t>
  </si>
  <si>
    <t>COR-19-2137-01</t>
  </si>
  <si>
    <t>COR-19-2137-02</t>
  </si>
  <si>
    <t>COR-19-2137-03</t>
  </si>
  <si>
    <t>COR-19-2137-04</t>
  </si>
  <si>
    <t>COR-19-2137-05</t>
  </si>
  <si>
    <t>COR-19-2137-06</t>
  </si>
  <si>
    <t>COR-19-2137-07</t>
  </si>
  <si>
    <t>COR-19-2137-08</t>
  </si>
  <si>
    <t>COR-19-2137-09</t>
  </si>
  <si>
    <t>COR-19-2137-10</t>
  </si>
  <si>
    <t>COR-19-2137-11</t>
  </si>
  <si>
    <t>COR-19-2137-12</t>
  </si>
  <si>
    <t>COR-19-2137-13</t>
  </si>
  <si>
    <t>COR-19-2137-14</t>
  </si>
  <si>
    <t>COR-19-2137-15</t>
  </si>
  <si>
    <t>COR-19-2137-16</t>
  </si>
  <si>
    <t>COR-19-2137-17</t>
  </si>
  <si>
    <t>COR-19-2137-18</t>
  </si>
  <si>
    <t>COR-19-2137-19</t>
  </si>
  <si>
    <t>COR-19-2137-20</t>
  </si>
  <si>
    <t>COR-19-2137-21</t>
  </si>
  <si>
    <t>COR-19-2137-22</t>
  </si>
  <si>
    <t>COR-19-2137-23</t>
  </si>
  <si>
    <t>COR-19-2137-24</t>
  </si>
  <si>
    <t>COR-19-2137-25</t>
  </si>
  <si>
    <t>COR-19_2121</t>
  </si>
  <si>
    <t>COR-19-2121-01</t>
  </si>
  <si>
    <t>COR-19-2121-02</t>
  </si>
  <si>
    <t>COR-19-2121-03</t>
  </si>
  <si>
    <t>COR-19-2121-04</t>
  </si>
  <si>
    <t>COR-19-2121-05</t>
  </si>
  <si>
    <t>COR-19-2121-06</t>
  </si>
  <si>
    <t>COR-19-2121-07</t>
  </si>
  <si>
    <t>COR-19-2121-08</t>
  </si>
  <si>
    <t>COR-19-2121-09</t>
  </si>
  <si>
    <t>COR-19-2121-10</t>
  </si>
  <si>
    <t>COR-19-2121-11</t>
  </si>
  <si>
    <t>COR-19-2121-12</t>
  </si>
  <si>
    <t>COR-19-2121-13</t>
  </si>
  <si>
    <t>COR-19-2121-14</t>
  </si>
  <si>
    <t>COR-19-2121-15</t>
  </si>
  <si>
    <t>COR-19-2121-16</t>
  </si>
  <si>
    <t>COR-19-2121-17</t>
  </si>
  <si>
    <t>COR-19-2121-18</t>
  </si>
  <si>
    <t>COR-19-2121-19</t>
  </si>
  <si>
    <t>COR-19-2121-20</t>
  </si>
  <si>
    <t>COR-19-2121-21</t>
  </si>
  <si>
    <t>COR-19_2059</t>
  </si>
  <si>
    <t>COR-19-2059-01</t>
  </si>
  <si>
    <t>COR-19-2059-02</t>
  </si>
  <si>
    <t>COR-19-2059-03</t>
  </si>
  <si>
    <t>COR-19-2059-04</t>
  </si>
  <si>
    <t>COR-19-2059-05</t>
  </si>
  <si>
    <t>COR-19-2059-06</t>
  </si>
  <si>
    <t>COR-19-2059-07</t>
  </si>
  <si>
    <t>COR-19-2059-08</t>
  </si>
  <si>
    <t>COR-19-2059-09</t>
  </si>
  <si>
    <t>COR-19-2059-10</t>
  </si>
  <si>
    <t>COR-19-2059-11</t>
  </si>
  <si>
    <t>COR-19-2059-12</t>
  </si>
  <si>
    <t>COR-19-2059-13</t>
  </si>
  <si>
    <t>COR-19-2059-14</t>
  </si>
  <si>
    <t>COR-19-2059-15</t>
  </si>
  <si>
    <t>COR-19-2059-16</t>
  </si>
  <si>
    <t>COR-19-2059-17</t>
  </si>
  <si>
    <t>COR-19-2059-18</t>
  </si>
  <si>
    <t>COR-19-2059-19</t>
  </si>
  <si>
    <t>COR-19_2153</t>
  </si>
  <si>
    <t>COR-19-2153-01</t>
  </si>
  <si>
    <t>COR-19-2153-02</t>
  </si>
  <si>
    <t>COR-19-2153-03</t>
  </si>
  <si>
    <t>COR-19-2153-04</t>
  </si>
  <si>
    <t>COR-19-2153-05</t>
  </si>
  <si>
    <t>COR-19-2153-06</t>
  </si>
  <si>
    <t>COR-19-2153-07</t>
  </si>
  <si>
    <t>COR-19-2153-08</t>
  </si>
  <si>
    <t>COR-19-2153-09</t>
  </si>
  <si>
    <t>COR-19-2153-10</t>
  </si>
  <si>
    <t>COR-19-2153-11</t>
  </si>
  <si>
    <t>COR-19-2153-12</t>
  </si>
  <si>
    <t>COR-19-2153-13</t>
  </si>
  <si>
    <t>COR-19-2153-14</t>
  </si>
  <si>
    <t>COR-19-2153-15</t>
  </si>
  <si>
    <t>COR-19-2153-16</t>
  </si>
  <si>
    <t>COR-19-2153-17</t>
  </si>
  <si>
    <t>COR-19-2153-18</t>
  </si>
  <si>
    <t>COR-19-2153-19</t>
  </si>
  <si>
    <t>COR-19-2153-20</t>
  </si>
  <si>
    <t>COR-19-2153-21</t>
  </si>
  <si>
    <t>COR-19-2153-22</t>
  </si>
  <si>
    <t>COR-19-2153-23</t>
  </si>
  <si>
    <t>COR-19_2129</t>
  </si>
  <si>
    <t>COR-19-2129-01</t>
  </si>
  <si>
    <t>COR-19-2129-02</t>
  </si>
  <si>
    <t>COR-19-2129-03</t>
  </si>
  <si>
    <t>COR-19_2145</t>
  </si>
  <si>
    <t>COR-19-2145-01</t>
  </si>
  <si>
    <t>COR-19-2145-02</t>
  </si>
  <si>
    <t>COR-19-2145-03</t>
  </si>
  <si>
    <t>COR-19-2145-04</t>
  </si>
  <si>
    <t>COR-19_2165</t>
  </si>
  <si>
    <t>COR-19-2165-01</t>
  </si>
  <si>
    <t>COR-19-2165-02</t>
  </si>
  <si>
    <t>COR-19-2165-03</t>
  </si>
  <si>
    <t>COR-19-2165-04</t>
  </si>
  <si>
    <t>COR-19_2126</t>
  </si>
  <si>
    <t>COR-19-2126-01</t>
  </si>
  <si>
    <t>COR-19-2126-02</t>
  </si>
  <si>
    <t>COR-19_2119</t>
  </si>
  <si>
    <t>COR-19-2119-01</t>
  </si>
  <si>
    <t>COR-19-2119-02</t>
  </si>
  <si>
    <t>COR-19-2119-03</t>
  </si>
  <si>
    <t>COR-19-2119-04</t>
  </si>
  <si>
    <t>COR-19_2135</t>
  </si>
  <si>
    <t>COR-19-2135-01</t>
  </si>
  <si>
    <t>COR-19-2135-02</t>
  </si>
  <si>
    <t>COR-19_2139</t>
  </si>
  <si>
    <t>COR-19-2139-01</t>
  </si>
  <si>
    <t>COR-19-2139-02</t>
  </si>
  <si>
    <t>COR-19-2139-03</t>
  </si>
  <si>
    <t>COR-19-2139-04</t>
  </si>
  <si>
    <t>COR-19-2139-05</t>
  </si>
  <si>
    <t>COR-19-2139-06</t>
  </si>
  <si>
    <t>COR-19_753</t>
  </si>
  <si>
    <t>COR-19-753-01</t>
  </si>
  <si>
    <t>COR-19_2155</t>
  </si>
  <si>
    <t>COR-19-2155-01</t>
  </si>
  <si>
    <t>COR-19-2155-02</t>
  </si>
  <si>
    <t>COR-19-2155-03</t>
  </si>
  <si>
    <t>COR-19-2155-04</t>
  </si>
  <si>
    <t>COR-19-2155-05</t>
  </si>
  <si>
    <t>COR-19-2155-06</t>
  </si>
  <si>
    <t>COR-19_2127</t>
  </si>
  <si>
    <t>COR-19-2127-01</t>
  </si>
  <si>
    <t>COR-19-2127-02</t>
  </si>
  <si>
    <t>COR-19-2127-03</t>
  </si>
  <si>
    <t>COR-19-2127-04</t>
  </si>
  <si>
    <t>COR-19-2127-05</t>
  </si>
  <si>
    <t>COR-19-2127-06</t>
  </si>
  <si>
    <t>COR-19-2127-07</t>
  </si>
  <si>
    <t>COR-19-2127-08</t>
  </si>
  <si>
    <t>COR-19-2127-09</t>
  </si>
  <si>
    <t>COR-19-2127-10</t>
  </si>
  <si>
    <t>COR-19-2127-11</t>
  </si>
  <si>
    <t>COR-19-2127-12</t>
  </si>
  <si>
    <t>COR-19</t>
  </si>
  <si>
    <t>HER-19</t>
  </si>
  <si>
    <t>Ind.ID</t>
  </si>
  <si>
    <t>naivebayes</t>
  </si>
  <si>
    <t>lda</t>
  </si>
  <si>
    <t>svm</t>
  </si>
  <si>
    <t>ART_svm</t>
  </si>
  <si>
    <t>HOY_svm</t>
  </si>
  <si>
    <t>KIY_svm</t>
  </si>
  <si>
    <t>CLUP_svm</t>
  </si>
  <si>
    <t>assignment</t>
  </si>
  <si>
    <t>hyb_pair</t>
  </si>
  <si>
    <t>ART</t>
  </si>
  <si>
    <t>KIY</t>
  </si>
  <si>
    <t>HYB</t>
  </si>
  <si>
    <t>ART-HOY</t>
  </si>
  <si>
    <t>ART-KIY</t>
  </si>
  <si>
    <t>COR-19-18-14174</t>
  </si>
  <si>
    <t>HOY</t>
  </si>
  <si>
    <t>COR-19-18-14176</t>
  </si>
  <si>
    <t>COR-19-18-14177</t>
  </si>
  <si>
    <t>COR-19-18-14178</t>
  </si>
  <si>
    <t>COR-19-18-14179</t>
  </si>
  <si>
    <t>COR-19-18-14180</t>
  </si>
  <si>
    <t>COR-19-18-14181</t>
  </si>
  <si>
    <t>COR-19-18-14182</t>
  </si>
  <si>
    <t>COR-19-18-14183</t>
  </si>
  <si>
    <t>COR-19-18-14184</t>
  </si>
  <si>
    <t>COR-19-18-14185</t>
  </si>
  <si>
    <t>COR-19-18-14186</t>
  </si>
  <si>
    <t>COR-19-18-14187</t>
  </si>
  <si>
    <t>COR-19-18-14204</t>
  </si>
  <si>
    <t>COR-19-18-14205</t>
  </si>
  <si>
    <t>COR-19-18-14206</t>
  </si>
  <si>
    <t>COR-19-18-14207</t>
  </si>
  <si>
    <t>COR-19-18-14208</t>
  </si>
  <si>
    <t>COR-19-18-14210</t>
  </si>
  <si>
    <t>COR-19-18-14211</t>
  </si>
  <si>
    <t>COR-19-18-14212</t>
  </si>
  <si>
    <t>COR-19-18-14213</t>
  </si>
  <si>
    <t>COR-19-18-14214</t>
  </si>
  <si>
    <t>COR-19-18-14233</t>
  </si>
  <si>
    <t>COR-19-18-14246</t>
  </si>
  <si>
    <t>COR-19-18-14247</t>
  </si>
  <si>
    <t>COR-19-18-14339</t>
  </si>
  <si>
    <t>COR-19-18-14340</t>
  </si>
  <si>
    <t>COR-19-18-14341</t>
  </si>
  <si>
    <t>COR-19-18-14342</t>
  </si>
  <si>
    <t>COR-19-18-14343</t>
  </si>
  <si>
    <t>COR-19-18-14344</t>
  </si>
  <si>
    <t>COR-19-18-14345</t>
  </si>
  <si>
    <t>COR-19-18-14346</t>
  </si>
  <si>
    <t>COR-19-18-14347</t>
  </si>
  <si>
    <t>COR-19-18-14348</t>
  </si>
  <si>
    <t>COR-19-18-14349</t>
  </si>
  <si>
    <t>COR-19-18-14350</t>
  </si>
  <si>
    <t>COR-19-18-14351</t>
  </si>
  <si>
    <t>COR-19-18-14352</t>
  </si>
  <si>
    <t>COR-19-18-14353</t>
  </si>
  <si>
    <t>COR-19-18-14354</t>
  </si>
  <si>
    <t>COR-19-18-14355</t>
  </si>
  <si>
    <t>COR-19-18-14356</t>
  </si>
  <si>
    <t>COR-19-18-14357</t>
  </si>
  <si>
    <t>HOY-KIY</t>
  </si>
  <si>
    <t>CLUP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</si>
</sst>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1" fillId="2" borderId="0" xfId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Border="1" applyAlignment="1">
      <alignment horizontal="right"/>
    </xf>
    <xf numFmtId="0" fontId="1" fillId="2" borderId="1" xfId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vinson\Downloads\SuperiorLarvaeAge1s2019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kiss"/>
      <sheetName val="PrelimAssignPOP"/>
    </sheetNames>
    <sheetDataSet>
      <sheetData sheetId="0" refreshError="1"/>
      <sheetData sheetId="1" refreshError="1"/>
      <sheetData sheetId="2">
        <row r="1">
          <cell r="I1" t="str">
            <v>Ind.ID</v>
          </cell>
          <cell r="J1" t="str">
            <v>assignment</v>
          </cell>
        </row>
        <row r="2">
          <cell r="I2" t="str">
            <v>COR-19-101-01</v>
          </cell>
          <cell r="J2" t="str">
            <v>ART</v>
          </cell>
        </row>
        <row r="3">
          <cell r="I3" t="str">
            <v>COR-19-101-02</v>
          </cell>
          <cell r="J3" t="str">
            <v>ART</v>
          </cell>
        </row>
        <row r="4">
          <cell r="I4" t="str">
            <v>COR-19-101-03</v>
          </cell>
          <cell r="J4" t="str">
            <v>ART</v>
          </cell>
        </row>
        <row r="5">
          <cell r="I5" t="str">
            <v>COR-19-101-04</v>
          </cell>
          <cell r="J5" t="str">
            <v>ART</v>
          </cell>
        </row>
        <row r="6">
          <cell r="I6" t="str">
            <v>COR-19-101-05</v>
          </cell>
          <cell r="J6" t="str">
            <v>ART</v>
          </cell>
        </row>
        <row r="7">
          <cell r="I7" t="str">
            <v>COR-19-101-06</v>
          </cell>
          <cell r="J7" t="str">
            <v>ART</v>
          </cell>
        </row>
        <row r="8">
          <cell r="I8" t="str">
            <v>COR-19-101-07</v>
          </cell>
          <cell r="J8" t="str">
            <v>ART</v>
          </cell>
        </row>
        <row r="9">
          <cell r="I9" t="str">
            <v>COR-19-101-08</v>
          </cell>
          <cell r="J9" t="str">
            <v>ART</v>
          </cell>
        </row>
        <row r="10">
          <cell r="I10" t="str">
            <v>COR-19-101-09</v>
          </cell>
          <cell r="J10" t="str">
            <v>ART</v>
          </cell>
        </row>
        <row r="11">
          <cell r="I11" t="str">
            <v>COR-19-101-10</v>
          </cell>
          <cell r="J11" t="str">
            <v>ART</v>
          </cell>
        </row>
        <row r="12">
          <cell r="I12" t="str">
            <v>COR-19-101-11</v>
          </cell>
          <cell r="J12" t="str">
            <v>ART</v>
          </cell>
        </row>
        <row r="13">
          <cell r="I13" t="str">
            <v>COR-19-101-12</v>
          </cell>
          <cell r="J13" t="str">
            <v>ART</v>
          </cell>
        </row>
        <row r="14">
          <cell r="I14" t="str">
            <v>COR-19-120-01</v>
          </cell>
          <cell r="J14" t="str">
            <v>KIY</v>
          </cell>
        </row>
        <row r="15">
          <cell r="I15" t="str">
            <v>COR-19-120-02</v>
          </cell>
          <cell r="J15" t="str">
            <v>KIY</v>
          </cell>
        </row>
        <row r="16">
          <cell r="I16" t="str">
            <v>COR-19-120-03</v>
          </cell>
          <cell r="J16" t="str">
            <v>KIY</v>
          </cell>
        </row>
        <row r="17">
          <cell r="I17" t="str">
            <v>COR-19-120-04</v>
          </cell>
          <cell r="J17" t="str">
            <v>KIY</v>
          </cell>
        </row>
        <row r="18">
          <cell r="I18" t="str">
            <v>COR-19-120-05</v>
          </cell>
          <cell r="J18" t="str">
            <v>KIY</v>
          </cell>
        </row>
        <row r="19">
          <cell r="I19" t="str">
            <v>COR-19-120-06</v>
          </cell>
          <cell r="J19" t="str">
            <v>KIY</v>
          </cell>
        </row>
        <row r="20">
          <cell r="I20" t="str">
            <v>COR-19-139-01</v>
          </cell>
          <cell r="J20" t="str">
            <v>HYB</v>
          </cell>
        </row>
        <row r="21">
          <cell r="I21" t="str">
            <v>COR-19-139-02</v>
          </cell>
          <cell r="J21" t="str">
            <v>HYB</v>
          </cell>
        </row>
        <row r="22">
          <cell r="I22" t="str">
            <v>COR-19-139-03</v>
          </cell>
          <cell r="J22" t="str">
            <v>HYB</v>
          </cell>
        </row>
        <row r="23">
          <cell r="I23" t="str">
            <v>COR-19-139-05</v>
          </cell>
          <cell r="J23" t="str">
            <v>HYB</v>
          </cell>
        </row>
        <row r="24">
          <cell r="I24" t="str">
            <v>COR-19-139-06</v>
          </cell>
          <cell r="J24" t="str">
            <v>HYB</v>
          </cell>
        </row>
        <row r="25">
          <cell r="I25" t="str">
            <v>COR-19-139-08</v>
          </cell>
          <cell r="J25" t="str">
            <v>HYB</v>
          </cell>
        </row>
        <row r="26">
          <cell r="I26" t="str">
            <v>COR-19-139-09</v>
          </cell>
          <cell r="J26" t="str">
            <v>HYB</v>
          </cell>
        </row>
        <row r="27">
          <cell r="I27" t="str">
            <v>COR-19-139-11</v>
          </cell>
          <cell r="J27" t="str">
            <v>HYB</v>
          </cell>
        </row>
        <row r="28">
          <cell r="I28" t="str">
            <v>COR-19-151-01</v>
          </cell>
          <cell r="J28" t="str">
            <v>ART</v>
          </cell>
        </row>
        <row r="29">
          <cell r="I29" t="str">
            <v>COR-19-151-02</v>
          </cell>
          <cell r="J29" t="str">
            <v>ART</v>
          </cell>
        </row>
        <row r="30">
          <cell r="I30" t="str">
            <v>COR-19-151-03</v>
          </cell>
          <cell r="J30" t="str">
            <v>ART</v>
          </cell>
        </row>
        <row r="31">
          <cell r="I31" t="str">
            <v>COR-19-151-04</v>
          </cell>
          <cell r="J31" t="str">
            <v>ART</v>
          </cell>
        </row>
        <row r="32">
          <cell r="I32" t="str">
            <v>COR-19-151-05</v>
          </cell>
          <cell r="J32" t="str">
            <v>ART</v>
          </cell>
        </row>
        <row r="33">
          <cell r="I33" t="str">
            <v>COR-19-151-06</v>
          </cell>
          <cell r="J33" t="str">
            <v>ART</v>
          </cell>
        </row>
        <row r="34">
          <cell r="I34" t="str">
            <v>COR-19-151-07</v>
          </cell>
          <cell r="J34" t="str">
            <v>ART</v>
          </cell>
        </row>
        <row r="35">
          <cell r="I35" t="str">
            <v>COR-19-151-08</v>
          </cell>
          <cell r="J35" t="str">
            <v>ART</v>
          </cell>
        </row>
        <row r="36">
          <cell r="I36" t="str">
            <v>COR-19-151-09</v>
          </cell>
          <cell r="J36" t="str">
            <v>KIY</v>
          </cell>
        </row>
        <row r="37">
          <cell r="I37" t="str">
            <v>COR-19-151-10</v>
          </cell>
          <cell r="J37" t="str">
            <v>ART</v>
          </cell>
        </row>
        <row r="38">
          <cell r="I38" t="str">
            <v>COR-19-151-11</v>
          </cell>
          <cell r="J38" t="str">
            <v>KIY</v>
          </cell>
        </row>
        <row r="39">
          <cell r="I39" t="str">
            <v>COR-19-151-12</v>
          </cell>
          <cell r="J39" t="str">
            <v>ART</v>
          </cell>
        </row>
        <row r="40">
          <cell r="I40" t="str">
            <v>COR-19-158-01</v>
          </cell>
          <cell r="J40" t="str">
            <v>KIY</v>
          </cell>
        </row>
        <row r="41">
          <cell r="I41" t="str">
            <v>COR-19-158-02</v>
          </cell>
          <cell r="J41" t="str">
            <v>KIY</v>
          </cell>
        </row>
        <row r="42">
          <cell r="I42" t="str">
            <v>COR-19-158-03</v>
          </cell>
          <cell r="J42" t="str">
            <v>KIY</v>
          </cell>
        </row>
        <row r="43">
          <cell r="I43" t="str">
            <v>COR-19-158-04</v>
          </cell>
          <cell r="J43" t="str">
            <v>KIY</v>
          </cell>
        </row>
        <row r="44">
          <cell r="I44" t="str">
            <v>COR-19-158-05</v>
          </cell>
          <cell r="J44" t="str">
            <v>KIY</v>
          </cell>
        </row>
        <row r="45">
          <cell r="I45" t="str">
            <v>COR-19-158-06</v>
          </cell>
          <cell r="J45" t="str">
            <v>KIY</v>
          </cell>
        </row>
        <row r="46">
          <cell r="I46" t="str">
            <v>COR-19-158-07</v>
          </cell>
          <cell r="J46" t="str">
            <v>KIY</v>
          </cell>
        </row>
        <row r="47">
          <cell r="I47" t="str">
            <v>COR-19-158-08</v>
          </cell>
          <cell r="J47" t="str">
            <v>ART</v>
          </cell>
        </row>
        <row r="48">
          <cell r="I48" t="str">
            <v>COR-19-158-09</v>
          </cell>
          <cell r="J48" t="str">
            <v>KIY</v>
          </cell>
        </row>
        <row r="49">
          <cell r="I49" t="str">
            <v>COR-19-158-10</v>
          </cell>
          <cell r="J49" t="str">
            <v>ART</v>
          </cell>
        </row>
        <row r="50">
          <cell r="I50" t="str">
            <v>COR-19-158-11</v>
          </cell>
          <cell r="J50" t="str">
            <v>KIY</v>
          </cell>
        </row>
        <row r="51">
          <cell r="I51" t="str">
            <v>COR-19-158-12</v>
          </cell>
          <cell r="J51" t="str">
            <v>KIY</v>
          </cell>
        </row>
        <row r="52">
          <cell r="I52" t="str">
            <v>COR-19-172-01</v>
          </cell>
          <cell r="J52" t="str">
            <v>ART</v>
          </cell>
        </row>
        <row r="53">
          <cell r="I53" t="str">
            <v>COR-19-172-02</v>
          </cell>
          <cell r="J53" t="str">
            <v>ART</v>
          </cell>
        </row>
        <row r="54">
          <cell r="I54" t="str">
            <v>COR-19-172-03</v>
          </cell>
          <cell r="J54" t="str">
            <v>ART</v>
          </cell>
        </row>
        <row r="55">
          <cell r="I55" t="str">
            <v>COR-19-172-04</v>
          </cell>
          <cell r="J55" t="str">
            <v>KIY</v>
          </cell>
        </row>
        <row r="56">
          <cell r="I56" t="str">
            <v>COR-19-172-05</v>
          </cell>
          <cell r="J56" t="str">
            <v>ART</v>
          </cell>
        </row>
        <row r="57">
          <cell r="I57" t="str">
            <v>COR-19-172-06</v>
          </cell>
          <cell r="J57" t="str">
            <v>ART</v>
          </cell>
        </row>
        <row r="58">
          <cell r="I58" t="str">
            <v>COR-19-172-07</v>
          </cell>
          <cell r="J58" t="str">
            <v>ART</v>
          </cell>
        </row>
        <row r="59">
          <cell r="I59" t="str">
            <v>COR-19-172-08</v>
          </cell>
          <cell r="J59" t="str">
            <v>ART</v>
          </cell>
        </row>
        <row r="60">
          <cell r="I60" t="str">
            <v>COR-19-172-09</v>
          </cell>
          <cell r="J60" t="str">
            <v>ART</v>
          </cell>
        </row>
        <row r="61">
          <cell r="I61" t="str">
            <v>COR-19-172-10</v>
          </cell>
          <cell r="J61" t="str">
            <v>ART</v>
          </cell>
        </row>
        <row r="62">
          <cell r="I62" t="str">
            <v>COR-19-172-11</v>
          </cell>
          <cell r="J62" t="str">
            <v>ART</v>
          </cell>
        </row>
        <row r="63">
          <cell r="I63" t="str">
            <v>COR-19-172-12</v>
          </cell>
          <cell r="J63" t="str">
            <v>ART</v>
          </cell>
        </row>
        <row r="64">
          <cell r="I64" t="str">
            <v>COR-19-174-01</v>
          </cell>
          <cell r="J64" t="str">
            <v>ART</v>
          </cell>
        </row>
        <row r="65">
          <cell r="I65" t="str">
            <v>COR-19-174-02</v>
          </cell>
          <cell r="J65" t="str">
            <v>ART</v>
          </cell>
        </row>
        <row r="66">
          <cell r="I66" t="str">
            <v>COR-19-174-03</v>
          </cell>
          <cell r="J66" t="str">
            <v>ART</v>
          </cell>
        </row>
        <row r="67">
          <cell r="I67" t="str">
            <v>COR-19-174-04</v>
          </cell>
          <cell r="J67" t="str">
            <v>HYB</v>
          </cell>
        </row>
        <row r="68">
          <cell r="I68" t="str">
            <v>COR-19-176-01</v>
          </cell>
          <cell r="J68" t="str">
            <v>ART</v>
          </cell>
        </row>
        <row r="69">
          <cell r="I69" t="str">
            <v>COR-19-176-02</v>
          </cell>
          <cell r="J69" t="str">
            <v>ART</v>
          </cell>
        </row>
        <row r="70">
          <cell r="I70" t="str">
            <v>COR-19-176-03</v>
          </cell>
          <cell r="J70" t="str">
            <v>KIY</v>
          </cell>
        </row>
        <row r="71">
          <cell r="I71" t="str">
            <v>COR-19-176-04</v>
          </cell>
          <cell r="J71" t="str">
            <v>KIY</v>
          </cell>
        </row>
        <row r="72">
          <cell r="I72" t="str">
            <v>COR-19-176-05</v>
          </cell>
          <cell r="J72" t="str">
            <v>ART</v>
          </cell>
        </row>
        <row r="73">
          <cell r="I73" t="str">
            <v>COR-19-176-06</v>
          </cell>
          <cell r="J73" t="str">
            <v>KIY</v>
          </cell>
        </row>
        <row r="74">
          <cell r="I74" t="str">
            <v>COR-19-176-07</v>
          </cell>
          <cell r="J74" t="str">
            <v>ART</v>
          </cell>
        </row>
        <row r="75">
          <cell r="I75" t="str">
            <v>COR-19-177-01</v>
          </cell>
          <cell r="J75" t="str">
            <v>KIY</v>
          </cell>
        </row>
        <row r="76">
          <cell r="I76" t="str">
            <v>COR-19-177-02</v>
          </cell>
          <cell r="J76" t="str">
            <v>KIY</v>
          </cell>
        </row>
        <row r="77">
          <cell r="I77" t="str">
            <v>COR-19-177-03</v>
          </cell>
          <cell r="J77" t="str">
            <v>KIY</v>
          </cell>
        </row>
        <row r="78">
          <cell r="I78" t="str">
            <v>COR-19-177-04</v>
          </cell>
          <cell r="J78" t="str">
            <v>KIY</v>
          </cell>
        </row>
        <row r="79">
          <cell r="I79" t="str">
            <v>COR-19-177-05</v>
          </cell>
          <cell r="J79" t="str">
            <v>KIY</v>
          </cell>
        </row>
        <row r="80">
          <cell r="I80" t="str">
            <v>COR-19-177-06</v>
          </cell>
          <cell r="J80" t="str">
            <v>ART</v>
          </cell>
        </row>
        <row r="81">
          <cell r="I81" t="str">
            <v>COR-19-177-07</v>
          </cell>
          <cell r="J81" t="str">
            <v>ART</v>
          </cell>
        </row>
        <row r="82">
          <cell r="I82" t="str">
            <v>COR-19-177-08</v>
          </cell>
          <cell r="J82" t="str">
            <v>KIY</v>
          </cell>
        </row>
        <row r="83">
          <cell r="I83" t="str">
            <v>COR-19-177-09</v>
          </cell>
          <cell r="J83" t="str">
            <v>KIY</v>
          </cell>
        </row>
        <row r="84">
          <cell r="I84" t="str">
            <v>COR-19-177-10</v>
          </cell>
          <cell r="J84" t="str">
            <v>KIY</v>
          </cell>
        </row>
        <row r="85">
          <cell r="I85" t="str">
            <v>COR-19-177-11</v>
          </cell>
          <cell r="J85" t="str">
            <v>KIY</v>
          </cell>
        </row>
        <row r="86">
          <cell r="I86" t="str">
            <v>COR-19-177-12</v>
          </cell>
          <cell r="J86" t="str">
            <v>KIY</v>
          </cell>
        </row>
        <row r="87">
          <cell r="I87" t="str">
            <v>COR-19-178-01</v>
          </cell>
          <cell r="J87" t="str">
            <v>ART</v>
          </cell>
        </row>
        <row r="88">
          <cell r="I88" t="str">
            <v>COR-19-178-02</v>
          </cell>
          <cell r="J88" t="str">
            <v>KIY</v>
          </cell>
        </row>
        <row r="89">
          <cell r="I89" t="str">
            <v>COR-19-178-03</v>
          </cell>
          <cell r="J89" t="str">
            <v>ART</v>
          </cell>
        </row>
        <row r="90">
          <cell r="I90" t="str">
            <v>COR-19-18-14174</v>
          </cell>
          <cell r="J90" t="str">
            <v>HOY</v>
          </cell>
        </row>
        <row r="91">
          <cell r="I91" t="str">
            <v>COR-19-18-14176</v>
          </cell>
          <cell r="J91" t="str">
            <v>HOY</v>
          </cell>
        </row>
        <row r="92">
          <cell r="I92" t="str">
            <v>COR-19-18-14177</v>
          </cell>
          <cell r="J92" t="str">
            <v>ART</v>
          </cell>
        </row>
        <row r="93">
          <cell r="I93" t="str">
            <v>COR-19-18-14178</v>
          </cell>
          <cell r="J93" t="str">
            <v>ART</v>
          </cell>
        </row>
        <row r="94">
          <cell r="I94" t="str">
            <v>COR-19-18-14179</v>
          </cell>
          <cell r="J94" t="str">
            <v>ART</v>
          </cell>
        </row>
        <row r="95">
          <cell r="I95" t="str">
            <v>COR-19-18-14180</v>
          </cell>
          <cell r="J95" t="str">
            <v>ART</v>
          </cell>
        </row>
        <row r="96">
          <cell r="I96" t="str">
            <v>COR-19-18-14181</v>
          </cell>
          <cell r="J96" t="str">
            <v>HOY</v>
          </cell>
        </row>
        <row r="97">
          <cell r="I97" t="str">
            <v>COR-19-18-14182</v>
          </cell>
          <cell r="J97" t="str">
            <v>HOY</v>
          </cell>
        </row>
        <row r="98">
          <cell r="I98" t="str">
            <v>COR-19-18-14183</v>
          </cell>
          <cell r="J98" t="str">
            <v>HOY</v>
          </cell>
        </row>
        <row r="99">
          <cell r="I99" t="str">
            <v>COR-19-18-14184</v>
          </cell>
          <cell r="J99" t="str">
            <v>HYB</v>
          </cell>
        </row>
        <row r="100">
          <cell r="I100" t="str">
            <v>COR-19-18-14185</v>
          </cell>
          <cell r="J100" t="str">
            <v>HOY</v>
          </cell>
        </row>
        <row r="101">
          <cell r="I101" t="str">
            <v>COR-19-18-14186</v>
          </cell>
          <cell r="J101" t="str">
            <v>KIY</v>
          </cell>
        </row>
        <row r="102">
          <cell r="I102" t="str">
            <v>COR-19-18-14187</v>
          </cell>
          <cell r="J102" t="str">
            <v>HOY</v>
          </cell>
        </row>
        <row r="103">
          <cell r="I103" t="str">
            <v>COR-19-18-14204</v>
          </cell>
          <cell r="J103" t="str">
            <v>HOY</v>
          </cell>
        </row>
        <row r="104">
          <cell r="I104" t="str">
            <v>COR-19-18-14205</v>
          </cell>
          <cell r="J104" t="str">
            <v>HOY</v>
          </cell>
        </row>
        <row r="105">
          <cell r="I105" t="str">
            <v>COR-19-18-14206</v>
          </cell>
          <cell r="J105" t="str">
            <v>HOY</v>
          </cell>
        </row>
        <row r="106">
          <cell r="I106" t="str">
            <v>COR-19-18-14207</v>
          </cell>
          <cell r="J106" t="str">
            <v>HOY</v>
          </cell>
        </row>
        <row r="107">
          <cell r="I107" t="str">
            <v>COR-19-18-14208</v>
          </cell>
          <cell r="J107" t="str">
            <v>ART</v>
          </cell>
        </row>
        <row r="108">
          <cell r="I108" t="str">
            <v>COR-19-18-14210</v>
          </cell>
          <cell r="J108" t="str">
            <v>HOY</v>
          </cell>
        </row>
        <row r="109">
          <cell r="I109" t="str">
            <v>COR-19-18-14211</v>
          </cell>
          <cell r="J109" t="str">
            <v>HOY</v>
          </cell>
        </row>
        <row r="110">
          <cell r="I110" t="str">
            <v>COR-19-18-14212</v>
          </cell>
          <cell r="J110" t="str">
            <v>HOY</v>
          </cell>
        </row>
        <row r="111">
          <cell r="I111" t="str">
            <v>COR-19-18-14213</v>
          </cell>
          <cell r="J111" t="str">
            <v>HOY</v>
          </cell>
        </row>
        <row r="112">
          <cell r="I112" t="str">
            <v>COR-19-18-14214</v>
          </cell>
          <cell r="J112" t="str">
            <v>HOY</v>
          </cell>
        </row>
        <row r="113">
          <cell r="I113" t="str">
            <v>COR-19-18-14233</v>
          </cell>
          <cell r="J113" t="str">
            <v>HYB</v>
          </cell>
        </row>
        <row r="114">
          <cell r="I114" t="str">
            <v>COR-19-18-14246</v>
          </cell>
          <cell r="J114" t="str">
            <v>HOY</v>
          </cell>
        </row>
        <row r="115">
          <cell r="I115" t="str">
            <v>COR-19-18-14247</v>
          </cell>
          <cell r="J115" t="str">
            <v>HOY</v>
          </cell>
        </row>
        <row r="116">
          <cell r="I116" t="str">
            <v>COR-19-18-14339</v>
          </cell>
          <cell r="J116" t="str">
            <v>KIY</v>
          </cell>
        </row>
        <row r="117">
          <cell r="I117" t="str">
            <v>COR-19-18-14340</v>
          </cell>
          <cell r="J117" t="str">
            <v>KIY</v>
          </cell>
        </row>
        <row r="118">
          <cell r="I118" t="str">
            <v>COR-19-18-14341</v>
          </cell>
          <cell r="J118" t="str">
            <v>KIY</v>
          </cell>
        </row>
        <row r="119">
          <cell r="I119" t="str">
            <v>COR-19-18-14342</v>
          </cell>
          <cell r="J119" t="str">
            <v>KIY</v>
          </cell>
        </row>
        <row r="120">
          <cell r="I120" t="str">
            <v>COR-19-18-14343</v>
          </cell>
          <cell r="J120" t="str">
            <v>KIY</v>
          </cell>
        </row>
        <row r="121">
          <cell r="I121" t="str">
            <v>COR-19-18-14344</v>
          </cell>
          <cell r="J121" t="str">
            <v>KIY</v>
          </cell>
        </row>
        <row r="122">
          <cell r="I122" t="str">
            <v>COR-19-18-14345</v>
          </cell>
          <cell r="J122" t="str">
            <v>KIY</v>
          </cell>
        </row>
        <row r="123">
          <cell r="I123" t="str">
            <v>COR-19-18-14346</v>
          </cell>
          <cell r="J123" t="str">
            <v>HYB</v>
          </cell>
        </row>
        <row r="124">
          <cell r="I124" t="str">
            <v>COR-19-18-14347</v>
          </cell>
          <cell r="J124" t="str">
            <v>KIY</v>
          </cell>
        </row>
        <row r="125">
          <cell r="I125" t="str">
            <v>COR-19-18-14348</v>
          </cell>
          <cell r="J125" t="str">
            <v>KIY</v>
          </cell>
        </row>
        <row r="126">
          <cell r="I126" t="str">
            <v>COR-19-18-14349</v>
          </cell>
          <cell r="J126" t="str">
            <v>KIY</v>
          </cell>
        </row>
        <row r="127">
          <cell r="I127" t="str">
            <v>COR-19-18-14350</v>
          </cell>
          <cell r="J127" t="str">
            <v>KIY</v>
          </cell>
        </row>
        <row r="128">
          <cell r="I128" t="str">
            <v>COR-19-18-14351</v>
          </cell>
          <cell r="J128" t="str">
            <v>KIY</v>
          </cell>
        </row>
        <row r="129">
          <cell r="I129" t="str">
            <v>COR-19-18-14352</v>
          </cell>
          <cell r="J129" t="str">
            <v>KIY</v>
          </cell>
        </row>
        <row r="130">
          <cell r="I130" t="str">
            <v>COR-19-18-14353</v>
          </cell>
          <cell r="J130" t="str">
            <v>KIY</v>
          </cell>
        </row>
        <row r="131">
          <cell r="I131" t="str">
            <v>COR-19-18-14354</v>
          </cell>
          <cell r="J131" t="str">
            <v>KIY</v>
          </cell>
        </row>
        <row r="132">
          <cell r="I132" t="str">
            <v>COR-19-18-14355</v>
          </cell>
          <cell r="J132" t="str">
            <v>KIY</v>
          </cell>
        </row>
        <row r="133">
          <cell r="I133" t="str">
            <v>COR-19-18-14356</v>
          </cell>
          <cell r="J133" t="str">
            <v>KIY</v>
          </cell>
        </row>
        <row r="134">
          <cell r="I134" t="str">
            <v>COR-19-18-14357</v>
          </cell>
          <cell r="J134" t="str">
            <v>KIY</v>
          </cell>
        </row>
        <row r="135">
          <cell r="I135" t="str">
            <v>COR-19-182-01</v>
          </cell>
          <cell r="J135" t="str">
            <v>ART</v>
          </cell>
        </row>
        <row r="136">
          <cell r="I136" t="str">
            <v>COR-19-182-02</v>
          </cell>
          <cell r="J136" t="str">
            <v>ART</v>
          </cell>
        </row>
        <row r="137">
          <cell r="I137" t="str">
            <v>COR-19-182-03</v>
          </cell>
          <cell r="J137" t="str">
            <v>ART</v>
          </cell>
        </row>
        <row r="138">
          <cell r="I138" t="str">
            <v>COR-19-182-04</v>
          </cell>
          <cell r="J138" t="str">
            <v>ART</v>
          </cell>
        </row>
        <row r="139">
          <cell r="I139" t="str">
            <v>COR-19-182-05</v>
          </cell>
          <cell r="J139" t="str">
            <v>ART</v>
          </cell>
        </row>
        <row r="140">
          <cell r="I140" t="str">
            <v>COR-19-183-01</v>
          </cell>
          <cell r="J140" t="str">
            <v>ART</v>
          </cell>
        </row>
        <row r="141">
          <cell r="I141" t="str">
            <v>COR-19-183-02</v>
          </cell>
          <cell r="J141" t="str">
            <v>ART</v>
          </cell>
        </row>
        <row r="142">
          <cell r="I142" t="str">
            <v>COR-19-183-03</v>
          </cell>
          <cell r="J142" t="str">
            <v>ART</v>
          </cell>
        </row>
        <row r="143">
          <cell r="I143" t="str">
            <v>COR-19-183-04</v>
          </cell>
          <cell r="J143" t="str">
            <v>ART</v>
          </cell>
        </row>
        <row r="144">
          <cell r="I144" t="str">
            <v>COR-19-183-05</v>
          </cell>
          <cell r="J144" t="str">
            <v>ART</v>
          </cell>
        </row>
        <row r="145">
          <cell r="I145" t="str">
            <v>COR-19-183-06</v>
          </cell>
          <cell r="J145" t="str">
            <v>ART</v>
          </cell>
        </row>
        <row r="146">
          <cell r="I146" t="str">
            <v>COR-19-183-07</v>
          </cell>
          <cell r="J146" t="str">
            <v>ART</v>
          </cell>
        </row>
        <row r="147">
          <cell r="I147" t="str">
            <v>COR-19-183-08</v>
          </cell>
          <cell r="J147" t="str">
            <v>ART</v>
          </cell>
        </row>
        <row r="148">
          <cell r="I148" t="str">
            <v>COR-19-183-09</v>
          </cell>
          <cell r="J148" t="str">
            <v>ART</v>
          </cell>
        </row>
        <row r="149">
          <cell r="I149" t="str">
            <v>COR-19-183-10</v>
          </cell>
          <cell r="J149" t="str">
            <v>ART</v>
          </cell>
        </row>
        <row r="150">
          <cell r="I150" t="str">
            <v>COR-19-183-11</v>
          </cell>
          <cell r="J150" t="str">
            <v>ART</v>
          </cell>
        </row>
        <row r="151">
          <cell r="I151" t="str">
            <v>COR-19-183-12</v>
          </cell>
          <cell r="J151" t="str">
            <v>ART</v>
          </cell>
        </row>
        <row r="152">
          <cell r="I152" t="str">
            <v>COR-19-184-01</v>
          </cell>
          <cell r="J152" t="str">
            <v>ART</v>
          </cell>
        </row>
        <row r="153">
          <cell r="I153" t="str">
            <v>COR-19-184-02</v>
          </cell>
          <cell r="J153" t="str">
            <v>ART</v>
          </cell>
        </row>
        <row r="154">
          <cell r="I154" t="str">
            <v>COR-19-184-03</v>
          </cell>
          <cell r="J154" t="str">
            <v>ART</v>
          </cell>
        </row>
        <row r="155">
          <cell r="I155" t="str">
            <v>COR-19-184-04</v>
          </cell>
          <cell r="J155" t="str">
            <v>ART</v>
          </cell>
        </row>
        <row r="156">
          <cell r="I156" t="str">
            <v>COR-19-184-05</v>
          </cell>
          <cell r="J156" t="str">
            <v>ART</v>
          </cell>
        </row>
        <row r="157">
          <cell r="I157" t="str">
            <v>COR-19-184-06</v>
          </cell>
          <cell r="J157" t="str">
            <v>ART</v>
          </cell>
        </row>
        <row r="158">
          <cell r="I158" t="str">
            <v>COR-19-184-07</v>
          </cell>
          <cell r="J158" t="str">
            <v>ART</v>
          </cell>
        </row>
        <row r="159">
          <cell r="I159" t="str">
            <v>COR-19-184-08</v>
          </cell>
          <cell r="J159" t="str">
            <v>ART</v>
          </cell>
        </row>
        <row r="160">
          <cell r="I160" t="str">
            <v>COR-19-184-09</v>
          </cell>
          <cell r="J160" t="str">
            <v>ART</v>
          </cell>
        </row>
        <row r="161">
          <cell r="I161" t="str">
            <v>COR-19-184-10</v>
          </cell>
          <cell r="J161" t="str">
            <v>ART</v>
          </cell>
        </row>
        <row r="162">
          <cell r="I162" t="str">
            <v>COR-19-184-11</v>
          </cell>
          <cell r="J162" t="str">
            <v>ART</v>
          </cell>
        </row>
        <row r="163">
          <cell r="I163" t="str">
            <v>COR-19-184-12</v>
          </cell>
          <cell r="J163" t="str">
            <v>ART</v>
          </cell>
        </row>
        <row r="164">
          <cell r="I164" t="str">
            <v>COR-19-187-01</v>
          </cell>
          <cell r="J164" t="str">
            <v>ART</v>
          </cell>
        </row>
        <row r="165">
          <cell r="I165" t="str">
            <v>COR-19-187-02</v>
          </cell>
          <cell r="J165" t="str">
            <v>ART</v>
          </cell>
        </row>
        <row r="166">
          <cell r="I166" t="str">
            <v>COR-19-187-03</v>
          </cell>
          <cell r="J166" t="str">
            <v>ART</v>
          </cell>
        </row>
        <row r="167">
          <cell r="I167" t="str">
            <v>COR-19-187-04</v>
          </cell>
          <cell r="J167" t="str">
            <v>ART</v>
          </cell>
        </row>
        <row r="168">
          <cell r="I168" t="str">
            <v>COR-19-187-05</v>
          </cell>
          <cell r="J168" t="str">
            <v>ART</v>
          </cell>
        </row>
        <row r="169">
          <cell r="I169" t="str">
            <v>COR-19-187-06</v>
          </cell>
          <cell r="J169" t="str">
            <v>ART</v>
          </cell>
        </row>
        <row r="170">
          <cell r="I170" t="str">
            <v>COR-19-187-07</v>
          </cell>
          <cell r="J170" t="str">
            <v>ART</v>
          </cell>
        </row>
        <row r="171">
          <cell r="I171" t="str">
            <v>COR-19-187-08</v>
          </cell>
          <cell r="J171" t="str">
            <v>ART</v>
          </cell>
        </row>
        <row r="172">
          <cell r="I172" t="str">
            <v>COR-19-187-09</v>
          </cell>
          <cell r="J172" t="str">
            <v>ART</v>
          </cell>
        </row>
        <row r="173">
          <cell r="I173" t="str">
            <v>COR-19-187-10</v>
          </cell>
          <cell r="J173" t="str">
            <v>KIY</v>
          </cell>
        </row>
        <row r="174">
          <cell r="I174" t="str">
            <v>COR-19-187-11</v>
          </cell>
          <cell r="J174" t="str">
            <v>ART</v>
          </cell>
        </row>
        <row r="175">
          <cell r="I175" t="str">
            <v>COR-19-187-12</v>
          </cell>
          <cell r="J175" t="str">
            <v>ART</v>
          </cell>
        </row>
        <row r="176">
          <cell r="I176" t="str">
            <v>COR-19-188-01</v>
          </cell>
          <cell r="J176" t="str">
            <v>ART</v>
          </cell>
        </row>
        <row r="177">
          <cell r="I177" t="str">
            <v>COR-19-188-02</v>
          </cell>
          <cell r="J177" t="str">
            <v>KIY</v>
          </cell>
        </row>
        <row r="178">
          <cell r="I178" t="str">
            <v>COR-19-188-03</v>
          </cell>
          <cell r="J178" t="str">
            <v>ART</v>
          </cell>
        </row>
        <row r="179">
          <cell r="I179" t="str">
            <v>COR-19-188-04</v>
          </cell>
          <cell r="J179" t="str">
            <v>ART</v>
          </cell>
        </row>
        <row r="180">
          <cell r="I180" t="str">
            <v>COR-19-188-05</v>
          </cell>
          <cell r="J180" t="str">
            <v>ART</v>
          </cell>
        </row>
        <row r="181">
          <cell r="I181" t="str">
            <v>COR-19-188-06</v>
          </cell>
          <cell r="J181" t="str">
            <v>ART</v>
          </cell>
        </row>
        <row r="182">
          <cell r="I182" t="str">
            <v>COR-19-188-07</v>
          </cell>
          <cell r="J182" t="str">
            <v>ART</v>
          </cell>
        </row>
        <row r="183">
          <cell r="I183" t="str">
            <v>COR-19-188-08</v>
          </cell>
          <cell r="J183" t="str">
            <v>ART</v>
          </cell>
        </row>
        <row r="184">
          <cell r="I184" t="str">
            <v>COR-19-188-09</v>
          </cell>
          <cell r="J184" t="str">
            <v>ART</v>
          </cell>
        </row>
        <row r="185">
          <cell r="I185" t="str">
            <v>COR-19-188-10</v>
          </cell>
          <cell r="J185" t="str">
            <v>ART</v>
          </cell>
        </row>
        <row r="186">
          <cell r="I186" t="str">
            <v>COR-19-188-11</v>
          </cell>
          <cell r="J186" t="str">
            <v>ART</v>
          </cell>
        </row>
        <row r="187">
          <cell r="I187" t="str">
            <v>COR-19-188-12</v>
          </cell>
          <cell r="J187" t="str">
            <v>ART</v>
          </cell>
        </row>
        <row r="188">
          <cell r="I188" t="str">
            <v>COR-19-190-01</v>
          </cell>
          <cell r="J188" t="str">
            <v>ART</v>
          </cell>
        </row>
        <row r="189">
          <cell r="I189" t="str">
            <v>COR-19-190-02</v>
          </cell>
          <cell r="J189" t="str">
            <v>ART</v>
          </cell>
        </row>
        <row r="190">
          <cell r="I190" t="str">
            <v>COR-19-190-03</v>
          </cell>
          <cell r="J190" t="str">
            <v>ART</v>
          </cell>
        </row>
        <row r="191">
          <cell r="I191" t="str">
            <v>COR-19-190-04</v>
          </cell>
          <cell r="J191" t="str">
            <v>ART</v>
          </cell>
        </row>
        <row r="192">
          <cell r="I192" t="str">
            <v>COR-19-190-05</v>
          </cell>
          <cell r="J192" t="str">
            <v>ART</v>
          </cell>
        </row>
        <row r="193">
          <cell r="I193" t="str">
            <v>COR-19-190-06</v>
          </cell>
          <cell r="J193" t="str">
            <v>ART</v>
          </cell>
        </row>
        <row r="194">
          <cell r="I194" t="str">
            <v>COR-19-190-07</v>
          </cell>
          <cell r="J194" t="str">
            <v>ART</v>
          </cell>
        </row>
        <row r="195">
          <cell r="I195" t="str">
            <v>COR-19-190-08</v>
          </cell>
          <cell r="J195" t="str">
            <v>ART</v>
          </cell>
        </row>
        <row r="196">
          <cell r="I196" t="str">
            <v>COR-19-190-09</v>
          </cell>
          <cell r="J196" t="str">
            <v>ART</v>
          </cell>
        </row>
        <row r="197">
          <cell r="I197" t="str">
            <v>COR-19-190-10</v>
          </cell>
          <cell r="J197" t="str">
            <v>ART</v>
          </cell>
        </row>
        <row r="198">
          <cell r="I198" t="str">
            <v>COR-19-190-11</v>
          </cell>
          <cell r="J198" t="str">
            <v>KIY</v>
          </cell>
        </row>
        <row r="199">
          <cell r="I199" t="str">
            <v>COR-19-190-12</v>
          </cell>
          <cell r="J199" t="str">
            <v>ART</v>
          </cell>
        </row>
        <row r="200">
          <cell r="I200" t="str">
            <v>COR-19-191-01</v>
          </cell>
          <cell r="J200" t="str">
            <v>ART</v>
          </cell>
        </row>
        <row r="201">
          <cell r="I201" t="str">
            <v>COR-19-191-02</v>
          </cell>
          <cell r="J201" t="str">
            <v>ART</v>
          </cell>
        </row>
        <row r="202">
          <cell r="I202" t="str">
            <v>COR-19-191-03</v>
          </cell>
          <cell r="J202" t="str">
            <v>ART</v>
          </cell>
        </row>
        <row r="203">
          <cell r="I203" t="str">
            <v>COR-19-191-04</v>
          </cell>
          <cell r="J203" t="str">
            <v>ART</v>
          </cell>
        </row>
        <row r="204">
          <cell r="I204" t="str">
            <v>COR-19-191-05</v>
          </cell>
          <cell r="J204" t="str">
            <v>ART</v>
          </cell>
        </row>
        <row r="205">
          <cell r="I205" t="str">
            <v>COR-19-191-06</v>
          </cell>
          <cell r="J205" t="str">
            <v>ART</v>
          </cell>
        </row>
        <row r="206">
          <cell r="I206" t="str">
            <v>COR-19-191-07</v>
          </cell>
          <cell r="J206" t="str">
            <v>ART</v>
          </cell>
        </row>
        <row r="207">
          <cell r="I207" t="str">
            <v>COR-19-191-08</v>
          </cell>
          <cell r="J207" t="str">
            <v>HYB</v>
          </cell>
        </row>
        <row r="208">
          <cell r="I208" t="str">
            <v>COR-19-191-09</v>
          </cell>
          <cell r="J208" t="str">
            <v>ART</v>
          </cell>
        </row>
        <row r="209">
          <cell r="I209" t="str">
            <v>COR-19-191-10</v>
          </cell>
          <cell r="J209" t="str">
            <v>ART</v>
          </cell>
        </row>
        <row r="210">
          <cell r="I210" t="str">
            <v>COR-19-191-11</v>
          </cell>
          <cell r="J210" t="str">
            <v>ART</v>
          </cell>
        </row>
        <row r="211">
          <cell r="I211" t="str">
            <v>COR-19-191-12</v>
          </cell>
          <cell r="J211" t="str">
            <v>ART</v>
          </cell>
        </row>
        <row r="212">
          <cell r="I212" t="str">
            <v>COR-19-192-01</v>
          </cell>
          <cell r="J212" t="str">
            <v>HYB</v>
          </cell>
        </row>
        <row r="213">
          <cell r="I213" t="str">
            <v>COR-19-192-02</v>
          </cell>
          <cell r="J213" t="str">
            <v>HYB</v>
          </cell>
        </row>
        <row r="214">
          <cell r="I214" t="str">
            <v>COR-19-192-03</v>
          </cell>
          <cell r="J214" t="str">
            <v>HYB</v>
          </cell>
        </row>
        <row r="215">
          <cell r="I215" t="str">
            <v>COR-19-192-04</v>
          </cell>
          <cell r="J215" t="str">
            <v>ART</v>
          </cell>
        </row>
        <row r="216">
          <cell r="I216" t="str">
            <v>COR-19-192-05</v>
          </cell>
          <cell r="J216" t="str">
            <v>HYB</v>
          </cell>
        </row>
        <row r="217">
          <cell r="I217" t="str">
            <v>COR-19-192-06</v>
          </cell>
          <cell r="J217" t="str">
            <v>ART</v>
          </cell>
        </row>
        <row r="218">
          <cell r="I218" t="str">
            <v>COR-19-192-07</v>
          </cell>
          <cell r="J218" t="str">
            <v>KIY</v>
          </cell>
        </row>
        <row r="219">
          <cell r="I219" t="str">
            <v>COR-19-192-08</v>
          </cell>
          <cell r="J219" t="str">
            <v>ART</v>
          </cell>
        </row>
        <row r="220">
          <cell r="I220" t="str">
            <v>COR-19-192-09</v>
          </cell>
          <cell r="J220" t="str">
            <v>HYB</v>
          </cell>
        </row>
        <row r="221">
          <cell r="I221" t="str">
            <v>COR-19-192-10</v>
          </cell>
          <cell r="J221" t="str">
            <v>ART</v>
          </cell>
        </row>
        <row r="222">
          <cell r="I222" t="str">
            <v>COR-19-192-11</v>
          </cell>
          <cell r="J222" t="str">
            <v>ART</v>
          </cell>
        </row>
        <row r="223">
          <cell r="I223" t="str">
            <v>COR-19-192-12</v>
          </cell>
          <cell r="J223" t="str">
            <v>ART</v>
          </cell>
        </row>
        <row r="224">
          <cell r="I224" t="str">
            <v>COR-19-193-01</v>
          </cell>
          <cell r="J224" t="str">
            <v>KIY</v>
          </cell>
        </row>
        <row r="225">
          <cell r="I225" t="str">
            <v>COR-19-194-01</v>
          </cell>
          <cell r="J225" t="str">
            <v>ART</v>
          </cell>
        </row>
        <row r="226">
          <cell r="I226" t="str">
            <v>COR-19-195-01</v>
          </cell>
          <cell r="J226" t="str">
            <v>KIY</v>
          </cell>
        </row>
        <row r="227">
          <cell r="I227" t="str">
            <v>COR-19-195-02</v>
          </cell>
          <cell r="J227" t="str">
            <v>ART</v>
          </cell>
        </row>
        <row r="228">
          <cell r="I228" t="str">
            <v>COR-19-195-03</v>
          </cell>
          <cell r="J228" t="str">
            <v>KIY</v>
          </cell>
        </row>
        <row r="229">
          <cell r="I229" t="str">
            <v>COR-19-195-04</v>
          </cell>
          <cell r="J229" t="str">
            <v>KIY</v>
          </cell>
        </row>
        <row r="230">
          <cell r="I230" t="str">
            <v>COR-19-195-05</v>
          </cell>
          <cell r="J230" t="str">
            <v>KIY</v>
          </cell>
        </row>
        <row r="231">
          <cell r="I231" t="str">
            <v>COR-19-195-06</v>
          </cell>
          <cell r="J231" t="str">
            <v>KIY</v>
          </cell>
        </row>
        <row r="232">
          <cell r="I232" t="str">
            <v>COR-19-195-07</v>
          </cell>
          <cell r="J232" t="str">
            <v>KIY</v>
          </cell>
        </row>
        <row r="233">
          <cell r="I233" t="str">
            <v>COR-19-195-08</v>
          </cell>
          <cell r="J233" t="str">
            <v>ART</v>
          </cell>
        </row>
        <row r="234">
          <cell r="I234" t="str">
            <v>COR-19-195-09</v>
          </cell>
          <cell r="J234" t="str">
            <v>ART</v>
          </cell>
        </row>
        <row r="235">
          <cell r="I235" t="str">
            <v>COR-19-195-10</v>
          </cell>
          <cell r="J235" t="str">
            <v>KIY</v>
          </cell>
        </row>
        <row r="236">
          <cell r="I236" t="str">
            <v>COR-19-195-11</v>
          </cell>
          <cell r="J236" t="str">
            <v>HYB</v>
          </cell>
        </row>
        <row r="237">
          <cell r="I237" t="str">
            <v>COR-19-195-12</v>
          </cell>
          <cell r="J237" t="str">
            <v>ART</v>
          </cell>
        </row>
        <row r="238">
          <cell r="I238" t="str">
            <v>COR-19-196-01</v>
          </cell>
          <cell r="J238" t="str">
            <v>KIY</v>
          </cell>
        </row>
        <row r="239">
          <cell r="I239" t="str">
            <v>COR-19-196-02</v>
          </cell>
          <cell r="J239" t="str">
            <v>KIY</v>
          </cell>
        </row>
        <row r="240">
          <cell r="I240" t="str">
            <v>COR-19-196-03</v>
          </cell>
          <cell r="J240" t="str">
            <v>ART</v>
          </cell>
        </row>
        <row r="241">
          <cell r="I241" t="str">
            <v>COR-19-196-04</v>
          </cell>
          <cell r="J241" t="str">
            <v>KIY</v>
          </cell>
        </row>
        <row r="242">
          <cell r="I242" t="str">
            <v>COR-19-196-05</v>
          </cell>
          <cell r="J242" t="str">
            <v>KIY</v>
          </cell>
        </row>
        <row r="243">
          <cell r="I243" t="str">
            <v>COR-19-196-06</v>
          </cell>
          <cell r="J243" t="str">
            <v>KIY</v>
          </cell>
        </row>
        <row r="244">
          <cell r="I244" t="str">
            <v>COR-19-196-07</v>
          </cell>
          <cell r="J244" t="str">
            <v>ART</v>
          </cell>
        </row>
        <row r="245">
          <cell r="I245" t="str">
            <v>COR-19-196-08</v>
          </cell>
          <cell r="J245" t="str">
            <v>ART</v>
          </cell>
        </row>
        <row r="246">
          <cell r="I246" t="str">
            <v>COR-19-196-09</v>
          </cell>
          <cell r="J246" t="str">
            <v>KIY</v>
          </cell>
        </row>
        <row r="247">
          <cell r="I247" t="str">
            <v>COR-19-196-10</v>
          </cell>
          <cell r="J247" t="str">
            <v>KIY</v>
          </cell>
        </row>
        <row r="248">
          <cell r="I248" t="str">
            <v>COR-19-196-11</v>
          </cell>
          <cell r="J248" t="str">
            <v>KIY</v>
          </cell>
        </row>
        <row r="249">
          <cell r="I249" t="str">
            <v>COR-19-196-12</v>
          </cell>
          <cell r="J249" t="str">
            <v>KIY</v>
          </cell>
        </row>
        <row r="250">
          <cell r="I250" t="str">
            <v>COR-19-2-01</v>
          </cell>
          <cell r="J250" t="str">
            <v>ART</v>
          </cell>
        </row>
        <row r="251">
          <cell r="I251" t="str">
            <v>COR-19-2-02</v>
          </cell>
          <cell r="J251" t="str">
            <v>ART</v>
          </cell>
        </row>
        <row r="252">
          <cell r="I252" t="str">
            <v>COR-19-2-03</v>
          </cell>
          <cell r="J252" t="str">
            <v>ART</v>
          </cell>
        </row>
        <row r="253">
          <cell r="I253" t="str">
            <v>COR-19-2-04</v>
          </cell>
          <cell r="J253" t="str">
            <v>ART</v>
          </cell>
        </row>
        <row r="254">
          <cell r="I254" t="str">
            <v>COR-19-2-05</v>
          </cell>
          <cell r="J254" t="str">
            <v>KIY</v>
          </cell>
        </row>
        <row r="255">
          <cell r="I255" t="str">
            <v>COR-19-2-06</v>
          </cell>
          <cell r="J255" t="str">
            <v>ART</v>
          </cell>
        </row>
        <row r="256">
          <cell r="I256" t="str">
            <v>COR-19-2-07</v>
          </cell>
          <cell r="J256" t="str">
            <v>ART</v>
          </cell>
        </row>
        <row r="257">
          <cell r="I257" t="str">
            <v>COR-19-2-08</v>
          </cell>
          <cell r="J257" t="str">
            <v>ART</v>
          </cell>
        </row>
        <row r="258">
          <cell r="I258" t="str">
            <v>COR-19-2-09</v>
          </cell>
          <cell r="J258" t="str">
            <v>ART</v>
          </cell>
        </row>
        <row r="259">
          <cell r="I259" t="str">
            <v>COR-19-2-10</v>
          </cell>
          <cell r="J259" t="str">
            <v>ART</v>
          </cell>
        </row>
        <row r="260">
          <cell r="I260" t="str">
            <v>COR-19-2-11</v>
          </cell>
          <cell r="J260" t="str">
            <v>ART</v>
          </cell>
        </row>
        <row r="261">
          <cell r="I261" t="str">
            <v>COR-19-2-12</v>
          </cell>
          <cell r="J261" t="str">
            <v>ART</v>
          </cell>
        </row>
        <row r="262">
          <cell r="I262" t="str">
            <v>COR-19-2039-01</v>
          </cell>
          <cell r="J262" t="str">
            <v>ART</v>
          </cell>
        </row>
        <row r="263">
          <cell r="I263" t="str">
            <v>COR-19-2039-02</v>
          </cell>
          <cell r="J263" t="str">
            <v>HYB</v>
          </cell>
        </row>
        <row r="264">
          <cell r="I264" t="str">
            <v>COR-19-2039-03</v>
          </cell>
          <cell r="J264" t="str">
            <v>ART</v>
          </cell>
        </row>
        <row r="265">
          <cell r="I265" t="str">
            <v>COR-19-2039-04</v>
          </cell>
          <cell r="J265" t="str">
            <v>ART</v>
          </cell>
        </row>
        <row r="266">
          <cell r="I266" t="str">
            <v>COR-19-205-01</v>
          </cell>
          <cell r="J266" t="str">
            <v>ART</v>
          </cell>
        </row>
        <row r="267">
          <cell r="I267" t="str">
            <v>COR-19-205-02</v>
          </cell>
          <cell r="J267" t="str">
            <v>ART</v>
          </cell>
        </row>
        <row r="268">
          <cell r="I268" t="str">
            <v>COR-19-205-03</v>
          </cell>
          <cell r="J268" t="str">
            <v>ART</v>
          </cell>
        </row>
        <row r="269">
          <cell r="I269" t="str">
            <v>COR-19-205-04</v>
          </cell>
          <cell r="J269" t="str">
            <v>ART</v>
          </cell>
        </row>
        <row r="270">
          <cell r="I270" t="str">
            <v>COR-19-205-05</v>
          </cell>
          <cell r="J270" t="str">
            <v>ART</v>
          </cell>
        </row>
        <row r="271">
          <cell r="I271" t="str">
            <v>COR-19-205-06</v>
          </cell>
          <cell r="J271" t="str">
            <v>ART</v>
          </cell>
        </row>
        <row r="272">
          <cell r="I272" t="str">
            <v>COR-19-205-07</v>
          </cell>
          <cell r="J272" t="str">
            <v>ART</v>
          </cell>
        </row>
        <row r="273">
          <cell r="I273" t="str">
            <v>COR-19-205-08</v>
          </cell>
          <cell r="J273" t="str">
            <v>ART</v>
          </cell>
        </row>
        <row r="274">
          <cell r="I274" t="str">
            <v>COR-19-205-09</v>
          </cell>
          <cell r="J274" t="str">
            <v>ART</v>
          </cell>
        </row>
        <row r="275">
          <cell r="I275" t="str">
            <v>COR-19-205-10</v>
          </cell>
          <cell r="J275" t="str">
            <v>ART</v>
          </cell>
        </row>
        <row r="276">
          <cell r="I276" t="str">
            <v>COR-19-2059-01</v>
          </cell>
          <cell r="J276" t="str">
            <v>KIY</v>
          </cell>
        </row>
        <row r="277">
          <cell r="I277" t="str">
            <v>COR-19-2059-02</v>
          </cell>
          <cell r="J277" t="str">
            <v>ART</v>
          </cell>
        </row>
        <row r="278">
          <cell r="I278" t="str">
            <v>COR-19-2059-03</v>
          </cell>
          <cell r="J278" t="str">
            <v>ART</v>
          </cell>
        </row>
        <row r="279">
          <cell r="I279" t="str">
            <v>COR-19-2059-05</v>
          </cell>
          <cell r="J279" t="str">
            <v>ART</v>
          </cell>
        </row>
        <row r="280">
          <cell r="I280" t="str">
            <v>COR-19-2059-06</v>
          </cell>
          <cell r="J280" t="str">
            <v>HYB</v>
          </cell>
        </row>
        <row r="281">
          <cell r="I281" t="str">
            <v>COR-19-2059-07</v>
          </cell>
          <cell r="J281" t="str">
            <v>KIY</v>
          </cell>
        </row>
        <row r="282">
          <cell r="I282" t="str">
            <v>COR-19-2059-09</v>
          </cell>
          <cell r="J282" t="str">
            <v>ART</v>
          </cell>
        </row>
        <row r="283">
          <cell r="I283" t="str">
            <v>COR-19-2059-10</v>
          </cell>
          <cell r="J283" t="str">
            <v>ART</v>
          </cell>
        </row>
        <row r="284">
          <cell r="I284" t="str">
            <v>COR-19-2059-11</v>
          </cell>
          <cell r="J284" t="str">
            <v>KIY</v>
          </cell>
        </row>
        <row r="285">
          <cell r="I285" t="str">
            <v>COR-19-2059-12</v>
          </cell>
          <cell r="J285" t="str">
            <v>HYB</v>
          </cell>
        </row>
        <row r="286">
          <cell r="I286" t="str">
            <v>COR-19-206-01</v>
          </cell>
          <cell r="J286" t="str">
            <v>ART</v>
          </cell>
        </row>
        <row r="287">
          <cell r="I287" t="str">
            <v>COR-19-206-02</v>
          </cell>
          <cell r="J287" t="str">
            <v>ART</v>
          </cell>
        </row>
        <row r="288">
          <cell r="I288" t="str">
            <v>COR-19-206-03</v>
          </cell>
          <cell r="J288" t="str">
            <v>ART</v>
          </cell>
        </row>
        <row r="289">
          <cell r="I289" t="str">
            <v>COR-19-206-04</v>
          </cell>
          <cell r="J289" t="str">
            <v>ART</v>
          </cell>
        </row>
        <row r="290">
          <cell r="I290" t="str">
            <v>COR-19-206-05</v>
          </cell>
          <cell r="J290" t="str">
            <v>ART</v>
          </cell>
        </row>
        <row r="291">
          <cell r="I291" t="str">
            <v>COR-19-206-06</v>
          </cell>
          <cell r="J291" t="str">
            <v>ART</v>
          </cell>
        </row>
        <row r="292">
          <cell r="I292" t="str">
            <v>COR-19-206-07</v>
          </cell>
          <cell r="J292" t="str">
            <v>ART</v>
          </cell>
        </row>
        <row r="293">
          <cell r="I293" t="str">
            <v>COR-19-206-08</v>
          </cell>
          <cell r="J293" t="str">
            <v>ART</v>
          </cell>
        </row>
        <row r="294">
          <cell r="I294" t="str">
            <v>COR-19-206-09</v>
          </cell>
          <cell r="J294" t="str">
            <v>ART</v>
          </cell>
        </row>
        <row r="295">
          <cell r="I295" t="str">
            <v>COR-19-206-10</v>
          </cell>
          <cell r="J295" t="str">
            <v>HYB</v>
          </cell>
        </row>
        <row r="296">
          <cell r="I296" t="str">
            <v>COR-19-206-11</v>
          </cell>
          <cell r="J296" t="str">
            <v>ART</v>
          </cell>
        </row>
        <row r="297">
          <cell r="I297" t="str">
            <v>COR-19-206-12</v>
          </cell>
          <cell r="J297" t="str">
            <v>ART</v>
          </cell>
        </row>
        <row r="298">
          <cell r="I298" t="str">
            <v>COR-19-207-01</v>
          </cell>
          <cell r="J298" t="str">
            <v>ART</v>
          </cell>
        </row>
        <row r="299">
          <cell r="I299" t="str">
            <v>COR-19-207-02</v>
          </cell>
          <cell r="J299" t="str">
            <v>ART</v>
          </cell>
        </row>
        <row r="300">
          <cell r="I300" t="str">
            <v>COR-19-207-03</v>
          </cell>
          <cell r="J300" t="str">
            <v>HYB</v>
          </cell>
        </row>
        <row r="301">
          <cell r="I301" t="str">
            <v>COR-19-207-04</v>
          </cell>
          <cell r="J301" t="str">
            <v>ART</v>
          </cell>
        </row>
        <row r="302">
          <cell r="I302" t="str">
            <v>COR-19-207-05</v>
          </cell>
          <cell r="J302" t="str">
            <v>KIY</v>
          </cell>
        </row>
        <row r="303">
          <cell r="I303" t="str">
            <v>COR-19-207-06</v>
          </cell>
          <cell r="J303" t="str">
            <v>KIY</v>
          </cell>
        </row>
        <row r="304">
          <cell r="I304" t="str">
            <v>COR-19-207-07</v>
          </cell>
          <cell r="J304" t="str">
            <v>ART</v>
          </cell>
        </row>
        <row r="305">
          <cell r="I305" t="str">
            <v>COR-19-207-08</v>
          </cell>
          <cell r="J305" t="str">
            <v>ART</v>
          </cell>
        </row>
        <row r="306">
          <cell r="I306" t="str">
            <v>COR-19-207-09</v>
          </cell>
          <cell r="J306" t="str">
            <v>ART</v>
          </cell>
        </row>
        <row r="307">
          <cell r="I307" t="str">
            <v>COR-19-207-10</v>
          </cell>
          <cell r="J307" t="str">
            <v>KIY</v>
          </cell>
        </row>
        <row r="308">
          <cell r="I308" t="str">
            <v>COR-19-207-11</v>
          </cell>
          <cell r="J308" t="str">
            <v>KIY</v>
          </cell>
        </row>
        <row r="309">
          <cell r="I309" t="str">
            <v>COR-19-207-12</v>
          </cell>
          <cell r="J309" t="str">
            <v>ART</v>
          </cell>
        </row>
        <row r="310">
          <cell r="I310" t="str">
            <v>COR-19-208-01</v>
          </cell>
          <cell r="J310" t="str">
            <v>ART</v>
          </cell>
        </row>
        <row r="311">
          <cell r="I311" t="str">
            <v>COR-19-208-02</v>
          </cell>
          <cell r="J311" t="str">
            <v>ART</v>
          </cell>
        </row>
        <row r="312">
          <cell r="I312" t="str">
            <v>COR-19-208-03</v>
          </cell>
          <cell r="J312" t="str">
            <v>ART</v>
          </cell>
        </row>
        <row r="313">
          <cell r="I313" t="str">
            <v>COR-19-208-04</v>
          </cell>
          <cell r="J313" t="str">
            <v>ART</v>
          </cell>
        </row>
        <row r="314">
          <cell r="I314" t="str">
            <v>COR-19-208-05</v>
          </cell>
          <cell r="J314" t="str">
            <v>ART</v>
          </cell>
        </row>
        <row r="315">
          <cell r="I315" t="str">
            <v>COR-19-208-06</v>
          </cell>
          <cell r="J315" t="str">
            <v>ART</v>
          </cell>
        </row>
        <row r="316">
          <cell r="I316" t="str">
            <v>COR-19-208-07</v>
          </cell>
          <cell r="J316" t="str">
            <v>ART</v>
          </cell>
        </row>
        <row r="317">
          <cell r="I317" t="str">
            <v>COR-19-208-08</v>
          </cell>
          <cell r="J317" t="str">
            <v>ART</v>
          </cell>
        </row>
        <row r="318">
          <cell r="I318" t="str">
            <v>COR-19-208-09</v>
          </cell>
          <cell r="J318" t="str">
            <v>ART</v>
          </cell>
        </row>
        <row r="319">
          <cell r="I319" t="str">
            <v>COR-19-208-10</v>
          </cell>
          <cell r="J319" t="str">
            <v>HYB</v>
          </cell>
        </row>
        <row r="320">
          <cell r="I320" t="str">
            <v>COR-19-209-01</v>
          </cell>
          <cell r="J320" t="str">
            <v>KIY</v>
          </cell>
        </row>
        <row r="321">
          <cell r="I321" t="str">
            <v>COR-19-210-01</v>
          </cell>
          <cell r="J321" t="str">
            <v>KIY</v>
          </cell>
        </row>
        <row r="322">
          <cell r="I322" t="str">
            <v>COR-19-210-02</v>
          </cell>
          <cell r="J322" t="str">
            <v>ART</v>
          </cell>
        </row>
        <row r="323">
          <cell r="I323" t="str">
            <v>COR-19-210-03</v>
          </cell>
          <cell r="J323" t="str">
            <v>ART</v>
          </cell>
        </row>
        <row r="324">
          <cell r="I324" t="str">
            <v>COR-19-210-04</v>
          </cell>
          <cell r="J324" t="str">
            <v>ART</v>
          </cell>
        </row>
        <row r="325">
          <cell r="I325" t="str">
            <v>COR-19-210-05</v>
          </cell>
          <cell r="J325" t="str">
            <v>KIY</v>
          </cell>
        </row>
        <row r="326">
          <cell r="I326" t="str">
            <v>COR-19-210-06</v>
          </cell>
          <cell r="J326" t="str">
            <v>ART</v>
          </cell>
        </row>
        <row r="327">
          <cell r="I327" t="str">
            <v>COR-19-210-07</v>
          </cell>
          <cell r="J327" t="str">
            <v>ART</v>
          </cell>
        </row>
        <row r="328">
          <cell r="I328" t="str">
            <v>COR-19-210-08</v>
          </cell>
          <cell r="J328" t="str">
            <v>KIY</v>
          </cell>
        </row>
        <row r="329">
          <cell r="I329" t="str">
            <v>COR-19-210-09</v>
          </cell>
          <cell r="J329" t="str">
            <v>ART</v>
          </cell>
        </row>
        <row r="330">
          <cell r="I330" t="str">
            <v>COR-19-210-10</v>
          </cell>
          <cell r="J330" t="str">
            <v>ART</v>
          </cell>
        </row>
        <row r="331">
          <cell r="I331" t="str">
            <v>COR-19-210-11</v>
          </cell>
          <cell r="J331" t="str">
            <v>KIY</v>
          </cell>
        </row>
        <row r="332">
          <cell r="I332" t="str">
            <v>COR-19-210-12</v>
          </cell>
          <cell r="J332" t="str">
            <v>KIY</v>
          </cell>
        </row>
        <row r="333">
          <cell r="I333" t="str">
            <v>COR-19-2115-01</v>
          </cell>
          <cell r="J333" t="str">
            <v>ART</v>
          </cell>
        </row>
        <row r="334">
          <cell r="I334" t="str">
            <v>COR-19-2115-02</v>
          </cell>
          <cell r="J334" t="str">
            <v>KIY</v>
          </cell>
        </row>
        <row r="335">
          <cell r="I335" t="str">
            <v>COR-19-2115-03</v>
          </cell>
          <cell r="J335" t="str">
            <v>HOY</v>
          </cell>
        </row>
        <row r="336">
          <cell r="I336" t="str">
            <v>COR-19-2115-04</v>
          </cell>
          <cell r="J336" t="str">
            <v>KIY</v>
          </cell>
        </row>
        <row r="337">
          <cell r="I337" t="str">
            <v>COR-19-2115-05</v>
          </cell>
          <cell r="J337" t="str">
            <v>KIY</v>
          </cell>
        </row>
        <row r="338">
          <cell r="I338" t="str">
            <v>COR-19-2115-06</v>
          </cell>
          <cell r="J338" t="str">
            <v>KIY</v>
          </cell>
        </row>
        <row r="339">
          <cell r="I339" t="str">
            <v>COR-19-2115-07</v>
          </cell>
          <cell r="J339" t="str">
            <v>KIY</v>
          </cell>
        </row>
        <row r="340">
          <cell r="I340" t="str">
            <v>COR-19-2115-08</v>
          </cell>
          <cell r="J340" t="str">
            <v>KIY</v>
          </cell>
        </row>
        <row r="341">
          <cell r="I341" t="str">
            <v>COR-19-2115-09</v>
          </cell>
          <cell r="J341" t="str">
            <v>HYB</v>
          </cell>
        </row>
        <row r="342">
          <cell r="I342" t="str">
            <v>COR-19-2115-10</v>
          </cell>
          <cell r="J342" t="str">
            <v>KIY</v>
          </cell>
        </row>
        <row r="343">
          <cell r="I343" t="str">
            <v>COR-19-2115-11</v>
          </cell>
          <cell r="J343" t="str">
            <v>KIY</v>
          </cell>
        </row>
        <row r="344">
          <cell r="I344" t="str">
            <v>COR-19-2116-01</v>
          </cell>
          <cell r="J344" t="str">
            <v>ART</v>
          </cell>
        </row>
        <row r="345">
          <cell r="I345" t="str">
            <v>COR-19-2116-02</v>
          </cell>
          <cell r="J345" t="str">
            <v>HYB</v>
          </cell>
        </row>
        <row r="346">
          <cell r="I346" t="str">
            <v>COR-19-2116-03</v>
          </cell>
          <cell r="J346" t="str">
            <v>KIY</v>
          </cell>
        </row>
        <row r="347">
          <cell r="I347" t="str">
            <v>COR-19-2116-04</v>
          </cell>
          <cell r="J347" t="str">
            <v>KIY</v>
          </cell>
        </row>
        <row r="348">
          <cell r="I348" t="str">
            <v>COR-19-2116-05</v>
          </cell>
          <cell r="J348" t="str">
            <v>HYB</v>
          </cell>
        </row>
        <row r="349">
          <cell r="I349" t="str">
            <v>COR-19-2116-06</v>
          </cell>
          <cell r="J349" t="str">
            <v>KIY</v>
          </cell>
        </row>
        <row r="350">
          <cell r="I350" t="str">
            <v>COR-19-2116-07</v>
          </cell>
          <cell r="J350" t="str">
            <v>KIY</v>
          </cell>
        </row>
        <row r="351">
          <cell r="I351" t="str">
            <v>COR-19-2116-08</v>
          </cell>
          <cell r="J351" t="str">
            <v>KIY</v>
          </cell>
        </row>
        <row r="352">
          <cell r="I352" t="str">
            <v>COR-19-2116-09</v>
          </cell>
          <cell r="J352" t="str">
            <v>KIY</v>
          </cell>
        </row>
        <row r="353">
          <cell r="I353" t="str">
            <v>COR-19-2116-10</v>
          </cell>
          <cell r="J353" t="str">
            <v>KIY</v>
          </cell>
        </row>
        <row r="354">
          <cell r="I354" t="str">
            <v>COR-19-2116-11</v>
          </cell>
          <cell r="J354" t="str">
            <v>KIY</v>
          </cell>
        </row>
        <row r="355">
          <cell r="I355" t="str">
            <v>COR-19-2116-12</v>
          </cell>
          <cell r="J355" t="str">
            <v>ART</v>
          </cell>
        </row>
        <row r="356">
          <cell r="I356" t="str">
            <v>COR-19-2118-01</v>
          </cell>
          <cell r="J356" t="str">
            <v>ART</v>
          </cell>
        </row>
        <row r="357">
          <cell r="I357" t="str">
            <v>COR-19-2118-02</v>
          </cell>
          <cell r="J357" t="str">
            <v>KIY</v>
          </cell>
        </row>
        <row r="358">
          <cell r="I358" t="str">
            <v>COR-19-2118-03</v>
          </cell>
          <cell r="J358" t="str">
            <v>KIY</v>
          </cell>
        </row>
        <row r="359">
          <cell r="I359" t="str">
            <v>COR-19-2118-04</v>
          </cell>
          <cell r="J359" t="str">
            <v>KIY</v>
          </cell>
        </row>
        <row r="360">
          <cell r="I360" t="str">
            <v>COR-19-2118-05</v>
          </cell>
          <cell r="J360" t="str">
            <v>KIY</v>
          </cell>
        </row>
        <row r="361">
          <cell r="I361" t="str">
            <v>COR-19-2118-06</v>
          </cell>
          <cell r="J361" t="str">
            <v>ART</v>
          </cell>
        </row>
        <row r="362">
          <cell r="I362" t="str">
            <v>COR-19-2118-07</v>
          </cell>
          <cell r="J362" t="str">
            <v>KIY</v>
          </cell>
        </row>
        <row r="363">
          <cell r="I363" t="str">
            <v>COR-19-2118-08</v>
          </cell>
          <cell r="J363" t="str">
            <v>KIY</v>
          </cell>
        </row>
        <row r="364">
          <cell r="I364" t="str">
            <v>COR-19-2118-09</v>
          </cell>
          <cell r="J364" t="str">
            <v>KIY</v>
          </cell>
        </row>
        <row r="365">
          <cell r="I365" t="str">
            <v>COR-19-2118-10</v>
          </cell>
          <cell r="J365" t="str">
            <v>KIY</v>
          </cell>
        </row>
        <row r="366">
          <cell r="I366" t="str">
            <v>COR-19-2118-11</v>
          </cell>
          <cell r="J366" t="str">
            <v>KIY</v>
          </cell>
        </row>
        <row r="367">
          <cell r="I367" t="str">
            <v>COR-19-2118-12</v>
          </cell>
          <cell r="J367" t="str">
            <v>KIY</v>
          </cell>
        </row>
        <row r="368">
          <cell r="I368" t="str">
            <v>COR-19-2119-01</v>
          </cell>
          <cell r="J368" t="str">
            <v>ART</v>
          </cell>
        </row>
        <row r="369">
          <cell r="I369" t="str">
            <v>COR-19-2119-02</v>
          </cell>
          <cell r="J369" t="str">
            <v>HYB</v>
          </cell>
        </row>
        <row r="370">
          <cell r="I370" t="str">
            <v>COR-19-2119-03</v>
          </cell>
          <cell r="J370" t="str">
            <v>ART</v>
          </cell>
        </row>
        <row r="371">
          <cell r="I371" t="str">
            <v>COR-19-2119-04</v>
          </cell>
          <cell r="J371" t="str">
            <v>KIY</v>
          </cell>
        </row>
        <row r="372">
          <cell r="I372" t="str">
            <v>COR-19-2120-01</v>
          </cell>
          <cell r="J372" t="str">
            <v>KIY</v>
          </cell>
        </row>
        <row r="373">
          <cell r="I373" t="str">
            <v>COR-19-2120-02</v>
          </cell>
          <cell r="J373" t="str">
            <v>KIY</v>
          </cell>
        </row>
        <row r="374">
          <cell r="I374" t="str">
            <v>COR-19-2120-03</v>
          </cell>
          <cell r="J374" t="str">
            <v>ART</v>
          </cell>
        </row>
        <row r="375">
          <cell r="I375" t="str">
            <v>COR-19-2120-04</v>
          </cell>
          <cell r="J375" t="str">
            <v>ART</v>
          </cell>
        </row>
        <row r="376">
          <cell r="I376" t="str">
            <v>COR-19-2120-05</v>
          </cell>
          <cell r="J376" t="str">
            <v>ART</v>
          </cell>
        </row>
        <row r="377">
          <cell r="I377" t="str">
            <v>COR-19-2120-06</v>
          </cell>
          <cell r="J377" t="str">
            <v>ART</v>
          </cell>
        </row>
        <row r="378">
          <cell r="I378" t="str">
            <v>COR-19-2120-07</v>
          </cell>
          <cell r="J378" t="str">
            <v>ART</v>
          </cell>
        </row>
        <row r="379">
          <cell r="I379" t="str">
            <v>COR-19-2120-08</v>
          </cell>
          <cell r="J379" t="str">
            <v>ART</v>
          </cell>
        </row>
        <row r="380">
          <cell r="I380" t="str">
            <v>COR-19-2120-09</v>
          </cell>
          <cell r="J380" t="str">
            <v>ART</v>
          </cell>
        </row>
        <row r="381">
          <cell r="I381" t="str">
            <v>COR-19-2120-10</v>
          </cell>
          <cell r="J381" t="str">
            <v>ART</v>
          </cell>
        </row>
        <row r="382">
          <cell r="I382" t="str">
            <v>COR-19-2120-11</v>
          </cell>
          <cell r="J382" t="str">
            <v>ART</v>
          </cell>
        </row>
        <row r="383">
          <cell r="I383" t="str">
            <v>COR-19-2120-12</v>
          </cell>
          <cell r="J383" t="str">
            <v>ART</v>
          </cell>
        </row>
        <row r="384">
          <cell r="I384" t="str">
            <v>COR-19-2121-01</v>
          </cell>
          <cell r="J384" t="str">
            <v>ART</v>
          </cell>
        </row>
        <row r="385">
          <cell r="I385" t="str">
            <v>COR-19-2121-02</v>
          </cell>
          <cell r="J385" t="str">
            <v>ART</v>
          </cell>
        </row>
        <row r="386">
          <cell r="I386" t="str">
            <v>COR-19-2121-03</v>
          </cell>
          <cell r="J386" t="str">
            <v>ART</v>
          </cell>
        </row>
        <row r="387">
          <cell r="I387" t="str">
            <v>COR-19-2121-04</v>
          </cell>
          <cell r="J387" t="str">
            <v>HYB</v>
          </cell>
        </row>
        <row r="388">
          <cell r="I388" t="str">
            <v>COR-19-2121-05</v>
          </cell>
          <cell r="J388" t="str">
            <v>ART</v>
          </cell>
        </row>
        <row r="389">
          <cell r="I389" t="str">
            <v>COR-19-2121-06</v>
          </cell>
          <cell r="J389" t="str">
            <v>ART</v>
          </cell>
        </row>
        <row r="390">
          <cell r="I390" t="str">
            <v>COR-19-2121-07</v>
          </cell>
          <cell r="J390" t="str">
            <v>ART</v>
          </cell>
        </row>
        <row r="391">
          <cell r="I391" t="str">
            <v>COR-19-2121-08</v>
          </cell>
          <cell r="J391" t="str">
            <v>ART</v>
          </cell>
        </row>
        <row r="392">
          <cell r="I392" t="str">
            <v>COR-19-2121-09</v>
          </cell>
          <cell r="J392" t="str">
            <v>ART</v>
          </cell>
        </row>
        <row r="393">
          <cell r="I393" t="str">
            <v>COR-19-2121-10</v>
          </cell>
          <cell r="J393" t="str">
            <v>ART</v>
          </cell>
        </row>
        <row r="394">
          <cell r="I394" t="str">
            <v>COR-19-2121-11</v>
          </cell>
          <cell r="J394" t="str">
            <v>HYB</v>
          </cell>
        </row>
        <row r="395">
          <cell r="I395" t="str">
            <v>COR-19-2121-12</v>
          </cell>
          <cell r="J395" t="str">
            <v>HYB</v>
          </cell>
        </row>
        <row r="396">
          <cell r="I396" t="str">
            <v>COR-19-2122-01</v>
          </cell>
          <cell r="J396" t="str">
            <v>KIY</v>
          </cell>
        </row>
        <row r="397">
          <cell r="I397" t="str">
            <v>COR-19-2122-02</v>
          </cell>
          <cell r="J397" t="str">
            <v>ART</v>
          </cell>
        </row>
        <row r="398">
          <cell r="I398" t="str">
            <v>COR-19-2124-01</v>
          </cell>
          <cell r="J398" t="str">
            <v>KIY</v>
          </cell>
        </row>
        <row r="399">
          <cell r="I399" t="str">
            <v>COR-19-2124-02</v>
          </cell>
          <cell r="J399" t="str">
            <v>ART</v>
          </cell>
        </row>
        <row r="400">
          <cell r="I400" t="str">
            <v>COR-19-2124-03</v>
          </cell>
          <cell r="J400" t="str">
            <v>ART</v>
          </cell>
        </row>
        <row r="401">
          <cell r="I401" t="str">
            <v>COR-19-2124-04</v>
          </cell>
          <cell r="J401" t="str">
            <v>KIY</v>
          </cell>
        </row>
        <row r="402">
          <cell r="I402" t="str">
            <v>COR-19-2124-05</v>
          </cell>
          <cell r="J402" t="str">
            <v>KIY</v>
          </cell>
        </row>
        <row r="403">
          <cell r="I403" t="str">
            <v>COR-19-2124-06</v>
          </cell>
          <cell r="J403" t="str">
            <v>KIY</v>
          </cell>
        </row>
        <row r="404">
          <cell r="I404" t="str">
            <v>COR-19-2124-07</v>
          </cell>
          <cell r="J404" t="str">
            <v>KIY</v>
          </cell>
        </row>
        <row r="405">
          <cell r="I405" t="str">
            <v>COR-19-2124-08</v>
          </cell>
          <cell r="J405" t="str">
            <v>KIY</v>
          </cell>
        </row>
        <row r="406">
          <cell r="I406" t="str">
            <v>COR-19-2124-09</v>
          </cell>
          <cell r="J406" t="str">
            <v>KIY</v>
          </cell>
        </row>
        <row r="407">
          <cell r="I407" t="str">
            <v>COR-19-2124-10</v>
          </cell>
          <cell r="J407" t="str">
            <v>KIY</v>
          </cell>
        </row>
        <row r="408">
          <cell r="I408" t="str">
            <v>COR-19-2124-11</v>
          </cell>
          <cell r="J408" t="str">
            <v>ART</v>
          </cell>
        </row>
        <row r="409">
          <cell r="I409" t="str">
            <v>COR-19-2124-12</v>
          </cell>
          <cell r="J409" t="str">
            <v>ART</v>
          </cell>
        </row>
        <row r="410">
          <cell r="I410" t="str">
            <v>COR-19-2125-01</v>
          </cell>
          <cell r="J410" t="str">
            <v>ART</v>
          </cell>
        </row>
        <row r="411">
          <cell r="I411" t="str">
            <v>COR-19-2125-02</v>
          </cell>
          <cell r="J411" t="str">
            <v>ART</v>
          </cell>
        </row>
        <row r="412">
          <cell r="I412" t="str">
            <v>COR-19-2126-01</v>
          </cell>
          <cell r="J412" t="str">
            <v>KIY</v>
          </cell>
        </row>
        <row r="413">
          <cell r="I413" t="str">
            <v>COR-19-2126-02</v>
          </cell>
          <cell r="J413" t="str">
            <v>KIY</v>
          </cell>
        </row>
        <row r="414">
          <cell r="I414" t="str">
            <v>COR-19-2127-01</v>
          </cell>
          <cell r="J414" t="str">
            <v>KIY</v>
          </cell>
        </row>
        <row r="415">
          <cell r="I415" t="str">
            <v>COR-19-2127-02</v>
          </cell>
          <cell r="J415" t="str">
            <v>KIY</v>
          </cell>
        </row>
        <row r="416">
          <cell r="I416" t="str">
            <v>COR-19-2127-03</v>
          </cell>
          <cell r="J416" t="str">
            <v>KIY</v>
          </cell>
        </row>
        <row r="417">
          <cell r="I417" t="str">
            <v>COR-19-2127-04</v>
          </cell>
          <cell r="J417" t="str">
            <v>ART</v>
          </cell>
        </row>
        <row r="418">
          <cell r="I418" t="str">
            <v>COR-19-2127-05</v>
          </cell>
          <cell r="J418" t="str">
            <v>KIY</v>
          </cell>
        </row>
        <row r="419">
          <cell r="I419" t="str">
            <v>COR-19-2127-06</v>
          </cell>
          <cell r="J419" t="str">
            <v>KIY</v>
          </cell>
        </row>
        <row r="420">
          <cell r="I420" t="str">
            <v>COR-19-2127-07</v>
          </cell>
          <cell r="J420" t="str">
            <v>ART</v>
          </cell>
        </row>
        <row r="421">
          <cell r="I421" t="str">
            <v>COR-19-2127-08</v>
          </cell>
          <cell r="J421" t="str">
            <v>ART</v>
          </cell>
        </row>
        <row r="422">
          <cell r="I422" t="str">
            <v>COR-19-2127-09</v>
          </cell>
          <cell r="J422" t="str">
            <v>KIY</v>
          </cell>
        </row>
        <row r="423">
          <cell r="I423" t="str">
            <v>COR-19-2127-10</v>
          </cell>
          <cell r="J423" t="str">
            <v>ART</v>
          </cell>
        </row>
        <row r="424">
          <cell r="I424" t="str">
            <v>COR-19-2127-11</v>
          </cell>
          <cell r="J424" t="str">
            <v>CLUP</v>
          </cell>
        </row>
        <row r="425">
          <cell r="I425" t="str">
            <v>COR-19-2127-12</v>
          </cell>
          <cell r="J425" t="str">
            <v>ART</v>
          </cell>
        </row>
        <row r="426">
          <cell r="I426" t="str">
            <v>COR-19-2128-01</v>
          </cell>
          <cell r="J426" t="str">
            <v>KIY</v>
          </cell>
        </row>
        <row r="427">
          <cell r="I427" t="str">
            <v>COR-19-2129-01</v>
          </cell>
          <cell r="J427" t="str">
            <v>HYB</v>
          </cell>
        </row>
        <row r="428">
          <cell r="I428" t="str">
            <v>COR-19-2129-02</v>
          </cell>
          <cell r="J428" t="str">
            <v>ART</v>
          </cell>
        </row>
        <row r="429">
          <cell r="I429" t="str">
            <v>COR-19-2129-03</v>
          </cell>
          <cell r="J429" t="str">
            <v>KIY</v>
          </cell>
        </row>
        <row r="430">
          <cell r="I430" t="str">
            <v>COR-19-2133-01</v>
          </cell>
          <cell r="J430" t="str">
            <v>KIY</v>
          </cell>
        </row>
        <row r="431">
          <cell r="I431" t="str">
            <v>COR-19-2133-02</v>
          </cell>
          <cell r="J431" t="str">
            <v>KIY</v>
          </cell>
        </row>
        <row r="432">
          <cell r="I432" t="str">
            <v>COR-19-2133-03</v>
          </cell>
          <cell r="J432" t="str">
            <v>HYB</v>
          </cell>
        </row>
        <row r="433">
          <cell r="I433" t="str">
            <v>COR-19-2133-04</v>
          </cell>
          <cell r="J433" t="str">
            <v>ART</v>
          </cell>
        </row>
        <row r="434">
          <cell r="I434" t="str">
            <v>COR-19-2133-05</v>
          </cell>
          <cell r="J434" t="str">
            <v>KIY</v>
          </cell>
        </row>
        <row r="435">
          <cell r="I435" t="str">
            <v>COR-19-2133-06</v>
          </cell>
          <cell r="J435" t="str">
            <v>KIY</v>
          </cell>
        </row>
        <row r="436">
          <cell r="I436" t="str">
            <v>COR-19-2133-07</v>
          </cell>
          <cell r="J436" t="str">
            <v>HOY</v>
          </cell>
        </row>
        <row r="437">
          <cell r="I437" t="str">
            <v>COR-19-2133-08</v>
          </cell>
          <cell r="J437" t="str">
            <v>KIY</v>
          </cell>
        </row>
        <row r="438">
          <cell r="I438" t="str">
            <v>COR-19-2133-09</v>
          </cell>
          <cell r="J438" t="str">
            <v>KIY</v>
          </cell>
        </row>
        <row r="439">
          <cell r="I439" t="str">
            <v>COR-19-2133-10</v>
          </cell>
          <cell r="J439" t="str">
            <v>KIY</v>
          </cell>
        </row>
        <row r="440">
          <cell r="I440" t="str">
            <v>COR-19-2133-11</v>
          </cell>
          <cell r="J440" t="str">
            <v>KIY</v>
          </cell>
        </row>
        <row r="441">
          <cell r="I441" t="str">
            <v>COR-19-2133-12</v>
          </cell>
          <cell r="J441" t="str">
            <v>KIY</v>
          </cell>
        </row>
        <row r="442">
          <cell r="I442" t="str">
            <v>COR-19-2134-01</v>
          </cell>
          <cell r="J442" t="str">
            <v>KIY</v>
          </cell>
        </row>
        <row r="443">
          <cell r="I443" t="str">
            <v>COR-19-2135-01</v>
          </cell>
          <cell r="J443" t="str">
            <v>ART</v>
          </cell>
        </row>
        <row r="444">
          <cell r="I444" t="str">
            <v>COR-19-2135-02</v>
          </cell>
          <cell r="J444" t="str">
            <v>KIY</v>
          </cell>
        </row>
        <row r="445">
          <cell r="I445" t="str">
            <v>COR-19-2136-01</v>
          </cell>
          <cell r="J445" t="str">
            <v>ART</v>
          </cell>
        </row>
        <row r="446">
          <cell r="I446" t="str">
            <v>COR-19-2136-02</v>
          </cell>
          <cell r="J446" t="str">
            <v>HYB</v>
          </cell>
        </row>
        <row r="447">
          <cell r="I447" t="str">
            <v>COR-19-2136-03</v>
          </cell>
          <cell r="J447" t="str">
            <v>KIY</v>
          </cell>
        </row>
        <row r="448">
          <cell r="I448" t="str">
            <v>COR-19-2136-04</v>
          </cell>
          <cell r="J448" t="str">
            <v>ART</v>
          </cell>
        </row>
        <row r="449">
          <cell r="I449" t="str">
            <v>COR-19-2136-05</v>
          </cell>
          <cell r="J449" t="str">
            <v>KIY</v>
          </cell>
        </row>
        <row r="450">
          <cell r="I450" t="str">
            <v>COR-19-2136-06</v>
          </cell>
          <cell r="J450" t="str">
            <v>KIY</v>
          </cell>
        </row>
        <row r="451">
          <cell r="I451" t="str">
            <v>COR-19-2136-07</v>
          </cell>
          <cell r="J451" t="str">
            <v>KIY</v>
          </cell>
        </row>
        <row r="452">
          <cell r="I452" t="str">
            <v>COR-19-2136-08</v>
          </cell>
          <cell r="J452" t="str">
            <v>ART</v>
          </cell>
        </row>
        <row r="453">
          <cell r="I453" t="str">
            <v>COR-19-2136-09</v>
          </cell>
          <cell r="J453" t="str">
            <v>ART</v>
          </cell>
        </row>
        <row r="454">
          <cell r="I454" t="str">
            <v>COR-19-2136-10</v>
          </cell>
          <cell r="J454" t="str">
            <v>ART</v>
          </cell>
        </row>
        <row r="455">
          <cell r="I455" t="str">
            <v>COR-19-2136-11</v>
          </cell>
          <cell r="J455" t="str">
            <v>KIY</v>
          </cell>
        </row>
        <row r="456">
          <cell r="I456" t="str">
            <v>COR-19-2136-12</v>
          </cell>
          <cell r="J456" t="str">
            <v>KIY</v>
          </cell>
        </row>
        <row r="457">
          <cell r="I457" t="str">
            <v>COR-19-2137-01</v>
          </cell>
          <cell r="J457" t="str">
            <v>HYB</v>
          </cell>
        </row>
        <row r="458">
          <cell r="I458" t="str">
            <v>COR-19-2137-02</v>
          </cell>
          <cell r="J458" t="str">
            <v>HYB</v>
          </cell>
        </row>
        <row r="459">
          <cell r="I459" t="str">
            <v>COR-19-2137-03</v>
          </cell>
          <cell r="J459" t="str">
            <v>ART</v>
          </cell>
        </row>
        <row r="460">
          <cell r="I460" t="str">
            <v>COR-19-2137-04</v>
          </cell>
          <cell r="J460" t="str">
            <v>ART</v>
          </cell>
        </row>
        <row r="461">
          <cell r="I461" t="str">
            <v>COR-19-2137-05</v>
          </cell>
          <cell r="J461" t="str">
            <v>KIY</v>
          </cell>
        </row>
        <row r="462">
          <cell r="I462" t="str">
            <v>COR-19-2137-07</v>
          </cell>
          <cell r="J462" t="str">
            <v>ART</v>
          </cell>
        </row>
        <row r="463">
          <cell r="I463" t="str">
            <v>COR-19-2137-08</v>
          </cell>
          <cell r="J463" t="str">
            <v>KIY</v>
          </cell>
        </row>
        <row r="464">
          <cell r="I464" t="str">
            <v>COR-19-2137-09</v>
          </cell>
          <cell r="J464" t="str">
            <v>ART</v>
          </cell>
        </row>
        <row r="465">
          <cell r="I465" t="str">
            <v>COR-19-2137-10</v>
          </cell>
          <cell r="J465" t="str">
            <v>ART</v>
          </cell>
        </row>
        <row r="466">
          <cell r="I466" t="str">
            <v>COR-19-2137-11</v>
          </cell>
          <cell r="J466" t="str">
            <v>ART</v>
          </cell>
        </row>
        <row r="467">
          <cell r="I467" t="str">
            <v>COR-19-2137-12</v>
          </cell>
          <cell r="J467" t="str">
            <v>ART</v>
          </cell>
        </row>
        <row r="468">
          <cell r="I468" t="str">
            <v>COR-19-2138-01</v>
          </cell>
          <cell r="J468" t="str">
            <v>ART</v>
          </cell>
        </row>
        <row r="469">
          <cell r="I469" t="str">
            <v>COR-19-2138-02</v>
          </cell>
          <cell r="J469" t="str">
            <v>ART</v>
          </cell>
        </row>
        <row r="470">
          <cell r="I470" t="str">
            <v>COR-19-2139-01</v>
          </cell>
          <cell r="J470" t="str">
            <v>ART</v>
          </cell>
        </row>
        <row r="471">
          <cell r="I471" t="str">
            <v>COR-19-2139-02</v>
          </cell>
          <cell r="J471" t="str">
            <v>ART</v>
          </cell>
        </row>
        <row r="472">
          <cell r="I472" t="str">
            <v>COR-19-2139-03</v>
          </cell>
          <cell r="J472" t="str">
            <v>ART</v>
          </cell>
        </row>
        <row r="473">
          <cell r="I473" t="str">
            <v>COR-19-2139-04</v>
          </cell>
          <cell r="J473" t="str">
            <v>ART</v>
          </cell>
        </row>
        <row r="474">
          <cell r="I474" t="str">
            <v>COR-19-2139-05</v>
          </cell>
          <cell r="J474" t="str">
            <v>KIY</v>
          </cell>
        </row>
        <row r="475">
          <cell r="I475" t="str">
            <v>COR-19-2139-06</v>
          </cell>
          <cell r="J475" t="str">
            <v>KIY</v>
          </cell>
        </row>
        <row r="476">
          <cell r="I476" t="str">
            <v>COR-19-2141-01</v>
          </cell>
          <cell r="J476" t="str">
            <v>KIY</v>
          </cell>
        </row>
        <row r="477">
          <cell r="I477" t="str">
            <v>COR-19-2141-02</v>
          </cell>
          <cell r="J477" t="str">
            <v>KIY</v>
          </cell>
        </row>
        <row r="478">
          <cell r="I478" t="str">
            <v>COR-19-2141-03</v>
          </cell>
          <cell r="J478" t="str">
            <v>KIY</v>
          </cell>
        </row>
        <row r="479">
          <cell r="I479" t="str">
            <v>COR-19-2141-04</v>
          </cell>
          <cell r="J479" t="str">
            <v>KIY</v>
          </cell>
        </row>
        <row r="480">
          <cell r="I480" t="str">
            <v>COR-19-2141-05</v>
          </cell>
          <cell r="J480" t="str">
            <v>ART</v>
          </cell>
        </row>
        <row r="481">
          <cell r="I481" t="str">
            <v>COR-19-2141-06</v>
          </cell>
          <cell r="J481" t="str">
            <v>KIY</v>
          </cell>
        </row>
        <row r="482">
          <cell r="I482" t="str">
            <v>COR-19-2141-07</v>
          </cell>
          <cell r="J482" t="str">
            <v>ART</v>
          </cell>
        </row>
        <row r="483">
          <cell r="I483" t="str">
            <v>COR-19-2141-08</v>
          </cell>
          <cell r="J483" t="str">
            <v>KIY</v>
          </cell>
        </row>
        <row r="484">
          <cell r="I484" t="str">
            <v>COR-19-2145-01</v>
          </cell>
          <cell r="J484" t="str">
            <v>ART</v>
          </cell>
        </row>
        <row r="485">
          <cell r="I485" t="str">
            <v>COR-19-2145-02</v>
          </cell>
          <cell r="J485" t="str">
            <v>ART</v>
          </cell>
        </row>
        <row r="486">
          <cell r="I486" t="str">
            <v>COR-19-2145-03</v>
          </cell>
          <cell r="J486" t="str">
            <v>KIY</v>
          </cell>
        </row>
        <row r="487">
          <cell r="I487" t="str">
            <v>COR-19-2145-04</v>
          </cell>
          <cell r="J487" t="str">
            <v>KIY</v>
          </cell>
        </row>
        <row r="488">
          <cell r="I488" t="str">
            <v>COR-19-2147-01</v>
          </cell>
          <cell r="J488" t="str">
            <v>ART</v>
          </cell>
        </row>
        <row r="489">
          <cell r="I489" t="str">
            <v>COR-19-2147-02</v>
          </cell>
          <cell r="J489" t="str">
            <v>ART</v>
          </cell>
        </row>
        <row r="490">
          <cell r="I490" t="str">
            <v>COR-19-2147-03</v>
          </cell>
          <cell r="J490" t="str">
            <v>ART</v>
          </cell>
        </row>
        <row r="491">
          <cell r="I491" t="str">
            <v>COR-19-2147-04</v>
          </cell>
          <cell r="J491" t="str">
            <v>ART</v>
          </cell>
        </row>
        <row r="492">
          <cell r="I492" t="str">
            <v>COR-19-2147-05</v>
          </cell>
          <cell r="J492" t="str">
            <v>ART</v>
          </cell>
        </row>
        <row r="493">
          <cell r="I493" t="str">
            <v>COR-19-2147-06</v>
          </cell>
          <cell r="J493" t="str">
            <v>ART</v>
          </cell>
        </row>
        <row r="494">
          <cell r="I494" t="str">
            <v>COR-19-2147-07</v>
          </cell>
          <cell r="J494" t="str">
            <v>ART</v>
          </cell>
        </row>
        <row r="495">
          <cell r="I495" t="str">
            <v>COR-19-2147-08</v>
          </cell>
          <cell r="J495" t="str">
            <v>ART</v>
          </cell>
        </row>
        <row r="496">
          <cell r="I496" t="str">
            <v>COR-19-2147-09</v>
          </cell>
          <cell r="J496" t="str">
            <v>ART</v>
          </cell>
        </row>
        <row r="497">
          <cell r="I497" t="str">
            <v>COR-19-2147-10</v>
          </cell>
          <cell r="J497" t="str">
            <v>ART</v>
          </cell>
        </row>
        <row r="498">
          <cell r="I498" t="str">
            <v>COR-19-2147-11</v>
          </cell>
          <cell r="J498" t="str">
            <v>ART</v>
          </cell>
        </row>
        <row r="499">
          <cell r="I499" t="str">
            <v>COR-19-2147-12</v>
          </cell>
          <cell r="J499" t="str">
            <v>ART</v>
          </cell>
        </row>
        <row r="500">
          <cell r="I500" t="str">
            <v>COR-19-2148-01</v>
          </cell>
          <cell r="J500" t="str">
            <v>ART</v>
          </cell>
        </row>
        <row r="501">
          <cell r="I501" t="str">
            <v>COR-19-2148-02</v>
          </cell>
          <cell r="J501" t="str">
            <v>ART</v>
          </cell>
        </row>
        <row r="502">
          <cell r="I502" t="str">
            <v>COR-19-2150-01</v>
          </cell>
          <cell r="J502" t="str">
            <v>ART</v>
          </cell>
        </row>
        <row r="503">
          <cell r="I503" t="str">
            <v>COR-19-2150-02</v>
          </cell>
          <cell r="J503" t="str">
            <v>KIY</v>
          </cell>
        </row>
        <row r="504">
          <cell r="I504" t="str">
            <v>COR-19-2150-03</v>
          </cell>
          <cell r="J504" t="str">
            <v>KIY</v>
          </cell>
        </row>
        <row r="505">
          <cell r="I505" t="str">
            <v>COR-19-2150-04</v>
          </cell>
          <cell r="J505" t="str">
            <v>KIY</v>
          </cell>
        </row>
        <row r="506">
          <cell r="I506" t="str">
            <v>COR-19-2150-05</v>
          </cell>
          <cell r="J506" t="str">
            <v>KIY</v>
          </cell>
        </row>
        <row r="507">
          <cell r="I507" t="str">
            <v>COR-19-2150-06</v>
          </cell>
          <cell r="J507" t="str">
            <v>ART</v>
          </cell>
        </row>
        <row r="508">
          <cell r="I508" t="str">
            <v>COR-19-2151-01</v>
          </cell>
          <cell r="J508" t="str">
            <v>ART</v>
          </cell>
        </row>
        <row r="509">
          <cell r="I509" t="str">
            <v>COR-19-2151-02</v>
          </cell>
          <cell r="J509" t="str">
            <v>ART</v>
          </cell>
        </row>
        <row r="510">
          <cell r="I510" t="str">
            <v>COR-19-2151-03</v>
          </cell>
          <cell r="J510" t="str">
            <v>KIY</v>
          </cell>
        </row>
        <row r="511">
          <cell r="I511" t="str">
            <v>COR-19-2151-04</v>
          </cell>
          <cell r="J511" t="str">
            <v>KIY</v>
          </cell>
        </row>
        <row r="512">
          <cell r="I512" t="str">
            <v>COR-19-2151-05</v>
          </cell>
          <cell r="J512" t="str">
            <v>ART</v>
          </cell>
        </row>
        <row r="513">
          <cell r="I513" t="str">
            <v>COR-19-2151-06</v>
          </cell>
          <cell r="J513" t="str">
            <v>ART</v>
          </cell>
        </row>
        <row r="514">
          <cell r="I514" t="str">
            <v>COR-19-2151-07</v>
          </cell>
          <cell r="J514" t="str">
            <v>ART</v>
          </cell>
        </row>
        <row r="515">
          <cell r="I515" t="str">
            <v>COR-19-2152-01</v>
          </cell>
          <cell r="J515" t="str">
            <v>ART</v>
          </cell>
        </row>
        <row r="516">
          <cell r="I516" t="str">
            <v>COR-19-2152-02</v>
          </cell>
          <cell r="J516" t="str">
            <v>ART</v>
          </cell>
        </row>
        <row r="517">
          <cell r="I517" t="str">
            <v>COR-19-2152-03</v>
          </cell>
          <cell r="J517" t="str">
            <v>KIY</v>
          </cell>
        </row>
        <row r="518">
          <cell r="I518" t="str">
            <v>COR-19-2152-04</v>
          </cell>
          <cell r="J518" t="str">
            <v>HYB</v>
          </cell>
        </row>
        <row r="519">
          <cell r="I519" t="str">
            <v>COR-19-2153-01</v>
          </cell>
          <cell r="J519" t="str">
            <v>ART</v>
          </cell>
        </row>
        <row r="520">
          <cell r="I520" t="str">
            <v>COR-19-2153-02</v>
          </cell>
          <cell r="J520" t="str">
            <v>ART</v>
          </cell>
        </row>
        <row r="521">
          <cell r="I521" t="str">
            <v>COR-19-2153-03</v>
          </cell>
          <cell r="J521" t="str">
            <v>ART</v>
          </cell>
        </row>
        <row r="522">
          <cell r="I522" t="str">
            <v>COR-19-2153-04</v>
          </cell>
          <cell r="J522" t="str">
            <v>ART</v>
          </cell>
        </row>
        <row r="523">
          <cell r="I523" t="str">
            <v>COR-19-2153-05</v>
          </cell>
          <cell r="J523" t="str">
            <v>ART</v>
          </cell>
        </row>
        <row r="524">
          <cell r="I524" t="str">
            <v>COR-19-2153-06</v>
          </cell>
          <cell r="J524" t="str">
            <v>ART</v>
          </cell>
        </row>
        <row r="525">
          <cell r="I525" t="str">
            <v>COR-19-2153-07</v>
          </cell>
          <cell r="J525" t="str">
            <v>ART</v>
          </cell>
        </row>
        <row r="526">
          <cell r="I526" t="str">
            <v>COR-19-2153-08</v>
          </cell>
          <cell r="J526" t="str">
            <v>HYB</v>
          </cell>
        </row>
        <row r="527">
          <cell r="I527" t="str">
            <v>COR-19-2153-09</v>
          </cell>
          <cell r="J527" t="str">
            <v>ART</v>
          </cell>
        </row>
        <row r="528">
          <cell r="I528" t="str">
            <v>COR-19-2153-10</v>
          </cell>
          <cell r="J528" t="str">
            <v>KIY</v>
          </cell>
        </row>
        <row r="529">
          <cell r="I529" t="str">
            <v>COR-19-2153-11</v>
          </cell>
          <cell r="J529" t="str">
            <v>ART</v>
          </cell>
        </row>
        <row r="530">
          <cell r="I530" t="str">
            <v>COR-19-2153-12</v>
          </cell>
          <cell r="J530" t="str">
            <v>HYB</v>
          </cell>
        </row>
        <row r="531">
          <cell r="I531" t="str">
            <v>COR-19-2154-01</v>
          </cell>
          <cell r="J531" t="str">
            <v>ART</v>
          </cell>
        </row>
        <row r="532">
          <cell r="I532" t="str">
            <v>COR-19-2154-02</v>
          </cell>
          <cell r="J532" t="str">
            <v>HYB</v>
          </cell>
        </row>
        <row r="533">
          <cell r="I533" t="str">
            <v>COR-19-2155-01</v>
          </cell>
          <cell r="J533" t="str">
            <v>ART</v>
          </cell>
        </row>
        <row r="534">
          <cell r="I534" t="str">
            <v>COR-19-2155-02</v>
          </cell>
          <cell r="J534" t="str">
            <v>HYB</v>
          </cell>
        </row>
        <row r="535">
          <cell r="I535" t="str">
            <v>COR-19-2155-03</v>
          </cell>
          <cell r="J535" t="str">
            <v>ART</v>
          </cell>
        </row>
        <row r="536">
          <cell r="I536" t="str">
            <v>COR-19-2155-04</v>
          </cell>
          <cell r="J536" t="str">
            <v>KIY</v>
          </cell>
        </row>
        <row r="537">
          <cell r="I537" t="str">
            <v>COR-19-2155-05</v>
          </cell>
          <cell r="J537" t="str">
            <v>ART</v>
          </cell>
        </row>
        <row r="538">
          <cell r="I538" t="str">
            <v>COR-19-2155-06</v>
          </cell>
          <cell r="J538" t="str">
            <v>HYB</v>
          </cell>
        </row>
        <row r="539">
          <cell r="I539" t="str">
            <v>COR-19-2161-01</v>
          </cell>
          <cell r="J539" t="str">
            <v>KIY</v>
          </cell>
        </row>
        <row r="540">
          <cell r="I540" t="str">
            <v>COR-19-2161-02</v>
          </cell>
          <cell r="J540" t="str">
            <v>KIY</v>
          </cell>
        </row>
        <row r="541">
          <cell r="I541" t="str">
            <v>COR-19-2161-03</v>
          </cell>
          <cell r="J541" t="str">
            <v>ART</v>
          </cell>
        </row>
        <row r="542">
          <cell r="I542" t="str">
            <v>COR-19-2161-04</v>
          </cell>
          <cell r="J542" t="str">
            <v>KIY</v>
          </cell>
        </row>
        <row r="543">
          <cell r="I543" t="str">
            <v>COR-19-2161-05</v>
          </cell>
          <cell r="J543" t="str">
            <v>HOY</v>
          </cell>
        </row>
        <row r="544">
          <cell r="I544" t="str">
            <v>COR-19-2161-06</v>
          </cell>
          <cell r="J544" t="str">
            <v>HYB</v>
          </cell>
        </row>
        <row r="545">
          <cell r="I545" t="str">
            <v>COR-19-2161-07</v>
          </cell>
          <cell r="J545" t="str">
            <v>HOY</v>
          </cell>
        </row>
        <row r="546">
          <cell r="I546" t="str">
            <v>COR-19-2165-01</v>
          </cell>
          <cell r="J546" t="str">
            <v>ART</v>
          </cell>
        </row>
        <row r="547">
          <cell r="I547" t="str">
            <v>COR-19-2165-02</v>
          </cell>
          <cell r="J547" t="str">
            <v>ART</v>
          </cell>
        </row>
        <row r="548">
          <cell r="I548" t="str">
            <v>COR-19-2165-03</v>
          </cell>
          <cell r="J548" t="str">
            <v>ART</v>
          </cell>
        </row>
        <row r="549">
          <cell r="I549" t="str">
            <v>COR-19-2165-04</v>
          </cell>
          <cell r="J549" t="str">
            <v>ART</v>
          </cell>
        </row>
        <row r="550">
          <cell r="I550" t="str">
            <v>COR-19-24-01</v>
          </cell>
          <cell r="J550" t="str">
            <v>ART</v>
          </cell>
        </row>
        <row r="551">
          <cell r="I551" t="str">
            <v>COR-19-24-02</v>
          </cell>
          <cell r="J551" t="str">
            <v>ART</v>
          </cell>
        </row>
        <row r="552">
          <cell r="I552" t="str">
            <v>COR-19-24-03</v>
          </cell>
          <cell r="J552" t="str">
            <v>ART</v>
          </cell>
        </row>
        <row r="553">
          <cell r="I553" t="str">
            <v>COR-19-24-04</v>
          </cell>
          <cell r="J553" t="str">
            <v>ART</v>
          </cell>
        </row>
        <row r="554">
          <cell r="I554" t="str">
            <v>COR-19-24-05</v>
          </cell>
          <cell r="J554" t="str">
            <v>ART</v>
          </cell>
        </row>
        <row r="555">
          <cell r="I555" t="str">
            <v>COR-19-24-06</v>
          </cell>
          <cell r="J555" t="str">
            <v>ART</v>
          </cell>
        </row>
        <row r="556">
          <cell r="I556" t="str">
            <v>COR-19-24-07</v>
          </cell>
          <cell r="J556" t="str">
            <v>KIY</v>
          </cell>
        </row>
        <row r="557">
          <cell r="I557" t="str">
            <v>COR-19-24-08</v>
          </cell>
          <cell r="J557" t="str">
            <v>ART</v>
          </cell>
        </row>
        <row r="558">
          <cell r="I558" t="str">
            <v>COR-19-24-09</v>
          </cell>
          <cell r="J558" t="str">
            <v>ART</v>
          </cell>
        </row>
        <row r="559">
          <cell r="I559" t="str">
            <v>COR-19-24-10</v>
          </cell>
          <cell r="J559" t="str">
            <v>ART</v>
          </cell>
        </row>
        <row r="560">
          <cell r="I560" t="str">
            <v>COR-19-24-11</v>
          </cell>
          <cell r="J560" t="str">
            <v>ART</v>
          </cell>
        </row>
        <row r="561">
          <cell r="I561" t="str">
            <v>COR-19-24-12</v>
          </cell>
          <cell r="J561" t="str">
            <v>ART</v>
          </cell>
        </row>
        <row r="562">
          <cell r="I562" t="str">
            <v>COR-19-36-01</v>
          </cell>
          <cell r="J562" t="str">
            <v>ART</v>
          </cell>
        </row>
        <row r="563">
          <cell r="I563" t="str">
            <v>COR-19-36-02</v>
          </cell>
          <cell r="J563" t="str">
            <v>ART</v>
          </cell>
        </row>
        <row r="564">
          <cell r="I564" t="str">
            <v>COR-19-36-03</v>
          </cell>
          <cell r="J564" t="str">
            <v>ART</v>
          </cell>
        </row>
        <row r="565">
          <cell r="I565" t="str">
            <v>COR-19-36-04</v>
          </cell>
          <cell r="J565" t="str">
            <v>ART</v>
          </cell>
        </row>
        <row r="566">
          <cell r="I566" t="str">
            <v>COR-19-36-05</v>
          </cell>
          <cell r="J566" t="str">
            <v>ART</v>
          </cell>
        </row>
        <row r="567">
          <cell r="I567" t="str">
            <v>COR-19-36-06</v>
          </cell>
          <cell r="J567" t="str">
            <v>ART</v>
          </cell>
        </row>
        <row r="568">
          <cell r="I568" t="str">
            <v>COR-19-36-07</v>
          </cell>
          <cell r="J568" t="str">
            <v>ART</v>
          </cell>
        </row>
        <row r="569">
          <cell r="I569" t="str">
            <v>COR-19-36-08</v>
          </cell>
          <cell r="J569" t="str">
            <v>ART</v>
          </cell>
        </row>
        <row r="570">
          <cell r="I570" t="str">
            <v>COR-19-36-09</v>
          </cell>
          <cell r="J570" t="str">
            <v>ART</v>
          </cell>
        </row>
        <row r="571">
          <cell r="I571" t="str">
            <v>COR-19-36-10</v>
          </cell>
          <cell r="J571" t="str">
            <v>ART</v>
          </cell>
        </row>
        <row r="572">
          <cell r="I572" t="str">
            <v>COR-19-36-11</v>
          </cell>
          <cell r="J572" t="str">
            <v>ART</v>
          </cell>
        </row>
        <row r="573">
          <cell r="I573" t="str">
            <v>COR-19-36-12</v>
          </cell>
          <cell r="J573" t="str">
            <v>ART</v>
          </cell>
        </row>
        <row r="574">
          <cell r="I574" t="str">
            <v>COR-19-400-01</v>
          </cell>
          <cell r="J574" t="str">
            <v>ART</v>
          </cell>
        </row>
        <row r="575">
          <cell r="I575" t="str">
            <v>COR-19-400-02</v>
          </cell>
          <cell r="J575" t="str">
            <v>ART</v>
          </cell>
        </row>
        <row r="576">
          <cell r="I576" t="str">
            <v>COR-19-400-03</v>
          </cell>
          <cell r="J576" t="str">
            <v>ART</v>
          </cell>
        </row>
        <row r="577">
          <cell r="I577" t="str">
            <v>COR-19-400-04</v>
          </cell>
          <cell r="J577" t="str">
            <v>ART</v>
          </cell>
        </row>
        <row r="578">
          <cell r="I578" t="str">
            <v>COR-19-400-05</v>
          </cell>
          <cell r="J578" t="str">
            <v>ART</v>
          </cell>
        </row>
        <row r="579">
          <cell r="I579" t="str">
            <v>COR-19-400-06</v>
          </cell>
          <cell r="J579" t="str">
            <v>KIY</v>
          </cell>
        </row>
        <row r="580">
          <cell r="I580" t="str">
            <v>COR-19-400-07</v>
          </cell>
          <cell r="J580" t="str">
            <v>KIY</v>
          </cell>
        </row>
        <row r="581">
          <cell r="I581" t="str">
            <v>COR-19-400-08</v>
          </cell>
          <cell r="J581" t="str">
            <v>ART</v>
          </cell>
        </row>
        <row r="582">
          <cell r="I582" t="str">
            <v>COR-19-400-09</v>
          </cell>
          <cell r="J582" t="str">
            <v>KIY</v>
          </cell>
        </row>
        <row r="583">
          <cell r="I583" t="str">
            <v>COR-19-400-10</v>
          </cell>
          <cell r="J583" t="str">
            <v>ART</v>
          </cell>
        </row>
        <row r="584">
          <cell r="I584" t="str">
            <v>COR-19-400-11</v>
          </cell>
          <cell r="J584" t="str">
            <v>ART</v>
          </cell>
        </row>
        <row r="585">
          <cell r="I585" t="str">
            <v>COR-19-400-12</v>
          </cell>
          <cell r="J585" t="str">
            <v>ART</v>
          </cell>
        </row>
        <row r="586">
          <cell r="I586" t="str">
            <v>COR-19-401-01</v>
          </cell>
          <cell r="J586" t="str">
            <v>KIY</v>
          </cell>
        </row>
        <row r="587">
          <cell r="I587" t="str">
            <v>COR-19-401-02</v>
          </cell>
          <cell r="J587" t="str">
            <v>ART</v>
          </cell>
        </row>
        <row r="588">
          <cell r="I588" t="str">
            <v>COR-19-401-03</v>
          </cell>
          <cell r="J588" t="str">
            <v>ART</v>
          </cell>
        </row>
        <row r="589">
          <cell r="I589" t="str">
            <v>COR-19-401-04</v>
          </cell>
          <cell r="J589" t="str">
            <v>ART</v>
          </cell>
        </row>
        <row r="590">
          <cell r="I590" t="str">
            <v>COR-19-401-05</v>
          </cell>
          <cell r="J590" t="str">
            <v>ART</v>
          </cell>
        </row>
        <row r="591">
          <cell r="I591" t="str">
            <v>COR-19-401-06</v>
          </cell>
          <cell r="J591" t="str">
            <v>ART</v>
          </cell>
        </row>
        <row r="592">
          <cell r="I592" t="str">
            <v>COR-19-401-07</v>
          </cell>
          <cell r="J592" t="str">
            <v>ART</v>
          </cell>
        </row>
        <row r="593">
          <cell r="I593" t="str">
            <v>COR-19-401-08</v>
          </cell>
          <cell r="J593" t="str">
            <v>ART</v>
          </cell>
        </row>
        <row r="594">
          <cell r="I594" t="str">
            <v>COR-19-401-09</v>
          </cell>
          <cell r="J594" t="str">
            <v>ART</v>
          </cell>
        </row>
        <row r="595">
          <cell r="I595" t="str">
            <v>COR-19-401-10</v>
          </cell>
          <cell r="J595" t="str">
            <v>ART</v>
          </cell>
        </row>
        <row r="596">
          <cell r="I596" t="str">
            <v>COR-19-401-11</v>
          </cell>
          <cell r="J596" t="str">
            <v>ART</v>
          </cell>
        </row>
        <row r="597">
          <cell r="I597" t="str">
            <v>COR-19-401-12</v>
          </cell>
          <cell r="J597" t="str">
            <v>ART</v>
          </cell>
        </row>
        <row r="598">
          <cell r="I598" t="str">
            <v>COR-19-402-01</v>
          </cell>
          <cell r="J598" t="str">
            <v>ART</v>
          </cell>
        </row>
        <row r="599">
          <cell r="I599" t="str">
            <v>COR-19-402-02</v>
          </cell>
          <cell r="J599" t="str">
            <v>ART</v>
          </cell>
        </row>
        <row r="600">
          <cell r="I600" t="str">
            <v>COR-19-402-03</v>
          </cell>
          <cell r="J600" t="str">
            <v>ART</v>
          </cell>
        </row>
        <row r="601">
          <cell r="I601" t="str">
            <v>COR-19-402-04</v>
          </cell>
          <cell r="J601" t="str">
            <v>ART</v>
          </cell>
        </row>
        <row r="602">
          <cell r="I602" t="str">
            <v>COR-19-402-05</v>
          </cell>
          <cell r="J602" t="str">
            <v>ART</v>
          </cell>
        </row>
        <row r="603">
          <cell r="I603" t="str">
            <v>COR-19-402-06</v>
          </cell>
          <cell r="J603" t="str">
            <v>ART</v>
          </cell>
        </row>
        <row r="604">
          <cell r="I604" t="str">
            <v>COR-19-402-07</v>
          </cell>
          <cell r="J604" t="str">
            <v>ART</v>
          </cell>
        </row>
        <row r="605">
          <cell r="I605" t="str">
            <v>COR-19-402-08</v>
          </cell>
          <cell r="J605" t="str">
            <v>ART</v>
          </cell>
        </row>
        <row r="606">
          <cell r="I606" t="str">
            <v>COR-19-402-09</v>
          </cell>
          <cell r="J606" t="str">
            <v>ART</v>
          </cell>
        </row>
        <row r="607">
          <cell r="I607" t="str">
            <v>COR-19-402-10</v>
          </cell>
          <cell r="J607" t="str">
            <v>ART</v>
          </cell>
        </row>
        <row r="608">
          <cell r="I608" t="str">
            <v>COR-19-402-11</v>
          </cell>
          <cell r="J608" t="str">
            <v>ART</v>
          </cell>
        </row>
        <row r="609">
          <cell r="I609" t="str">
            <v>COR-19-402-12</v>
          </cell>
          <cell r="J609" t="str">
            <v>ART</v>
          </cell>
        </row>
        <row r="610">
          <cell r="I610" t="str">
            <v>COR-19-403-01</v>
          </cell>
          <cell r="J610" t="str">
            <v>ART</v>
          </cell>
        </row>
        <row r="611">
          <cell r="I611" t="str">
            <v>COR-19-403-02</v>
          </cell>
          <cell r="J611" t="str">
            <v>KIY</v>
          </cell>
        </row>
        <row r="612">
          <cell r="I612" t="str">
            <v>COR-19-403-03</v>
          </cell>
          <cell r="J612" t="str">
            <v>ART</v>
          </cell>
        </row>
        <row r="613">
          <cell r="I613" t="str">
            <v>COR-19-403-04</v>
          </cell>
          <cell r="J613" t="str">
            <v>ART</v>
          </cell>
        </row>
        <row r="614">
          <cell r="I614" t="str">
            <v>COR-19-403-05</v>
          </cell>
          <cell r="J614" t="str">
            <v>ART</v>
          </cell>
        </row>
        <row r="615">
          <cell r="I615" t="str">
            <v>COR-19-403-06</v>
          </cell>
          <cell r="J615" t="str">
            <v>ART</v>
          </cell>
        </row>
        <row r="616">
          <cell r="I616" t="str">
            <v>COR-19-403-07</v>
          </cell>
          <cell r="J616" t="str">
            <v>HYB</v>
          </cell>
        </row>
        <row r="617">
          <cell r="I617" t="str">
            <v>COR-19-403-08</v>
          </cell>
          <cell r="J617" t="str">
            <v>ART</v>
          </cell>
        </row>
        <row r="618">
          <cell r="I618" t="str">
            <v>COR-19-403-09</v>
          </cell>
          <cell r="J618" t="str">
            <v>ART</v>
          </cell>
        </row>
        <row r="619">
          <cell r="I619" t="str">
            <v>COR-19-403-10</v>
          </cell>
          <cell r="J619" t="str">
            <v>ART</v>
          </cell>
        </row>
        <row r="620">
          <cell r="I620" t="str">
            <v>COR-19-403-11</v>
          </cell>
          <cell r="J620" t="str">
            <v>ART</v>
          </cell>
        </row>
        <row r="621">
          <cell r="I621" t="str">
            <v>COR-19-403-12</v>
          </cell>
          <cell r="J621" t="str">
            <v>ART</v>
          </cell>
        </row>
        <row r="622">
          <cell r="I622" t="str">
            <v>COR-19-404-01</v>
          </cell>
          <cell r="J622" t="str">
            <v>ART</v>
          </cell>
        </row>
        <row r="623">
          <cell r="I623" t="str">
            <v>COR-19-404-02</v>
          </cell>
          <cell r="J623" t="str">
            <v>ART</v>
          </cell>
        </row>
        <row r="624">
          <cell r="I624" t="str">
            <v>COR-19-404-03</v>
          </cell>
          <cell r="J624" t="str">
            <v>ART</v>
          </cell>
        </row>
        <row r="625">
          <cell r="I625" t="str">
            <v>COR-19-404-04</v>
          </cell>
          <cell r="J625" t="str">
            <v>ART</v>
          </cell>
        </row>
        <row r="626">
          <cell r="I626" t="str">
            <v>COR-19-404-05</v>
          </cell>
          <cell r="J626" t="str">
            <v>ART</v>
          </cell>
        </row>
        <row r="627">
          <cell r="I627" t="str">
            <v>COR-19-404-06</v>
          </cell>
          <cell r="J627" t="str">
            <v>KIY</v>
          </cell>
        </row>
        <row r="628">
          <cell r="I628" t="str">
            <v>COR-19-404-07</v>
          </cell>
          <cell r="J628" t="str">
            <v>ART</v>
          </cell>
        </row>
        <row r="629">
          <cell r="I629" t="str">
            <v>COR-19-404-08</v>
          </cell>
          <cell r="J629" t="str">
            <v>ART</v>
          </cell>
        </row>
        <row r="630">
          <cell r="I630" t="str">
            <v>COR-19-404-09</v>
          </cell>
          <cell r="J630" t="str">
            <v>ART</v>
          </cell>
        </row>
        <row r="631">
          <cell r="I631" t="str">
            <v>COR-19-404-10</v>
          </cell>
          <cell r="J631" t="str">
            <v>ART</v>
          </cell>
        </row>
        <row r="632">
          <cell r="I632" t="str">
            <v>COR-19-404-11</v>
          </cell>
          <cell r="J632" t="str">
            <v>ART</v>
          </cell>
        </row>
        <row r="633">
          <cell r="I633" t="str">
            <v>COR-19-404-12</v>
          </cell>
          <cell r="J633" t="str">
            <v>ART</v>
          </cell>
        </row>
        <row r="634">
          <cell r="I634" t="str">
            <v>COR-19-405-01</v>
          </cell>
          <cell r="J634" t="str">
            <v>KIY</v>
          </cell>
        </row>
        <row r="635">
          <cell r="I635" t="str">
            <v>COR-19-405-02</v>
          </cell>
          <cell r="J635" t="str">
            <v>HYB</v>
          </cell>
        </row>
        <row r="636">
          <cell r="I636" t="str">
            <v>COR-19-405-03</v>
          </cell>
          <cell r="J636" t="str">
            <v>ART</v>
          </cell>
        </row>
        <row r="637">
          <cell r="I637" t="str">
            <v>COR-19-405-04</v>
          </cell>
          <cell r="J637" t="str">
            <v>ART</v>
          </cell>
        </row>
        <row r="638">
          <cell r="I638" t="str">
            <v>COR-19-406-01</v>
          </cell>
          <cell r="J638" t="str">
            <v>HYB</v>
          </cell>
        </row>
        <row r="639">
          <cell r="I639" t="str">
            <v>COR-19-414-01</v>
          </cell>
          <cell r="J639" t="str">
            <v>ART</v>
          </cell>
        </row>
        <row r="640">
          <cell r="I640" t="str">
            <v>COR-19-414-02</v>
          </cell>
          <cell r="J640" t="str">
            <v>HYB</v>
          </cell>
        </row>
        <row r="641">
          <cell r="I641" t="str">
            <v>COR-19-414-03</v>
          </cell>
          <cell r="J641" t="str">
            <v>HYB</v>
          </cell>
        </row>
        <row r="642">
          <cell r="I642" t="str">
            <v>COR-19-414-04</v>
          </cell>
          <cell r="J642" t="str">
            <v>KIY</v>
          </cell>
        </row>
        <row r="643">
          <cell r="I643" t="str">
            <v>COR-19-414-05</v>
          </cell>
          <cell r="J643" t="str">
            <v>ART</v>
          </cell>
        </row>
        <row r="644">
          <cell r="I644" t="str">
            <v>COR-19-414-06</v>
          </cell>
          <cell r="J644" t="str">
            <v>HYB</v>
          </cell>
        </row>
        <row r="645">
          <cell r="I645" t="str">
            <v>COR-19-414-07</v>
          </cell>
          <cell r="J645" t="str">
            <v>HYB</v>
          </cell>
        </row>
        <row r="646">
          <cell r="I646" t="str">
            <v>COR-19-414-08</v>
          </cell>
          <cell r="J646" t="str">
            <v>HYB</v>
          </cell>
        </row>
        <row r="647">
          <cell r="I647" t="str">
            <v>COR-19-414-09</v>
          </cell>
          <cell r="J647" t="str">
            <v>ART</v>
          </cell>
        </row>
        <row r="648">
          <cell r="I648" t="str">
            <v>COR-19-414-10</v>
          </cell>
          <cell r="J648" t="str">
            <v>ART</v>
          </cell>
        </row>
        <row r="649">
          <cell r="I649" t="str">
            <v>COR-19-414-11</v>
          </cell>
          <cell r="J649" t="str">
            <v>HYB</v>
          </cell>
        </row>
        <row r="650">
          <cell r="I650" t="str">
            <v>COR-19-414-12</v>
          </cell>
          <cell r="J650" t="str">
            <v>HYB</v>
          </cell>
        </row>
        <row r="651">
          <cell r="I651" t="str">
            <v>COR-19-415-01</v>
          </cell>
          <cell r="J651" t="str">
            <v>ART</v>
          </cell>
        </row>
        <row r="652">
          <cell r="I652" t="str">
            <v>COR-19-415-02</v>
          </cell>
          <cell r="J652" t="str">
            <v>ART</v>
          </cell>
        </row>
        <row r="653">
          <cell r="I653" t="str">
            <v>COR-19-415-03</v>
          </cell>
          <cell r="J653" t="str">
            <v>ART</v>
          </cell>
        </row>
        <row r="654">
          <cell r="I654" t="str">
            <v>COR-19-415-04</v>
          </cell>
          <cell r="J654" t="str">
            <v>KIY</v>
          </cell>
        </row>
        <row r="655">
          <cell r="I655" t="str">
            <v>COR-19-415-05</v>
          </cell>
          <cell r="J655" t="str">
            <v>ART</v>
          </cell>
        </row>
        <row r="656">
          <cell r="I656" t="str">
            <v>COR-19-415-06</v>
          </cell>
          <cell r="J656" t="str">
            <v>HYB</v>
          </cell>
        </row>
        <row r="657">
          <cell r="I657" t="str">
            <v>COR-19-415-07</v>
          </cell>
          <cell r="J657" t="str">
            <v>HYB</v>
          </cell>
        </row>
        <row r="658">
          <cell r="I658" t="str">
            <v>COR-19-415-08</v>
          </cell>
          <cell r="J658" t="str">
            <v>HYB</v>
          </cell>
        </row>
        <row r="659">
          <cell r="I659" t="str">
            <v>COR-19-415-09</v>
          </cell>
          <cell r="J659" t="str">
            <v>HYB</v>
          </cell>
        </row>
        <row r="660">
          <cell r="I660" t="str">
            <v>COR-19-415-10</v>
          </cell>
          <cell r="J660" t="str">
            <v>ART</v>
          </cell>
        </row>
        <row r="661">
          <cell r="I661" t="str">
            <v>COR-19-415-11</v>
          </cell>
          <cell r="J661" t="str">
            <v>HYB</v>
          </cell>
        </row>
        <row r="662">
          <cell r="I662" t="str">
            <v>COR-19-415-12</v>
          </cell>
          <cell r="J662" t="str">
            <v>HOY</v>
          </cell>
        </row>
        <row r="663">
          <cell r="I663" t="str">
            <v>COR-19-417-01</v>
          </cell>
          <cell r="J663" t="str">
            <v>ART</v>
          </cell>
        </row>
        <row r="664">
          <cell r="I664" t="str">
            <v>COR-19-417-02</v>
          </cell>
          <cell r="J664" t="str">
            <v>ART</v>
          </cell>
        </row>
        <row r="665">
          <cell r="I665" t="str">
            <v>COR-19-417-03</v>
          </cell>
          <cell r="J665" t="str">
            <v>ART</v>
          </cell>
        </row>
        <row r="666">
          <cell r="I666" t="str">
            <v>COR-19-417-04</v>
          </cell>
          <cell r="J666" t="str">
            <v>ART</v>
          </cell>
        </row>
        <row r="667">
          <cell r="I667" t="str">
            <v>COR-19-417-05</v>
          </cell>
          <cell r="J667" t="str">
            <v>KIY</v>
          </cell>
        </row>
        <row r="668">
          <cell r="I668" t="str">
            <v>COR-19-417-06</v>
          </cell>
          <cell r="J668" t="str">
            <v>ART</v>
          </cell>
        </row>
        <row r="669">
          <cell r="I669" t="str">
            <v>COR-19-417-07</v>
          </cell>
          <cell r="J669" t="str">
            <v>ART</v>
          </cell>
        </row>
        <row r="670">
          <cell r="I670" t="str">
            <v>COR-19-417-08</v>
          </cell>
          <cell r="J670" t="str">
            <v>ART</v>
          </cell>
        </row>
        <row r="671">
          <cell r="I671" t="str">
            <v>COR-19-417-09</v>
          </cell>
          <cell r="J671" t="str">
            <v>ART</v>
          </cell>
        </row>
        <row r="672">
          <cell r="I672" t="str">
            <v>COR-19-417-10</v>
          </cell>
          <cell r="J672" t="str">
            <v>ART</v>
          </cell>
        </row>
        <row r="673">
          <cell r="I673" t="str">
            <v>COR-19-417-11</v>
          </cell>
          <cell r="J673" t="str">
            <v>ART</v>
          </cell>
        </row>
        <row r="674">
          <cell r="I674" t="str">
            <v>COR-19-418-01</v>
          </cell>
          <cell r="J674" t="str">
            <v>ART</v>
          </cell>
        </row>
        <row r="675">
          <cell r="I675" t="str">
            <v>COR-19-418-02</v>
          </cell>
          <cell r="J675" t="str">
            <v>CLUP</v>
          </cell>
        </row>
        <row r="676">
          <cell r="I676" t="str">
            <v>COR-19-418-03</v>
          </cell>
          <cell r="J676" t="str">
            <v>ART</v>
          </cell>
        </row>
        <row r="677">
          <cell r="I677" t="str">
            <v>COR-19-418-04</v>
          </cell>
          <cell r="J677" t="str">
            <v>CLUP</v>
          </cell>
        </row>
        <row r="678">
          <cell r="I678" t="str">
            <v>COR-19-418-05</v>
          </cell>
          <cell r="J678" t="str">
            <v>ART</v>
          </cell>
        </row>
        <row r="679">
          <cell r="I679" t="str">
            <v>COR-19-418-06</v>
          </cell>
          <cell r="J679" t="str">
            <v>CLUP</v>
          </cell>
        </row>
        <row r="680">
          <cell r="I680" t="str">
            <v>COR-19-418-07</v>
          </cell>
          <cell r="J680" t="str">
            <v>CLUP</v>
          </cell>
        </row>
        <row r="681">
          <cell r="I681" t="str">
            <v>COR-19-418-08</v>
          </cell>
          <cell r="J681" t="str">
            <v>ART</v>
          </cell>
        </row>
        <row r="682">
          <cell r="I682" t="str">
            <v>COR-19-418-09</v>
          </cell>
          <cell r="J682" t="str">
            <v>CLUP</v>
          </cell>
        </row>
        <row r="683">
          <cell r="I683" t="str">
            <v>COR-19-418-10</v>
          </cell>
          <cell r="J683" t="str">
            <v>ART</v>
          </cell>
        </row>
        <row r="684">
          <cell r="I684" t="str">
            <v>COR-19-418-11</v>
          </cell>
          <cell r="J684" t="str">
            <v>CLUP</v>
          </cell>
        </row>
        <row r="685">
          <cell r="I685" t="str">
            <v>COR-19-418-12</v>
          </cell>
          <cell r="J685" t="str">
            <v>CLUP</v>
          </cell>
        </row>
        <row r="686">
          <cell r="I686" t="str">
            <v>COR-19-419-01</v>
          </cell>
          <cell r="J686" t="str">
            <v>ART</v>
          </cell>
        </row>
        <row r="687">
          <cell r="I687" t="str">
            <v>COR-19-419-02</v>
          </cell>
          <cell r="J687" t="str">
            <v>ART</v>
          </cell>
        </row>
        <row r="688">
          <cell r="I688" t="str">
            <v>COR-19-419-03</v>
          </cell>
          <cell r="J688" t="str">
            <v>ART</v>
          </cell>
        </row>
        <row r="689">
          <cell r="I689" t="str">
            <v>COR-19-419-04</v>
          </cell>
          <cell r="J689" t="str">
            <v>HYB</v>
          </cell>
        </row>
        <row r="690">
          <cell r="I690" t="str">
            <v>COR-19-419-05</v>
          </cell>
          <cell r="J690" t="str">
            <v>ART</v>
          </cell>
        </row>
        <row r="691">
          <cell r="I691" t="str">
            <v>COR-19-419-06</v>
          </cell>
          <cell r="J691" t="str">
            <v>ART</v>
          </cell>
        </row>
        <row r="692">
          <cell r="I692" t="str">
            <v>COR-19-419-07</v>
          </cell>
          <cell r="J692" t="str">
            <v>KIY</v>
          </cell>
        </row>
        <row r="693">
          <cell r="I693" t="str">
            <v>COR-19-419-08</v>
          </cell>
          <cell r="J693" t="str">
            <v>ART</v>
          </cell>
        </row>
        <row r="694">
          <cell r="I694" t="str">
            <v>COR-19-419-09</v>
          </cell>
          <cell r="J694" t="str">
            <v>ART</v>
          </cell>
        </row>
        <row r="695">
          <cell r="I695" t="str">
            <v>COR-19-419-10</v>
          </cell>
          <cell r="J695" t="str">
            <v>ART</v>
          </cell>
        </row>
        <row r="696">
          <cell r="I696" t="str">
            <v>COR-19-419-11</v>
          </cell>
          <cell r="J696" t="str">
            <v>ART</v>
          </cell>
        </row>
        <row r="697">
          <cell r="I697" t="str">
            <v>COR-19-419-12</v>
          </cell>
          <cell r="J697" t="str">
            <v>ART</v>
          </cell>
        </row>
        <row r="698">
          <cell r="I698" t="str">
            <v>COR-19-420-01</v>
          </cell>
          <cell r="J698" t="str">
            <v>ART</v>
          </cell>
        </row>
        <row r="699">
          <cell r="I699" t="str">
            <v>COR-19-420-02</v>
          </cell>
          <cell r="J699" t="str">
            <v>HYB</v>
          </cell>
        </row>
        <row r="700">
          <cell r="I700" t="str">
            <v>COR-19-420-03</v>
          </cell>
          <cell r="J700" t="str">
            <v>HYB</v>
          </cell>
        </row>
        <row r="701">
          <cell r="I701" t="str">
            <v>COR-19-420-04</v>
          </cell>
          <cell r="J701" t="str">
            <v>KIY</v>
          </cell>
        </row>
        <row r="702">
          <cell r="I702" t="str">
            <v>COR-19-420-05</v>
          </cell>
          <cell r="J702" t="str">
            <v>ART</v>
          </cell>
        </row>
        <row r="703">
          <cell r="I703" t="str">
            <v>COR-19-420-06</v>
          </cell>
          <cell r="J703" t="str">
            <v>ART</v>
          </cell>
        </row>
        <row r="704">
          <cell r="I704" t="str">
            <v>COR-19-420-07</v>
          </cell>
          <cell r="J704" t="str">
            <v>HYB</v>
          </cell>
        </row>
        <row r="705">
          <cell r="I705" t="str">
            <v>COR-19-420-08</v>
          </cell>
          <cell r="J705" t="str">
            <v>ART</v>
          </cell>
        </row>
        <row r="706">
          <cell r="I706" t="str">
            <v>COR-19-420-09</v>
          </cell>
          <cell r="J706" t="str">
            <v>ART</v>
          </cell>
        </row>
        <row r="707">
          <cell r="I707" t="str">
            <v>COR-19-420-10</v>
          </cell>
          <cell r="J707" t="str">
            <v>ART</v>
          </cell>
        </row>
        <row r="708">
          <cell r="I708" t="str">
            <v>COR-19-420-11</v>
          </cell>
          <cell r="J708" t="str">
            <v>ART</v>
          </cell>
        </row>
        <row r="709">
          <cell r="I709" t="str">
            <v>COR-19-420-12</v>
          </cell>
          <cell r="J709" t="str">
            <v>ART</v>
          </cell>
        </row>
        <row r="710">
          <cell r="I710" t="str">
            <v>COR-19-422-01</v>
          </cell>
          <cell r="J710" t="str">
            <v>HYB</v>
          </cell>
        </row>
        <row r="711">
          <cell r="I711" t="str">
            <v>COR-19-422-02</v>
          </cell>
          <cell r="J711" t="str">
            <v>ART</v>
          </cell>
        </row>
        <row r="712">
          <cell r="I712" t="str">
            <v>COR-19-422-03</v>
          </cell>
          <cell r="J712" t="str">
            <v>ART</v>
          </cell>
        </row>
        <row r="713">
          <cell r="I713" t="str">
            <v>COR-19-422-04</v>
          </cell>
          <cell r="J713" t="str">
            <v>ART</v>
          </cell>
        </row>
        <row r="714">
          <cell r="I714" t="str">
            <v>COR-19-422-05</v>
          </cell>
          <cell r="J714" t="str">
            <v>CLUP</v>
          </cell>
        </row>
        <row r="715">
          <cell r="I715" t="str">
            <v>COR-19-422-06</v>
          </cell>
          <cell r="J715" t="str">
            <v>ART</v>
          </cell>
        </row>
        <row r="716">
          <cell r="I716" t="str">
            <v>COR-19-422-07</v>
          </cell>
          <cell r="J716" t="str">
            <v>CLUP</v>
          </cell>
        </row>
        <row r="717">
          <cell r="I717" t="str">
            <v>COR-19-422-08</v>
          </cell>
          <cell r="J717" t="str">
            <v>ART</v>
          </cell>
        </row>
        <row r="718">
          <cell r="I718" t="str">
            <v>COR-19-422-09</v>
          </cell>
          <cell r="J718" t="str">
            <v>KIY</v>
          </cell>
        </row>
        <row r="719">
          <cell r="I719" t="str">
            <v>COR-19-422-10</v>
          </cell>
          <cell r="J719" t="str">
            <v>ART</v>
          </cell>
        </row>
        <row r="720">
          <cell r="I720" t="str">
            <v>COR-19-422-11</v>
          </cell>
          <cell r="J720" t="str">
            <v>ART</v>
          </cell>
        </row>
        <row r="721">
          <cell r="I721" t="str">
            <v>COR-19-422-12</v>
          </cell>
          <cell r="J721" t="str">
            <v>HYB</v>
          </cell>
        </row>
        <row r="722">
          <cell r="I722" t="str">
            <v>COR-19-44-01</v>
          </cell>
          <cell r="J722" t="str">
            <v>ART</v>
          </cell>
        </row>
        <row r="723">
          <cell r="I723" t="str">
            <v>COR-19-44-02</v>
          </cell>
          <cell r="J723" t="str">
            <v>ART</v>
          </cell>
        </row>
        <row r="724">
          <cell r="I724" t="str">
            <v>COR-19-44-03</v>
          </cell>
          <cell r="J724" t="str">
            <v>ART</v>
          </cell>
        </row>
        <row r="725">
          <cell r="I725" t="str">
            <v>COR-19-44-04</v>
          </cell>
          <cell r="J725" t="str">
            <v>ART</v>
          </cell>
        </row>
        <row r="726">
          <cell r="I726" t="str">
            <v>COR-19-44-05</v>
          </cell>
          <cell r="J726" t="str">
            <v>ART</v>
          </cell>
        </row>
        <row r="727">
          <cell r="I727" t="str">
            <v>COR-19-44-06</v>
          </cell>
          <cell r="J727" t="str">
            <v>ART</v>
          </cell>
        </row>
        <row r="728">
          <cell r="I728" t="str">
            <v>COR-19-44-07</v>
          </cell>
          <cell r="J728" t="str">
            <v>ART</v>
          </cell>
        </row>
        <row r="729">
          <cell r="I729" t="str">
            <v>COR-19-44-08</v>
          </cell>
          <cell r="J729" t="str">
            <v>ART</v>
          </cell>
        </row>
        <row r="730">
          <cell r="I730" t="str">
            <v>COR-19-44-09</v>
          </cell>
          <cell r="J730" t="str">
            <v>ART</v>
          </cell>
        </row>
        <row r="731">
          <cell r="I731" t="str">
            <v>COR-19-44-10</v>
          </cell>
          <cell r="J731" t="str">
            <v>ART</v>
          </cell>
        </row>
        <row r="732">
          <cell r="I732" t="str">
            <v>COR-19-44-11</v>
          </cell>
          <cell r="J732" t="str">
            <v>ART</v>
          </cell>
        </row>
        <row r="733">
          <cell r="I733" t="str">
            <v>COR-19-44-12</v>
          </cell>
          <cell r="J733" t="str">
            <v>ART</v>
          </cell>
        </row>
        <row r="734">
          <cell r="I734" t="str">
            <v>COR-19-45-01</v>
          </cell>
          <cell r="J734" t="str">
            <v>ART</v>
          </cell>
        </row>
        <row r="735">
          <cell r="I735" t="str">
            <v>COR-19-45-02</v>
          </cell>
          <cell r="J735" t="str">
            <v>ART</v>
          </cell>
        </row>
        <row r="736">
          <cell r="I736" t="str">
            <v>COR-19-45-03</v>
          </cell>
          <cell r="J736" t="str">
            <v>ART</v>
          </cell>
        </row>
        <row r="737">
          <cell r="I737" t="str">
            <v>COR-19-45-04</v>
          </cell>
          <cell r="J737" t="str">
            <v>ART</v>
          </cell>
        </row>
        <row r="738">
          <cell r="I738" t="str">
            <v>COR-19-45-05</v>
          </cell>
          <cell r="J738" t="str">
            <v>ART</v>
          </cell>
        </row>
        <row r="739">
          <cell r="I739" t="str">
            <v>COR-19-45-06</v>
          </cell>
          <cell r="J739" t="str">
            <v>ART</v>
          </cell>
        </row>
        <row r="740">
          <cell r="I740" t="str">
            <v>COR-19-45-07</v>
          </cell>
          <cell r="J740" t="str">
            <v>KIY</v>
          </cell>
        </row>
        <row r="741">
          <cell r="I741" t="str">
            <v>COR-19-45-08</v>
          </cell>
          <cell r="J741" t="str">
            <v>ART</v>
          </cell>
        </row>
        <row r="742">
          <cell r="I742" t="str">
            <v>COR-19-45-09</v>
          </cell>
          <cell r="J742" t="str">
            <v>ART</v>
          </cell>
        </row>
        <row r="743">
          <cell r="I743" t="str">
            <v>COR-19-45-10</v>
          </cell>
          <cell r="J743" t="str">
            <v>KIY</v>
          </cell>
        </row>
        <row r="744">
          <cell r="I744" t="str">
            <v>COR-19-45-11</v>
          </cell>
          <cell r="J744" t="str">
            <v>ART</v>
          </cell>
        </row>
        <row r="745">
          <cell r="I745" t="str">
            <v>COR-19-45-12</v>
          </cell>
          <cell r="J745" t="str">
            <v>ART</v>
          </cell>
        </row>
        <row r="746">
          <cell r="I746" t="str">
            <v>COR-19-451-01</v>
          </cell>
          <cell r="J746" t="str">
            <v>ART</v>
          </cell>
        </row>
        <row r="747">
          <cell r="I747" t="str">
            <v>COR-19-451-02</v>
          </cell>
          <cell r="J747" t="str">
            <v>HYB</v>
          </cell>
        </row>
        <row r="748">
          <cell r="I748" t="str">
            <v>COR-19-451-03</v>
          </cell>
          <cell r="J748" t="str">
            <v>HYB</v>
          </cell>
        </row>
        <row r="749">
          <cell r="I749" t="str">
            <v>COR-19-451-04</v>
          </cell>
          <cell r="J749" t="str">
            <v>KIY</v>
          </cell>
        </row>
        <row r="750">
          <cell r="I750" t="str">
            <v>COR-19-451-05</v>
          </cell>
          <cell r="J750" t="str">
            <v>ART</v>
          </cell>
        </row>
        <row r="751">
          <cell r="I751" t="str">
            <v>COR-19-451-06</v>
          </cell>
          <cell r="J751" t="str">
            <v>ART</v>
          </cell>
        </row>
        <row r="752">
          <cell r="I752" t="str">
            <v>COR-19-451-07</v>
          </cell>
          <cell r="J752" t="str">
            <v>ART</v>
          </cell>
        </row>
        <row r="753">
          <cell r="I753" t="str">
            <v>COR-19-451-08</v>
          </cell>
          <cell r="J753" t="str">
            <v>ART</v>
          </cell>
        </row>
        <row r="754">
          <cell r="I754" t="str">
            <v>COR-19-451-09</v>
          </cell>
          <cell r="J754" t="str">
            <v>ART</v>
          </cell>
        </row>
        <row r="755">
          <cell r="I755" t="str">
            <v>COR-19-456-01</v>
          </cell>
          <cell r="J755" t="str">
            <v>ART</v>
          </cell>
        </row>
        <row r="756">
          <cell r="I756" t="str">
            <v>COR-19-456-02</v>
          </cell>
          <cell r="J756" t="str">
            <v>ART</v>
          </cell>
        </row>
        <row r="757">
          <cell r="I757" t="str">
            <v>COR-19-456-03</v>
          </cell>
          <cell r="J757" t="str">
            <v>ART</v>
          </cell>
        </row>
        <row r="758">
          <cell r="I758" t="str">
            <v>COR-19-456-04</v>
          </cell>
          <cell r="J758" t="str">
            <v>ART</v>
          </cell>
        </row>
        <row r="759">
          <cell r="I759" t="str">
            <v>COR-19-456-05</v>
          </cell>
          <cell r="J759" t="str">
            <v>ART</v>
          </cell>
        </row>
        <row r="760">
          <cell r="I760" t="str">
            <v>COR-19-456-06</v>
          </cell>
          <cell r="J760" t="str">
            <v>ART</v>
          </cell>
        </row>
        <row r="761">
          <cell r="I761" t="str">
            <v>COR-19-456-07</v>
          </cell>
          <cell r="J761" t="str">
            <v>ART</v>
          </cell>
        </row>
        <row r="762">
          <cell r="I762" t="str">
            <v>COR-19-456-08</v>
          </cell>
          <cell r="J762" t="str">
            <v>ART</v>
          </cell>
        </row>
        <row r="763">
          <cell r="I763" t="str">
            <v>COR-19-456-09</v>
          </cell>
          <cell r="J763" t="str">
            <v>ART</v>
          </cell>
        </row>
        <row r="764">
          <cell r="I764" t="str">
            <v>COR-19-456-10</v>
          </cell>
          <cell r="J764" t="str">
            <v>ART</v>
          </cell>
        </row>
        <row r="765">
          <cell r="I765" t="str">
            <v>COR-19-456-11</v>
          </cell>
          <cell r="J765" t="str">
            <v>ART</v>
          </cell>
        </row>
        <row r="766">
          <cell r="I766" t="str">
            <v>COR-19-456-12</v>
          </cell>
          <cell r="J766" t="str">
            <v>ART</v>
          </cell>
        </row>
        <row r="767">
          <cell r="I767" t="str">
            <v>COR-19-457-01</v>
          </cell>
          <cell r="J767" t="str">
            <v>ART</v>
          </cell>
        </row>
        <row r="768">
          <cell r="I768" t="str">
            <v>COR-19-457-02</v>
          </cell>
          <cell r="J768" t="str">
            <v>ART</v>
          </cell>
        </row>
        <row r="769">
          <cell r="I769" t="str">
            <v>COR-19-457-03</v>
          </cell>
          <cell r="J769" t="str">
            <v>ART</v>
          </cell>
        </row>
        <row r="770">
          <cell r="I770" t="str">
            <v>COR-19-457-05</v>
          </cell>
          <cell r="J770" t="str">
            <v>ART</v>
          </cell>
        </row>
        <row r="771">
          <cell r="I771" t="str">
            <v>COR-19-457-06</v>
          </cell>
          <cell r="J771" t="str">
            <v>ART</v>
          </cell>
        </row>
        <row r="772">
          <cell r="I772" t="str">
            <v>COR-19-457-07</v>
          </cell>
          <cell r="J772" t="str">
            <v>ART</v>
          </cell>
        </row>
        <row r="773">
          <cell r="I773" t="str">
            <v>COR-19-457-08</v>
          </cell>
          <cell r="J773" t="str">
            <v>ART</v>
          </cell>
        </row>
        <row r="774">
          <cell r="I774" t="str">
            <v>COR-19-459-01</v>
          </cell>
          <cell r="J774" t="str">
            <v>ART</v>
          </cell>
        </row>
        <row r="775">
          <cell r="I775" t="str">
            <v>COR-19-459-02</v>
          </cell>
          <cell r="J775" t="str">
            <v>ART</v>
          </cell>
        </row>
        <row r="776">
          <cell r="I776" t="str">
            <v>COR-19-459-03</v>
          </cell>
          <cell r="J776" t="str">
            <v>ART</v>
          </cell>
        </row>
        <row r="777">
          <cell r="I777" t="str">
            <v>COR-19-459-04</v>
          </cell>
          <cell r="J777" t="str">
            <v>ART</v>
          </cell>
        </row>
        <row r="778">
          <cell r="I778" t="str">
            <v>COR-19-459-05</v>
          </cell>
          <cell r="J778" t="str">
            <v>HYB</v>
          </cell>
        </row>
        <row r="779">
          <cell r="I779" t="str">
            <v>COR-19-459-06</v>
          </cell>
          <cell r="J779" t="str">
            <v>ART</v>
          </cell>
        </row>
        <row r="780">
          <cell r="I780" t="str">
            <v>COR-19-460-01</v>
          </cell>
          <cell r="J780" t="str">
            <v>ART</v>
          </cell>
        </row>
        <row r="781">
          <cell r="I781" t="str">
            <v>COR-19-460-02</v>
          </cell>
          <cell r="J781" t="str">
            <v>ART</v>
          </cell>
        </row>
        <row r="782">
          <cell r="I782" t="str">
            <v>COR-19-460-03</v>
          </cell>
          <cell r="J782" t="str">
            <v>ART</v>
          </cell>
        </row>
        <row r="783">
          <cell r="I783" t="str">
            <v>COR-19-460-04</v>
          </cell>
          <cell r="J783" t="str">
            <v>ART</v>
          </cell>
        </row>
        <row r="784">
          <cell r="I784" t="str">
            <v>COR-19-460-05</v>
          </cell>
          <cell r="J784" t="str">
            <v>ART</v>
          </cell>
        </row>
        <row r="785">
          <cell r="I785" t="str">
            <v>COR-19-460-06</v>
          </cell>
          <cell r="J785" t="str">
            <v>ART</v>
          </cell>
        </row>
        <row r="786">
          <cell r="I786" t="str">
            <v>COR-19-460-07</v>
          </cell>
          <cell r="J786" t="str">
            <v>ART</v>
          </cell>
        </row>
        <row r="787">
          <cell r="I787" t="str">
            <v>COR-19-460-08</v>
          </cell>
          <cell r="J787" t="str">
            <v>ART</v>
          </cell>
        </row>
        <row r="788">
          <cell r="I788" t="str">
            <v>COR-19-460-09</v>
          </cell>
          <cell r="J788" t="str">
            <v>ART</v>
          </cell>
        </row>
        <row r="789">
          <cell r="I789" t="str">
            <v>COR-19-460-10</v>
          </cell>
          <cell r="J789" t="str">
            <v>ART</v>
          </cell>
        </row>
        <row r="790">
          <cell r="I790" t="str">
            <v>COR-19-460-11</v>
          </cell>
          <cell r="J790" t="str">
            <v>HYB</v>
          </cell>
        </row>
        <row r="791">
          <cell r="I791" t="str">
            <v>COR-19-460-12</v>
          </cell>
          <cell r="J791" t="str">
            <v>ART</v>
          </cell>
        </row>
        <row r="792">
          <cell r="I792" t="str">
            <v>COR-19-461-01</v>
          </cell>
          <cell r="J792" t="str">
            <v>ART</v>
          </cell>
        </row>
        <row r="793">
          <cell r="I793" t="str">
            <v>COR-19-461-02</v>
          </cell>
          <cell r="J793" t="str">
            <v>ART</v>
          </cell>
        </row>
        <row r="794">
          <cell r="I794" t="str">
            <v>COR-19-461-03</v>
          </cell>
          <cell r="J794" t="str">
            <v>ART</v>
          </cell>
        </row>
        <row r="795">
          <cell r="I795" t="str">
            <v>COR-19-461-04</v>
          </cell>
          <cell r="J795" t="str">
            <v>ART</v>
          </cell>
        </row>
        <row r="796">
          <cell r="I796" t="str">
            <v>COR-19-461-05</v>
          </cell>
          <cell r="J796" t="str">
            <v>ART</v>
          </cell>
        </row>
        <row r="797">
          <cell r="I797" t="str">
            <v>COR-19-461-06</v>
          </cell>
          <cell r="J797" t="str">
            <v>ART</v>
          </cell>
        </row>
        <row r="798">
          <cell r="I798" t="str">
            <v>COR-19-461-07</v>
          </cell>
          <cell r="J798" t="str">
            <v>ART</v>
          </cell>
        </row>
        <row r="799">
          <cell r="I799" t="str">
            <v>COR-19-461-08</v>
          </cell>
          <cell r="J799" t="str">
            <v>ART</v>
          </cell>
        </row>
        <row r="800">
          <cell r="I800" t="str">
            <v>COR-19-461-09</v>
          </cell>
          <cell r="J800" t="str">
            <v>ART</v>
          </cell>
        </row>
        <row r="801">
          <cell r="I801" t="str">
            <v>COR-19-461-10</v>
          </cell>
          <cell r="J801" t="str">
            <v>ART</v>
          </cell>
        </row>
        <row r="802">
          <cell r="I802" t="str">
            <v>COR-19-461-11</v>
          </cell>
          <cell r="J802" t="str">
            <v>ART</v>
          </cell>
        </row>
        <row r="803">
          <cell r="I803" t="str">
            <v>COR-19-461-12</v>
          </cell>
          <cell r="J803" t="str">
            <v>HYB</v>
          </cell>
        </row>
        <row r="804">
          <cell r="I804" t="str">
            <v>COR-19-463-01</v>
          </cell>
          <cell r="J804" t="str">
            <v>ART</v>
          </cell>
        </row>
        <row r="805">
          <cell r="I805" t="str">
            <v>COR-19-463-02</v>
          </cell>
          <cell r="J805" t="str">
            <v>ART</v>
          </cell>
        </row>
        <row r="806">
          <cell r="I806" t="str">
            <v>COR-19-463-03</v>
          </cell>
          <cell r="J806" t="str">
            <v>ART</v>
          </cell>
        </row>
        <row r="807">
          <cell r="I807" t="str">
            <v>COR-19-464-01</v>
          </cell>
          <cell r="J807" t="str">
            <v>ART</v>
          </cell>
        </row>
        <row r="808">
          <cell r="I808" t="str">
            <v>COR-19-464-02</v>
          </cell>
          <cell r="J808" t="str">
            <v>HYB</v>
          </cell>
        </row>
        <row r="809">
          <cell r="I809" t="str">
            <v>COR-19-465-01</v>
          </cell>
          <cell r="J809" t="str">
            <v>ART</v>
          </cell>
        </row>
        <row r="810">
          <cell r="I810" t="str">
            <v>COR-19-465-02</v>
          </cell>
          <cell r="J810" t="str">
            <v>HYB</v>
          </cell>
        </row>
        <row r="811">
          <cell r="I811" t="str">
            <v>COR-19-465-03</v>
          </cell>
          <cell r="J811" t="str">
            <v>ART</v>
          </cell>
        </row>
        <row r="812">
          <cell r="I812" t="str">
            <v>COR-19-465-04</v>
          </cell>
          <cell r="J812" t="str">
            <v>ART</v>
          </cell>
        </row>
        <row r="813">
          <cell r="I813" t="str">
            <v>COR-19-465-05</v>
          </cell>
          <cell r="J813" t="str">
            <v>ART</v>
          </cell>
        </row>
        <row r="814">
          <cell r="I814" t="str">
            <v>COR-19-465-06</v>
          </cell>
          <cell r="J814" t="str">
            <v>ART</v>
          </cell>
        </row>
        <row r="815">
          <cell r="I815" t="str">
            <v>COR-19-465-07</v>
          </cell>
          <cell r="J815" t="str">
            <v>ART</v>
          </cell>
        </row>
        <row r="816">
          <cell r="I816" t="str">
            <v>COR-19-465-08</v>
          </cell>
          <cell r="J816" t="str">
            <v>HYB</v>
          </cell>
        </row>
        <row r="817">
          <cell r="I817" t="str">
            <v>COR-19-52-01</v>
          </cell>
          <cell r="J817" t="str">
            <v>ART</v>
          </cell>
        </row>
        <row r="818">
          <cell r="I818" t="str">
            <v>COR-19-52-02</v>
          </cell>
          <cell r="J818" t="str">
            <v>ART</v>
          </cell>
        </row>
        <row r="819">
          <cell r="I819" t="str">
            <v>COR-19-52-03</v>
          </cell>
          <cell r="J819" t="str">
            <v>ART</v>
          </cell>
        </row>
        <row r="820">
          <cell r="I820" t="str">
            <v>COR-19-52-04</v>
          </cell>
          <cell r="J820" t="str">
            <v>ART</v>
          </cell>
        </row>
        <row r="821">
          <cell r="I821" t="str">
            <v>COR-19-52-05</v>
          </cell>
          <cell r="J821" t="str">
            <v>ART</v>
          </cell>
        </row>
        <row r="822">
          <cell r="I822" t="str">
            <v>COR-19-52-06</v>
          </cell>
          <cell r="J822" t="str">
            <v>ART</v>
          </cell>
        </row>
        <row r="823">
          <cell r="I823" t="str">
            <v>COR-19-52-07</v>
          </cell>
          <cell r="J823" t="str">
            <v>ART</v>
          </cell>
        </row>
        <row r="824">
          <cell r="I824" t="str">
            <v>COR-19-52-08</v>
          </cell>
          <cell r="J824" t="str">
            <v>ART</v>
          </cell>
        </row>
        <row r="825">
          <cell r="I825" t="str">
            <v>COR-19-52-09</v>
          </cell>
          <cell r="J825" t="str">
            <v>ART</v>
          </cell>
        </row>
        <row r="826">
          <cell r="I826" t="str">
            <v>COR-19-52-10</v>
          </cell>
          <cell r="J826" t="str">
            <v>ART</v>
          </cell>
        </row>
        <row r="827">
          <cell r="I827" t="str">
            <v>COR-19-52-11</v>
          </cell>
          <cell r="J827" t="str">
            <v>ART</v>
          </cell>
        </row>
        <row r="828">
          <cell r="I828" t="str">
            <v>COR-19-52-12</v>
          </cell>
          <cell r="J828" t="str">
            <v>ART</v>
          </cell>
        </row>
        <row r="829">
          <cell r="I829" t="str">
            <v>COR-19-57-01</v>
          </cell>
          <cell r="J829" t="str">
            <v>ART</v>
          </cell>
        </row>
        <row r="830">
          <cell r="I830" t="str">
            <v>COR-19-57-02</v>
          </cell>
          <cell r="J830" t="str">
            <v>ART</v>
          </cell>
        </row>
        <row r="831">
          <cell r="I831" t="str">
            <v>COR-19-57-03</v>
          </cell>
          <cell r="J831" t="str">
            <v>KIY</v>
          </cell>
        </row>
        <row r="832">
          <cell r="I832" t="str">
            <v>COR-19-57-04</v>
          </cell>
          <cell r="J832" t="str">
            <v>ART</v>
          </cell>
        </row>
        <row r="833">
          <cell r="I833" t="str">
            <v>COR-19-57-05</v>
          </cell>
          <cell r="J833" t="str">
            <v>ART</v>
          </cell>
        </row>
        <row r="834">
          <cell r="I834" t="str">
            <v>COR-19-57-06</v>
          </cell>
          <cell r="J834" t="str">
            <v>ART</v>
          </cell>
        </row>
        <row r="835">
          <cell r="I835" t="str">
            <v>COR-19-57-07</v>
          </cell>
          <cell r="J835" t="str">
            <v>ART</v>
          </cell>
        </row>
        <row r="836">
          <cell r="I836" t="str">
            <v>COR-19-57-08</v>
          </cell>
          <cell r="J836" t="str">
            <v>ART</v>
          </cell>
        </row>
        <row r="837">
          <cell r="I837" t="str">
            <v>COR-19-57-09</v>
          </cell>
          <cell r="J837" t="str">
            <v>ART</v>
          </cell>
        </row>
        <row r="838">
          <cell r="I838" t="str">
            <v>COR-19-57-10</v>
          </cell>
          <cell r="J838" t="str">
            <v>ART</v>
          </cell>
        </row>
        <row r="839">
          <cell r="I839" t="str">
            <v>COR-19-57-11</v>
          </cell>
          <cell r="J839" t="str">
            <v>ART</v>
          </cell>
        </row>
        <row r="840">
          <cell r="I840" t="str">
            <v>COR-19-57-12</v>
          </cell>
          <cell r="J840" t="str">
            <v>ART</v>
          </cell>
        </row>
        <row r="841">
          <cell r="I841" t="str">
            <v>COR-19-65-01</v>
          </cell>
          <cell r="J841" t="str">
            <v>KIY</v>
          </cell>
        </row>
        <row r="842">
          <cell r="I842" t="str">
            <v>COR-19-65-02</v>
          </cell>
          <cell r="J842" t="str">
            <v>KIY</v>
          </cell>
        </row>
        <row r="843">
          <cell r="I843" t="str">
            <v>COR-19-65-03</v>
          </cell>
          <cell r="J843" t="str">
            <v>ART</v>
          </cell>
        </row>
        <row r="844">
          <cell r="I844" t="str">
            <v>COR-19-65-04</v>
          </cell>
          <cell r="J844" t="str">
            <v>KIY</v>
          </cell>
        </row>
        <row r="845">
          <cell r="I845" t="str">
            <v>COR-19-65-05</v>
          </cell>
          <cell r="J845" t="str">
            <v>ART</v>
          </cell>
        </row>
        <row r="846">
          <cell r="I846" t="str">
            <v>COR-19-65-06</v>
          </cell>
          <cell r="J846" t="str">
            <v>KIY</v>
          </cell>
        </row>
        <row r="847">
          <cell r="I847" t="str">
            <v>COR-19-65-07</v>
          </cell>
          <cell r="J847" t="str">
            <v>KIY</v>
          </cell>
        </row>
        <row r="848">
          <cell r="I848" t="str">
            <v>COR-19-65-08</v>
          </cell>
          <cell r="J848" t="str">
            <v>KIY</v>
          </cell>
        </row>
        <row r="849">
          <cell r="I849" t="str">
            <v>COR-19-65-09</v>
          </cell>
          <cell r="J849" t="str">
            <v>KIY</v>
          </cell>
        </row>
        <row r="850">
          <cell r="I850" t="str">
            <v>COR-19-65-10</v>
          </cell>
          <cell r="J850" t="str">
            <v>ART</v>
          </cell>
        </row>
        <row r="851">
          <cell r="I851" t="str">
            <v>COR-19-65-11</v>
          </cell>
          <cell r="J851" t="str">
            <v>ART</v>
          </cell>
        </row>
        <row r="852">
          <cell r="I852" t="str">
            <v>COR-19-65-12</v>
          </cell>
          <cell r="J852" t="str">
            <v>KIY</v>
          </cell>
        </row>
        <row r="853">
          <cell r="I853" t="str">
            <v>COR-19-71-01</v>
          </cell>
          <cell r="J853" t="str">
            <v>ART</v>
          </cell>
        </row>
        <row r="854">
          <cell r="I854" t="str">
            <v>COR-19-71-02</v>
          </cell>
          <cell r="J854" t="str">
            <v>ART</v>
          </cell>
        </row>
        <row r="855">
          <cell r="I855" t="str">
            <v>COR-19-71-03</v>
          </cell>
          <cell r="J855" t="str">
            <v>ART</v>
          </cell>
        </row>
        <row r="856">
          <cell r="I856" t="str">
            <v>COR-19-71-04</v>
          </cell>
          <cell r="J856" t="str">
            <v>ART</v>
          </cell>
        </row>
        <row r="857">
          <cell r="I857" t="str">
            <v>COR-19-71-05</v>
          </cell>
          <cell r="J857" t="str">
            <v>ART</v>
          </cell>
        </row>
        <row r="858">
          <cell r="I858" t="str">
            <v>COR-19-71-06</v>
          </cell>
          <cell r="J858" t="str">
            <v>ART</v>
          </cell>
        </row>
        <row r="859">
          <cell r="I859" t="str">
            <v>COR-19-71-07</v>
          </cell>
          <cell r="J859" t="str">
            <v>ART</v>
          </cell>
        </row>
        <row r="860">
          <cell r="I860" t="str">
            <v>COR-19-71-08</v>
          </cell>
          <cell r="J860" t="str">
            <v>ART</v>
          </cell>
        </row>
        <row r="861">
          <cell r="I861" t="str">
            <v>COR-19-71-09</v>
          </cell>
          <cell r="J861" t="str">
            <v>HYB</v>
          </cell>
        </row>
        <row r="862">
          <cell r="I862" t="str">
            <v>COR-19-71-10</v>
          </cell>
          <cell r="J862" t="str">
            <v>ART</v>
          </cell>
        </row>
        <row r="863">
          <cell r="I863" t="str">
            <v>COR-19-71-11</v>
          </cell>
          <cell r="J863" t="str">
            <v>ART</v>
          </cell>
        </row>
        <row r="864">
          <cell r="I864" t="str">
            <v>COR-19-71-12</v>
          </cell>
          <cell r="J864" t="str">
            <v>ART</v>
          </cell>
        </row>
        <row r="865">
          <cell r="I865" t="str">
            <v>COR-19-75-01</v>
          </cell>
          <cell r="J865" t="str">
            <v>ART</v>
          </cell>
        </row>
        <row r="866">
          <cell r="I866" t="str">
            <v>COR-19-75-02</v>
          </cell>
          <cell r="J866" t="str">
            <v>ART</v>
          </cell>
        </row>
        <row r="867">
          <cell r="I867" t="str">
            <v>COR-19-75-03</v>
          </cell>
          <cell r="J867" t="str">
            <v>ART</v>
          </cell>
        </row>
        <row r="868">
          <cell r="I868" t="str">
            <v>COR-19-75-04</v>
          </cell>
          <cell r="J868" t="str">
            <v>ART</v>
          </cell>
        </row>
        <row r="869">
          <cell r="I869" t="str">
            <v>COR-19-75-05</v>
          </cell>
          <cell r="J869" t="str">
            <v>ART</v>
          </cell>
        </row>
        <row r="870">
          <cell r="I870" t="str">
            <v>COR-19-75-06</v>
          </cell>
          <cell r="J870" t="str">
            <v>ART</v>
          </cell>
        </row>
        <row r="871">
          <cell r="I871" t="str">
            <v>COR-19-75-07</v>
          </cell>
          <cell r="J871" t="str">
            <v>ART</v>
          </cell>
        </row>
        <row r="872">
          <cell r="I872" t="str">
            <v>COR-19-75-08</v>
          </cell>
          <cell r="J872" t="str">
            <v>ART</v>
          </cell>
        </row>
        <row r="873">
          <cell r="I873" t="str">
            <v>COR-19-75-09</v>
          </cell>
          <cell r="J873" t="str">
            <v>ART</v>
          </cell>
        </row>
        <row r="874">
          <cell r="I874" t="str">
            <v>COR-19-75-10</v>
          </cell>
          <cell r="J874" t="str">
            <v>ART</v>
          </cell>
        </row>
        <row r="875">
          <cell r="I875" t="str">
            <v>COR-19-75-11</v>
          </cell>
          <cell r="J875" t="str">
            <v>ART</v>
          </cell>
        </row>
        <row r="876">
          <cell r="I876" t="str">
            <v>COR-19-75-12</v>
          </cell>
          <cell r="J876" t="str">
            <v>ART</v>
          </cell>
        </row>
        <row r="877">
          <cell r="I877" t="str">
            <v>COR-19-753-01</v>
          </cell>
          <cell r="J877" t="str">
            <v>HYB</v>
          </cell>
        </row>
        <row r="878">
          <cell r="I878" t="str">
            <v>COR-19-76-01</v>
          </cell>
          <cell r="J878" t="str">
            <v>ART</v>
          </cell>
        </row>
        <row r="879">
          <cell r="I879" t="str">
            <v>COR-19-76-02</v>
          </cell>
          <cell r="J879" t="str">
            <v>ART</v>
          </cell>
        </row>
        <row r="880">
          <cell r="I880" t="str">
            <v>COR-19-76-04</v>
          </cell>
          <cell r="J880" t="str">
            <v>ART</v>
          </cell>
        </row>
        <row r="881">
          <cell r="I881" t="str">
            <v>COR-19-76-05</v>
          </cell>
          <cell r="J881" t="str">
            <v>ART</v>
          </cell>
        </row>
        <row r="882">
          <cell r="I882" t="str">
            <v>COR-19-76-06</v>
          </cell>
          <cell r="J882" t="str">
            <v>ART</v>
          </cell>
        </row>
        <row r="883">
          <cell r="I883" t="str">
            <v>COR-19-76-07</v>
          </cell>
          <cell r="J883" t="str">
            <v>ART</v>
          </cell>
        </row>
        <row r="884">
          <cell r="I884" t="str">
            <v>COR-19-76-08</v>
          </cell>
          <cell r="J884" t="str">
            <v>ART</v>
          </cell>
        </row>
        <row r="885">
          <cell r="I885" t="str">
            <v>COR-19-76-09</v>
          </cell>
          <cell r="J885" t="str">
            <v>ART</v>
          </cell>
        </row>
        <row r="886">
          <cell r="I886" t="str">
            <v>COR-19-76-10</v>
          </cell>
          <cell r="J886" t="str">
            <v>ART</v>
          </cell>
        </row>
        <row r="887">
          <cell r="I887" t="str">
            <v>COR-19-76-11</v>
          </cell>
          <cell r="J887" t="str">
            <v>ART</v>
          </cell>
        </row>
        <row r="888">
          <cell r="I888" t="str">
            <v>COR-19-76-12</v>
          </cell>
          <cell r="J888" t="str">
            <v>ART</v>
          </cell>
        </row>
        <row r="889">
          <cell r="I889" t="str">
            <v>COR-19-82-01</v>
          </cell>
          <cell r="J889" t="str">
            <v>ART</v>
          </cell>
        </row>
        <row r="890">
          <cell r="I890" t="str">
            <v>COR-19-82-02</v>
          </cell>
          <cell r="J890" t="str">
            <v>ART</v>
          </cell>
        </row>
        <row r="891">
          <cell r="I891" t="str">
            <v>COR-19-82-03</v>
          </cell>
          <cell r="J891" t="str">
            <v>ART</v>
          </cell>
        </row>
        <row r="892">
          <cell r="I892" t="str">
            <v>COR-19-82-04</v>
          </cell>
          <cell r="J892" t="str">
            <v>ART</v>
          </cell>
        </row>
        <row r="893">
          <cell r="I893" t="str">
            <v>COR-19-82-05</v>
          </cell>
          <cell r="J893" t="str">
            <v>ART</v>
          </cell>
        </row>
        <row r="894">
          <cell r="I894" t="str">
            <v>COR-19-82-06</v>
          </cell>
          <cell r="J894" t="str">
            <v>ART</v>
          </cell>
        </row>
        <row r="895">
          <cell r="I895" t="str">
            <v>COR-19-82-07</v>
          </cell>
          <cell r="J895" t="str">
            <v>ART</v>
          </cell>
        </row>
        <row r="896">
          <cell r="I896" t="str">
            <v>COR-19-82-08</v>
          </cell>
          <cell r="J896" t="str">
            <v>ART</v>
          </cell>
        </row>
        <row r="897">
          <cell r="I897" t="str">
            <v>COR-19-82-09</v>
          </cell>
          <cell r="J897" t="str">
            <v>ART</v>
          </cell>
        </row>
        <row r="898">
          <cell r="I898" t="str">
            <v>COR-19-82-10</v>
          </cell>
          <cell r="J898" t="str">
            <v>ART</v>
          </cell>
        </row>
        <row r="899">
          <cell r="I899" t="str">
            <v>COR-19-82-11</v>
          </cell>
          <cell r="J899" t="str">
            <v>ART</v>
          </cell>
        </row>
        <row r="900">
          <cell r="I900" t="str">
            <v>COR-19-82-12</v>
          </cell>
          <cell r="J900" t="str">
            <v>ART</v>
          </cell>
        </row>
        <row r="901">
          <cell r="I901" t="str">
            <v>COR-19-84-01</v>
          </cell>
          <cell r="J901" t="str">
            <v>ART</v>
          </cell>
        </row>
        <row r="902">
          <cell r="I902" t="str">
            <v>COR-19-84-02</v>
          </cell>
          <cell r="J902" t="str">
            <v>ART</v>
          </cell>
        </row>
        <row r="903">
          <cell r="I903" t="str">
            <v>COR-19-84-03</v>
          </cell>
          <cell r="J903" t="str">
            <v>ART</v>
          </cell>
        </row>
        <row r="904">
          <cell r="I904" t="str">
            <v>COR-19-84-04</v>
          </cell>
          <cell r="J904" t="str">
            <v>ART</v>
          </cell>
        </row>
        <row r="905">
          <cell r="I905" t="str">
            <v>COR-19-84-05</v>
          </cell>
          <cell r="J905" t="str">
            <v>ART</v>
          </cell>
        </row>
        <row r="906">
          <cell r="I906" t="str">
            <v>COR-19-84-07</v>
          </cell>
          <cell r="J906" t="str">
            <v>ART</v>
          </cell>
        </row>
        <row r="907">
          <cell r="I907" t="str">
            <v>COR-19-84-08</v>
          </cell>
          <cell r="J907" t="str">
            <v>ART</v>
          </cell>
        </row>
        <row r="908">
          <cell r="I908" t="str">
            <v>COR-19-84-09</v>
          </cell>
          <cell r="J908" t="str">
            <v>ART</v>
          </cell>
        </row>
        <row r="909">
          <cell r="I909" t="str">
            <v>COR-19-84-10</v>
          </cell>
          <cell r="J909" t="str">
            <v>ART</v>
          </cell>
        </row>
        <row r="910">
          <cell r="I910" t="str">
            <v>COR-19-84-11</v>
          </cell>
          <cell r="J910" t="str">
            <v>ART</v>
          </cell>
        </row>
        <row r="911">
          <cell r="I911" t="str">
            <v>COR-19-84-12</v>
          </cell>
          <cell r="J911" t="str">
            <v>ART</v>
          </cell>
        </row>
        <row r="912">
          <cell r="I912" t="str">
            <v>COR-19-85-01</v>
          </cell>
          <cell r="J912" t="str">
            <v>ART</v>
          </cell>
        </row>
        <row r="913">
          <cell r="I913" t="str">
            <v>COR-19-85-02</v>
          </cell>
          <cell r="J913" t="str">
            <v>ART</v>
          </cell>
        </row>
        <row r="914">
          <cell r="I914" t="str">
            <v>COR-19-85-03</v>
          </cell>
          <cell r="J914" t="str">
            <v>ART</v>
          </cell>
        </row>
        <row r="915">
          <cell r="I915" t="str">
            <v>COR-19-85-04</v>
          </cell>
          <cell r="J915" t="str">
            <v>ART</v>
          </cell>
        </row>
        <row r="916">
          <cell r="I916" t="str">
            <v>COR-19-85-05</v>
          </cell>
          <cell r="J916" t="str">
            <v>KIY</v>
          </cell>
        </row>
        <row r="917">
          <cell r="I917" t="str">
            <v>COR-19-85-06</v>
          </cell>
          <cell r="J917" t="str">
            <v>ART</v>
          </cell>
        </row>
        <row r="918">
          <cell r="I918" t="str">
            <v>COR-19-85-07</v>
          </cell>
          <cell r="J918" t="str">
            <v>ART</v>
          </cell>
        </row>
        <row r="919">
          <cell r="I919" t="str">
            <v>COR-19-85-08</v>
          </cell>
          <cell r="J919" t="str">
            <v>ART</v>
          </cell>
        </row>
        <row r="920">
          <cell r="I920" t="str">
            <v>COR-19-85-09</v>
          </cell>
          <cell r="J920" t="str">
            <v>ART</v>
          </cell>
        </row>
        <row r="921">
          <cell r="I921" t="str">
            <v>COR-19-85-10</v>
          </cell>
          <cell r="J921" t="str">
            <v>ART</v>
          </cell>
        </row>
        <row r="922">
          <cell r="I922" t="str">
            <v>COR-19-85-11</v>
          </cell>
          <cell r="J922" t="str">
            <v>ART</v>
          </cell>
        </row>
        <row r="923">
          <cell r="I923" t="str">
            <v>COR-19-85-12</v>
          </cell>
          <cell r="J923" t="str">
            <v>ART</v>
          </cell>
        </row>
        <row r="924">
          <cell r="I924" t="str">
            <v>COR-19-86-01</v>
          </cell>
          <cell r="J924" t="str">
            <v>ART</v>
          </cell>
        </row>
        <row r="925">
          <cell r="I925" t="str">
            <v>COR-19-86-02</v>
          </cell>
          <cell r="J925" t="str">
            <v>ART</v>
          </cell>
        </row>
        <row r="926">
          <cell r="I926" t="str">
            <v>COR-19-86-03</v>
          </cell>
          <cell r="J926" t="str">
            <v>ART</v>
          </cell>
        </row>
        <row r="927">
          <cell r="I927" t="str">
            <v>COR-19-86-04</v>
          </cell>
          <cell r="J927" t="str">
            <v>ART</v>
          </cell>
        </row>
        <row r="928">
          <cell r="I928" t="str">
            <v>COR-19-86-05</v>
          </cell>
          <cell r="J928" t="str">
            <v>ART</v>
          </cell>
        </row>
        <row r="929">
          <cell r="I929" t="str">
            <v>COR-19-86-06</v>
          </cell>
          <cell r="J929" t="str">
            <v>ART</v>
          </cell>
        </row>
        <row r="930">
          <cell r="I930" t="str">
            <v>COR-19-86-07</v>
          </cell>
          <cell r="J930" t="str">
            <v>ART</v>
          </cell>
        </row>
        <row r="931">
          <cell r="I931" t="str">
            <v>COR-19-86-08</v>
          </cell>
          <cell r="J931" t="str">
            <v>ART</v>
          </cell>
        </row>
        <row r="932">
          <cell r="I932" t="str">
            <v>COR-19-86-09</v>
          </cell>
          <cell r="J932" t="str">
            <v>ART</v>
          </cell>
        </row>
        <row r="933">
          <cell r="I933" t="str">
            <v>COR-19-86-10</v>
          </cell>
          <cell r="J933" t="str">
            <v>ART</v>
          </cell>
        </row>
        <row r="934">
          <cell r="I934" t="str">
            <v>COR-19-86-11</v>
          </cell>
          <cell r="J934" t="str">
            <v>ART</v>
          </cell>
        </row>
        <row r="935">
          <cell r="I935" t="str">
            <v>COR-19-86-12</v>
          </cell>
          <cell r="J935" t="str">
            <v>ART</v>
          </cell>
        </row>
        <row r="936">
          <cell r="I936" t="str">
            <v>COR-19-87-01</v>
          </cell>
          <cell r="J936" t="str">
            <v>ART</v>
          </cell>
        </row>
        <row r="937">
          <cell r="I937" t="str">
            <v>COR-19-87-02</v>
          </cell>
          <cell r="J937" t="str">
            <v>ART</v>
          </cell>
        </row>
        <row r="938">
          <cell r="I938" t="str">
            <v>COR-19-87-03</v>
          </cell>
          <cell r="J938" t="str">
            <v>ART</v>
          </cell>
        </row>
        <row r="939">
          <cell r="I939" t="str">
            <v>COR-19-87-04</v>
          </cell>
          <cell r="J939" t="str">
            <v>ART</v>
          </cell>
        </row>
        <row r="940">
          <cell r="I940" t="str">
            <v>COR-19-87-05</v>
          </cell>
          <cell r="J940" t="str">
            <v>ART</v>
          </cell>
        </row>
        <row r="941">
          <cell r="I941" t="str">
            <v>COR-19-87-06</v>
          </cell>
          <cell r="J941" t="str">
            <v>ART</v>
          </cell>
        </row>
        <row r="942">
          <cell r="I942" t="str">
            <v>COR-19-87-07</v>
          </cell>
          <cell r="J942" t="str">
            <v>ART</v>
          </cell>
        </row>
        <row r="943">
          <cell r="I943" t="str">
            <v>COR-19-87-08</v>
          </cell>
          <cell r="J943" t="str">
            <v>ART</v>
          </cell>
        </row>
        <row r="944">
          <cell r="I944" t="str">
            <v>COR-19-87-09</v>
          </cell>
          <cell r="J944" t="str">
            <v>KIY</v>
          </cell>
        </row>
        <row r="945">
          <cell r="I945" t="str">
            <v>COR-19-87-10</v>
          </cell>
          <cell r="J945" t="str">
            <v>ART</v>
          </cell>
        </row>
        <row r="946">
          <cell r="I946" t="str">
            <v>COR-19-87-11</v>
          </cell>
          <cell r="J946" t="str">
            <v>ART</v>
          </cell>
        </row>
        <row r="947">
          <cell r="I947" t="str">
            <v>COR-19-87-12</v>
          </cell>
          <cell r="J947" t="str">
            <v>ART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F464-0CF1-4627-8E27-0DBE5AABE88D}">
  <dimension ref="A1:L1681"/>
  <sheetViews>
    <sheetView workbookViewId="0">
      <pane ySplit="1" topLeftCell="A899" activePane="bottomLeft" state="frozen"/>
      <selection pane="bottomLeft" activeCell="I904" sqref="I904"/>
    </sheetView>
  </sheetViews>
  <sheetFormatPr defaultRowHeight="14.4" x14ac:dyDescent="0.55000000000000004"/>
  <cols>
    <col min="1" max="1" width="7.41796875" bestFit="1" customWidth="1"/>
    <col min="2" max="2" width="8.26171875" bestFit="1" customWidth="1"/>
    <col min="3" max="3" width="4.41796875" bestFit="1" customWidth="1"/>
    <col min="4" max="4" width="9.26171875" bestFit="1" customWidth="1"/>
    <col min="5" max="5" width="14.26171875" bestFit="1" customWidth="1"/>
    <col min="6" max="6" width="6.68359375" bestFit="1" customWidth="1"/>
    <col min="7" max="7" width="12.15625" bestFit="1" customWidth="1"/>
    <col min="8" max="8" width="11.62890625" bestFit="1" customWidth="1"/>
    <col min="9" max="9" width="17.15625" bestFit="1" customWidth="1"/>
    <col min="10" max="10" width="5.05078125" bestFit="1" customWidth="1"/>
    <col min="11" max="11" width="12.05078125" bestFit="1" customWidth="1"/>
  </cols>
  <sheetData>
    <row r="1" spans="1:12" x14ac:dyDescent="0.55000000000000004">
      <c r="A1" t="s">
        <v>3316</v>
      </c>
      <c r="B1" t="s">
        <v>3317</v>
      </c>
      <c r="C1" t="s">
        <v>3318</v>
      </c>
      <c r="D1" t="s">
        <v>3319</v>
      </c>
      <c r="E1" t="s">
        <v>3320</v>
      </c>
      <c r="F1" t="s">
        <v>3300</v>
      </c>
      <c r="G1" t="s">
        <v>3321</v>
      </c>
      <c r="H1" t="s">
        <v>3322</v>
      </c>
      <c r="I1" t="s">
        <v>3323</v>
      </c>
      <c r="J1" t="s">
        <v>3324</v>
      </c>
      <c r="K1" t="s">
        <v>3325</v>
      </c>
      <c r="L1" t="s">
        <v>3326</v>
      </c>
    </row>
    <row r="2" spans="1:12" x14ac:dyDescent="0.55000000000000004">
      <c r="A2">
        <v>5</v>
      </c>
      <c r="B2" t="s">
        <v>5</v>
      </c>
      <c r="C2">
        <v>25</v>
      </c>
      <c r="D2">
        <v>71</v>
      </c>
      <c r="E2" t="s">
        <v>227</v>
      </c>
      <c r="F2">
        <v>11.18</v>
      </c>
      <c r="G2" t="s">
        <v>1889</v>
      </c>
      <c r="H2" t="s">
        <v>1891</v>
      </c>
      <c r="I2" t="s">
        <v>210</v>
      </c>
      <c r="J2" t="s">
        <v>125</v>
      </c>
      <c r="K2" t="s">
        <v>1894</v>
      </c>
      <c r="L2" t="s">
        <v>3328</v>
      </c>
    </row>
    <row r="3" spans="1:12" x14ac:dyDescent="0.55000000000000004">
      <c r="A3">
        <v>204</v>
      </c>
      <c r="B3" t="s">
        <v>14</v>
      </c>
      <c r="C3">
        <v>25</v>
      </c>
      <c r="D3">
        <v>45</v>
      </c>
      <c r="E3" t="s">
        <v>426</v>
      </c>
      <c r="F3">
        <v>13.73</v>
      </c>
      <c r="G3" t="s">
        <v>1889</v>
      </c>
      <c r="H3" t="s">
        <v>1891</v>
      </c>
      <c r="I3" t="s">
        <v>211</v>
      </c>
      <c r="J3" t="s">
        <v>125</v>
      </c>
      <c r="K3" t="s">
        <v>2089</v>
      </c>
      <c r="L3" t="s">
        <v>3328</v>
      </c>
    </row>
    <row r="4" spans="1:12" x14ac:dyDescent="0.55000000000000004">
      <c r="A4">
        <v>389</v>
      </c>
      <c r="B4" t="s">
        <v>22</v>
      </c>
      <c r="C4">
        <v>25</v>
      </c>
      <c r="D4">
        <v>206</v>
      </c>
      <c r="E4" t="s">
        <v>611</v>
      </c>
      <c r="F4">
        <v>11.48</v>
      </c>
      <c r="G4" t="s">
        <v>1889</v>
      </c>
      <c r="H4" t="s">
        <v>1891</v>
      </c>
      <c r="I4" t="s">
        <v>212</v>
      </c>
      <c r="J4" t="s">
        <v>123</v>
      </c>
      <c r="K4" t="s">
        <v>2267</v>
      </c>
      <c r="L4" t="s">
        <v>3328</v>
      </c>
    </row>
    <row r="5" spans="1:12" x14ac:dyDescent="0.55000000000000004">
      <c r="A5">
        <v>415</v>
      </c>
      <c r="B5" t="s">
        <v>23</v>
      </c>
      <c r="C5">
        <v>10</v>
      </c>
      <c r="D5">
        <v>205</v>
      </c>
      <c r="E5" t="s">
        <v>637</v>
      </c>
      <c r="F5">
        <v>11.05</v>
      </c>
      <c r="G5" t="s">
        <v>1889</v>
      </c>
      <c r="H5" t="s">
        <v>1891</v>
      </c>
      <c r="I5" t="s">
        <v>212</v>
      </c>
      <c r="J5" t="s">
        <v>135</v>
      </c>
      <c r="K5" t="s">
        <v>2293</v>
      </c>
      <c r="L5" t="s">
        <v>3328</v>
      </c>
    </row>
    <row r="6" spans="1:12" x14ac:dyDescent="0.55000000000000004">
      <c r="A6">
        <v>417</v>
      </c>
      <c r="B6" t="s">
        <v>23</v>
      </c>
      <c r="C6">
        <v>10</v>
      </c>
      <c r="D6">
        <v>205</v>
      </c>
      <c r="E6" t="s">
        <v>639</v>
      </c>
      <c r="F6">
        <v>10.72</v>
      </c>
      <c r="G6" t="s">
        <v>1889</v>
      </c>
      <c r="H6" t="s">
        <v>1891</v>
      </c>
      <c r="I6" t="s">
        <v>212</v>
      </c>
      <c r="J6" t="s">
        <v>137</v>
      </c>
      <c r="K6" t="s">
        <v>2295</v>
      </c>
      <c r="L6" t="s">
        <v>3328</v>
      </c>
    </row>
    <row r="7" spans="1:12" x14ac:dyDescent="0.55000000000000004">
      <c r="A7">
        <v>419</v>
      </c>
      <c r="B7" t="s">
        <v>23</v>
      </c>
      <c r="C7">
        <v>10</v>
      </c>
      <c r="D7">
        <v>205</v>
      </c>
      <c r="E7" t="s">
        <v>641</v>
      </c>
      <c r="F7">
        <v>9.5299999999999994</v>
      </c>
      <c r="G7" t="s">
        <v>1889</v>
      </c>
      <c r="H7" t="s">
        <v>1891</v>
      </c>
      <c r="I7" t="s">
        <v>212</v>
      </c>
      <c r="J7" t="s">
        <v>139</v>
      </c>
      <c r="K7" t="s">
        <v>2297</v>
      </c>
      <c r="L7" t="s">
        <v>3328</v>
      </c>
    </row>
    <row r="8" spans="1:12" x14ac:dyDescent="0.55000000000000004">
      <c r="A8">
        <v>424</v>
      </c>
      <c r="B8" t="s">
        <v>24</v>
      </c>
      <c r="C8">
        <v>25</v>
      </c>
      <c r="D8">
        <v>187</v>
      </c>
      <c r="E8" t="s">
        <v>646</v>
      </c>
      <c r="F8">
        <v>13.01</v>
      </c>
      <c r="G8" t="s">
        <v>1889</v>
      </c>
      <c r="H8" t="s">
        <v>1891</v>
      </c>
      <c r="I8" t="s">
        <v>212</v>
      </c>
      <c r="J8" t="s">
        <v>116</v>
      </c>
      <c r="K8" t="s">
        <v>2302</v>
      </c>
      <c r="L8" t="s">
        <v>3328</v>
      </c>
    </row>
    <row r="9" spans="1:12" x14ac:dyDescent="0.55000000000000004">
      <c r="A9">
        <v>425</v>
      </c>
      <c r="B9" t="s">
        <v>24</v>
      </c>
      <c r="C9">
        <v>25</v>
      </c>
      <c r="D9">
        <v>187</v>
      </c>
      <c r="E9" t="s">
        <v>647</v>
      </c>
      <c r="F9">
        <v>12.57</v>
      </c>
      <c r="G9" t="s">
        <v>1889</v>
      </c>
      <c r="H9" t="s">
        <v>1891</v>
      </c>
      <c r="I9" t="s">
        <v>212</v>
      </c>
      <c r="J9" t="s">
        <v>144</v>
      </c>
      <c r="K9" t="s">
        <v>2303</v>
      </c>
      <c r="L9" t="s">
        <v>3328</v>
      </c>
    </row>
    <row r="10" spans="1:12" x14ac:dyDescent="0.55000000000000004">
      <c r="A10">
        <v>427</v>
      </c>
      <c r="B10" t="s">
        <v>24</v>
      </c>
      <c r="C10">
        <v>25</v>
      </c>
      <c r="D10">
        <v>187</v>
      </c>
      <c r="E10" t="s">
        <v>649</v>
      </c>
      <c r="F10">
        <v>12.13</v>
      </c>
      <c r="G10" t="s">
        <v>1889</v>
      </c>
      <c r="H10" t="s">
        <v>1891</v>
      </c>
      <c r="I10" t="s">
        <v>212</v>
      </c>
      <c r="J10" t="s">
        <v>146</v>
      </c>
      <c r="K10" t="s">
        <v>2305</v>
      </c>
      <c r="L10" t="s">
        <v>3328</v>
      </c>
    </row>
    <row r="11" spans="1:12" x14ac:dyDescent="0.55000000000000004">
      <c r="A11">
        <v>429</v>
      </c>
      <c r="B11" t="s">
        <v>24</v>
      </c>
      <c r="C11">
        <v>25</v>
      </c>
      <c r="D11">
        <v>187</v>
      </c>
      <c r="E11" t="s">
        <v>651</v>
      </c>
      <c r="F11">
        <v>12.63</v>
      </c>
      <c r="G11" t="s">
        <v>1889</v>
      </c>
      <c r="H11" t="s">
        <v>1891</v>
      </c>
      <c r="I11" t="s">
        <v>212</v>
      </c>
      <c r="J11" t="s">
        <v>148</v>
      </c>
      <c r="K11" t="s">
        <v>2307</v>
      </c>
      <c r="L11" t="s">
        <v>3328</v>
      </c>
    </row>
    <row r="12" spans="1:12" x14ac:dyDescent="0.55000000000000004">
      <c r="A12">
        <v>431</v>
      </c>
      <c r="B12" t="s">
        <v>24</v>
      </c>
      <c r="C12">
        <v>25</v>
      </c>
      <c r="D12">
        <v>187</v>
      </c>
      <c r="E12" t="s">
        <v>653</v>
      </c>
      <c r="F12">
        <v>14.66</v>
      </c>
      <c r="G12" t="s">
        <v>1889</v>
      </c>
      <c r="H12" t="s">
        <v>1891</v>
      </c>
      <c r="I12" t="s">
        <v>212</v>
      </c>
      <c r="J12" t="s">
        <v>150</v>
      </c>
      <c r="K12" t="s">
        <v>2309</v>
      </c>
      <c r="L12" t="s">
        <v>3328</v>
      </c>
    </row>
    <row r="13" spans="1:12" x14ac:dyDescent="0.55000000000000004">
      <c r="A13">
        <v>447</v>
      </c>
      <c r="B13" t="s">
        <v>25</v>
      </c>
      <c r="C13">
        <v>25</v>
      </c>
      <c r="D13">
        <v>151</v>
      </c>
      <c r="E13" t="s">
        <v>669</v>
      </c>
      <c r="F13">
        <v>11.62</v>
      </c>
      <c r="G13" t="s">
        <v>1889</v>
      </c>
      <c r="H13" t="s">
        <v>1891</v>
      </c>
      <c r="I13" t="s">
        <v>212</v>
      </c>
      <c r="J13" t="s">
        <v>153</v>
      </c>
      <c r="K13" t="s">
        <v>2324</v>
      </c>
      <c r="L13" t="s">
        <v>3328</v>
      </c>
    </row>
    <row r="14" spans="1:12" x14ac:dyDescent="0.55000000000000004">
      <c r="A14">
        <v>449</v>
      </c>
      <c r="B14" t="s">
        <v>25</v>
      </c>
      <c r="C14">
        <v>25</v>
      </c>
      <c r="D14">
        <v>151</v>
      </c>
      <c r="E14" t="s">
        <v>671</v>
      </c>
      <c r="F14">
        <v>10.5</v>
      </c>
      <c r="G14" t="s">
        <v>1889</v>
      </c>
      <c r="H14" t="s">
        <v>1891</v>
      </c>
      <c r="I14" t="s">
        <v>212</v>
      </c>
      <c r="J14" t="s">
        <v>117</v>
      </c>
      <c r="K14" t="s">
        <v>2326</v>
      </c>
      <c r="L14" t="s">
        <v>3328</v>
      </c>
    </row>
    <row r="15" spans="1:12" x14ac:dyDescent="0.55000000000000004">
      <c r="A15">
        <v>450</v>
      </c>
      <c r="B15" t="s">
        <v>25</v>
      </c>
      <c r="C15">
        <v>25</v>
      </c>
      <c r="D15">
        <v>151</v>
      </c>
      <c r="E15" t="s">
        <v>672</v>
      </c>
      <c r="F15">
        <v>12.99</v>
      </c>
      <c r="G15" t="s">
        <v>1889</v>
      </c>
      <c r="H15" t="s">
        <v>1891</v>
      </c>
      <c r="I15" t="s">
        <v>212</v>
      </c>
      <c r="J15" t="s">
        <v>155</v>
      </c>
      <c r="K15" t="s">
        <v>2327</v>
      </c>
      <c r="L15" t="s">
        <v>3328</v>
      </c>
    </row>
    <row r="16" spans="1:12" x14ac:dyDescent="0.55000000000000004">
      <c r="A16">
        <v>452</v>
      </c>
      <c r="B16" t="s">
        <v>25</v>
      </c>
      <c r="C16">
        <v>25</v>
      </c>
      <c r="D16">
        <v>151</v>
      </c>
      <c r="E16" t="s">
        <v>674</v>
      </c>
      <c r="F16">
        <v>11.48</v>
      </c>
      <c r="G16" t="s">
        <v>1889</v>
      </c>
      <c r="H16" t="s">
        <v>1891</v>
      </c>
      <c r="I16" t="s">
        <v>212</v>
      </c>
      <c r="J16" t="s">
        <v>157</v>
      </c>
      <c r="K16" t="s">
        <v>2329</v>
      </c>
      <c r="L16" t="s">
        <v>3328</v>
      </c>
    </row>
    <row r="17" spans="1:12" x14ac:dyDescent="0.55000000000000004">
      <c r="A17">
        <v>454</v>
      </c>
      <c r="B17" t="s">
        <v>25</v>
      </c>
      <c r="C17">
        <v>25</v>
      </c>
      <c r="D17">
        <v>151</v>
      </c>
      <c r="E17" t="s">
        <v>676</v>
      </c>
      <c r="F17">
        <v>12.33</v>
      </c>
      <c r="G17" t="s">
        <v>1889</v>
      </c>
      <c r="H17" t="s">
        <v>1891</v>
      </c>
      <c r="I17" t="s">
        <v>212</v>
      </c>
      <c r="J17" t="s">
        <v>159</v>
      </c>
      <c r="K17" t="s">
        <v>2331</v>
      </c>
      <c r="L17" t="s">
        <v>3328</v>
      </c>
    </row>
    <row r="18" spans="1:12" x14ac:dyDescent="0.55000000000000004">
      <c r="A18">
        <v>456</v>
      </c>
      <c r="B18" t="s">
        <v>25</v>
      </c>
      <c r="C18">
        <v>25</v>
      </c>
      <c r="D18">
        <v>151</v>
      </c>
      <c r="E18" t="s">
        <v>678</v>
      </c>
      <c r="F18">
        <v>10.7</v>
      </c>
      <c r="G18" t="s">
        <v>1889</v>
      </c>
      <c r="H18" t="s">
        <v>1891</v>
      </c>
      <c r="I18" t="s">
        <v>212</v>
      </c>
      <c r="J18" t="s">
        <v>161</v>
      </c>
      <c r="K18" t="s">
        <v>2333</v>
      </c>
      <c r="L18" t="s">
        <v>3328</v>
      </c>
    </row>
    <row r="19" spans="1:12" x14ac:dyDescent="0.55000000000000004">
      <c r="A19">
        <v>472</v>
      </c>
      <c r="B19" t="s">
        <v>26</v>
      </c>
      <c r="C19">
        <v>25</v>
      </c>
      <c r="D19">
        <v>76</v>
      </c>
      <c r="E19" t="s">
        <v>694</v>
      </c>
      <c r="F19">
        <v>11.34</v>
      </c>
      <c r="G19" t="s">
        <v>1889</v>
      </c>
      <c r="H19" t="s">
        <v>1891</v>
      </c>
      <c r="I19" t="s">
        <v>212</v>
      </c>
      <c r="J19" t="s">
        <v>164</v>
      </c>
      <c r="K19" t="s">
        <v>2349</v>
      </c>
      <c r="L19" t="s">
        <v>3328</v>
      </c>
    </row>
    <row r="20" spans="1:12" x14ac:dyDescent="0.55000000000000004">
      <c r="A20">
        <v>474</v>
      </c>
      <c r="B20" t="s">
        <v>26</v>
      </c>
      <c r="C20">
        <v>25</v>
      </c>
      <c r="D20">
        <v>76</v>
      </c>
      <c r="E20" t="s">
        <v>696</v>
      </c>
      <c r="F20">
        <v>11.22</v>
      </c>
      <c r="G20" t="s">
        <v>1889</v>
      </c>
      <c r="H20" t="s">
        <v>1891</v>
      </c>
      <c r="I20" t="s">
        <v>212</v>
      </c>
      <c r="J20" t="s">
        <v>118</v>
      </c>
      <c r="K20" t="s">
        <v>2351</v>
      </c>
      <c r="L20" t="s">
        <v>3328</v>
      </c>
    </row>
    <row r="21" spans="1:12" x14ac:dyDescent="0.55000000000000004">
      <c r="A21">
        <v>475</v>
      </c>
      <c r="B21" t="s">
        <v>26</v>
      </c>
      <c r="C21">
        <v>25</v>
      </c>
      <c r="D21">
        <v>76</v>
      </c>
      <c r="E21" t="s">
        <v>697</v>
      </c>
      <c r="F21">
        <v>10.31</v>
      </c>
      <c r="G21" t="s">
        <v>1889</v>
      </c>
      <c r="H21" t="s">
        <v>1891</v>
      </c>
      <c r="I21" t="s">
        <v>212</v>
      </c>
      <c r="J21" t="s">
        <v>166</v>
      </c>
      <c r="K21" t="s">
        <v>2352</v>
      </c>
      <c r="L21" t="s">
        <v>3328</v>
      </c>
    </row>
    <row r="22" spans="1:12" x14ac:dyDescent="0.55000000000000004">
      <c r="A22">
        <v>477</v>
      </c>
      <c r="B22" t="s">
        <v>26</v>
      </c>
      <c r="C22">
        <v>25</v>
      </c>
      <c r="D22">
        <v>76</v>
      </c>
      <c r="E22" t="s">
        <v>699</v>
      </c>
      <c r="F22">
        <v>12.37</v>
      </c>
      <c r="G22" t="s">
        <v>1889</v>
      </c>
      <c r="H22" t="s">
        <v>1891</v>
      </c>
      <c r="I22" t="s">
        <v>212</v>
      </c>
      <c r="J22" t="s">
        <v>168</v>
      </c>
      <c r="K22" t="s">
        <v>2354</v>
      </c>
      <c r="L22" t="s">
        <v>3328</v>
      </c>
    </row>
    <row r="23" spans="1:12" x14ac:dyDescent="0.55000000000000004">
      <c r="A23">
        <v>479</v>
      </c>
      <c r="B23" t="s">
        <v>26</v>
      </c>
      <c r="C23">
        <v>25</v>
      </c>
      <c r="D23">
        <v>76</v>
      </c>
      <c r="E23" t="s">
        <v>701</v>
      </c>
      <c r="F23">
        <v>10.27</v>
      </c>
      <c r="G23" t="s">
        <v>1889</v>
      </c>
      <c r="H23" t="s">
        <v>1891</v>
      </c>
      <c r="I23" t="s">
        <v>212</v>
      </c>
      <c r="J23" t="s">
        <v>170</v>
      </c>
      <c r="K23" t="s">
        <v>2356</v>
      </c>
      <c r="L23" t="s">
        <v>3328</v>
      </c>
    </row>
    <row r="24" spans="1:12" x14ac:dyDescent="0.55000000000000004">
      <c r="A24">
        <v>481</v>
      </c>
      <c r="B24" t="s">
        <v>26</v>
      </c>
      <c r="C24">
        <v>25</v>
      </c>
      <c r="D24">
        <v>76</v>
      </c>
      <c r="E24" t="s">
        <v>703</v>
      </c>
      <c r="F24">
        <v>9.6</v>
      </c>
      <c r="G24" t="s">
        <v>1889</v>
      </c>
      <c r="H24" t="s">
        <v>1891</v>
      </c>
      <c r="I24" t="s">
        <v>212</v>
      </c>
      <c r="J24" t="s">
        <v>172</v>
      </c>
      <c r="K24" t="s">
        <v>2358</v>
      </c>
      <c r="L24" t="s">
        <v>3328</v>
      </c>
    </row>
    <row r="25" spans="1:12" x14ac:dyDescent="0.55000000000000004">
      <c r="A25">
        <v>497</v>
      </c>
      <c r="B25" t="s">
        <v>27</v>
      </c>
      <c r="C25">
        <v>25</v>
      </c>
      <c r="D25">
        <v>139</v>
      </c>
      <c r="E25" t="s">
        <v>719</v>
      </c>
      <c r="F25">
        <v>10.84</v>
      </c>
      <c r="G25" t="s">
        <v>1889</v>
      </c>
      <c r="H25" t="s">
        <v>1891</v>
      </c>
      <c r="I25" t="s">
        <v>212</v>
      </c>
      <c r="J25" t="s">
        <v>175</v>
      </c>
      <c r="K25" t="s">
        <v>2374</v>
      </c>
      <c r="L25" t="s">
        <v>3328</v>
      </c>
    </row>
    <row r="26" spans="1:12" x14ac:dyDescent="0.55000000000000004">
      <c r="A26">
        <v>499</v>
      </c>
      <c r="B26" t="s">
        <v>27</v>
      </c>
      <c r="C26">
        <v>25</v>
      </c>
      <c r="D26">
        <v>139</v>
      </c>
      <c r="E26" t="s">
        <v>721</v>
      </c>
      <c r="F26">
        <v>10.96</v>
      </c>
      <c r="G26" t="s">
        <v>1889</v>
      </c>
      <c r="H26" t="s">
        <v>1891</v>
      </c>
      <c r="I26" t="s">
        <v>212</v>
      </c>
      <c r="J26" t="s">
        <v>119</v>
      </c>
      <c r="K26" t="s">
        <v>2376</v>
      </c>
      <c r="L26" t="s">
        <v>3328</v>
      </c>
    </row>
    <row r="27" spans="1:12" x14ac:dyDescent="0.55000000000000004">
      <c r="A27">
        <v>500</v>
      </c>
      <c r="B27" t="s">
        <v>27</v>
      </c>
      <c r="C27">
        <v>25</v>
      </c>
      <c r="D27">
        <v>139</v>
      </c>
      <c r="E27" t="s">
        <v>722</v>
      </c>
      <c r="F27">
        <v>10.72</v>
      </c>
      <c r="G27" t="s">
        <v>1889</v>
      </c>
      <c r="H27" t="s">
        <v>1891</v>
      </c>
      <c r="I27" t="s">
        <v>212</v>
      </c>
      <c r="J27" t="s">
        <v>177</v>
      </c>
      <c r="K27" t="s">
        <v>2377</v>
      </c>
      <c r="L27" t="s">
        <v>3328</v>
      </c>
    </row>
    <row r="28" spans="1:12" x14ac:dyDescent="0.55000000000000004">
      <c r="A28">
        <v>502</v>
      </c>
      <c r="B28" t="s">
        <v>27</v>
      </c>
      <c r="C28">
        <v>25</v>
      </c>
      <c r="D28">
        <v>139</v>
      </c>
      <c r="E28" t="s">
        <v>724</v>
      </c>
      <c r="F28">
        <v>10.08</v>
      </c>
      <c r="G28" t="s">
        <v>1889</v>
      </c>
      <c r="H28" t="s">
        <v>1891</v>
      </c>
      <c r="I28" t="s">
        <v>212</v>
      </c>
      <c r="J28" t="s">
        <v>179</v>
      </c>
      <c r="K28" t="s">
        <v>2379</v>
      </c>
      <c r="L28" t="s">
        <v>3328</v>
      </c>
    </row>
    <row r="29" spans="1:12" x14ac:dyDescent="0.55000000000000004">
      <c r="A29">
        <v>504</v>
      </c>
      <c r="B29" t="s">
        <v>27</v>
      </c>
      <c r="C29">
        <v>25</v>
      </c>
      <c r="D29">
        <v>139</v>
      </c>
      <c r="E29" t="s">
        <v>726</v>
      </c>
      <c r="F29">
        <v>12.22</v>
      </c>
      <c r="G29" t="s">
        <v>1889</v>
      </c>
      <c r="H29" t="s">
        <v>1891</v>
      </c>
      <c r="I29" t="s">
        <v>212</v>
      </c>
      <c r="J29" t="s">
        <v>181</v>
      </c>
      <c r="K29" t="s">
        <v>2381</v>
      </c>
      <c r="L29" t="s">
        <v>3328</v>
      </c>
    </row>
    <row r="30" spans="1:12" x14ac:dyDescent="0.55000000000000004">
      <c r="A30">
        <v>506</v>
      </c>
      <c r="B30" t="s">
        <v>27</v>
      </c>
      <c r="C30">
        <v>25</v>
      </c>
      <c r="D30">
        <v>139</v>
      </c>
      <c r="E30" t="s">
        <v>728</v>
      </c>
      <c r="F30">
        <v>11.3</v>
      </c>
      <c r="G30" t="s">
        <v>1889</v>
      </c>
      <c r="H30" t="s">
        <v>1891</v>
      </c>
      <c r="I30" t="s">
        <v>212</v>
      </c>
      <c r="J30" t="s">
        <v>183</v>
      </c>
      <c r="K30" t="s">
        <v>2383</v>
      </c>
      <c r="L30" t="s">
        <v>3328</v>
      </c>
    </row>
    <row r="31" spans="1:12" x14ac:dyDescent="0.55000000000000004">
      <c r="A31">
        <v>522</v>
      </c>
      <c r="B31" t="s">
        <v>29</v>
      </c>
      <c r="C31">
        <v>25</v>
      </c>
      <c r="D31">
        <v>184</v>
      </c>
      <c r="E31" t="s">
        <v>744</v>
      </c>
      <c r="F31">
        <v>15.14</v>
      </c>
      <c r="G31" t="s">
        <v>1889</v>
      </c>
      <c r="H31" t="s">
        <v>1891</v>
      </c>
      <c r="I31" t="s">
        <v>212</v>
      </c>
      <c r="J31" t="s">
        <v>186</v>
      </c>
      <c r="K31" t="s">
        <v>2389</v>
      </c>
      <c r="L31" t="s">
        <v>3328</v>
      </c>
    </row>
    <row r="32" spans="1:12" x14ac:dyDescent="0.55000000000000004">
      <c r="A32">
        <v>524</v>
      </c>
      <c r="B32" t="s">
        <v>29</v>
      </c>
      <c r="C32">
        <v>25</v>
      </c>
      <c r="D32">
        <v>184</v>
      </c>
      <c r="E32" t="s">
        <v>746</v>
      </c>
      <c r="F32">
        <v>11.33</v>
      </c>
      <c r="G32" t="s">
        <v>1889</v>
      </c>
      <c r="H32" t="s">
        <v>1891</v>
      </c>
      <c r="I32" t="s">
        <v>212</v>
      </c>
      <c r="J32" t="s">
        <v>120</v>
      </c>
      <c r="K32" t="s">
        <v>2391</v>
      </c>
      <c r="L32" t="s">
        <v>3328</v>
      </c>
    </row>
    <row r="33" spans="1:12" x14ac:dyDescent="0.55000000000000004">
      <c r="A33">
        <v>525</v>
      </c>
      <c r="B33" t="s">
        <v>29</v>
      </c>
      <c r="C33">
        <v>25</v>
      </c>
      <c r="D33">
        <v>184</v>
      </c>
      <c r="E33" t="s">
        <v>747</v>
      </c>
      <c r="F33">
        <v>11.09</v>
      </c>
      <c r="G33" t="s">
        <v>1889</v>
      </c>
      <c r="H33" t="s">
        <v>1891</v>
      </c>
      <c r="I33" t="s">
        <v>212</v>
      </c>
      <c r="J33" t="s">
        <v>188</v>
      </c>
      <c r="K33" t="s">
        <v>2392</v>
      </c>
      <c r="L33" t="s">
        <v>3328</v>
      </c>
    </row>
    <row r="34" spans="1:12" x14ac:dyDescent="0.55000000000000004">
      <c r="A34">
        <v>527</v>
      </c>
      <c r="B34" t="s">
        <v>29</v>
      </c>
      <c r="C34">
        <v>25</v>
      </c>
      <c r="D34">
        <v>184</v>
      </c>
      <c r="E34" t="s">
        <v>749</v>
      </c>
      <c r="F34">
        <v>12.25</v>
      </c>
      <c r="G34" t="s">
        <v>1889</v>
      </c>
      <c r="H34" t="s">
        <v>1891</v>
      </c>
      <c r="I34" t="s">
        <v>212</v>
      </c>
      <c r="J34" t="s">
        <v>190</v>
      </c>
      <c r="K34" t="s">
        <v>2394</v>
      </c>
      <c r="L34" t="s">
        <v>3328</v>
      </c>
    </row>
    <row r="35" spans="1:12" x14ac:dyDescent="0.55000000000000004">
      <c r="A35">
        <v>529</v>
      </c>
      <c r="B35" t="s">
        <v>29</v>
      </c>
      <c r="C35">
        <v>25</v>
      </c>
      <c r="D35">
        <v>184</v>
      </c>
      <c r="E35" t="s">
        <v>751</v>
      </c>
      <c r="F35">
        <v>12.44</v>
      </c>
      <c r="G35" t="s">
        <v>1889</v>
      </c>
      <c r="H35" t="s">
        <v>1891</v>
      </c>
      <c r="I35" t="s">
        <v>212</v>
      </c>
      <c r="J35" t="s">
        <v>192</v>
      </c>
      <c r="K35" t="s">
        <v>2396</v>
      </c>
      <c r="L35" t="s">
        <v>3328</v>
      </c>
    </row>
    <row r="36" spans="1:12" x14ac:dyDescent="0.55000000000000004">
      <c r="A36">
        <v>531</v>
      </c>
      <c r="B36" t="s">
        <v>29</v>
      </c>
      <c r="C36">
        <v>25</v>
      </c>
      <c r="D36">
        <v>184</v>
      </c>
      <c r="E36" t="s">
        <v>753</v>
      </c>
      <c r="F36">
        <v>10.37</v>
      </c>
      <c r="G36" t="s">
        <v>1889</v>
      </c>
      <c r="H36" t="s">
        <v>1891</v>
      </c>
      <c r="I36" t="s">
        <v>212</v>
      </c>
      <c r="J36" t="s">
        <v>194</v>
      </c>
      <c r="K36" t="s">
        <v>2398</v>
      </c>
      <c r="L36" t="s">
        <v>3328</v>
      </c>
    </row>
    <row r="37" spans="1:12" x14ac:dyDescent="0.55000000000000004">
      <c r="A37">
        <v>547</v>
      </c>
      <c r="B37" t="s">
        <v>30</v>
      </c>
      <c r="C37">
        <v>25</v>
      </c>
      <c r="D37">
        <v>192</v>
      </c>
      <c r="E37" t="s">
        <v>769</v>
      </c>
      <c r="F37">
        <v>14.25</v>
      </c>
      <c r="G37" t="s">
        <v>1889</v>
      </c>
      <c r="H37" t="s">
        <v>1891</v>
      </c>
      <c r="I37" t="s">
        <v>212</v>
      </c>
      <c r="J37" t="s">
        <v>197</v>
      </c>
      <c r="K37" t="s">
        <v>2414</v>
      </c>
      <c r="L37" t="s">
        <v>3328</v>
      </c>
    </row>
    <row r="38" spans="1:12" x14ac:dyDescent="0.55000000000000004">
      <c r="A38">
        <v>549</v>
      </c>
      <c r="B38" t="s">
        <v>30</v>
      </c>
      <c r="C38">
        <v>25</v>
      </c>
      <c r="D38">
        <v>192</v>
      </c>
      <c r="E38" t="s">
        <v>771</v>
      </c>
      <c r="F38">
        <v>14.24</v>
      </c>
      <c r="G38" t="s">
        <v>1889</v>
      </c>
      <c r="H38" t="s">
        <v>1891</v>
      </c>
      <c r="I38" t="s">
        <v>212</v>
      </c>
      <c r="J38" t="s">
        <v>121</v>
      </c>
      <c r="K38" t="s">
        <v>2416</v>
      </c>
      <c r="L38" t="s">
        <v>3328</v>
      </c>
    </row>
    <row r="39" spans="1:12" x14ac:dyDescent="0.55000000000000004">
      <c r="A39">
        <v>550</v>
      </c>
      <c r="B39" t="s">
        <v>30</v>
      </c>
      <c r="C39">
        <v>25</v>
      </c>
      <c r="D39">
        <v>192</v>
      </c>
      <c r="E39" t="s">
        <v>772</v>
      </c>
      <c r="F39">
        <v>13.35</v>
      </c>
      <c r="G39" t="s">
        <v>1889</v>
      </c>
      <c r="H39" t="s">
        <v>1891</v>
      </c>
      <c r="I39" t="s">
        <v>212</v>
      </c>
      <c r="J39" t="s">
        <v>199</v>
      </c>
      <c r="K39" t="s">
        <v>2417</v>
      </c>
      <c r="L39" t="s">
        <v>3328</v>
      </c>
    </row>
    <row r="40" spans="1:12" x14ac:dyDescent="0.55000000000000004">
      <c r="A40">
        <v>552</v>
      </c>
      <c r="B40" t="s">
        <v>30</v>
      </c>
      <c r="C40">
        <v>25</v>
      </c>
      <c r="D40">
        <v>192</v>
      </c>
      <c r="E40" t="s">
        <v>774</v>
      </c>
      <c r="F40">
        <v>12.2</v>
      </c>
      <c r="G40" t="s">
        <v>1889</v>
      </c>
      <c r="H40" t="s">
        <v>1891</v>
      </c>
      <c r="I40" t="s">
        <v>212</v>
      </c>
      <c r="J40" t="s">
        <v>201</v>
      </c>
      <c r="K40" t="s">
        <v>2419</v>
      </c>
      <c r="L40" t="s">
        <v>3328</v>
      </c>
    </row>
    <row r="41" spans="1:12" x14ac:dyDescent="0.55000000000000004">
      <c r="A41">
        <v>554</v>
      </c>
      <c r="B41" t="s">
        <v>30</v>
      </c>
      <c r="C41">
        <v>25</v>
      </c>
      <c r="D41">
        <v>192</v>
      </c>
      <c r="E41" t="s">
        <v>776</v>
      </c>
      <c r="F41">
        <v>10.6</v>
      </c>
      <c r="G41" t="s">
        <v>1889</v>
      </c>
      <c r="H41" t="s">
        <v>1891</v>
      </c>
      <c r="I41" t="s">
        <v>212</v>
      </c>
      <c r="J41" t="s">
        <v>203</v>
      </c>
      <c r="K41" t="s">
        <v>2421</v>
      </c>
      <c r="L41" t="s">
        <v>3328</v>
      </c>
    </row>
    <row r="42" spans="1:12" x14ac:dyDescent="0.55000000000000004">
      <c r="A42">
        <v>556</v>
      </c>
      <c r="B42" t="s">
        <v>30</v>
      </c>
      <c r="C42">
        <v>25</v>
      </c>
      <c r="D42">
        <v>192</v>
      </c>
      <c r="E42" t="s">
        <v>778</v>
      </c>
      <c r="F42">
        <v>11.51</v>
      </c>
      <c r="G42" t="s">
        <v>1889</v>
      </c>
      <c r="H42" t="s">
        <v>1891</v>
      </c>
      <c r="I42" t="s">
        <v>212</v>
      </c>
      <c r="J42" t="s">
        <v>205</v>
      </c>
      <c r="K42" t="s">
        <v>2423</v>
      </c>
      <c r="L42" t="s">
        <v>3328</v>
      </c>
    </row>
    <row r="43" spans="1:12" x14ac:dyDescent="0.55000000000000004">
      <c r="A43">
        <v>572</v>
      </c>
      <c r="B43" t="s">
        <v>31</v>
      </c>
      <c r="C43">
        <v>25</v>
      </c>
      <c r="D43">
        <v>57</v>
      </c>
      <c r="E43" t="s">
        <v>794</v>
      </c>
      <c r="F43">
        <v>13.64</v>
      </c>
      <c r="G43" t="s">
        <v>1889</v>
      </c>
      <c r="H43" t="s">
        <v>1891</v>
      </c>
      <c r="I43" t="s">
        <v>212</v>
      </c>
      <c r="J43" t="s">
        <v>208</v>
      </c>
      <c r="K43" t="s">
        <v>2438</v>
      </c>
      <c r="L43" t="s">
        <v>3328</v>
      </c>
    </row>
    <row r="44" spans="1:12" x14ac:dyDescent="0.55000000000000004">
      <c r="A44">
        <v>576</v>
      </c>
      <c r="B44" t="s">
        <v>31</v>
      </c>
      <c r="C44">
        <v>25</v>
      </c>
      <c r="D44">
        <v>57</v>
      </c>
      <c r="E44" t="s">
        <v>798</v>
      </c>
      <c r="F44">
        <v>11.32</v>
      </c>
      <c r="G44" t="s">
        <v>1889</v>
      </c>
      <c r="H44" t="s">
        <v>1891</v>
      </c>
      <c r="I44" t="s">
        <v>213</v>
      </c>
      <c r="J44" t="s">
        <v>123</v>
      </c>
      <c r="K44" t="s">
        <v>2442</v>
      </c>
      <c r="L44" t="s">
        <v>3328</v>
      </c>
    </row>
    <row r="45" spans="1:12" x14ac:dyDescent="0.55000000000000004">
      <c r="A45">
        <v>602</v>
      </c>
      <c r="B45" t="s">
        <v>32</v>
      </c>
      <c r="C45">
        <v>25</v>
      </c>
      <c r="D45">
        <v>183</v>
      </c>
      <c r="E45" t="s">
        <v>824</v>
      </c>
      <c r="F45">
        <v>11.68</v>
      </c>
      <c r="G45" t="s">
        <v>1889</v>
      </c>
      <c r="H45" t="s">
        <v>1891</v>
      </c>
      <c r="I45" t="s">
        <v>213</v>
      </c>
      <c r="J45" t="s">
        <v>135</v>
      </c>
      <c r="K45" t="s">
        <v>2468</v>
      </c>
      <c r="L45" t="s">
        <v>3328</v>
      </c>
    </row>
    <row r="46" spans="1:12" x14ac:dyDescent="0.55000000000000004">
      <c r="A46">
        <v>604</v>
      </c>
      <c r="B46" t="s">
        <v>32</v>
      </c>
      <c r="C46">
        <v>25</v>
      </c>
      <c r="D46">
        <v>183</v>
      </c>
      <c r="E46" t="s">
        <v>826</v>
      </c>
      <c r="F46">
        <v>13.09</v>
      </c>
      <c r="G46" t="s">
        <v>1889</v>
      </c>
      <c r="H46" t="s">
        <v>1891</v>
      </c>
      <c r="I46" t="s">
        <v>213</v>
      </c>
      <c r="J46" t="s">
        <v>137</v>
      </c>
      <c r="K46" t="s">
        <v>2470</v>
      </c>
      <c r="L46" t="s">
        <v>3328</v>
      </c>
    </row>
    <row r="47" spans="1:12" x14ac:dyDescent="0.55000000000000004">
      <c r="A47">
        <v>606</v>
      </c>
      <c r="B47" t="s">
        <v>32</v>
      </c>
      <c r="C47">
        <v>25</v>
      </c>
      <c r="D47">
        <v>183</v>
      </c>
      <c r="E47" t="s">
        <v>828</v>
      </c>
      <c r="F47">
        <v>12.22</v>
      </c>
      <c r="G47" t="s">
        <v>1889</v>
      </c>
      <c r="H47" t="s">
        <v>1891</v>
      </c>
      <c r="I47" t="s">
        <v>213</v>
      </c>
      <c r="J47" t="s">
        <v>139</v>
      </c>
      <c r="K47" t="s">
        <v>2472</v>
      </c>
      <c r="L47" t="s">
        <v>3328</v>
      </c>
    </row>
    <row r="48" spans="1:12" x14ac:dyDescent="0.55000000000000004">
      <c r="A48">
        <v>624</v>
      </c>
      <c r="B48" t="s">
        <v>33</v>
      </c>
      <c r="C48">
        <v>5</v>
      </c>
      <c r="D48">
        <v>182</v>
      </c>
      <c r="E48" t="s">
        <v>846</v>
      </c>
      <c r="F48">
        <v>10.77</v>
      </c>
      <c r="G48" t="s">
        <v>1889</v>
      </c>
      <c r="H48" t="s">
        <v>1891</v>
      </c>
      <c r="I48" t="s">
        <v>213</v>
      </c>
      <c r="J48" t="s">
        <v>116</v>
      </c>
      <c r="K48" t="s">
        <v>2490</v>
      </c>
      <c r="L48" t="s">
        <v>3328</v>
      </c>
    </row>
    <row r="49" spans="1:12" x14ac:dyDescent="0.55000000000000004">
      <c r="A49">
        <v>625</v>
      </c>
      <c r="B49" t="s">
        <v>34</v>
      </c>
      <c r="C49">
        <v>25</v>
      </c>
      <c r="D49">
        <v>82</v>
      </c>
      <c r="E49" t="s">
        <v>847</v>
      </c>
      <c r="F49">
        <v>13.19</v>
      </c>
      <c r="G49" t="s">
        <v>1889</v>
      </c>
      <c r="H49" t="s">
        <v>1891</v>
      </c>
      <c r="I49" t="s">
        <v>213</v>
      </c>
      <c r="J49" t="s">
        <v>144</v>
      </c>
      <c r="K49" t="s">
        <v>2491</v>
      </c>
      <c r="L49" t="s">
        <v>3328</v>
      </c>
    </row>
    <row r="50" spans="1:12" x14ac:dyDescent="0.55000000000000004">
      <c r="A50">
        <v>627</v>
      </c>
      <c r="B50" t="s">
        <v>34</v>
      </c>
      <c r="C50">
        <v>25</v>
      </c>
      <c r="D50">
        <v>82</v>
      </c>
      <c r="E50" t="s">
        <v>849</v>
      </c>
      <c r="F50">
        <v>12.09</v>
      </c>
      <c r="G50" t="s">
        <v>1889</v>
      </c>
      <c r="H50" t="s">
        <v>1891</v>
      </c>
      <c r="I50" t="s">
        <v>213</v>
      </c>
      <c r="J50" t="s">
        <v>146</v>
      </c>
      <c r="K50" t="s">
        <v>2493</v>
      </c>
      <c r="L50" t="s">
        <v>3328</v>
      </c>
    </row>
    <row r="51" spans="1:12" x14ac:dyDescent="0.55000000000000004">
      <c r="A51">
        <v>629</v>
      </c>
      <c r="B51" t="s">
        <v>34</v>
      </c>
      <c r="C51">
        <v>25</v>
      </c>
      <c r="D51">
        <v>82</v>
      </c>
      <c r="E51" t="s">
        <v>851</v>
      </c>
      <c r="F51">
        <v>12</v>
      </c>
      <c r="G51" t="s">
        <v>1889</v>
      </c>
      <c r="H51" t="s">
        <v>1891</v>
      </c>
      <c r="I51" t="s">
        <v>213</v>
      </c>
      <c r="J51" t="s">
        <v>148</v>
      </c>
      <c r="K51" t="s">
        <v>2495</v>
      </c>
      <c r="L51" t="s">
        <v>3328</v>
      </c>
    </row>
    <row r="52" spans="1:12" x14ac:dyDescent="0.55000000000000004">
      <c r="A52">
        <v>631</v>
      </c>
      <c r="B52" t="s">
        <v>34</v>
      </c>
      <c r="C52">
        <v>25</v>
      </c>
      <c r="D52">
        <v>82</v>
      </c>
      <c r="E52" t="s">
        <v>853</v>
      </c>
      <c r="F52">
        <v>13.07</v>
      </c>
      <c r="G52" t="s">
        <v>1889</v>
      </c>
      <c r="H52" t="s">
        <v>1891</v>
      </c>
      <c r="I52" t="s">
        <v>213</v>
      </c>
      <c r="J52" t="s">
        <v>150</v>
      </c>
      <c r="K52" t="s">
        <v>2497</v>
      </c>
      <c r="L52" t="s">
        <v>3328</v>
      </c>
    </row>
    <row r="53" spans="1:12" x14ac:dyDescent="0.55000000000000004">
      <c r="A53">
        <v>634</v>
      </c>
      <c r="B53" t="s">
        <v>34</v>
      </c>
      <c r="C53">
        <v>25</v>
      </c>
      <c r="D53">
        <v>82</v>
      </c>
      <c r="E53" t="s">
        <v>856</v>
      </c>
      <c r="F53">
        <v>12.98</v>
      </c>
      <c r="G53" t="s">
        <v>1889</v>
      </c>
      <c r="H53" t="s">
        <v>1891</v>
      </c>
      <c r="I53" t="s">
        <v>213</v>
      </c>
      <c r="J53" t="s">
        <v>153</v>
      </c>
      <c r="K53" t="s">
        <v>2500</v>
      </c>
      <c r="L53" t="s">
        <v>3328</v>
      </c>
    </row>
    <row r="54" spans="1:12" x14ac:dyDescent="0.55000000000000004">
      <c r="A54">
        <v>636</v>
      </c>
      <c r="B54" t="s">
        <v>34</v>
      </c>
      <c r="C54">
        <v>25</v>
      </c>
      <c r="D54">
        <v>82</v>
      </c>
      <c r="E54" t="s">
        <v>858</v>
      </c>
      <c r="F54">
        <v>13.12</v>
      </c>
      <c r="G54" t="s">
        <v>1889</v>
      </c>
      <c r="H54" t="s">
        <v>1891</v>
      </c>
      <c r="I54" t="s">
        <v>213</v>
      </c>
      <c r="J54" t="s">
        <v>117</v>
      </c>
      <c r="K54" t="s">
        <v>2502</v>
      </c>
      <c r="L54" t="s">
        <v>3328</v>
      </c>
    </row>
    <row r="55" spans="1:12" x14ac:dyDescent="0.55000000000000004">
      <c r="A55">
        <v>650</v>
      </c>
      <c r="B55" t="s">
        <v>35</v>
      </c>
      <c r="C55">
        <v>25</v>
      </c>
      <c r="D55">
        <v>84</v>
      </c>
      <c r="E55" t="s">
        <v>872</v>
      </c>
      <c r="F55">
        <v>12.18</v>
      </c>
      <c r="G55" t="s">
        <v>1889</v>
      </c>
      <c r="H55" t="s">
        <v>1891</v>
      </c>
      <c r="I55" t="s">
        <v>213</v>
      </c>
      <c r="J55" t="s">
        <v>155</v>
      </c>
      <c r="K55" t="s">
        <v>2516</v>
      </c>
      <c r="L55" t="s">
        <v>3328</v>
      </c>
    </row>
    <row r="56" spans="1:12" x14ac:dyDescent="0.55000000000000004">
      <c r="A56">
        <v>652</v>
      </c>
      <c r="B56" t="s">
        <v>35</v>
      </c>
      <c r="C56">
        <v>25</v>
      </c>
      <c r="D56">
        <v>84</v>
      </c>
      <c r="E56" t="s">
        <v>874</v>
      </c>
      <c r="F56">
        <v>13.29</v>
      </c>
      <c r="G56" t="s">
        <v>1889</v>
      </c>
      <c r="H56" t="s">
        <v>1891</v>
      </c>
      <c r="I56" t="s">
        <v>213</v>
      </c>
      <c r="J56" t="s">
        <v>157</v>
      </c>
      <c r="K56" t="s">
        <v>2518</v>
      </c>
      <c r="L56" t="s">
        <v>3328</v>
      </c>
    </row>
    <row r="57" spans="1:12" x14ac:dyDescent="0.55000000000000004">
      <c r="A57">
        <v>654</v>
      </c>
      <c r="B57" t="s">
        <v>35</v>
      </c>
      <c r="C57">
        <v>25</v>
      </c>
      <c r="D57">
        <v>84</v>
      </c>
      <c r="E57" t="s">
        <v>876</v>
      </c>
      <c r="F57">
        <v>15.04</v>
      </c>
      <c r="G57" t="s">
        <v>1889</v>
      </c>
      <c r="H57" t="s">
        <v>1891</v>
      </c>
      <c r="I57" t="s">
        <v>213</v>
      </c>
      <c r="J57" t="s">
        <v>159</v>
      </c>
      <c r="K57" t="s">
        <v>2520</v>
      </c>
      <c r="L57" t="s">
        <v>3328</v>
      </c>
    </row>
    <row r="58" spans="1:12" x14ac:dyDescent="0.55000000000000004">
      <c r="A58">
        <v>656</v>
      </c>
      <c r="B58" t="s">
        <v>35</v>
      </c>
      <c r="C58">
        <v>25</v>
      </c>
      <c r="D58">
        <v>84</v>
      </c>
      <c r="E58" t="s">
        <v>878</v>
      </c>
      <c r="F58">
        <v>11.75</v>
      </c>
      <c r="G58" t="s">
        <v>1889</v>
      </c>
      <c r="H58" t="s">
        <v>1891</v>
      </c>
      <c r="I58" t="s">
        <v>213</v>
      </c>
      <c r="J58" t="s">
        <v>161</v>
      </c>
      <c r="K58" t="s">
        <v>2522</v>
      </c>
      <c r="L58" t="s">
        <v>3328</v>
      </c>
    </row>
    <row r="59" spans="1:12" x14ac:dyDescent="0.55000000000000004">
      <c r="A59">
        <v>659</v>
      </c>
      <c r="B59" t="s">
        <v>35</v>
      </c>
      <c r="C59">
        <v>25</v>
      </c>
      <c r="D59">
        <v>84</v>
      </c>
      <c r="E59" t="s">
        <v>881</v>
      </c>
      <c r="F59">
        <v>11.63</v>
      </c>
      <c r="G59" t="s">
        <v>1889</v>
      </c>
      <c r="H59" t="s">
        <v>1891</v>
      </c>
      <c r="I59" t="s">
        <v>213</v>
      </c>
      <c r="J59" t="s">
        <v>164</v>
      </c>
      <c r="K59" t="s">
        <v>2525</v>
      </c>
      <c r="L59" t="s">
        <v>3328</v>
      </c>
    </row>
    <row r="60" spans="1:12" x14ac:dyDescent="0.55000000000000004">
      <c r="A60">
        <v>661</v>
      </c>
      <c r="B60" t="s">
        <v>35</v>
      </c>
      <c r="C60">
        <v>25</v>
      </c>
      <c r="D60">
        <v>84</v>
      </c>
      <c r="E60" t="s">
        <v>883</v>
      </c>
      <c r="F60">
        <v>12.46</v>
      </c>
      <c r="G60" t="s">
        <v>1889</v>
      </c>
      <c r="H60" t="s">
        <v>1891</v>
      </c>
      <c r="I60" t="s">
        <v>213</v>
      </c>
      <c r="J60" t="s">
        <v>118</v>
      </c>
      <c r="K60" t="s">
        <v>2527</v>
      </c>
      <c r="L60" t="s">
        <v>3328</v>
      </c>
    </row>
    <row r="61" spans="1:12" x14ac:dyDescent="0.55000000000000004">
      <c r="A61">
        <v>675</v>
      </c>
      <c r="B61" t="s">
        <v>36</v>
      </c>
      <c r="C61">
        <v>25</v>
      </c>
      <c r="D61">
        <v>85</v>
      </c>
      <c r="E61" t="s">
        <v>897</v>
      </c>
      <c r="F61">
        <v>13.85</v>
      </c>
      <c r="G61" t="s">
        <v>1889</v>
      </c>
      <c r="H61" t="s">
        <v>1891</v>
      </c>
      <c r="I61" t="s">
        <v>213</v>
      </c>
      <c r="J61" t="s">
        <v>166</v>
      </c>
      <c r="K61" t="s">
        <v>2539</v>
      </c>
      <c r="L61" t="s">
        <v>3328</v>
      </c>
    </row>
    <row r="62" spans="1:12" x14ac:dyDescent="0.55000000000000004">
      <c r="A62">
        <v>677</v>
      </c>
      <c r="B62" t="s">
        <v>36</v>
      </c>
      <c r="C62">
        <v>25</v>
      </c>
      <c r="D62">
        <v>85</v>
      </c>
      <c r="E62" t="s">
        <v>899</v>
      </c>
      <c r="F62">
        <v>11.48</v>
      </c>
      <c r="G62" t="s">
        <v>1889</v>
      </c>
      <c r="H62" t="s">
        <v>1891</v>
      </c>
      <c r="I62" t="s">
        <v>213</v>
      </c>
      <c r="J62" t="s">
        <v>168</v>
      </c>
      <c r="K62" t="s">
        <v>2541</v>
      </c>
      <c r="L62" t="s">
        <v>3328</v>
      </c>
    </row>
    <row r="63" spans="1:12" x14ac:dyDescent="0.55000000000000004">
      <c r="A63">
        <v>679</v>
      </c>
      <c r="B63" t="s">
        <v>36</v>
      </c>
      <c r="C63">
        <v>25</v>
      </c>
      <c r="D63">
        <v>85</v>
      </c>
      <c r="E63" t="s">
        <v>901</v>
      </c>
      <c r="F63">
        <v>13.94</v>
      </c>
      <c r="G63" t="s">
        <v>1889</v>
      </c>
      <c r="H63" t="s">
        <v>1891</v>
      </c>
      <c r="I63" t="s">
        <v>213</v>
      </c>
      <c r="J63" t="s">
        <v>170</v>
      </c>
      <c r="K63" t="s">
        <v>2543</v>
      </c>
      <c r="L63" t="s">
        <v>3328</v>
      </c>
    </row>
    <row r="64" spans="1:12" x14ac:dyDescent="0.55000000000000004">
      <c r="A64">
        <v>681</v>
      </c>
      <c r="B64" t="s">
        <v>36</v>
      </c>
      <c r="C64">
        <v>25</v>
      </c>
      <c r="D64">
        <v>85</v>
      </c>
      <c r="E64" t="s">
        <v>903</v>
      </c>
      <c r="F64">
        <v>9.99</v>
      </c>
      <c r="G64" t="s">
        <v>1889</v>
      </c>
      <c r="H64" t="s">
        <v>1891</v>
      </c>
      <c r="I64" t="s">
        <v>213</v>
      </c>
      <c r="J64" t="s">
        <v>172</v>
      </c>
      <c r="K64" t="s">
        <v>2545</v>
      </c>
      <c r="L64" t="s">
        <v>3328</v>
      </c>
    </row>
    <row r="65" spans="1:12" x14ac:dyDescent="0.55000000000000004">
      <c r="A65">
        <v>684</v>
      </c>
      <c r="B65" t="s">
        <v>36</v>
      </c>
      <c r="C65">
        <v>25</v>
      </c>
      <c r="D65">
        <v>85</v>
      </c>
      <c r="E65" t="s">
        <v>906</v>
      </c>
      <c r="F65">
        <v>10.77</v>
      </c>
      <c r="G65" t="s">
        <v>1889</v>
      </c>
      <c r="H65" t="s">
        <v>1891</v>
      </c>
      <c r="I65" t="s">
        <v>213</v>
      </c>
      <c r="J65" t="s">
        <v>175</v>
      </c>
      <c r="K65" t="s">
        <v>2548</v>
      </c>
      <c r="L65" t="s">
        <v>3328</v>
      </c>
    </row>
    <row r="66" spans="1:12" x14ac:dyDescent="0.55000000000000004">
      <c r="A66">
        <v>686</v>
      </c>
      <c r="B66" t="s">
        <v>36</v>
      </c>
      <c r="C66">
        <v>25</v>
      </c>
      <c r="D66">
        <v>85</v>
      </c>
      <c r="E66" t="s">
        <v>908</v>
      </c>
      <c r="F66">
        <v>11.58</v>
      </c>
      <c r="G66" t="s">
        <v>1889</v>
      </c>
      <c r="H66" t="s">
        <v>1891</v>
      </c>
      <c r="I66" t="s">
        <v>213</v>
      </c>
      <c r="J66" t="s">
        <v>119</v>
      </c>
      <c r="K66" t="s">
        <v>2550</v>
      </c>
      <c r="L66" t="s">
        <v>3328</v>
      </c>
    </row>
    <row r="67" spans="1:12" x14ac:dyDescent="0.55000000000000004">
      <c r="A67">
        <v>700</v>
      </c>
      <c r="B67" t="s">
        <v>37</v>
      </c>
      <c r="C67">
        <v>25</v>
      </c>
      <c r="D67">
        <v>101</v>
      </c>
      <c r="E67" t="s">
        <v>922</v>
      </c>
      <c r="F67">
        <v>10.17</v>
      </c>
      <c r="G67" t="s">
        <v>1889</v>
      </c>
      <c r="H67" t="s">
        <v>1891</v>
      </c>
      <c r="I67" t="s">
        <v>213</v>
      </c>
      <c r="J67" t="s">
        <v>177</v>
      </c>
      <c r="K67" t="s">
        <v>2564</v>
      </c>
      <c r="L67" t="s">
        <v>3328</v>
      </c>
    </row>
    <row r="68" spans="1:12" x14ac:dyDescent="0.55000000000000004">
      <c r="A68">
        <v>702</v>
      </c>
      <c r="B68" t="s">
        <v>37</v>
      </c>
      <c r="C68">
        <v>25</v>
      </c>
      <c r="D68">
        <v>101</v>
      </c>
      <c r="E68" t="s">
        <v>924</v>
      </c>
      <c r="F68">
        <v>11.38</v>
      </c>
      <c r="G68" t="s">
        <v>1889</v>
      </c>
      <c r="H68" t="s">
        <v>1891</v>
      </c>
      <c r="I68" t="s">
        <v>213</v>
      </c>
      <c r="J68" t="s">
        <v>179</v>
      </c>
      <c r="K68" t="s">
        <v>2566</v>
      </c>
      <c r="L68" t="s">
        <v>3328</v>
      </c>
    </row>
    <row r="69" spans="1:12" x14ac:dyDescent="0.55000000000000004">
      <c r="A69">
        <v>704</v>
      </c>
      <c r="B69" t="s">
        <v>37</v>
      </c>
      <c r="C69">
        <v>25</v>
      </c>
      <c r="D69">
        <v>101</v>
      </c>
      <c r="E69" t="s">
        <v>926</v>
      </c>
      <c r="F69">
        <v>11.35</v>
      </c>
      <c r="G69" t="s">
        <v>1889</v>
      </c>
      <c r="H69" t="s">
        <v>1891</v>
      </c>
      <c r="I69" t="s">
        <v>213</v>
      </c>
      <c r="J69" t="s">
        <v>181</v>
      </c>
      <c r="K69" t="s">
        <v>2568</v>
      </c>
      <c r="L69" t="s">
        <v>3328</v>
      </c>
    </row>
    <row r="70" spans="1:12" x14ac:dyDescent="0.55000000000000004">
      <c r="A70">
        <v>706</v>
      </c>
      <c r="B70" t="s">
        <v>37</v>
      </c>
      <c r="C70">
        <v>25</v>
      </c>
      <c r="D70">
        <v>101</v>
      </c>
      <c r="E70" t="s">
        <v>928</v>
      </c>
      <c r="F70">
        <v>12.03</v>
      </c>
      <c r="G70" t="s">
        <v>1889</v>
      </c>
      <c r="H70" t="s">
        <v>1891</v>
      </c>
      <c r="I70" t="s">
        <v>213</v>
      </c>
      <c r="J70" t="s">
        <v>183</v>
      </c>
      <c r="K70" t="s">
        <v>2570</v>
      </c>
      <c r="L70" t="s">
        <v>3328</v>
      </c>
    </row>
    <row r="71" spans="1:12" x14ac:dyDescent="0.55000000000000004">
      <c r="A71">
        <v>709</v>
      </c>
      <c r="B71" t="s">
        <v>37</v>
      </c>
      <c r="C71">
        <v>25</v>
      </c>
      <c r="D71">
        <v>101</v>
      </c>
      <c r="E71" t="s">
        <v>931</v>
      </c>
      <c r="F71">
        <v>11.78</v>
      </c>
      <c r="G71" t="s">
        <v>1889</v>
      </c>
      <c r="H71" t="s">
        <v>1891</v>
      </c>
      <c r="I71" t="s">
        <v>213</v>
      </c>
      <c r="J71" t="s">
        <v>186</v>
      </c>
      <c r="K71" t="s">
        <v>2573</v>
      </c>
      <c r="L71" t="s">
        <v>3328</v>
      </c>
    </row>
    <row r="72" spans="1:12" x14ac:dyDescent="0.55000000000000004">
      <c r="A72">
        <v>711</v>
      </c>
      <c r="B72" t="s">
        <v>37</v>
      </c>
      <c r="C72">
        <v>25</v>
      </c>
      <c r="D72">
        <v>101</v>
      </c>
      <c r="E72" t="s">
        <v>933</v>
      </c>
      <c r="F72">
        <v>12.06</v>
      </c>
      <c r="G72" t="s">
        <v>1889</v>
      </c>
      <c r="H72" t="s">
        <v>1891</v>
      </c>
      <c r="I72" t="s">
        <v>213</v>
      </c>
      <c r="J72" t="s">
        <v>120</v>
      </c>
      <c r="K72" t="s">
        <v>2575</v>
      </c>
      <c r="L72" t="s">
        <v>3328</v>
      </c>
    </row>
    <row r="73" spans="1:12" x14ac:dyDescent="0.55000000000000004">
      <c r="A73">
        <v>725</v>
      </c>
      <c r="B73" t="s">
        <v>38</v>
      </c>
      <c r="C73">
        <v>25</v>
      </c>
      <c r="D73">
        <v>158</v>
      </c>
      <c r="E73" t="s">
        <v>947</v>
      </c>
      <c r="F73">
        <v>14.88</v>
      </c>
      <c r="G73" t="s">
        <v>1889</v>
      </c>
      <c r="H73" t="s">
        <v>1891</v>
      </c>
      <c r="I73" t="s">
        <v>213</v>
      </c>
      <c r="J73" t="s">
        <v>188</v>
      </c>
      <c r="K73" t="s">
        <v>2589</v>
      </c>
      <c r="L73" t="s">
        <v>3328</v>
      </c>
    </row>
    <row r="74" spans="1:12" x14ac:dyDescent="0.55000000000000004">
      <c r="A74">
        <v>727</v>
      </c>
      <c r="B74" t="s">
        <v>38</v>
      </c>
      <c r="C74">
        <v>25</v>
      </c>
      <c r="D74">
        <v>158</v>
      </c>
      <c r="E74" t="s">
        <v>949</v>
      </c>
      <c r="F74">
        <v>13.48</v>
      </c>
      <c r="G74" t="s">
        <v>1889</v>
      </c>
      <c r="H74" t="s">
        <v>1891</v>
      </c>
      <c r="I74" t="s">
        <v>213</v>
      </c>
      <c r="J74" t="s">
        <v>190</v>
      </c>
      <c r="K74" t="s">
        <v>2591</v>
      </c>
      <c r="L74" t="s">
        <v>3328</v>
      </c>
    </row>
    <row r="75" spans="1:12" x14ac:dyDescent="0.55000000000000004">
      <c r="A75">
        <v>729</v>
      </c>
      <c r="B75" t="s">
        <v>38</v>
      </c>
      <c r="C75">
        <v>25</v>
      </c>
      <c r="D75">
        <v>158</v>
      </c>
      <c r="E75" t="s">
        <v>951</v>
      </c>
      <c r="F75">
        <v>13.98</v>
      </c>
      <c r="G75" t="s">
        <v>1889</v>
      </c>
      <c r="H75" t="s">
        <v>1891</v>
      </c>
      <c r="I75" t="s">
        <v>213</v>
      </c>
      <c r="J75" t="s">
        <v>192</v>
      </c>
      <c r="K75" t="s">
        <v>2593</v>
      </c>
      <c r="L75" t="s">
        <v>3328</v>
      </c>
    </row>
    <row r="76" spans="1:12" x14ac:dyDescent="0.55000000000000004">
      <c r="A76">
        <v>731</v>
      </c>
      <c r="B76" t="s">
        <v>38</v>
      </c>
      <c r="C76">
        <v>25</v>
      </c>
      <c r="D76">
        <v>158</v>
      </c>
      <c r="E76" t="s">
        <v>953</v>
      </c>
      <c r="F76">
        <v>12.5</v>
      </c>
      <c r="G76" t="s">
        <v>1889</v>
      </c>
      <c r="H76" t="s">
        <v>1891</v>
      </c>
      <c r="I76" t="s">
        <v>213</v>
      </c>
      <c r="J76" t="s">
        <v>194</v>
      </c>
      <c r="K76" t="s">
        <v>2595</v>
      </c>
      <c r="L76" t="s">
        <v>3328</v>
      </c>
    </row>
    <row r="77" spans="1:12" x14ac:dyDescent="0.55000000000000004">
      <c r="A77">
        <v>734</v>
      </c>
      <c r="B77" t="s">
        <v>38</v>
      </c>
      <c r="C77">
        <v>25</v>
      </c>
      <c r="D77">
        <v>158</v>
      </c>
      <c r="E77" t="s">
        <v>956</v>
      </c>
      <c r="F77">
        <v>12.74</v>
      </c>
      <c r="G77" t="s">
        <v>1889</v>
      </c>
      <c r="H77" t="s">
        <v>1891</v>
      </c>
      <c r="I77" t="s">
        <v>213</v>
      </c>
      <c r="J77" t="s">
        <v>197</v>
      </c>
      <c r="K77" t="s">
        <v>2598</v>
      </c>
      <c r="L77" t="s">
        <v>3328</v>
      </c>
    </row>
    <row r="78" spans="1:12" x14ac:dyDescent="0.55000000000000004">
      <c r="A78">
        <v>736</v>
      </c>
      <c r="B78" t="s">
        <v>38</v>
      </c>
      <c r="C78">
        <v>25</v>
      </c>
      <c r="D78">
        <v>158</v>
      </c>
      <c r="E78" t="s">
        <v>958</v>
      </c>
      <c r="F78">
        <v>15.04</v>
      </c>
      <c r="G78" t="s">
        <v>1889</v>
      </c>
      <c r="H78" t="s">
        <v>1891</v>
      </c>
      <c r="I78" t="s">
        <v>213</v>
      </c>
      <c r="J78" t="s">
        <v>121</v>
      </c>
      <c r="K78" t="s">
        <v>2600</v>
      </c>
      <c r="L78" t="s">
        <v>3328</v>
      </c>
    </row>
    <row r="79" spans="1:12" x14ac:dyDescent="0.55000000000000004">
      <c r="A79">
        <v>750</v>
      </c>
      <c r="B79" t="s">
        <v>40</v>
      </c>
      <c r="C79">
        <v>15</v>
      </c>
      <c r="D79">
        <v>196</v>
      </c>
      <c r="E79" t="s">
        <v>972</v>
      </c>
      <c r="F79">
        <v>11.84</v>
      </c>
      <c r="G79" t="s">
        <v>1889</v>
      </c>
      <c r="H79" t="s">
        <v>1891</v>
      </c>
      <c r="I79" t="s">
        <v>213</v>
      </c>
      <c r="J79" t="s">
        <v>199</v>
      </c>
      <c r="K79" t="s">
        <v>2614</v>
      </c>
      <c r="L79" t="s">
        <v>3328</v>
      </c>
    </row>
    <row r="80" spans="1:12" x14ac:dyDescent="0.55000000000000004">
      <c r="A80">
        <v>752</v>
      </c>
      <c r="B80" t="s">
        <v>40</v>
      </c>
      <c r="C80">
        <v>15</v>
      </c>
      <c r="D80">
        <v>196</v>
      </c>
      <c r="E80" t="s">
        <v>974</v>
      </c>
      <c r="F80">
        <v>10.82</v>
      </c>
      <c r="G80" t="s">
        <v>1889</v>
      </c>
      <c r="H80" t="s">
        <v>1891</v>
      </c>
      <c r="I80" t="s">
        <v>213</v>
      </c>
      <c r="J80" t="s">
        <v>201</v>
      </c>
      <c r="K80" t="s">
        <v>2616</v>
      </c>
      <c r="L80" t="s">
        <v>3328</v>
      </c>
    </row>
    <row r="81" spans="1:12" x14ac:dyDescent="0.55000000000000004">
      <c r="A81">
        <v>754</v>
      </c>
      <c r="B81" t="s">
        <v>40</v>
      </c>
      <c r="C81">
        <v>15</v>
      </c>
      <c r="D81">
        <v>196</v>
      </c>
      <c r="E81" t="s">
        <v>976</v>
      </c>
      <c r="F81">
        <v>12.62</v>
      </c>
      <c r="G81" t="s">
        <v>1889</v>
      </c>
      <c r="H81" t="s">
        <v>1891</v>
      </c>
      <c r="I81" t="s">
        <v>213</v>
      </c>
      <c r="J81" t="s">
        <v>203</v>
      </c>
      <c r="K81" t="s">
        <v>2618</v>
      </c>
      <c r="L81" t="s">
        <v>3328</v>
      </c>
    </row>
    <row r="82" spans="1:12" x14ac:dyDescent="0.55000000000000004">
      <c r="A82">
        <v>756</v>
      </c>
      <c r="B82" t="s">
        <v>40</v>
      </c>
      <c r="C82">
        <v>15</v>
      </c>
      <c r="D82">
        <v>196</v>
      </c>
      <c r="E82" t="s">
        <v>978</v>
      </c>
      <c r="F82">
        <v>10.27</v>
      </c>
      <c r="G82" t="s">
        <v>1889</v>
      </c>
      <c r="H82" t="s">
        <v>1891</v>
      </c>
      <c r="I82" t="s">
        <v>213</v>
      </c>
      <c r="J82" t="s">
        <v>205</v>
      </c>
      <c r="K82" t="s">
        <v>2620</v>
      </c>
      <c r="L82" t="s">
        <v>3328</v>
      </c>
    </row>
    <row r="83" spans="1:12" x14ac:dyDescent="0.55000000000000004">
      <c r="A83">
        <v>759</v>
      </c>
      <c r="B83" t="s">
        <v>40</v>
      </c>
      <c r="C83">
        <v>15</v>
      </c>
      <c r="D83">
        <v>196</v>
      </c>
      <c r="E83" t="s">
        <v>981</v>
      </c>
      <c r="F83">
        <v>12.27</v>
      </c>
      <c r="G83" t="s">
        <v>1889</v>
      </c>
      <c r="H83" t="s">
        <v>1891</v>
      </c>
      <c r="I83" t="s">
        <v>213</v>
      </c>
      <c r="J83" t="s">
        <v>208</v>
      </c>
      <c r="K83" t="s">
        <v>2623</v>
      </c>
      <c r="L83" t="s">
        <v>3328</v>
      </c>
    </row>
    <row r="84" spans="1:12" x14ac:dyDescent="0.55000000000000004">
      <c r="A84">
        <v>775</v>
      </c>
      <c r="B84" t="s">
        <v>44</v>
      </c>
      <c r="C84">
        <v>25</v>
      </c>
      <c r="D84">
        <v>177</v>
      </c>
      <c r="E84" t="s">
        <v>997</v>
      </c>
      <c r="F84">
        <v>12.17</v>
      </c>
      <c r="G84" t="s">
        <v>1889</v>
      </c>
      <c r="H84" t="s">
        <v>1891</v>
      </c>
      <c r="I84" t="s">
        <v>214</v>
      </c>
      <c r="J84" t="s">
        <v>132</v>
      </c>
      <c r="K84" t="s">
        <v>2639</v>
      </c>
      <c r="L84" t="s">
        <v>3328</v>
      </c>
    </row>
    <row r="85" spans="1:12" x14ac:dyDescent="0.55000000000000004">
      <c r="A85">
        <v>777</v>
      </c>
      <c r="B85" t="s">
        <v>44</v>
      </c>
      <c r="C85">
        <v>25</v>
      </c>
      <c r="D85">
        <v>177</v>
      </c>
      <c r="E85" t="s">
        <v>999</v>
      </c>
      <c r="F85">
        <v>13.36</v>
      </c>
      <c r="G85" t="s">
        <v>1889</v>
      </c>
      <c r="H85" t="s">
        <v>1891</v>
      </c>
      <c r="I85" t="s">
        <v>214</v>
      </c>
      <c r="J85" t="s">
        <v>133</v>
      </c>
      <c r="K85" t="s">
        <v>2641</v>
      </c>
      <c r="L85" t="s">
        <v>3328</v>
      </c>
    </row>
    <row r="86" spans="1:12" x14ac:dyDescent="0.55000000000000004">
      <c r="A86">
        <v>786</v>
      </c>
      <c r="B86" t="s">
        <v>44</v>
      </c>
      <c r="C86">
        <v>25</v>
      </c>
      <c r="D86">
        <v>177</v>
      </c>
      <c r="E86" t="s">
        <v>1008</v>
      </c>
      <c r="F86">
        <v>12.12</v>
      </c>
      <c r="G86" t="s">
        <v>1889</v>
      </c>
      <c r="H86" t="s">
        <v>1891</v>
      </c>
      <c r="I86" t="s">
        <v>214</v>
      </c>
      <c r="J86" t="s">
        <v>142</v>
      </c>
      <c r="K86" t="s">
        <v>2650</v>
      </c>
      <c r="L86" t="s">
        <v>3328</v>
      </c>
    </row>
    <row r="87" spans="1:12" x14ac:dyDescent="0.55000000000000004">
      <c r="A87">
        <v>910</v>
      </c>
      <c r="B87" t="s">
        <v>56</v>
      </c>
      <c r="C87">
        <v>3</v>
      </c>
      <c r="D87">
        <v>463</v>
      </c>
      <c r="E87" t="s">
        <v>1132</v>
      </c>
      <c r="F87">
        <v>10.74</v>
      </c>
      <c r="G87" t="s">
        <v>1889</v>
      </c>
      <c r="H87" t="s">
        <v>1891</v>
      </c>
      <c r="I87" t="s">
        <v>215</v>
      </c>
      <c r="J87" t="s">
        <v>132</v>
      </c>
      <c r="K87" t="s">
        <v>2772</v>
      </c>
      <c r="L87" t="s">
        <v>3328</v>
      </c>
    </row>
    <row r="88" spans="1:12" x14ac:dyDescent="0.55000000000000004">
      <c r="A88">
        <v>911</v>
      </c>
      <c r="B88" t="s">
        <v>56</v>
      </c>
      <c r="C88">
        <v>3</v>
      </c>
      <c r="D88">
        <v>463</v>
      </c>
      <c r="E88" t="s">
        <v>1133</v>
      </c>
      <c r="F88">
        <v>10.77</v>
      </c>
      <c r="G88" t="s">
        <v>1889</v>
      </c>
      <c r="H88" t="s">
        <v>1891</v>
      </c>
      <c r="I88" t="s">
        <v>215</v>
      </c>
      <c r="J88" t="s">
        <v>115</v>
      </c>
      <c r="K88" t="s">
        <v>2773</v>
      </c>
      <c r="L88" t="s">
        <v>3328</v>
      </c>
    </row>
    <row r="89" spans="1:12" x14ac:dyDescent="0.55000000000000004">
      <c r="A89">
        <v>912</v>
      </c>
      <c r="B89" t="s">
        <v>56</v>
      </c>
      <c r="C89">
        <v>3</v>
      </c>
      <c r="D89">
        <v>463</v>
      </c>
      <c r="E89" t="s">
        <v>1134</v>
      </c>
      <c r="F89">
        <v>10.92</v>
      </c>
      <c r="G89" t="s">
        <v>1889</v>
      </c>
      <c r="H89" t="s">
        <v>1891</v>
      </c>
      <c r="I89" t="s">
        <v>215</v>
      </c>
      <c r="J89" t="s">
        <v>133</v>
      </c>
      <c r="K89" t="s">
        <v>2774</v>
      </c>
      <c r="L89" t="s">
        <v>3328</v>
      </c>
    </row>
    <row r="90" spans="1:12" x14ac:dyDescent="0.55000000000000004">
      <c r="A90">
        <v>921</v>
      </c>
      <c r="B90" t="s">
        <v>58</v>
      </c>
      <c r="C90">
        <v>8</v>
      </c>
      <c r="D90">
        <v>465</v>
      </c>
      <c r="E90" t="s">
        <v>1143</v>
      </c>
      <c r="F90">
        <v>13.15</v>
      </c>
      <c r="G90" t="s">
        <v>1889</v>
      </c>
      <c r="H90" t="s">
        <v>1891</v>
      </c>
      <c r="I90" t="s">
        <v>215</v>
      </c>
      <c r="J90" t="s">
        <v>142</v>
      </c>
      <c r="K90" t="s">
        <v>2783</v>
      </c>
      <c r="L90" t="s">
        <v>3328</v>
      </c>
    </row>
    <row r="91" spans="1:12" x14ac:dyDescent="0.55000000000000004">
      <c r="A91">
        <v>1069</v>
      </c>
      <c r="B91" t="s">
        <v>65</v>
      </c>
      <c r="C91">
        <v>25</v>
      </c>
      <c r="D91">
        <v>414</v>
      </c>
      <c r="E91" t="s">
        <v>1291</v>
      </c>
      <c r="F91">
        <v>14.08</v>
      </c>
      <c r="G91" t="s">
        <v>2113</v>
      </c>
      <c r="H91" t="s">
        <v>110</v>
      </c>
      <c r="I91" t="s">
        <v>216</v>
      </c>
      <c r="J91" t="s">
        <v>130</v>
      </c>
      <c r="L91" t="s">
        <v>3328</v>
      </c>
    </row>
    <row r="92" spans="1:12" x14ac:dyDescent="0.55000000000000004">
      <c r="A92">
        <v>1085</v>
      </c>
      <c r="B92" t="s">
        <v>67</v>
      </c>
      <c r="C92">
        <v>4</v>
      </c>
      <c r="D92">
        <v>405</v>
      </c>
      <c r="E92" t="s">
        <v>1307</v>
      </c>
      <c r="F92">
        <v>15.51</v>
      </c>
      <c r="I92" t="s">
        <v>216</v>
      </c>
      <c r="J92" t="s">
        <v>115</v>
      </c>
      <c r="K92" t="s">
        <v>2901</v>
      </c>
      <c r="L92" t="s">
        <v>3328</v>
      </c>
    </row>
    <row r="93" spans="1:12" x14ac:dyDescent="0.55000000000000004">
      <c r="A93">
        <v>1255</v>
      </c>
      <c r="B93" t="s">
        <v>75</v>
      </c>
      <c r="C93">
        <v>7</v>
      </c>
      <c r="D93">
        <v>2161</v>
      </c>
      <c r="E93" t="s">
        <v>1477</v>
      </c>
      <c r="F93">
        <v>17.420000000000002</v>
      </c>
      <c r="G93" t="s">
        <v>2113</v>
      </c>
      <c r="H93" t="s">
        <v>110</v>
      </c>
      <c r="I93" t="s">
        <v>217</v>
      </c>
      <c r="J93" t="s">
        <v>128</v>
      </c>
      <c r="L93" t="s">
        <v>3328</v>
      </c>
    </row>
    <row r="94" spans="1:12" x14ac:dyDescent="0.55000000000000004">
      <c r="A94">
        <v>1257</v>
      </c>
      <c r="B94" t="s">
        <v>75</v>
      </c>
      <c r="C94">
        <v>7</v>
      </c>
      <c r="D94">
        <v>2161</v>
      </c>
      <c r="E94" t="s">
        <v>1479</v>
      </c>
      <c r="F94">
        <v>15.14</v>
      </c>
      <c r="G94" t="s">
        <v>1889</v>
      </c>
      <c r="H94" t="s">
        <v>1891</v>
      </c>
      <c r="I94" t="s">
        <v>217</v>
      </c>
      <c r="J94" t="s">
        <v>130</v>
      </c>
      <c r="K94" t="s">
        <v>2987</v>
      </c>
      <c r="L94" t="s">
        <v>3328</v>
      </c>
    </row>
    <row r="95" spans="1:12" x14ac:dyDescent="0.55000000000000004">
      <c r="A95">
        <v>1420</v>
      </c>
      <c r="B95" t="s">
        <v>85</v>
      </c>
      <c r="C95">
        <v>20</v>
      </c>
      <c r="D95">
        <v>2118</v>
      </c>
      <c r="E95" t="s">
        <v>1642</v>
      </c>
      <c r="F95">
        <v>16.71</v>
      </c>
      <c r="G95" t="s">
        <v>2113</v>
      </c>
      <c r="H95" t="s">
        <v>110</v>
      </c>
      <c r="I95" t="s">
        <v>218</v>
      </c>
      <c r="J95" t="s">
        <v>128</v>
      </c>
      <c r="L95" t="s">
        <v>3328</v>
      </c>
    </row>
    <row r="96" spans="1:12" x14ac:dyDescent="0.55000000000000004">
      <c r="A96">
        <v>1575</v>
      </c>
      <c r="B96" t="s">
        <v>100</v>
      </c>
      <c r="C96">
        <v>3</v>
      </c>
      <c r="D96">
        <v>2129</v>
      </c>
      <c r="E96" t="s">
        <v>1797</v>
      </c>
      <c r="F96">
        <v>14.48</v>
      </c>
      <c r="G96" t="s">
        <v>1889</v>
      </c>
      <c r="H96" t="s">
        <v>1891</v>
      </c>
      <c r="I96" t="s">
        <v>219</v>
      </c>
      <c r="J96" t="s">
        <v>126</v>
      </c>
      <c r="K96" t="s">
        <v>3257</v>
      </c>
      <c r="L96" t="s">
        <v>3328</v>
      </c>
    </row>
    <row r="97" spans="1:12" x14ac:dyDescent="0.55000000000000004">
      <c r="A97">
        <v>1671</v>
      </c>
      <c r="B97" t="s">
        <v>3281</v>
      </c>
      <c r="C97">
        <v>15</v>
      </c>
      <c r="F97">
        <v>307</v>
      </c>
      <c r="G97" t="s">
        <v>1888</v>
      </c>
      <c r="H97" t="s">
        <v>110</v>
      </c>
      <c r="I97" t="s">
        <v>3292</v>
      </c>
      <c r="J97" t="s">
        <v>126</v>
      </c>
      <c r="K97" t="s">
        <v>3291</v>
      </c>
      <c r="L97" t="s">
        <v>3328</v>
      </c>
    </row>
    <row r="98" spans="1:12" x14ac:dyDescent="0.55000000000000004">
      <c r="A98">
        <v>1</v>
      </c>
      <c r="B98" t="s">
        <v>5</v>
      </c>
      <c r="C98">
        <v>25</v>
      </c>
      <c r="D98">
        <v>71</v>
      </c>
      <c r="E98" t="s">
        <v>223</v>
      </c>
      <c r="F98">
        <v>11.76</v>
      </c>
      <c r="G98" t="s">
        <v>1889</v>
      </c>
      <c r="H98" t="s">
        <v>1891</v>
      </c>
      <c r="I98" t="s">
        <v>210</v>
      </c>
      <c r="J98" t="s">
        <v>114</v>
      </c>
      <c r="K98" t="s">
        <v>1892</v>
      </c>
      <c r="L98" t="s">
        <v>3327</v>
      </c>
    </row>
    <row r="99" spans="1:12" x14ac:dyDescent="0.55000000000000004">
      <c r="A99">
        <v>2</v>
      </c>
      <c r="B99" t="s">
        <v>5</v>
      </c>
      <c r="C99">
        <v>25</v>
      </c>
      <c r="D99">
        <v>71</v>
      </c>
      <c r="E99" t="s">
        <v>224</v>
      </c>
      <c r="F99">
        <v>10.95</v>
      </c>
      <c r="G99" t="s">
        <v>1889</v>
      </c>
      <c r="H99" t="s">
        <v>1891</v>
      </c>
      <c r="I99" t="s">
        <v>210</v>
      </c>
      <c r="J99" t="s">
        <v>122</v>
      </c>
      <c r="K99" t="s">
        <v>1915</v>
      </c>
      <c r="L99" t="s">
        <v>3327</v>
      </c>
    </row>
    <row r="100" spans="1:12" x14ac:dyDescent="0.55000000000000004">
      <c r="A100">
        <v>4</v>
      </c>
      <c r="B100" t="s">
        <v>5</v>
      </c>
      <c r="C100">
        <v>25</v>
      </c>
      <c r="D100">
        <v>71</v>
      </c>
      <c r="E100" t="s">
        <v>226</v>
      </c>
      <c r="F100">
        <v>12.16</v>
      </c>
      <c r="G100" t="s">
        <v>1889</v>
      </c>
      <c r="H100" t="s">
        <v>1891</v>
      </c>
      <c r="I100" t="s">
        <v>210</v>
      </c>
      <c r="J100" t="s">
        <v>124</v>
      </c>
      <c r="K100" t="s">
        <v>1893</v>
      </c>
      <c r="L100" t="s">
        <v>3327</v>
      </c>
    </row>
    <row r="101" spans="1:12" x14ac:dyDescent="0.55000000000000004">
      <c r="A101">
        <v>11</v>
      </c>
      <c r="B101" t="s">
        <v>5</v>
      </c>
      <c r="C101">
        <v>25</v>
      </c>
      <c r="D101">
        <v>71</v>
      </c>
      <c r="E101" t="s">
        <v>233</v>
      </c>
      <c r="F101">
        <v>11.3</v>
      </c>
      <c r="G101" t="s">
        <v>1889</v>
      </c>
      <c r="H101" t="s">
        <v>1891</v>
      </c>
      <c r="I101" t="s">
        <v>210</v>
      </c>
      <c r="J101" t="s">
        <v>131</v>
      </c>
      <c r="K101" t="s">
        <v>1900</v>
      </c>
      <c r="L101" t="s">
        <v>3327</v>
      </c>
    </row>
    <row r="102" spans="1:12" x14ac:dyDescent="0.55000000000000004">
      <c r="A102">
        <v>28</v>
      </c>
      <c r="B102" t="s">
        <v>7</v>
      </c>
      <c r="C102">
        <v>25</v>
      </c>
      <c r="D102">
        <v>75</v>
      </c>
      <c r="E102" t="s">
        <v>250</v>
      </c>
      <c r="F102">
        <v>10.35</v>
      </c>
      <c r="G102" t="s">
        <v>1889</v>
      </c>
      <c r="H102" t="s">
        <v>1891</v>
      </c>
      <c r="I102" t="s">
        <v>210</v>
      </c>
      <c r="J102" t="s">
        <v>134</v>
      </c>
      <c r="K102" t="s">
        <v>1919</v>
      </c>
      <c r="L102" t="s">
        <v>3327</v>
      </c>
    </row>
    <row r="103" spans="1:12" x14ac:dyDescent="0.55000000000000004">
      <c r="A103">
        <v>206</v>
      </c>
      <c r="B103" t="s">
        <v>14</v>
      </c>
      <c r="C103">
        <v>25</v>
      </c>
      <c r="D103">
        <v>45</v>
      </c>
      <c r="E103" t="s">
        <v>428</v>
      </c>
      <c r="F103">
        <v>13.49</v>
      </c>
      <c r="G103" t="s">
        <v>1889</v>
      </c>
      <c r="H103" t="s">
        <v>1891</v>
      </c>
      <c r="I103" t="s">
        <v>211</v>
      </c>
      <c r="J103" t="s">
        <v>127</v>
      </c>
      <c r="K103" t="s">
        <v>2091</v>
      </c>
      <c r="L103" t="s">
        <v>3327</v>
      </c>
    </row>
    <row r="104" spans="1:12" x14ac:dyDescent="0.55000000000000004">
      <c r="A104">
        <v>208</v>
      </c>
      <c r="B104" t="s">
        <v>14</v>
      </c>
      <c r="C104">
        <v>25</v>
      </c>
      <c r="D104">
        <v>45</v>
      </c>
      <c r="E104" t="s">
        <v>430</v>
      </c>
      <c r="F104">
        <v>11.74</v>
      </c>
      <c r="G104" t="s">
        <v>1889</v>
      </c>
      <c r="H104" t="s">
        <v>1891</v>
      </c>
      <c r="I104" t="s">
        <v>211</v>
      </c>
      <c r="J104" t="s">
        <v>129</v>
      </c>
      <c r="K104" t="s">
        <v>2093</v>
      </c>
      <c r="L104" t="s">
        <v>3327</v>
      </c>
    </row>
    <row r="105" spans="1:12" x14ac:dyDescent="0.55000000000000004">
      <c r="A105">
        <v>229</v>
      </c>
      <c r="B105" t="s">
        <v>15</v>
      </c>
      <c r="C105">
        <v>25</v>
      </c>
      <c r="D105">
        <v>190</v>
      </c>
      <c r="E105" t="s">
        <v>451</v>
      </c>
      <c r="F105">
        <v>13.02</v>
      </c>
      <c r="G105" t="s">
        <v>1889</v>
      </c>
      <c r="H105" t="s">
        <v>1891</v>
      </c>
      <c r="I105" t="s">
        <v>211</v>
      </c>
      <c r="J105" t="s">
        <v>136</v>
      </c>
      <c r="K105" t="s">
        <v>2115</v>
      </c>
      <c r="L105" t="s">
        <v>3327</v>
      </c>
    </row>
    <row r="106" spans="1:12" x14ac:dyDescent="0.55000000000000004">
      <c r="A106">
        <v>231</v>
      </c>
      <c r="B106" t="s">
        <v>15</v>
      </c>
      <c r="C106">
        <v>25</v>
      </c>
      <c r="D106">
        <v>190</v>
      </c>
      <c r="E106" t="s">
        <v>453</v>
      </c>
      <c r="F106">
        <v>12.05</v>
      </c>
      <c r="G106" t="s">
        <v>1889</v>
      </c>
      <c r="H106" t="s">
        <v>1891</v>
      </c>
      <c r="I106" t="s">
        <v>211</v>
      </c>
      <c r="J106" t="s">
        <v>138</v>
      </c>
      <c r="K106" t="s">
        <v>2117</v>
      </c>
      <c r="L106" t="s">
        <v>3327</v>
      </c>
    </row>
    <row r="107" spans="1:12" x14ac:dyDescent="0.55000000000000004">
      <c r="A107">
        <v>233</v>
      </c>
      <c r="B107" t="s">
        <v>15</v>
      </c>
      <c r="C107">
        <v>25</v>
      </c>
      <c r="D107">
        <v>190</v>
      </c>
      <c r="E107" t="s">
        <v>455</v>
      </c>
      <c r="F107">
        <v>13.05</v>
      </c>
      <c r="G107" t="s">
        <v>1889</v>
      </c>
      <c r="H107" t="s">
        <v>1891</v>
      </c>
      <c r="I107" t="s">
        <v>211</v>
      </c>
      <c r="J107" t="s">
        <v>140</v>
      </c>
      <c r="K107" t="s">
        <v>2119</v>
      </c>
      <c r="L107" t="s">
        <v>3327</v>
      </c>
    </row>
    <row r="108" spans="1:12" x14ac:dyDescent="0.55000000000000004">
      <c r="A108">
        <v>234</v>
      </c>
      <c r="B108" t="s">
        <v>15</v>
      </c>
      <c r="C108">
        <v>25</v>
      </c>
      <c r="D108">
        <v>190</v>
      </c>
      <c r="E108" t="s">
        <v>456</v>
      </c>
      <c r="F108">
        <v>10.02</v>
      </c>
      <c r="G108" t="s">
        <v>1889</v>
      </c>
      <c r="H108" t="s">
        <v>1891</v>
      </c>
      <c r="I108" t="s">
        <v>211</v>
      </c>
      <c r="J108" t="s">
        <v>141</v>
      </c>
      <c r="K108" t="s">
        <v>2120</v>
      </c>
      <c r="L108" t="s">
        <v>3327</v>
      </c>
    </row>
    <row r="109" spans="1:12" x14ac:dyDescent="0.55000000000000004">
      <c r="A109">
        <v>236</v>
      </c>
      <c r="B109" t="s">
        <v>15</v>
      </c>
      <c r="C109">
        <v>25</v>
      </c>
      <c r="D109">
        <v>190</v>
      </c>
      <c r="E109" t="s">
        <v>458</v>
      </c>
      <c r="F109">
        <v>13.52</v>
      </c>
      <c r="G109" t="s">
        <v>1889</v>
      </c>
      <c r="H109" t="s">
        <v>1891</v>
      </c>
      <c r="I109" t="s">
        <v>211</v>
      </c>
      <c r="J109" t="s">
        <v>143</v>
      </c>
      <c r="K109" t="s">
        <v>2122</v>
      </c>
      <c r="L109" t="s">
        <v>3327</v>
      </c>
    </row>
    <row r="110" spans="1:12" x14ac:dyDescent="0.55000000000000004">
      <c r="A110">
        <v>252</v>
      </c>
      <c r="B110" t="s">
        <v>16</v>
      </c>
      <c r="C110">
        <v>10</v>
      </c>
      <c r="D110">
        <v>208</v>
      </c>
      <c r="E110" t="s">
        <v>474</v>
      </c>
      <c r="F110">
        <v>11.91</v>
      </c>
      <c r="G110" t="s">
        <v>1889</v>
      </c>
      <c r="H110" t="s">
        <v>1891</v>
      </c>
      <c r="I110" t="s">
        <v>211</v>
      </c>
      <c r="J110" t="s">
        <v>145</v>
      </c>
      <c r="K110" t="s">
        <v>2135</v>
      </c>
      <c r="L110" t="s">
        <v>3327</v>
      </c>
    </row>
    <row r="111" spans="1:12" x14ac:dyDescent="0.55000000000000004">
      <c r="A111">
        <v>254</v>
      </c>
      <c r="B111" t="s">
        <v>16</v>
      </c>
      <c r="C111">
        <v>10</v>
      </c>
      <c r="D111">
        <v>208</v>
      </c>
      <c r="E111" t="s">
        <v>476</v>
      </c>
      <c r="F111">
        <v>12.7</v>
      </c>
      <c r="G111" t="s">
        <v>1889</v>
      </c>
      <c r="H111" t="s">
        <v>1891</v>
      </c>
      <c r="I111" t="s">
        <v>211</v>
      </c>
      <c r="J111" t="s">
        <v>147</v>
      </c>
      <c r="K111" t="s">
        <v>2137</v>
      </c>
      <c r="L111" t="s">
        <v>3327</v>
      </c>
    </row>
    <row r="112" spans="1:12" x14ac:dyDescent="0.55000000000000004">
      <c r="A112">
        <v>256</v>
      </c>
      <c r="B112" t="s">
        <v>16</v>
      </c>
      <c r="C112">
        <v>10</v>
      </c>
      <c r="D112">
        <v>208</v>
      </c>
      <c r="E112" t="s">
        <v>478</v>
      </c>
      <c r="F112">
        <v>12.76</v>
      </c>
      <c r="G112" t="s">
        <v>1889</v>
      </c>
      <c r="H112" t="s">
        <v>1891</v>
      </c>
      <c r="I112" t="s">
        <v>211</v>
      </c>
      <c r="J112" t="s">
        <v>149</v>
      </c>
      <c r="K112" t="s">
        <v>2139</v>
      </c>
      <c r="L112" t="s">
        <v>3327</v>
      </c>
    </row>
    <row r="113" spans="1:12" x14ac:dyDescent="0.55000000000000004">
      <c r="A113">
        <v>258</v>
      </c>
      <c r="B113" t="s">
        <v>16</v>
      </c>
      <c r="C113">
        <v>10</v>
      </c>
      <c r="D113">
        <v>208</v>
      </c>
      <c r="E113" t="s">
        <v>480</v>
      </c>
      <c r="F113">
        <v>13.51</v>
      </c>
      <c r="G113" t="s">
        <v>1889</v>
      </c>
      <c r="H113" t="s">
        <v>1891</v>
      </c>
      <c r="I113" t="s">
        <v>211</v>
      </c>
      <c r="J113" t="s">
        <v>151</v>
      </c>
      <c r="K113" t="s">
        <v>2141</v>
      </c>
      <c r="L113" t="s">
        <v>3327</v>
      </c>
    </row>
    <row r="114" spans="1:12" x14ac:dyDescent="0.55000000000000004">
      <c r="A114">
        <v>259</v>
      </c>
      <c r="B114" t="s">
        <v>16</v>
      </c>
      <c r="C114">
        <v>10</v>
      </c>
      <c r="D114">
        <v>208</v>
      </c>
      <c r="E114" t="s">
        <v>481</v>
      </c>
      <c r="G114" t="s">
        <v>1941</v>
      </c>
      <c r="H114" t="s">
        <v>1941</v>
      </c>
      <c r="I114" t="s">
        <v>211</v>
      </c>
      <c r="J114" t="s">
        <v>152</v>
      </c>
      <c r="L114" t="s">
        <v>3327</v>
      </c>
    </row>
    <row r="115" spans="1:12" x14ac:dyDescent="0.55000000000000004">
      <c r="A115">
        <v>261</v>
      </c>
      <c r="B115" t="s">
        <v>17</v>
      </c>
      <c r="C115">
        <v>25</v>
      </c>
      <c r="D115">
        <v>65</v>
      </c>
      <c r="E115" t="s">
        <v>483</v>
      </c>
      <c r="F115">
        <v>13.54</v>
      </c>
      <c r="G115" t="s">
        <v>1889</v>
      </c>
      <c r="H115" t="s">
        <v>1891</v>
      </c>
      <c r="I115" t="s">
        <v>211</v>
      </c>
      <c r="J115" t="s">
        <v>154</v>
      </c>
      <c r="K115" t="s">
        <v>2143</v>
      </c>
      <c r="L115" t="s">
        <v>3327</v>
      </c>
    </row>
    <row r="116" spans="1:12" x14ac:dyDescent="0.55000000000000004">
      <c r="A116">
        <v>264</v>
      </c>
      <c r="B116" t="s">
        <v>17</v>
      </c>
      <c r="C116">
        <v>25</v>
      </c>
      <c r="D116">
        <v>65</v>
      </c>
      <c r="E116" t="s">
        <v>486</v>
      </c>
      <c r="F116">
        <v>11.74</v>
      </c>
      <c r="G116" t="s">
        <v>1889</v>
      </c>
      <c r="H116" t="s">
        <v>1891</v>
      </c>
      <c r="I116" t="s">
        <v>211</v>
      </c>
      <c r="J116" t="s">
        <v>156</v>
      </c>
      <c r="K116" t="s">
        <v>2146</v>
      </c>
      <c r="L116" t="s">
        <v>3327</v>
      </c>
    </row>
    <row r="117" spans="1:12" x14ac:dyDescent="0.55000000000000004">
      <c r="A117">
        <v>266</v>
      </c>
      <c r="B117" t="s">
        <v>17</v>
      </c>
      <c r="C117">
        <v>25</v>
      </c>
      <c r="D117">
        <v>65</v>
      </c>
      <c r="E117" t="s">
        <v>488</v>
      </c>
      <c r="F117">
        <v>12.75</v>
      </c>
      <c r="G117" t="s">
        <v>1889</v>
      </c>
      <c r="H117" t="s">
        <v>1891</v>
      </c>
      <c r="I117" t="s">
        <v>211</v>
      </c>
      <c r="J117" t="s">
        <v>158</v>
      </c>
      <c r="K117" t="s">
        <v>2148</v>
      </c>
      <c r="L117" t="s">
        <v>3327</v>
      </c>
    </row>
    <row r="118" spans="1:12" x14ac:dyDescent="0.55000000000000004">
      <c r="A118">
        <v>268</v>
      </c>
      <c r="B118" t="s">
        <v>17</v>
      </c>
      <c r="C118">
        <v>25</v>
      </c>
      <c r="D118">
        <v>65</v>
      </c>
      <c r="E118" t="s">
        <v>490</v>
      </c>
      <c r="F118">
        <v>11.99</v>
      </c>
      <c r="G118" t="s">
        <v>1889</v>
      </c>
      <c r="H118" t="s">
        <v>1891</v>
      </c>
      <c r="I118" t="s">
        <v>211</v>
      </c>
      <c r="J118" t="s">
        <v>160</v>
      </c>
      <c r="K118" t="s">
        <v>2150</v>
      </c>
      <c r="L118" t="s">
        <v>3327</v>
      </c>
    </row>
    <row r="119" spans="1:12" x14ac:dyDescent="0.55000000000000004">
      <c r="A119">
        <v>270</v>
      </c>
      <c r="B119" t="s">
        <v>17</v>
      </c>
      <c r="C119">
        <v>25</v>
      </c>
      <c r="D119">
        <v>65</v>
      </c>
      <c r="E119" t="s">
        <v>492</v>
      </c>
      <c r="F119">
        <v>12.19</v>
      </c>
      <c r="G119" t="s">
        <v>1889</v>
      </c>
      <c r="H119" t="s">
        <v>1891</v>
      </c>
      <c r="I119" t="s">
        <v>211</v>
      </c>
      <c r="J119" t="s">
        <v>162</v>
      </c>
      <c r="K119" t="s">
        <v>2152</v>
      </c>
      <c r="L119" t="s">
        <v>3327</v>
      </c>
    </row>
    <row r="120" spans="1:12" x14ac:dyDescent="0.55000000000000004">
      <c r="A120">
        <v>271</v>
      </c>
      <c r="B120" t="s">
        <v>17</v>
      </c>
      <c r="C120">
        <v>25</v>
      </c>
      <c r="D120">
        <v>65</v>
      </c>
      <c r="E120" t="s">
        <v>493</v>
      </c>
      <c r="F120">
        <v>12.01</v>
      </c>
      <c r="G120" t="s">
        <v>1889</v>
      </c>
      <c r="H120" t="s">
        <v>1891</v>
      </c>
      <c r="I120" t="s">
        <v>211</v>
      </c>
      <c r="J120" t="s">
        <v>163</v>
      </c>
      <c r="K120" t="s">
        <v>2153</v>
      </c>
      <c r="L120" t="s">
        <v>3327</v>
      </c>
    </row>
    <row r="121" spans="1:12" x14ac:dyDescent="0.55000000000000004">
      <c r="A121">
        <v>286</v>
      </c>
      <c r="B121" t="s">
        <v>18</v>
      </c>
      <c r="C121">
        <v>25</v>
      </c>
      <c r="D121">
        <v>172</v>
      </c>
      <c r="E121" t="s">
        <v>508</v>
      </c>
      <c r="F121">
        <v>13.07</v>
      </c>
      <c r="G121" t="s">
        <v>1889</v>
      </c>
      <c r="H121" t="s">
        <v>1891</v>
      </c>
      <c r="I121" t="s">
        <v>211</v>
      </c>
      <c r="J121" t="s">
        <v>165</v>
      </c>
      <c r="K121" t="s">
        <v>2168</v>
      </c>
      <c r="L121" t="s">
        <v>3327</v>
      </c>
    </row>
    <row r="122" spans="1:12" x14ac:dyDescent="0.55000000000000004">
      <c r="A122">
        <v>289</v>
      </c>
      <c r="B122" t="s">
        <v>18</v>
      </c>
      <c r="C122">
        <v>25</v>
      </c>
      <c r="D122">
        <v>172</v>
      </c>
      <c r="E122" t="s">
        <v>511</v>
      </c>
      <c r="F122">
        <v>12.31</v>
      </c>
      <c r="G122" t="s">
        <v>1889</v>
      </c>
      <c r="H122" t="s">
        <v>1891</v>
      </c>
      <c r="I122" t="s">
        <v>211</v>
      </c>
      <c r="J122" t="s">
        <v>167</v>
      </c>
      <c r="K122" t="s">
        <v>2171</v>
      </c>
      <c r="L122" t="s">
        <v>3327</v>
      </c>
    </row>
    <row r="123" spans="1:12" x14ac:dyDescent="0.55000000000000004">
      <c r="A123">
        <v>291</v>
      </c>
      <c r="B123" t="s">
        <v>18</v>
      </c>
      <c r="C123">
        <v>25</v>
      </c>
      <c r="D123">
        <v>172</v>
      </c>
      <c r="E123" t="s">
        <v>513</v>
      </c>
      <c r="F123">
        <v>13.58</v>
      </c>
      <c r="G123" t="s">
        <v>1889</v>
      </c>
      <c r="H123" t="s">
        <v>1891</v>
      </c>
      <c r="I123" t="s">
        <v>211</v>
      </c>
      <c r="J123" t="s">
        <v>169</v>
      </c>
      <c r="K123" t="s">
        <v>2173</v>
      </c>
      <c r="L123" t="s">
        <v>3327</v>
      </c>
    </row>
    <row r="124" spans="1:12" x14ac:dyDescent="0.55000000000000004">
      <c r="A124">
        <v>293</v>
      </c>
      <c r="B124" t="s">
        <v>18</v>
      </c>
      <c r="C124">
        <v>25</v>
      </c>
      <c r="D124">
        <v>172</v>
      </c>
      <c r="E124" t="s">
        <v>515</v>
      </c>
      <c r="F124">
        <v>12.93</v>
      </c>
      <c r="G124" t="s">
        <v>1889</v>
      </c>
      <c r="H124" t="s">
        <v>1891</v>
      </c>
      <c r="I124" t="s">
        <v>211</v>
      </c>
      <c r="J124" t="s">
        <v>171</v>
      </c>
      <c r="K124" t="s">
        <v>2175</v>
      </c>
      <c r="L124" t="s">
        <v>3327</v>
      </c>
    </row>
    <row r="125" spans="1:12" x14ac:dyDescent="0.55000000000000004">
      <c r="A125">
        <v>295</v>
      </c>
      <c r="B125" t="s">
        <v>18</v>
      </c>
      <c r="C125">
        <v>25</v>
      </c>
      <c r="D125">
        <v>172</v>
      </c>
      <c r="E125" t="s">
        <v>517</v>
      </c>
      <c r="F125">
        <v>13.94</v>
      </c>
      <c r="G125" t="s">
        <v>1889</v>
      </c>
      <c r="H125" t="s">
        <v>1891</v>
      </c>
      <c r="I125" t="s">
        <v>211</v>
      </c>
      <c r="J125" t="s">
        <v>173</v>
      </c>
      <c r="K125" t="s">
        <v>2177</v>
      </c>
      <c r="L125" t="s">
        <v>3327</v>
      </c>
    </row>
    <row r="126" spans="1:12" x14ac:dyDescent="0.55000000000000004">
      <c r="A126">
        <v>296</v>
      </c>
      <c r="B126" t="s">
        <v>18</v>
      </c>
      <c r="C126">
        <v>25</v>
      </c>
      <c r="D126">
        <v>172</v>
      </c>
      <c r="E126" t="s">
        <v>518</v>
      </c>
      <c r="F126">
        <v>11.27</v>
      </c>
      <c r="G126" t="s">
        <v>1889</v>
      </c>
      <c r="H126" t="s">
        <v>1891</v>
      </c>
      <c r="I126" t="s">
        <v>211</v>
      </c>
      <c r="J126" t="s">
        <v>174</v>
      </c>
      <c r="K126" t="s">
        <v>2178</v>
      </c>
      <c r="L126" t="s">
        <v>3327</v>
      </c>
    </row>
    <row r="127" spans="1:12" x14ac:dyDescent="0.55000000000000004">
      <c r="A127">
        <v>311</v>
      </c>
      <c r="B127" t="s">
        <v>19</v>
      </c>
      <c r="C127">
        <v>25</v>
      </c>
      <c r="D127">
        <v>188</v>
      </c>
      <c r="E127" t="s">
        <v>533</v>
      </c>
      <c r="F127">
        <v>11.6</v>
      </c>
      <c r="G127" t="s">
        <v>1889</v>
      </c>
      <c r="H127" t="s">
        <v>1891</v>
      </c>
      <c r="I127" t="s">
        <v>211</v>
      </c>
      <c r="J127" t="s">
        <v>176</v>
      </c>
      <c r="K127" t="s">
        <v>2193</v>
      </c>
      <c r="L127" t="s">
        <v>3327</v>
      </c>
    </row>
    <row r="128" spans="1:12" x14ac:dyDescent="0.55000000000000004">
      <c r="A128">
        <v>314</v>
      </c>
      <c r="B128" t="s">
        <v>19</v>
      </c>
      <c r="C128">
        <v>25</v>
      </c>
      <c r="D128">
        <v>188</v>
      </c>
      <c r="E128" t="s">
        <v>536</v>
      </c>
      <c r="F128">
        <v>12.19</v>
      </c>
      <c r="G128" t="s">
        <v>1889</v>
      </c>
      <c r="H128" t="s">
        <v>1891</v>
      </c>
      <c r="I128" t="s">
        <v>211</v>
      </c>
      <c r="J128" t="s">
        <v>178</v>
      </c>
      <c r="K128" t="s">
        <v>2196</v>
      </c>
      <c r="L128" t="s">
        <v>3327</v>
      </c>
    </row>
    <row r="129" spans="1:12" x14ac:dyDescent="0.55000000000000004">
      <c r="A129">
        <v>316</v>
      </c>
      <c r="B129" t="s">
        <v>19</v>
      </c>
      <c r="C129">
        <v>25</v>
      </c>
      <c r="D129">
        <v>188</v>
      </c>
      <c r="E129" t="s">
        <v>538</v>
      </c>
      <c r="F129">
        <v>13.69</v>
      </c>
      <c r="G129" t="s">
        <v>1889</v>
      </c>
      <c r="H129" t="s">
        <v>1891</v>
      </c>
      <c r="I129" t="s">
        <v>211</v>
      </c>
      <c r="J129" t="s">
        <v>180</v>
      </c>
      <c r="K129" t="s">
        <v>2198</v>
      </c>
      <c r="L129" t="s">
        <v>3327</v>
      </c>
    </row>
    <row r="130" spans="1:12" x14ac:dyDescent="0.55000000000000004">
      <c r="A130">
        <v>318</v>
      </c>
      <c r="B130" t="s">
        <v>19</v>
      </c>
      <c r="C130">
        <v>25</v>
      </c>
      <c r="D130">
        <v>188</v>
      </c>
      <c r="E130" t="s">
        <v>540</v>
      </c>
      <c r="F130">
        <v>12.29</v>
      </c>
      <c r="G130" t="s">
        <v>1889</v>
      </c>
      <c r="H130" t="s">
        <v>1891</v>
      </c>
      <c r="I130" t="s">
        <v>211</v>
      </c>
      <c r="J130" t="s">
        <v>182</v>
      </c>
      <c r="K130" t="s">
        <v>2200</v>
      </c>
      <c r="L130" t="s">
        <v>3327</v>
      </c>
    </row>
    <row r="131" spans="1:12" x14ac:dyDescent="0.55000000000000004">
      <c r="A131">
        <v>320</v>
      </c>
      <c r="B131" t="s">
        <v>19</v>
      </c>
      <c r="C131">
        <v>25</v>
      </c>
      <c r="D131">
        <v>188</v>
      </c>
      <c r="E131" t="s">
        <v>542</v>
      </c>
      <c r="F131">
        <v>12.44</v>
      </c>
      <c r="G131" t="s">
        <v>1889</v>
      </c>
      <c r="H131" t="s">
        <v>1891</v>
      </c>
      <c r="I131" t="s">
        <v>211</v>
      </c>
      <c r="J131" t="s">
        <v>184</v>
      </c>
      <c r="K131" t="s">
        <v>2202</v>
      </c>
      <c r="L131" t="s">
        <v>3327</v>
      </c>
    </row>
    <row r="132" spans="1:12" x14ac:dyDescent="0.55000000000000004">
      <c r="A132">
        <v>321</v>
      </c>
      <c r="B132" t="s">
        <v>19</v>
      </c>
      <c r="C132">
        <v>25</v>
      </c>
      <c r="D132">
        <v>188</v>
      </c>
      <c r="E132" t="s">
        <v>543</v>
      </c>
      <c r="F132">
        <v>13.32</v>
      </c>
      <c r="G132" t="s">
        <v>1889</v>
      </c>
      <c r="H132" t="s">
        <v>1891</v>
      </c>
      <c r="I132" t="s">
        <v>211</v>
      </c>
      <c r="J132" t="s">
        <v>185</v>
      </c>
      <c r="K132" t="s">
        <v>2203</v>
      </c>
      <c r="L132" t="s">
        <v>3327</v>
      </c>
    </row>
    <row r="133" spans="1:12" x14ac:dyDescent="0.55000000000000004">
      <c r="A133">
        <v>336</v>
      </c>
      <c r="B133" t="s">
        <v>20</v>
      </c>
      <c r="C133">
        <v>25</v>
      </c>
      <c r="D133">
        <v>36</v>
      </c>
      <c r="E133" t="s">
        <v>558</v>
      </c>
      <c r="F133">
        <v>12.46</v>
      </c>
      <c r="G133" t="s">
        <v>1889</v>
      </c>
      <c r="H133" t="s">
        <v>1891</v>
      </c>
      <c r="I133" t="s">
        <v>211</v>
      </c>
      <c r="J133" t="s">
        <v>187</v>
      </c>
      <c r="K133" t="s">
        <v>2214</v>
      </c>
      <c r="L133" t="s">
        <v>3327</v>
      </c>
    </row>
    <row r="134" spans="1:12" x14ac:dyDescent="0.55000000000000004">
      <c r="A134">
        <v>339</v>
      </c>
      <c r="B134" t="s">
        <v>20</v>
      </c>
      <c r="C134">
        <v>25</v>
      </c>
      <c r="D134">
        <v>36</v>
      </c>
      <c r="E134" t="s">
        <v>561</v>
      </c>
      <c r="F134">
        <v>13.16</v>
      </c>
      <c r="G134" t="s">
        <v>1889</v>
      </c>
      <c r="H134" t="s">
        <v>1891</v>
      </c>
      <c r="I134" t="s">
        <v>211</v>
      </c>
      <c r="J134" t="s">
        <v>189</v>
      </c>
      <c r="K134" t="s">
        <v>2217</v>
      </c>
      <c r="L134" t="s">
        <v>3327</v>
      </c>
    </row>
    <row r="135" spans="1:12" x14ac:dyDescent="0.55000000000000004">
      <c r="A135">
        <v>341</v>
      </c>
      <c r="B135" t="s">
        <v>20</v>
      </c>
      <c r="C135">
        <v>25</v>
      </c>
      <c r="D135">
        <v>36</v>
      </c>
      <c r="E135" t="s">
        <v>563</v>
      </c>
      <c r="F135">
        <v>12.7</v>
      </c>
      <c r="G135" t="s">
        <v>1889</v>
      </c>
      <c r="H135" t="s">
        <v>1891</v>
      </c>
      <c r="I135" t="s">
        <v>211</v>
      </c>
      <c r="J135" t="s">
        <v>191</v>
      </c>
      <c r="K135" t="s">
        <v>2219</v>
      </c>
      <c r="L135" t="s">
        <v>3327</v>
      </c>
    </row>
    <row r="136" spans="1:12" x14ac:dyDescent="0.55000000000000004">
      <c r="A136">
        <v>343</v>
      </c>
      <c r="B136" t="s">
        <v>20</v>
      </c>
      <c r="C136">
        <v>25</v>
      </c>
      <c r="D136">
        <v>36</v>
      </c>
      <c r="E136" t="s">
        <v>565</v>
      </c>
      <c r="F136">
        <v>13.17</v>
      </c>
      <c r="G136" t="s">
        <v>1889</v>
      </c>
      <c r="H136" t="s">
        <v>1891</v>
      </c>
      <c r="I136" t="s">
        <v>211</v>
      </c>
      <c r="J136" t="s">
        <v>193</v>
      </c>
      <c r="K136" t="s">
        <v>2221</v>
      </c>
      <c r="L136" t="s">
        <v>3327</v>
      </c>
    </row>
    <row r="137" spans="1:12" x14ac:dyDescent="0.55000000000000004">
      <c r="A137">
        <v>345</v>
      </c>
      <c r="B137" t="s">
        <v>20</v>
      </c>
      <c r="C137">
        <v>25</v>
      </c>
      <c r="D137">
        <v>36</v>
      </c>
      <c r="E137" t="s">
        <v>567</v>
      </c>
      <c r="F137">
        <v>12.8</v>
      </c>
      <c r="G137" t="s">
        <v>1889</v>
      </c>
      <c r="H137" t="s">
        <v>1891</v>
      </c>
      <c r="I137" t="s">
        <v>211</v>
      </c>
      <c r="J137" t="s">
        <v>195</v>
      </c>
      <c r="K137" t="s">
        <v>2223</v>
      </c>
      <c r="L137" t="s">
        <v>3327</v>
      </c>
    </row>
    <row r="138" spans="1:12" x14ac:dyDescent="0.55000000000000004">
      <c r="A138">
        <v>346</v>
      </c>
      <c r="B138" t="s">
        <v>20</v>
      </c>
      <c r="C138">
        <v>25</v>
      </c>
      <c r="D138">
        <v>36</v>
      </c>
      <c r="E138" t="s">
        <v>568</v>
      </c>
      <c r="F138">
        <v>12.94</v>
      </c>
      <c r="G138" t="s">
        <v>1889</v>
      </c>
      <c r="H138" t="s">
        <v>1891</v>
      </c>
      <c r="I138" t="s">
        <v>211</v>
      </c>
      <c r="J138" t="s">
        <v>196</v>
      </c>
      <c r="K138" t="s">
        <v>2224</v>
      </c>
      <c r="L138" t="s">
        <v>3327</v>
      </c>
    </row>
    <row r="139" spans="1:12" x14ac:dyDescent="0.55000000000000004">
      <c r="A139">
        <v>361</v>
      </c>
      <c r="B139" t="s">
        <v>21</v>
      </c>
      <c r="C139">
        <v>25</v>
      </c>
      <c r="D139">
        <v>210</v>
      </c>
      <c r="E139" t="s">
        <v>583</v>
      </c>
      <c r="F139">
        <v>12.79</v>
      </c>
      <c r="G139" t="s">
        <v>1889</v>
      </c>
      <c r="H139" t="s">
        <v>1891</v>
      </c>
      <c r="I139" t="s">
        <v>211</v>
      </c>
      <c r="J139" t="s">
        <v>198</v>
      </c>
      <c r="K139" t="s">
        <v>2239</v>
      </c>
      <c r="L139" t="s">
        <v>3327</v>
      </c>
    </row>
    <row r="140" spans="1:12" x14ac:dyDescent="0.55000000000000004">
      <c r="A140">
        <v>364</v>
      </c>
      <c r="B140" t="s">
        <v>21</v>
      </c>
      <c r="C140">
        <v>25</v>
      </c>
      <c r="D140">
        <v>210</v>
      </c>
      <c r="E140" t="s">
        <v>586</v>
      </c>
      <c r="F140">
        <v>13.86</v>
      </c>
      <c r="G140" t="s">
        <v>1889</v>
      </c>
      <c r="H140" t="s">
        <v>1891</v>
      </c>
      <c r="I140" t="s">
        <v>211</v>
      </c>
      <c r="J140" t="s">
        <v>200</v>
      </c>
      <c r="K140" t="s">
        <v>2242</v>
      </c>
      <c r="L140" t="s">
        <v>3327</v>
      </c>
    </row>
    <row r="141" spans="1:12" x14ac:dyDescent="0.55000000000000004">
      <c r="A141">
        <v>366</v>
      </c>
      <c r="B141" t="s">
        <v>21</v>
      </c>
      <c r="C141">
        <v>25</v>
      </c>
      <c r="D141">
        <v>210</v>
      </c>
      <c r="E141" t="s">
        <v>588</v>
      </c>
      <c r="F141">
        <v>11.06</v>
      </c>
      <c r="G141" t="s">
        <v>1889</v>
      </c>
      <c r="H141" t="s">
        <v>1891</v>
      </c>
      <c r="I141" t="s">
        <v>211</v>
      </c>
      <c r="J141" t="s">
        <v>202</v>
      </c>
      <c r="K141" t="s">
        <v>2244</v>
      </c>
      <c r="L141" t="s">
        <v>3327</v>
      </c>
    </row>
    <row r="142" spans="1:12" x14ac:dyDescent="0.55000000000000004">
      <c r="A142">
        <v>368</v>
      </c>
      <c r="B142" t="s">
        <v>21</v>
      </c>
      <c r="C142">
        <v>25</v>
      </c>
      <c r="D142">
        <v>210</v>
      </c>
      <c r="E142" t="s">
        <v>590</v>
      </c>
      <c r="F142">
        <v>11.63</v>
      </c>
      <c r="G142" t="s">
        <v>1889</v>
      </c>
      <c r="H142" t="s">
        <v>1891</v>
      </c>
      <c r="I142" t="s">
        <v>211</v>
      </c>
      <c r="J142" t="s">
        <v>204</v>
      </c>
      <c r="K142" t="s">
        <v>2246</v>
      </c>
      <c r="L142" t="s">
        <v>3327</v>
      </c>
    </row>
    <row r="143" spans="1:12" x14ac:dyDescent="0.55000000000000004">
      <c r="A143">
        <v>370</v>
      </c>
      <c r="B143" t="s">
        <v>21</v>
      </c>
      <c r="C143">
        <v>25</v>
      </c>
      <c r="D143">
        <v>210</v>
      </c>
      <c r="E143" t="s">
        <v>592</v>
      </c>
      <c r="F143">
        <v>12.38</v>
      </c>
      <c r="G143" t="s">
        <v>1889</v>
      </c>
      <c r="H143" t="s">
        <v>1891</v>
      </c>
      <c r="I143" t="s">
        <v>211</v>
      </c>
      <c r="J143" t="s">
        <v>206</v>
      </c>
      <c r="K143" t="s">
        <v>2248</v>
      </c>
      <c r="L143" t="s">
        <v>3327</v>
      </c>
    </row>
    <row r="144" spans="1:12" x14ac:dyDescent="0.55000000000000004">
      <c r="A144">
        <v>371</v>
      </c>
      <c r="B144" t="s">
        <v>21</v>
      </c>
      <c r="C144">
        <v>25</v>
      </c>
      <c r="D144">
        <v>210</v>
      </c>
      <c r="E144" t="s">
        <v>593</v>
      </c>
      <c r="F144">
        <v>12.53</v>
      </c>
      <c r="G144" t="s">
        <v>1889</v>
      </c>
      <c r="H144" t="s">
        <v>1891</v>
      </c>
      <c r="I144" t="s">
        <v>211</v>
      </c>
      <c r="J144" t="s">
        <v>207</v>
      </c>
      <c r="K144" t="s">
        <v>2249</v>
      </c>
      <c r="L144" t="s">
        <v>3327</v>
      </c>
    </row>
    <row r="145" spans="1:12" x14ac:dyDescent="0.55000000000000004">
      <c r="A145">
        <v>386</v>
      </c>
      <c r="B145" t="s">
        <v>22</v>
      </c>
      <c r="C145">
        <v>25</v>
      </c>
      <c r="D145">
        <v>206</v>
      </c>
      <c r="E145" t="s">
        <v>608</v>
      </c>
      <c r="F145">
        <v>10.99</v>
      </c>
      <c r="G145" t="s">
        <v>1889</v>
      </c>
      <c r="H145" t="s">
        <v>1891</v>
      </c>
      <c r="I145" t="s">
        <v>211</v>
      </c>
      <c r="J145" t="s">
        <v>209</v>
      </c>
      <c r="K145" t="s">
        <v>2264</v>
      </c>
      <c r="L145" t="s">
        <v>3327</v>
      </c>
    </row>
    <row r="146" spans="1:12" x14ac:dyDescent="0.55000000000000004">
      <c r="A146">
        <v>387</v>
      </c>
      <c r="B146" t="s">
        <v>22</v>
      </c>
      <c r="C146">
        <v>25</v>
      </c>
      <c r="D146">
        <v>206</v>
      </c>
      <c r="E146" t="s">
        <v>609</v>
      </c>
      <c r="F146">
        <v>10.77</v>
      </c>
      <c r="G146" t="s">
        <v>1889</v>
      </c>
      <c r="H146" t="s">
        <v>1891</v>
      </c>
      <c r="I146" t="s">
        <v>212</v>
      </c>
      <c r="J146" t="s">
        <v>114</v>
      </c>
      <c r="K146" t="s">
        <v>2265</v>
      </c>
      <c r="L146" t="s">
        <v>3327</v>
      </c>
    </row>
    <row r="147" spans="1:12" x14ac:dyDescent="0.55000000000000004">
      <c r="A147">
        <v>388</v>
      </c>
      <c r="B147" t="s">
        <v>22</v>
      </c>
      <c r="C147">
        <v>25</v>
      </c>
      <c r="D147">
        <v>206</v>
      </c>
      <c r="E147" t="s">
        <v>610</v>
      </c>
      <c r="F147">
        <v>10.59</v>
      </c>
      <c r="G147" t="s">
        <v>1889</v>
      </c>
      <c r="H147" t="s">
        <v>1891</v>
      </c>
      <c r="I147" t="s">
        <v>212</v>
      </c>
      <c r="J147" t="s">
        <v>122</v>
      </c>
      <c r="K147" t="s">
        <v>2266</v>
      </c>
      <c r="L147" t="s">
        <v>3327</v>
      </c>
    </row>
    <row r="148" spans="1:12" x14ac:dyDescent="0.55000000000000004">
      <c r="A148">
        <v>410</v>
      </c>
      <c r="B148" t="s">
        <v>23</v>
      </c>
      <c r="C148">
        <v>10</v>
      </c>
      <c r="D148">
        <v>205</v>
      </c>
      <c r="E148" t="s">
        <v>632</v>
      </c>
      <c r="F148">
        <v>15.56</v>
      </c>
      <c r="G148" t="s">
        <v>1889</v>
      </c>
      <c r="H148" t="s">
        <v>1891</v>
      </c>
      <c r="I148" t="s">
        <v>212</v>
      </c>
      <c r="J148" t="s">
        <v>131</v>
      </c>
      <c r="K148" t="s">
        <v>2288</v>
      </c>
      <c r="L148" t="s">
        <v>3327</v>
      </c>
    </row>
    <row r="149" spans="1:12" x14ac:dyDescent="0.55000000000000004">
      <c r="A149">
        <v>414</v>
      </c>
      <c r="B149" t="s">
        <v>23</v>
      </c>
      <c r="C149">
        <v>10</v>
      </c>
      <c r="D149">
        <v>205</v>
      </c>
      <c r="E149" t="s">
        <v>636</v>
      </c>
      <c r="F149">
        <v>12.4</v>
      </c>
      <c r="G149" t="s">
        <v>1889</v>
      </c>
      <c r="H149" t="s">
        <v>1891</v>
      </c>
      <c r="I149" t="s">
        <v>212</v>
      </c>
      <c r="J149" t="s">
        <v>134</v>
      </c>
      <c r="K149" t="s">
        <v>2292</v>
      </c>
      <c r="L149" t="s">
        <v>3327</v>
      </c>
    </row>
    <row r="150" spans="1:12" x14ac:dyDescent="0.55000000000000004">
      <c r="A150">
        <v>578</v>
      </c>
      <c r="B150" t="s">
        <v>31</v>
      </c>
      <c r="C150">
        <v>25</v>
      </c>
      <c r="D150">
        <v>57</v>
      </c>
      <c r="E150" t="s">
        <v>800</v>
      </c>
      <c r="F150">
        <v>12.13</v>
      </c>
      <c r="G150" t="s">
        <v>1889</v>
      </c>
      <c r="H150" t="s">
        <v>1891</v>
      </c>
      <c r="I150" t="s">
        <v>213</v>
      </c>
      <c r="J150" t="s">
        <v>125</v>
      </c>
      <c r="K150" t="s">
        <v>2444</v>
      </c>
      <c r="L150" t="s">
        <v>3327</v>
      </c>
    </row>
    <row r="151" spans="1:12" x14ac:dyDescent="0.55000000000000004">
      <c r="A151">
        <v>580</v>
      </c>
      <c r="B151" t="s">
        <v>31</v>
      </c>
      <c r="C151">
        <v>25</v>
      </c>
      <c r="D151">
        <v>57</v>
      </c>
      <c r="E151" t="s">
        <v>802</v>
      </c>
      <c r="F151">
        <v>10.15</v>
      </c>
      <c r="G151" t="s">
        <v>1889</v>
      </c>
      <c r="H151" t="s">
        <v>1891</v>
      </c>
      <c r="I151" t="s">
        <v>213</v>
      </c>
      <c r="J151" t="s">
        <v>127</v>
      </c>
      <c r="K151" t="s">
        <v>2446</v>
      </c>
      <c r="L151" t="s">
        <v>3327</v>
      </c>
    </row>
    <row r="152" spans="1:12" x14ac:dyDescent="0.55000000000000004">
      <c r="A152">
        <v>595</v>
      </c>
      <c r="B152" t="s">
        <v>32</v>
      </c>
      <c r="C152">
        <v>25</v>
      </c>
      <c r="D152">
        <v>183</v>
      </c>
      <c r="E152" t="s">
        <v>817</v>
      </c>
      <c r="F152">
        <v>11.3</v>
      </c>
      <c r="G152" t="s">
        <v>1889</v>
      </c>
      <c r="H152" t="s">
        <v>1891</v>
      </c>
      <c r="I152" t="s">
        <v>213</v>
      </c>
      <c r="J152" t="s">
        <v>129</v>
      </c>
      <c r="K152" t="s">
        <v>2461</v>
      </c>
      <c r="L152" t="s">
        <v>3327</v>
      </c>
    </row>
    <row r="153" spans="1:12" x14ac:dyDescent="0.55000000000000004">
      <c r="A153">
        <v>621</v>
      </c>
      <c r="B153" t="s">
        <v>33</v>
      </c>
      <c r="C153">
        <v>5</v>
      </c>
      <c r="D153">
        <v>182</v>
      </c>
      <c r="E153" t="s">
        <v>843</v>
      </c>
      <c r="F153">
        <v>9.9700000000000006</v>
      </c>
      <c r="G153" t="s">
        <v>1889</v>
      </c>
      <c r="H153" t="s">
        <v>1891</v>
      </c>
      <c r="I153" t="s">
        <v>213</v>
      </c>
      <c r="J153" t="s">
        <v>141</v>
      </c>
      <c r="K153" t="s">
        <v>2487</v>
      </c>
      <c r="L153" t="s">
        <v>3327</v>
      </c>
    </row>
    <row r="154" spans="1:12" x14ac:dyDescent="0.55000000000000004">
      <c r="A154">
        <v>623</v>
      </c>
      <c r="B154" t="s">
        <v>33</v>
      </c>
      <c r="C154">
        <v>5</v>
      </c>
      <c r="D154">
        <v>182</v>
      </c>
      <c r="E154" t="s">
        <v>845</v>
      </c>
      <c r="F154">
        <v>11.52</v>
      </c>
      <c r="G154" t="s">
        <v>1889</v>
      </c>
      <c r="H154" t="s">
        <v>1891</v>
      </c>
      <c r="I154" t="s">
        <v>213</v>
      </c>
      <c r="J154" t="s">
        <v>143</v>
      </c>
      <c r="K154" t="s">
        <v>2489</v>
      </c>
      <c r="L154" t="s">
        <v>3327</v>
      </c>
    </row>
    <row r="155" spans="1:12" x14ac:dyDescent="0.55000000000000004">
      <c r="A155">
        <v>761</v>
      </c>
      <c r="B155" t="s">
        <v>40</v>
      </c>
      <c r="C155">
        <v>15</v>
      </c>
      <c r="D155">
        <v>196</v>
      </c>
      <c r="E155" t="s">
        <v>983</v>
      </c>
      <c r="F155">
        <v>13.52</v>
      </c>
      <c r="G155" t="s">
        <v>1889</v>
      </c>
      <c r="H155" t="s">
        <v>1891</v>
      </c>
      <c r="I155" t="s">
        <v>214</v>
      </c>
      <c r="J155" t="s">
        <v>114</v>
      </c>
      <c r="K155" t="s">
        <v>2625</v>
      </c>
      <c r="L155" t="s">
        <v>3327</v>
      </c>
    </row>
    <row r="156" spans="1:12" x14ac:dyDescent="0.55000000000000004">
      <c r="A156">
        <v>774</v>
      </c>
      <c r="B156" t="s">
        <v>43</v>
      </c>
      <c r="C156">
        <v>3</v>
      </c>
      <c r="D156">
        <v>178</v>
      </c>
      <c r="E156" t="s">
        <v>996</v>
      </c>
      <c r="F156">
        <v>14.94</v>
      </c>
      <c r="G156" t="s">
        <v>1889</v>
      </c>
      <c r="H156" t="s">
        <v>1891</v>
      </c>
      <c r="I156" t="s">
        <v>214</v>
      </c>
      <c r="J156" t="s">
        <v>131</v>
      </c>
      <c r="K156" t="s">
        <v>2638</v>
      </c>
      <c r="L156" t="s">
        <v>3327</v>
      </c>
    </row>
    <row r="157" spans="1:12" x14ac:dyDescent="0.55000000000000004">
      <c r="A157">
        <v>901</v>
      </c>
      <c r="B157" t="s">
        <v>55</v>
      </c>
      <c r="C157">
        <v>9</v>
      </c>
      <c r="D157">
        <v>451</v>
      </c>
      <c r="E157" t="s">
        <v>1123</v>
      </c>
      <c r="F157">
        <v>12.26</v>
      </c>
      <c r="G157" t="s">
        <v>1889</v>
      </c>
      <c r="H157" t="s">
        <v>1891</v>
      </c>
      <c r="I157" t="s">
        <v>215</v>
      </c>
      <c r="J157" t="s">
        <v>123</v>
      </c>
      <c r="K157" t="s">
        <v>2763</v>
      </c>
      <c r="L157" t="s">
        <v>3327</v>
      </c>
    </row>
    <row r="158" spans="1:12" x14ac:dyDescent="0.55000000000000004">
      <c r="A158">
        <v>903</v>
      </c>
      <c r="B158" t="s">
        <v>55</v>
      </c>
      <c r="C158">
        <v>9</v>
      </c>
      <c r="D158">
        <v>451</v>
      </c>
      <c r="E158" t="s">
        <v>1125</v>
      </c>
      <c r="F158">
        <v>12.13</v>
      </c>
      <c r="G158" t="s">
        <v>1889</v>
      </c>
      <c r="H158" t="s">
        <v>1891</v>
      </c>
      <c r="I158" t="s">
        <v>215</v>
      </c>
      <c r="J158" t="s">
        <v>125</v>
      </c>
      <c r="K158" t="s">
        <v>2765</v>
      </c>
      <c r="L158" t="s">
        <v>3327</v>
      </c>
    </row>
    <row r="159" spans="1:12" x14ac:dyDescent="0.55000000000000004">
      <c r="A159">
        <v>905</v>
      </c>
      <c r="B159" t="s">
        <v>55</v>
      </c>
      <c r="C159">
        <v>9</v>
      </c>
      <c r="D159">
        <v>451</v>
      </c>
      <c r="E159" t="s">
        <v>1127</v>
      </c>
      <c r="F159">
        <v>11.49</v>
      </c>
      <c r="G159" t="s">
        <v>1889</v>
      </c>
      <c r="H159" t="s">
        <v>1891</v>
      </c>
      <c r="I159" t="s">
        <v>215</v>
      </c>
      <c r="J159" t="s">
        <v>127</v>
      </c>
      <c r="K159" t="s">
        <v>2767</v>
      </c>
      <c r="L159" t="s">
        <v>3327</v>
      </c>
    </row>
    <row r="160" spans="1:12" x14ac:dyDescent="0.55000000000000004">
      <c r="A160">
        <v>907</v>
      </c>
      <c r="B160" t="s">
        <v>55</v>
      </c>
      <c r="C160">
        <v>9</v>
      </c>
      <c r="D160">
        <v>451</v>
      </c>
      <c r="E160" t="s">
        <v>1129</v>
      </c>
      <c r="F160">
        <v>11.1</v>
      </c>
      <c r="G160" t="s">
        <v>1889</v>
      </c>
      <c r="H160" t="s">
        <v>1891</v>
      </c>
      <c r="I160" t="s">
        <v>215</v>
      </c>
      <c r="J160" t="s">
        <v>129</v>
      </c>
      <c r="K160" t="s">
        <v>2769</v>
      </c>
      <c r="L160" t="s">
        <v>3327</v>
      </c>
    </row>
    <row r="161" spans="1:12" x14ac:dyDescent="0.55000000000000004">
      <c r="A161">
        <v>914</v>
      </c>
      <c r="B161" t="s">
        <v>57</v>
      </c>
      <c r="C161">
        <v>2</v>
      </c>
      <c r="D161">
        <v>464</v>
      </c>
      <c r="E161" t="s">
        <v>1136</v>
      </c>
      <c r="F161">
        <v>10.82</v>
      </c>
      <c r="G161" t="s">
        <v>1889</v>
      </c>
      <c r="H161" t="s">
        <v>1891</v>
      </c>
      <c r="I161" t="s">
        <v>215</v>
      </c>
      <c r="J161" t="s">
        <v>135</v>
      </c>
      <c r="K161" t="s">
        <v>2776</v>
      </c>
      <c r="L161" t="s">
        <v>3327</v>
      </c>
    </row>
    <row r="162" spans="1:12" x14ac:dyDescent="0.55000000000000004">
      <c r="A162">
        <v>916</v>
      </c>
      <c r="B162" t="s">
        <v>58</v>
      </c>
      <c r="C162">
        <v>8</v>
      </c>
      <c r="D162">
        <v>465</v>
      </c>
      <c r="E162" t="s">
        <v>1138</v>
      </c>
      <c r="F162">
        <v>13.87</v>
      </c>
      <c r="G162" t="s">
        <v>1889</v>
      </c>
      <c r="H162" t="s">
        <v>1891</v>
      </c>
      <c r="I162" t="s">
        <v>215</v>
      </c>
      <c r="J162" t="s">
        <v>137</v>
      </c>
      <c r="K162" t="s">
        <v>2778</v>
      </c>
      <c r="L162" t="s">
        <v>3327</v>
      </c>
    </row>
    <row r="163" spans="1:12" x14ac:dyDescent="0.55000000000000004">
      <c r="A163">
        <v>918</v>
      </c>
      <c r="B163" t="s">
        <v>58</v>
      </c>
      <c r="C163">
        <v>8</v>
      </c>
      <c r="D163">
        <v>465</v>
      </c>
      <c r="E163" t="s">
        <v>1140</v>
      </c>
      <c r="F163">
        <v>12.7</v>
      </c>
      <c r="G163" t="s">
        <v>1889</v>
      </c>
      <c r="H163" t="s">
        <v>1891</v>
      </c>
      <c r="I163" t="s">
        <v>215</v>
      </c>
      <c r="J163" t="s">
        <v>139</v>
      </c>
      <c r="K163" t="s">
        <v>2780</v>
      </c>
      <c r="L163" t="s">
        <v>3327</v>
      </c>
    </row>
    <row r="164" spans="1:12" x14ac:dyDescent="0.55000000000000004">
      <c r="A164">
        <v>923</v>
      </c>
      <c r="B164" t="s">
        <v>59</v>
      </c>
      <c r="C164">
        <v>25</v>
      </c>
      <c r="D164">
        <v>422</v>
      </c>
      <c r="E164" t="s">
        <v>1145</v>
      </c>
      <c r="F164">
        <v>12.29</v>
      </c>
      <c r="G164" t="s">
        <v>1889</v>
      </c>
      <c r="H164" t="s">
        <v>1891</v>
      </c>
      <c r="I164" t="s">
        <v>215</v>
      </c>
      <c r="J164" t="s">
        <v>116</v>
      </c>
      <c r="K164" t="s">
        <v>2785</v>
      </c>
      <c r="L164" t="s">
        <v>3327</v>
      </c>
    </row>
    <row r="165" spans="1:12" x14ac:dyDescent="0.55000000000000004">
      <c r="A165">
        <v>924</v>
      </c>
      <c r="B165" t="s">
        <v>59</v>
      </c>
      <c r="C165">
        <v>25</v>
      </c>
      <c r="D165">
        <v>422</v>
      </c>
      <c r="E165" t="s">
        <v>1146</v>
      </c>
      <c r="F165">
        <v>14.02</v>
      </c>
      <c r="G165" t="s">
        <v>2113</v>
      </c>
      <c r="H165" t="s">
        <v>110</v>
      </c>
      <c r="I165" t="s">
        <v>215</v>
      </c>
      <c r="J165" t="s">
        <v>144</v>
      </c>
      <c r="L165" t="s">
        <v>3327</v>
      </c>
    </row>
    <row r="166" spans="1:12" x14ac:dyDescent="0.55000000000000004">
      <c r="A166">
        <v>926</v>
      </c>
      <c r="B166" t="s">
        <v>59</v>
      </c>
      <c r="C166">
        <v>25</v>
      </c>
      <c r="D166">
        <v>422</v>
      </c>
      <c r="E166" t="s">
        <v>1148</v>
      </c>
      <c r="F166">
        <v>18.100000000000001</v>
      </c>
      <c r="G166" t="s">
        <v>2113</v>
      </c>
      <c r="H166" t="s">
        <v>110</v>
      </c>
      <c r="I166" t="s">
        <v>215</v>
      </c>
      <c r="J166" t="s">
        <v>146</v>
      </c>
      <c r="L166" t="s">
        <v>3327</v>
      </c>
    </row>
    <row r="167" spans="1:12" x14ac:dyDescent="0.55000000000000004">
      <c r="A167">
        <v>928</v>
      </c>
      <c r="B167" t="s">
        <v>59</v>
      </c>
      <c r="C167">
        <v>25</v>
      </c>
      <c r="D167">
        <v>422</v>
      </c>
      <c r="E167" t="s">
        <v>1150</v>
      </c>
      <c r="F167">
        <v>16.14</v>
      </c>
      <c r="G167" t="s">
        <v>2113</v>
      </c>
      <c r="H167" t="s">
        <v>110</v>
      </c>
      <c r="I167" t="s">
        <v>215</v>
      </c>
      <c r="J167" t="s">
        <v>148</v>
      </c>
      <c r="L167" t="s">
        <v>3327</v>
      </c>
    </row>
    <row r="168" spans="1:12" x14ac:dyDescent="0.55000000000000004">
      <c r="A168">
        <v>930</v>
      </c>
      <c r="B168" t="s">
        <v>59</v>
      </c>
      <c r="C168">
        <v>25</v>
      </c>
      <c r="D168">
        <v>422</v>
      </c>
      <c r="E168" t="s">
        <v>1152</v>
      </c>
      <c r="F168">
        <v>14.41</v>
      </c>
      <c r="G168" t="s">
        <v>2113</v>
      </c>
      <c r="H168" t="s">
        <v>110</v>
      </c>
      <c r="I168" t="s">
        <v>215</v>
      </c>
      <c r="J168" t="s">
        <v>150</v>
      </c>
      <c r="L168" t="s">
        <v>3327</v>
      </c>
    </row>
    <row r="169" spans="1:12" x14ac:dyDescent="0.55000000000000004">
      <c r="A169">
        <v>933</v>
      </c>
      <c r="B169" t="s">
        <v>59</v>
      </c>
      <c r="C169">
        <v>25</v>
      </c>
      <c r="D169">
        <v>422</v>
      </c>
      <c r="E169" t="s">
        <v>1155</v>
      </c>
      <c r="F169">
        <v>15.03</v>
      </c>
      <c r="G169" t="s">
        <v>1889</v>
      </c>
      <c r="H169" t="s">
        <v>1891</v>
      </c>
      <c r="I169" t="s">
        <v>215</v>
      </c>
      <c r="J169" t="s">
        <v>153</v>
      </c>
      <c r="K169" t="s">
        <v>2787</v>
      </c>
      <c r="L169" t="s">
        <v>3327</v>
      </c>
    </row>
    <row r="170" spans="1:12" x14ac:dyDescent="0.55000000000000004">
      <c r="A170">
        <v>948</v>
      </c>
      <c r="B170" t="s">
        <v>60</v>
      </c>
      <c r="C170">
        <v>25</v>
      </c>
      <c r="D170">
        <v>420</v>
      </c>
      <c r="E170" t="s">
        <v>1170</v>
      </c>
      <c r="F170">
        <v>13.75</v>
      </c>
      <c r="G170" t="s">
        <v>1889</v>
      </c>
      <c r="H170" t="s">
        <v>1891</v>
      </c>
      <c r="I170" t="s">
        <v>215</v>
      </c>
      <c r="J170" t="s">
        <v>117</v>
      </c>
      <c r="K170" t="s">
        <v>2796</v>
      </c>
      <c r="L170" t="s">
        <v>3327</v>
      </c>
    </row>
    <row r="171" spans="1:12" x14ac:dyDescent="0.55000000000000004">
      <c r="A171">
        <v>949</v>
      </c>
      <c r="B171" t="s">
        <v>60</v>
      </c>
      <c r="C171">
        <v>25</v>
      </c>
      <c r="D171">
        <v>420</v>
      </c>
      <c r="E171" t="s">
        <v>1171</v>
      </c>
      <c r="F171">
        <v>12.65</v>
      </c>
      <c r="G171" t="s">
        <v>1889</v>
      </c>
      <c r="H171" t="s">
        <v>1891</v>
      </c>
      <c r="I171" t="s">
        <v>215</v>
      </c>
      <c r="J171" t="s">
        <v>155</v>
      </c>
      <c r="K171" t="s">
        <v>2797</v>
      </c>
      <c r="L171" t="s">
        <v>3327</v>
      </c>
    </row>
    <row r="172" spans="1:12" x14ac:dyDescent="0.55000000000000004">
      <c r="A172">
        <v>951</v>
      </c>
      <c r="B172" t="s">
        <v>60</v>
      </c>
      <c r="C172">
        <v>25</v>
      </c>
      <c r="D172">
        <v>420</v>
      </c>
      <c r="E172" t="s">
        <v>1173</v>
      </c>
      <c r="F172">
        <v>13.29</v>
      </c>
      <c r="G172" t="s">
        <v>1889</v>
      </c>
      <c r="H172" t="s">
        <v>1891</v>
      </c>
      <c r="I172" t="s">
        <v>215</v>
      </c>
      <c r="J172" t="s">
        <v>157</v>
      </c>
      <c r="K172" t="s">
        <v>2799</v>
      </c>
      <c r="L172" t="s">
        <v>3327</v>
      </c>
    </row>
    <row r="173" spans="1:12" x14ac:dyDescent="0.55000000000000004">
      <c r="A173">
        <v>953</v>
      </c>
      <c r="B173" t="s">
        <v>60</v>
      </c>
      <c r="C173">
        <v>25</v>
      </c>
      <c r="D173">
        <v>420</v>
      </c>
      <c r="E173" t="s">
        <v>1175</v>
      </c>
      <c r="F173">
        <v>12.63</v>
      </c>
      <c r="G173" t="s">
        <v>1889</v>
      </c>
      <c r="H173" t="s">
        <v>1891</v>
      </c>
      <c r="I173" t="s">
        <v>215</v>
      </c>
      <c r="J173" t="s">
        <v>159</v>
      </c>
      <c r="K173" t="s">
        <v>2801</v>
      </c>
      <c r="L173" t="s">
        <v>3327</v>
      </c>
    </row>
    <row r="174" spans="1:12" x14ac:dyDescent="0.55000000000000004">
      <c r="A174">
        <v>955</v>
      </c>
      <c r="B174" t="s">
        <v>60</v>
      </c>
      <c r="C174">
        <v>25</v>
      </c>
      <c r="D174">
        <v>420</v>
      </c>
      <c r="E174" t="s">
        <v>1177</v>
      </c>
      <c r="F174">
        <v>15.32</v>
      </c>
      <c r="G174" t="s">
        <v>1889</v>
      </c>
      <c r="H174" t="s">
        <v>1891</v>
      </c>
      <c r="I174" t="s">
        <v>215</v>
      </c>
      <c r="J174" t="s">
        <v>161</v>
      </c>
      <c r="K174" t="s">
        <v>2803</v>
      </c>
      <c r="L174" t="s">
        <v>3327</v>
      </c>
    </row>
    <row r="175" spans="1:12" x14ac:dyDescent="0.55000000000000004">
      <c r="A175">
        <v>958</v>
      </c>
      <c r="B175" t="s">
        <v>60</v>
      </c>
      <c r="C175">
        <v>25</v>
      </c>
      <c r="D175">
        <v>420</v>
      </c>
      <c r="E175" t="s">
        <v>1180</v>
      </c>
      <c r="F175">
        <v>13.77</v>
      </c>
      <c r="G175" t="s">
        <v>1889</v>
      </c>
      <c r="H175" t="s">
        <v>1891</v>
      </c>
      <c r="I175" t="s">
        <v>215</v>
      </c>
      <c r="J175" t="s">
        <v>164</v>
      </c>
      <c r="K175" t="s">
        <v>2806</v>
      </c>
      <c r="L175" t="s">
        <v>3327</v>
      </c>
    </row>
    <row r="176" spans="1:12" x14ac:dyDescent="0.55000000000000004">
      <c r="A176">
        <v>973</v>
      </c>
      <c r="B176" t="s">
        <v>61</v>
      </c>
      <c r="C176">
        <v>25</v>
      </c>
      <c r="D176">
        <v>419</v>
      </c>
      <c r="E176" t="s">
        <v>1195</v>
      </c>
      <c r="F176">
        <v>11.68</v>
      </c>
      <c r="G176" t="s">
        <v>1889</v>
      </c>
      <c r="H176" t="s">
        <v>1891</v>
      </c>
      <c r="I176" t="s">
        <v>215</v>
      </c>
      <c r="J176" t="s">
        <v>118</v>
      </c>
      <c r="K176" t="s">
        <v>2818</v>
      </c>
      <c r="L176" t="s">
        <v>3327</v>
      </c>
    </row>
    <row r="177" spans="1:12" x14ac:dyDescent="0.55000000000000004">
      <c r="A177">
        <v>974</v>
      </c>
      <c r="B177" t="s">
        <v>61</v>
      </c>
      <c r="C177">
        <v>25</v>
      </c>
      <c r="D177">
        <v>419</v>
      </c>
      <c r="E177" t="s">
        <v>1196</v>
      </c>
      <c r="F177">
        <v>12.49</v>
      </c>
      <c r="G177" t="s">
        <v>1889</v>
      </c>
      <c r="H177" t="s">
        <v>1891</v>
      </c>
      <c r="I177" t="s">
        <v>215</v>
      </c>
      <c r="J177" t="s">
        <v>166</v>
      </c>
      <c r="K177" t="s">
        <v>2819</v>
      </c>
      <c r="L177" t="s">
        <v>3327</v>
      </c>
    </row>
    <row r="178" spans="1:12" x14ac:dyDescent="0.55000000000000004">
      <c r="A178">
        <v>976</v>
      </c>
      <c r="B178" t="s">
        <v>61</v>
      </c>
      <c r="C178">
        <v>25</v>
      </c>
      <c r="D178">
        <v>419</v>
      </c>
      <c r="E178" t="s">
        <v>1198</v>
      </c>
      <c r="F178">
        <v>13.32</v>
      </c>
      <c r="G178" t="s">
        <v>1889</v>
      </c>
      <c r="H178" t="s">
        <v>1891</v>
      </c>
      <c r="I178" t="s">
        <v>215</v>
      </c>
      <c r="J178" t="s">
        <v>168</v>
      </c>
      <c r="K178" t="s">
        <v>2821</v>
      </c>
      <c r="L178" t="s">
        <v>3327</v>
      </c>
    </row>
    <row r="179" spans="1:12" x14ac:dyDescent="0.55000000000000004">
      <c r="A179">
        <v>978</v>
      </c>
      <c r="B179" t="s">
        <v>61</v>
      </c>
      <c r="C179">
        <v>25</v>
      </c>
      <c r="D179">
        <v>419</v>
      </c>
      <c r="E179" t="s">
        <v>1200</v>
      </c>
      <c r="F179">
        <v>14.14</v>
      </c>
      <c r="G179" t="s">
        <v>1889</v>
      </c>
      <c r="H179" t="s">
        <v>1891</v>
      </c>
      <c r="I179" t="s">
        <v>215</v>
      </c>
      <c r="J179" t="s">
        <v>170</v>
      </c>
      <c r="K179" t="s">
        <v>2823</v>
      </c>
      <c r="L179" t="s">
        <v>3327</v>
      </c>
    </row>
    <row r="180" spans="1:12" x14ac:dyDescent="0.55000000000000004">
      <c r="A180">
        <v>980</v>
      </c>
      <c r="B180" t="s">
        <v>61</v>
      </c>
      <c r="C180">
        <v>25</v>
      </c>
      <c r="D180">
        <v>419</v>
      </c>
      <c r="E180" t="s">
        <v>1202</v>
      </c>
      <c r="F180">
        <v>13.68</v>
      </c>
      <c r="G180" t="s">
        <v>1889</v>
      </c>
      <c r="H180" t="s">
        <v>1891</v>
      </c>
      <c r="I180" t="s">
        <v>215</v>
      </c>
      <c r="J180" t="s">
        <v>172</v>
      </c>
      <c r="K180" t="s">
        <v>2825</v>
      </c>
      <c r="L180" t="s">
        <v>3327</v>
      </c>
    </row>
    <row r="181" spans="1:12" x14ac:dyDescent="0.55000000000000004">
      <c r="A181">
        <v>983</v>
      </c>
      <c r="B181" t="s">
        <v>61</v>
      </c>
      <c r="C181">
        <v>25</v>
      </c>
      <c r="D181">
        <v>419</v>
      </c>
      <c r="E181" t="s">
        <v>1205</v>
      </c>
      <c r="F181">
        <v>13.73</v>
      </c>
      <c r="G181" t="s">
        <v>1889</v>
      </c>
      <c r="H181" t="s">
        <v>1891</v>
      </c>
      <c r="I181" t="s">
        <v>215</v>
      </c>
      <c r="J181" t="s">
        <v>175</v>
      </c>
      <c r="K181" t="s">
        <v>2828</v>
      </c>
      <c r="L181" t="s">
        <v>3327</v>
      </c>
    </row>
    <row r="182" spans="1:12" x14ac:dyDescent="0.55000000000000004">
      <c r="A182">
        <v>998</v>
      </c>
      <c r="B182" t="s">
        <v>62</v>
      </c>
      <c r="C182">
        <v>25</v>
      </c>
      <c r="D182">
        <v>418</v>
      </c>
      <c r="E182" t="s">
        <v>1220</v>
      </c>
      <c r="F182">
        <v>13.68</v>
      </c>
      <c r="G182" t="s">
        <v>1889</v>
      </c>
      <c r="H182" t="s">
        <v>1891</v>
      </c>
      <c r="I182" t="s">
        <v>215</v>
      </c>
      <c r="J182" t="s">
        <v>119</v>
      </c>
      <c r="K182" t="s">
        <v>2843</v>
      </c>
      <c r="L182" t="s">
        <v>3327</v>
      </c>
    </row>
    <row r="183" spans="1:12" x14ac:dyDescent="0.55000000000000004">
      <c r="A183">
        <v>999</v>
      </c>
      <c r="B183" t="s">
        <v>62</v>
      </c>
      <c r="C183">
        <v>25</v>
      </c>
      <c r="D183">
        <v>418</v>
      </c>
      <c r="E183" t="s">
        <v>1221</v>
      </c>
      <c r="F183">
        <v>13.26</v>
      </c>
      <c r="G183" t="s">
        <v>1889</v>
      </c>
      <c r="H183" t="s">
        <v>1891</v>
      </c>
      <c r="I183" t="s">
        <v>215</v>
      </c>
      <c r="J183" t="s">
        <v>177</v>
      </c>
      <c r="K183" t="s">
        <v>2844</v>
      </c>
      <c r="L183" t="s">
        <v>3327</v>
      </c>
    </row>
    <row r="184" spans="1:12" x14ac:dyDescent="0.55000000000000004">
      <c r="A184">
        <v>1001</v>
      </c>
      <c r="B184" t="s">
        <v>62</v>
      </c>
      <c r="C184">
        <v>25</v>
      </c>
      <c r="D184">
        <v>418</v>
      </c>
      <c r="E184" t="s">
        <v>1223</v>
      </c>
      <c r="F184">
        <v>15.19</v>
      </c>
      <c r="G184" t="s">
        <v>1889</v>
      </c>
      <c r="H184" t="s">
        <v>1891</v>
      </c>
      <c r="I184" t="s">
        <v>215</v>
      </c>
      <c r="J184" t="s">
        <v>179</v>
      </c>
      <c r="K184" t="s">
        <v>2846</v>
      </c>
      <c r="L184" t="s">
        <v>3327</v>
      </c>
    </row>
    <row r="185" spans="1:12" x14ac:dyDescent="0.55000000000000004">
      <c r="A185">
        <v>1003</v>
      </c>
      <c r="B185" t="s">
        <v>62</v>
      </c>
      <c r="C185">
        <v>25</v>
      </c>
      <c r="D185">
        <v>418</v>
      </c>
      <c r="E185" t="s">
        <v>1225</v>
      </c>
      <c r="F185">
        <v>16.3</v>
      </c>
      <c r="G185" t="s">
        <v>2113</v>
      </c>
      <c r="H185" t="s">
        <v>110</v>
      </c>
      <c r="I185" t="s">
        <v>215</v>
      </c>
      <c r="J185" t="s">
        <v>181</v>
      </c>
      <c r="L185" t="s">
        <v>3327</v>
      </c>
    </row>
    <row r="186" spans="1:12" x14ac:dyDescent="0.55000000000000004">
      <c r="A186">
        <v>1005</v>
      </c>
      <c r="B186" t="s">
        <v>62</v>
      </c>
      <c r="C186">
        <v>25</v>
      </c>
      <c r="D186">
        <v>418</v>
      </c>
      <c r="E186" t="s">
        <v>1227</v>
      </c>
      <c r="F186">
        <v>15.65</v>
      </c>
      <c r="G186" t="s">
        <v>2113</v>
      </c>
      <c r="H186" t="s">
        <v>110</v>
      </c>
      <c r="I186" t="s">
        <v>215</v>
      </c>
      <c r="J186" t="s">
        <v>183</v>
      </c>
      <c r="L186" t="s">
        <v>3327</v>
      </c>
    </row>
    <row r="187" spans="1:12" x14ac:dyDescent="0.55000000000000004">
      <c r="A187">
        <v>1008</v>
      </c>
      <c r="B187" t="s">
        <v>62</v>
      </c>
      <c r="C187">
        <v>25</v>
      </c>
      <c r="D187">
        <v>418</v>
      </c>
      <c r="E187" t="s">
        <v>1230</v>
      </c>
      <c r="F187">
        <v>15.89</v>
      </c>
      <c r="G187" t="s">
        <v>2113</v>
      </c>
      <c r="H187" t="s">
        <v>110</v>
      </c>
      <c r="I187" t="s">
        <v>215</v>
      </c>
      <c r="J187" t="s">
        <v>186</v>
      </c>
      <c r="L187" t="s">
        <v>3327</v>
      </c>
    </row>
    <row r="188" spans="1:12" x14ac:dyDescent="0.55000000000000004">
      <c r="A188">
        <v>1023</v>
      </c>
      <c r="B188" t="s">
        <v>63</v>
      </c>
      <c r="C188">
        <v>11</v>
      </c>
      <c r="D188">
        <v>417</v>
      </c>
      <c r="E188" t="s">
        <v>1245</v>
      </c>
      <c r="F188">
        <v>14.25</v>
      </c>
      <c r="G188" t="s">
        <v>1889</v>
      </c>
      <c r="H188" t="s">
        <v>1891</v>
      </c>
      <c r="I188" t="s">
        <v>215</v>
      </c>
      <c r="J188" t="s">
        <v>120</v>
      </c>
      <c r="K188" t="s">
        <v>2852</v>
      </c>
      <c r="L188" t="s">
        <v>3327</v>
      </c>
    </row>
    <row r="189" spans="1:12" x14ac:dyDescent="0.55000000000000004">
      <c r="A189">
        <v>1024</v>
      </c>
      <c r="B189" t="s">
        <v>63</v>
      </c>
      <c r="C189">
        <v>11</v>
      </c>
      <c r="D189">
        <v>417</v>
      </c>
      <c r="E189" t="s">
        <v>1246</v>
      </c>
      <c r="F189">
        <v>13.66</v>
      </c>
      <c r="G189" t="s">
        <v>1889</v>
      </c>
      <c r="H189" t="s">
        <v>1891</v>
      </c>
      <c r="I189" t="s">
        <v>215</v>
      </c>
      <c r="J189" t="s">
        <v>188</v>
      </c>
      <c r="K189" t="s">
        <v>2853</v>
      </c>
      <c r="L189" t="s">
        <v>3327</v>
      </c>
    </row>
    <row r="190" spans="1:12" x14ac:dyDescent="0.55000000000000004">
      <c r="A190">
        <v>1026</v>
      </c>
      <c r="B190" t="s">
        <v>63</v>
      </c>
      <c r="C190">
        <v>11</v>
      </c>
      <c r="D190">
        <v>417</v>
      </c>
      <c r="E190" t="s">
        <v>1248</v>
      </c>
      <c r="F190">
        <v>12.41</v>
      </c>
      <c r="G190" t="s">
        <v>1889</v>
      </c>
      <c r="H190" t="s">
        <v>1891</v>
      </c>
      <c r="I190" t="s">
        <v>215</v>
      </c>
      <c r="J190" t="s">
        <v>190</v>
      </c>
      <c r="K190" t="s">
        <v>2855</v>
      </c>
      <c r="L190" t="s">
        <v>3327</v>
      </c>
    </row>
    <row r="191" spans="1:12" x14ac:dyDescent="0.55000000000000004">
      <c r="A191">
        <v>1028</v>
      </c>
      <c r="B191" t="s">
        <v>63</v>
      </c>
      <c r="C191">
        <v>11</v>
      </c>
      <c r="D191">
        <v>417</v>
      </c>
      <c r="E191" t="s">
        <v>1250</v>
      </c>
      <c r="F191">
        <v>16</v>
      </c>
      <c r="G191" t="s">
        <v>1889</v>
      </c>
      <c r="H191" t="s">
        <v>1891</v>
      </c>
      <c r="I191" t="s">
        <v>215</v>
      </c>
      <c r="J191" t="s">
        <v>192</v>
      </c>
      <c r="K191" t="s">
        <v>2857</v>
      </c>
      <c r="L191" t="s">
        <v>3327</v>
      </c>
    </row>
    <row r="192" spans="1:12" x14ac:dyDescent="0.55000000000000004">
      <c r="A192">
        <v>1030</v>
      </c>
      <c r="B192" t="s">
        <v>63</v>
      </c>
      <c r="C192">
        <v>11</v>
      </c>
      <c r="D192">
        <v>417</v>
      </c>
      <c r="E192" t="s">
        <v>1252</v>
      </c>
      <c r="F192">
        <v>10.51</v>
      </c>
      <c r="G192" t="s">
        <v>1889</v>
      </c>
      <c r="H192" t="s">
        <v>1891</v>
      </c>
      <c r="I192" t="s">
        <v>215</v>
      </c>
      <c r="J192" t="s">
        <v>194</v>
      </c>
      <c r="K192" t="s">
        <v>2859</v>
      </c>
      <c r="L192" t="s">
        <v>3327</v>
      </c>
    </row>
    <row r="193" spans="1:12" x14ac:dyDescent="0.55000000000000004">
      <c r="A193">
        <v>1033</v>
      </c>
      <c r="B193" t="s">
        <v>63</v>
      </c>
      <c r="C193">
        <v>11</v>
      </c>
      <c r="D193">
        <v>417</v>
      </c>
      <c r="E193" t="s">
        <v>1255</v>
      </c>
      <c r="F193">
        <v>15.71</v>
      </c>
      <c r="G193" t="s">
        <v>1889</v>
      </c>
      <c r="H193" t="s">
        <v>1891</v>
      </c>
      <c r="I193" t="s">
        <v>215</v>
      </c>
      <c r="J193" t="s">
        <v>197</v>
      </c>
      <c r="K193" t="s">
        <v>2862</v>
      </c>
      <c r="L193" t="s">
        <v>3327</v>
      </c>
    </row>
    <row r="194" spans="1:12" x14ac:dyDescent="0.55000000000000004">
      <c r="A194">
        <v>1035</v>
      </c>
      <c r="B194" t="s">
        <v>64</v>
      </c>
      <c r="C194">
        <v>25</v>
      </c>
      <c r="D194">
        <v>415</v>
      </c>
      <c r="E194" t="s">
        <v>1257</v>
      </c>
      <c r="F194">
        <v>13.42</v>
      </c>
      <c r="G194" t="s">
        <v>1889</v>
      </c>
      <c r="H194" t="s">
        <v>1891</v>
      </c>
      <c r="I194" t="s">
        <v>215</v>
      </c>
      <c r="J194" t="s">
        <v>121</v>
      </c>
      <c r="K194" t="s">
        <v>2864</v>
      </c>
      <c r="L194" t="s">
        <v>3327</v>
      </c>
    </row>
    <row r="195" spans="1:12" x14ac:dyDescent="0.55000000000000004">
      <c r="A195">
        <v>1036</v>
      </c>
      <c r="B195" t="s">
        <v>64</v>
      </c>
      <c r="C195">
        <v>25</v>
      </c>
      <c r="D195">
        <v>415</v>
      </c>
      <c r="E195" t="s">
        <v>1258</v>
      </c>
      <c r="F195">
        <v>14.89</v>
      </c>
      <c r="G195" t="s">
        <v>1889</v>
      </c>
      <c r="H195" t="s">
        <v>1891</v>
      </c>
      <c r="I195" t="s">
        <v>215</v>
      </c>
      <c r="J195" t="s">
        <v>199</v>
      </c>
      <c r="K195" t="s">
        <v>2865</v>
      </c>
      <c r="L195" t="s">
        <v>3327</v>
      </c>
    </row>
    <row r="196" spans="1:12" x14ac:dyDescent="0.55000000000000004">
      <c r="A196">
        <v>1038</v>
      </c>
      <c r="B196" t="s">
        <v>64</v>
      </c>
      <c r="C196">
        <v>25</v>
      </c>
      <c r="D196">
        <v>415</v>
      </c>
      <c r="E196" t="s">
        <v>1260</v>
      </c>
      <c r="F196">
        <v>12.92</v>
      </c>
      <c r="G196" t="s">
        <v>1889</v>
      </c>
      <c r="H196" t="s">
        <v>1891</v>
      </c>
      <c r="I196" t="s">
        <v>215</v>
      </c>
      <c r="J196" t="s">
        <v>201</v>
      </c>
      <c r="K196" t="s">
        <v>2867</v>
      </c>
      <c r="L196" t="s">
        <v>3327</v>
      </c>
    </row>
    <row r="197" spans="1:12" x14ac:dyDescent="0.55000000000000004">
      <c r="A197">
        <v>1040</v>
      </c>
      <c r="B197" t="s">
        <v>64</v>
      </c>
      <c r="C197">
        <v>25</v>
      </c>
      <c r="D197">
        <v>415</v>
      </c>
      <c r="E197" t="s">
        <v>1262</v>
      </c>
      <c r="F197">
        <v>14.01</v>
      </c>
      <c r="G197" t="s">
        <v>1889</v>
      </c>
      <c r="H197" t="s">
        <v>1891</v>
      </c>
      <c r="I197" t="s">
        <v>215</v>
      </c>
      <c r="J197" t="s">
        <v>203</v>
      </c>
      <c r="K197" t="s">
        <v>2869</v>
      </c>
      <c r="L197" t="s">
        <v>3327</v>
      </c>
    </row>
    <row r="198" spans="1:12" x14ac:dyDescent="0.55000000000000004">
      <c r="A198">
        <v>1042</v>
      </c>
      <c r="B198" t="s">
        <v>64</v>
      </c>
      <c r="C198">
        <v>25</v>
      </c>
      <c r="D198">
        <v>415</v>
      </c>
      <c r="E198" t="s">
        <v>1264</v>
      </c>
      <c r="F198">
        <v>13.64</v>
      </c>
      <c r="G198" t="s">
        <v>1889</v>
      </c>
      <c r="H198" t="s">
        <v>1891</v>
      </c>
      <c r="I198" t="s">
        <v>215</v>
      </c>
      <c r="J198" t="s">
        <v>205</v>
      </c>
      <c r="K198" t="s">
        <v>2871</v>
      </c>
      <c r="L198" t="s">
        <v>3327</v>
      </c>
    </row>
    <row r="199" spans="1:12" x14ac:dyDescent="0.55000000000000004">
      <c r="A199">
        <v>1045</v>
      </c>
      <c r="B199" t="s">
        <v>64</v>
      </c>
      <c r="C199">
        <v>25</v>
      </c>
      <c r="D199">
        <v>415</v>
      </c>
      <c r="E199" t="s">
        <v>1267</v>
      </c>
      <c r="F199">
        <v>14.01</v>
      </c>
      <c r="G199" t="s">
        <v>1889</v>
      </c>
      <c r="H199" t="s">
        <v>1891</v>
      </c>
      <c r="I199" t="s">
        <v>215</v>
      </c>
      <c r="J199" t="s">
        <v>208</v>
      </c>
      <c r="K199" t="s">
        <v>2874</v>
      </c>
      <c r="L199" t="s">
        <v>3327</v>
      </c>
    </row>
    <row r="200" spans="1:12" x14ac:dyDescent="0.55000000000000004">
      <c r="A200">
        <v>1060</v>
      </c>
      <c r="B200" t="s">
        <v>65</v>
      </c>
      <c r="C200">
        <v>25</v>
      </c>
      <c r="D200">
        <v>414</v>
      </c>
      <c r="E200" t="s">
        <v>1282</v>
      </c>
      <c r="F200">
        <v>14.3</v>
      </c>
      <c r="G200" t="s">
        <v>1889</v>
      </c>
      <c r="H200" t="s">
        <v>1891</v>
      </c>
      <c r="I200" t="s">
        <v>216</v>
      </c>
      <c r="J200" t="s">
        <v>114</v>
      </c>
      <c r="K200" t="s">
        <v>2882</v>
      </c>
      <c r="L200" t="s">
        <v>3327</v>
      </c>
    </row>
    <row r="201" spans="1:12" x14ac:dyDescent="0.55000000000000004">
      <c r="A201">
        <v>1237</v>
      </c>
      <c r="B201" t="s">
        <v>74</v>
      </c>
      <c r="C201">
        <v>25</v>
      </c>
      <c r="D201">
        <v>207</v>
      </c>
      <c r="E201" t="s">
        <v>1459</v>
      </c>
      <c r="F201">
        <v>14.9</v>
      </c>
      <c r="G201" t="s">
        <v>1889</v>
      </c>
      <c r="H201" t="s">
        <v>1891</v>
      </c>
      <c r="I201" t="s">
        <v>217</v>
      </c>
      <c r="J201" t="s">
        <v>123</v>
      </c>
      <c r="K201" t="s">
        <v>3125</v>
      </c>
      <c r="L201" t="s">
        <v>3327</v>
      </c>
    </row>
    <row r="202" spans="1:12" x14ac:dyDescent="0.55000000000000004">
      <c r="A202">
        <v>1252</v>
      </c>
      <c r="B202" t="s">
        <v>75</v>
      </c>
      <c r="C202">
        <v>7</v>
      </c>
      <c r="D202">
        <v>2161</v>
      </c>
      <c r="E202" t="s">
        <v>1474</v>
      </c>
      <c r="F202">
        <v>17.2</v>
      </c>
      <c r="G202" t="s">
        <v>2113</v>
      </c>
      <c r="H202" t="s">
        <v>110</v>
      </c>
      <c r="I202" t="s">
        <v>217</v>
      </c>
      <c r="J202" t="s">
        <v>125</v>
      </c>
      <c r="L202" t="s">
        <v>3327</v>
      </c>
    </row>
    <row r="203" spans="1:12" x14ac:dyDescent="0.55000000000000004">
      <c r="A203">
        <v>1254</v>
      </c>
      <c r="B203" t="s">
        <v>75</v>
      </c>
      <c r="C203">
        <v>7</v>
      </c>
      <c r="D203">
        <v>2161</v>
      </c>
      <c r="E203" t="s">
        <v>1476</v>
      </c>
      <c r="F203">
        <v>17.77</v>
      </c>
      <c r="G203" t="s">
        <v>2113</v>
      </c>
      <c r="H203" t="s">
        <v>110</v>
      </c>
      <c r="I203" t="s">
        <v>217</v>
      </c>
      <c r="J203" t="s">
        <v>127</v>
      </c>
      <c r="L203" t="s">
        <v>3327</v>
      </c>
    </row>
    <row r="204" spans="1:12" x14ac:dyDescent="0.55000000000000004">
      <c r="A204">
        <v>1259</v>
      </c>
      <c r="B204" t="s">
        <v>76</v>
      </c>
      <c r="C204">
        <v>25</v>
      </c>
      <c r="D204">
        <v>2133</v>
      </c>
      <c r="E204" t="s">
        <v>1481</v>
      </c>
      <c r="F204">
        <v>14.36</v>
      </c>
      <c r="G204" t="s">
        <v>1889</v>
      </c>
      <c r="H204" t="s">
        <v>1891</v>
      </c>
      <c r="I204" t="s">
        <v>217</v>
      </c>
      <c r="J204" t="s">
        <v>132</v>
      </c>
      <c r="K204" t="s">
        <v>2989</v>
      </c>
      <c r="L204" t="s">
        <v>3327</v>
      </c>
    </row>
    <row r="205" spans="1:12" x14ac:dyDescent="0.55000000000000004">
      <c r="A205">
        <v>1261</v>
      </c>
      <c r="B205" t="s">
        <v>76</v>
      </c>
      <c r="C205">
        <v>25</v>
      </c>
      <c r="D205">
        <v>2133</v>
      </c>
      <c r="E205" t="s">
        <v>1483</v>
      </c>
      <c r="F205">
        <v>13.7</v>
      </c>
      <c r="G205" t="s">
        <v>1889</v>
      </c>
      <c r="H205" t="s">
        <v>1891</v>
      </c>
      <c r="I205" t="s">
        <v>217</v>
      </c>
      <c r="J205" t="s">
        <v>133</v>
      </c>
      <c r="K205" t="s">
        <v>2991</v>
      </c>
      <c r="L205" t="s">
        <v>3327</v>
      </c>
    </row>
    <row r="206" spans="1:12" x14ac:dyDescent="0.55000000000000004">
      <c r="A206">
        <v>1263</v>
      </c>
      <c r="B206" t="s">
        <v>76</v>
      </c>
      <c r="C206">
        <v>25</v>
      </c>
      <c r="D206">
        <v>2133</v>
      </c>
      <c r="E206" t="s">
        <v>1485</v>
      </c>
      <c r="F206">
        <v>15.03</v>
      </c>
      <c r="G206" t="s">
        <v>1889</v>
      </c>
      <c r="H206" t="s">
        <v>1891</v>
      </c>
      <c r="I206" t="s">
        <v>217</v>
      </c>
      <c r="J206" t="s">
        <v>135</v>
      </c>
      <c r="K206" t="s">
        <v>2993</v>
      </c>
      <c r="L206" t="s">
        <v>3327</v>
      </c>
    </row>
    <row r="207" spans="1:12" x14ac:dyDescent="0.55000000000000004">
      <c r="A207">
        <v>1265</v>
      </c>
      <c r="B207" t="s">
        <v>76</v>
      </c>
      <c r="C207">
        <v>25</v>
      </c>
      <c r="D207">
        <v>2133</v>
      </c>
      <c r="E207" t="s">
        <v>1487</v>
      </c>
      <c r="F207">
        <v>12.29</v>
      </c>
      <c r="G207" t="s">
        <v>1889</v>
      </c>
      <c r="H207" t="s">
        <v>1891</v>
      </c>
      <c r="I207" t="s">
        <v>217</v>
      </c>
      <c r="J207" t="s">
        <v>137</v>
      </c>
      <c r="K207" t="s">
        <v>2995</v>
      </c>
      <c r="L207" t="s">
        <v>3327</v>
      </c>
    </row>
    <row r="208" spans="1:12" x14ac:dyDescent="0.55000000000000004">
      <c r="A208">
        <v>1267</v>
      </c>
      <c r="B208" t="s">
        <v>76</v>
      </c>
      <c r="C208">
        <v>25</v>
      </c>
      <c r="D208">
        <v>2133</v>
      </c>
      <c r="E208" t="s">
        <v>1489</v>
      </c>
      <c r="F208">
        <v>15.24</v>
      </c>
      <c r="G208" t="s">
        <v>1889</v>
      </c>
      <c r="H208" t="s">
        <v>1891</v>
      </c>
      <c r="I208" t="s">
        <v>217</v>
      </c>
      <c r="J208" t="s">
        <v>139</v>
      </c>
      <c r="K208" t="s">
        <v>2997</v>
      </c>
      <c r="L208" t="s">
        <v>3327</v>
      </c>
    </row>
    <row r="209" spans="1:12" x14ac:dyDescent="0.55000000000000004">
      <c r="A209">
        <v>1270</v>
      </c>
      <c r="B209" t="s">
        <v>76</v>
      </c>
      <c r="C209">
        <v>25</v>
      </c>
      <c r="D209">
        <v>2133</v>
      </c>
      <c r="E209" t="s">
        <v>1492</v>
      </c>
      <c r="F209">
        <v>15.33</v>
      </c>
      <c r="G209" t="s">
        <v>1889</v>
      </c>
      <c r="H209" t="s">
        <v>1891</v>
      </c>
      <c r="I209" t="s">
        <v>217</v>
      </c>
      <c r="J209" t="s">
        <v>142</v>
      </c>
      <c r="K209" t="s">
        <v>3000</v>
      </c>
      <c r="L209" t="s">
        <v>3327</v>
      </c>
    </row>
    <row r="210" spans="1:12" x14ac:dyDescent="0.55000000000000004">
      <c r="A210">
        <v>1285</v>
      </c>
      <c r="B210" t="s">
        <v>77</v>
      </c>
      <c r="C210">
        <v>24</v>
      </c>
      <c r="D210">
        <v>2124</v>
      </c>
      <c r="E210" t="s">
        <v>1507</v>
      </c>
      <c r="F210">
        <v>15.21</v>
      </c>
      <c r="G210" t="s">
        <v>1889</v>
      </c>
      <c r="H210" t="s">
        <v>1891</v>
      </c>
      <c r="I210" t="s">
        <v>217</v>
      </c>
      <c r="J210" t="s">
        <v>116</v>
      </c>
      <c r="K210" t="s">
        <v>3010</v>
      </c>
      <c r="L210" t="s">
        <v>3327</v>
      </c>
    </row>
    <row r="211" spans="1:12" x14ac:dyDescent="0.55000000000000004">
      <c r="A211">
        <v>1286</v>
      </c>
      <c r="B211" t="s">
        <v>77</v>
      </c>
      <c r="C211">
        <v>24</v>
      </c>
      <c r="D211">
        <v>2124</v>
      </c>
      <c r="E211" t="s">
        <v>1508</v>
      </c>
      <c r="F211">
        <v>14.12</v>
      </c>
      <c r="G211" t="s">
        <v>1889</v>
      </c>
      <c r="H211" t="s">
        <v>1891</v>
      </c>
      <c r="I211" t="s">
        <v>217</v>
      </c>
      <c r="J211" t="s">
        <v>144</v>
      </c>
      <c r="K211" t="s">
        <v>3011</v>
      </c>
      <c r="L211" t="s">
        <v>3327</v>
      </c>
    </row>
    <row r="212" spans="1:12" x14ac:dyDescent="0.55000000000000004">
      <c r="A212">
        <v>1288</v>
      </c>
      <c r="B212" t="s">
        <v>77</v>
      </c>
      <c r="C212">
        <v>24</v>
      </c>
      <c r="D212">
        <v>2124</v>
      </c>
      <c r="E212" t="s">
        <v>1510</v>
      </c>
      <c r="F212">
        <v>15.03</v>
      </c>
      <c r="G212" t="s">
        <v>1889</v>
      </c>
      <c r="H212" t="s">
        <v>1891</v>
      </c>
      <c r="I212" t="s">
        <v>217</v>
      </c>
      <c r="J212" t="s">
        <v>146</v>
      </c>
      <c r="K212" t="s">
        <v>3013</v>
      </c>
      <c r="L212" t="s">
        <v>3327</v>
      </c>
    </row>
    <row r="213" spans="1:12" x14ac:dyDescent="0.55000000000000004">
      <c r="A213">
        <v>1290</v>
      </c>
      <c r="B213" t="s">
        <v>77</v>
      </c>
      <c r="C213">
        <v>24</v>
      </c>
      <c r="D213">
        <v>2124</v>
      </c>
      <c r="E213" t="s">
        <v>1512</v>
      </c>
      <c r="F213">
        <v>13.92</v>
      </c>
      <c r="G213" t="s">
        <v>1889</v>
      </c>
      <c r="H213" t="s">
        <v>1891</v>
      </c>
      <c r="I213" t="s">
        <v>217</v>
      </c>
      <c r="J213" t="s">
        <v>148</v>
      </c>
      <c r="K213" t="s">
        <v>3015</v>
      </c>
      <c r="L213" t="s">
        <v>3327</v>
      </c>
    </row>
    <row r="214" spans="1:12" x14ac:dyDescent="0.55000000000000004">
      <c r="A214">
        <v>1292</v>
      </c>
      <c r="B214" t="s">
        <v>77</v>
      </c>
      <c r="C214">
        <v>24</v>
      </c>
      <c r="D214">
        <v>2124</v>
      </c>
      <c r="E214" t="s">
        <v>1514</v>
      </c>
      <c r="F214">
        <v>14.19</v>
      </c>
      <c r="G214" t="s">
        <v>1889</v>
      </c>
      <c r="H214" t="s">
        <v>1891</v>
      </c>
      <c r="I214" t="s">
        <v>217</v>
      </c>
      <c r="J214" t="s">
        <v>150</v>
      </c>
      <c r="K214" t="s">
        <v>3017</v>
      </c>
      <c r="L214" t="s">
        <v>3327</v>
      </c>
    </row>
    <row r="215" spans="1:12" x14ac:dyDescent="0.55000000000000004">
      <c r="A215">
        <v>1295</v>
      </c>
      <c r="B215" t="s">
        <v>77</v>
      </c>
      <c r="C215">
        <v>24</v>
      </c>
      <c r="D215">
        <v>2124</v>
      </c>
      <c r="E215" t="s">
        <v>1517</v>
      </c>
      <c r="F215">
        <v>14.5</v>
      </c>
      <c r="G215" t="s">
        <v>1889</v>
      </c>
      <c r="H215" t="s">
        <v>1891</v>
      </c>
      <c r="I215" t="s">
        <v>217</v>
      </c>
      <c r="J215" t="s">
        <v>153</v>
      </c>
      <c r="K215" t="s">
        <v>3020</v>
      </c>
      <c r="L215" t="s">
        <v>3327</v>
      </c>
    </row>
    <row r="216" spans="1:12" x14ac:dyDescent="0.55000000000000004">
      <c r="A216">
        <v>1309</v>
      </c>
      <c r="B216" t="s">
        <v>78</v>
      </c>
      <c r="C216">
        <v>17</v>
      </c>
      <c r="D216">
        <v>2147</v>
      </c>
      <c r="E216" t="s">
        <v>1531</v>
      </c>
      <c r="F216">
        <v>14.28</v>
      </c>
      <c r="G216" t="s">
        <v>1889</v>
      </c>
      <c r="H216" t="s">
        <v>1891</v>
      </c>
      <c r="I216" t="s">
        <v>217</v>
      </c>
      <c r="J216" t="s">
        <v>117</v>
      </c>
      <c r="K216" t="s">
        <v>3031</v>
      </c>
      <c r="L216" t="s">
        <v>3327</v>
      </c>
    </row>
    <row r="217" spans="1:12" x14ac:dyDescent="0.55000000000000004">
      <c r="A217">
        <v>1310</v>
      </c>
      <c r="B217" t="s">
        <v>78</v>
      </c>
      <c r="C217">
        <v>17</v>
      </c>
      <c r="D217">
        <v>2147</v>
      </c>
      <c r="E217" t="s">
        <v>1532</v>
      </c>
      <c r="F217">
        <v>14.32</v>
      </c>
      <c r="G217" t="s">
        <v>1889</v>
      </c>
      <c r="H217" t="s">
        <v>1891</v>
      </c>
      <c r="I217" t="s">
        <v>217</v>
      </c>
      <c r="J217" t="s">
        <v>155</v>
      </c>
      <c r="K217" t="s">
        <v>3032</v>
      </c>
      <c r="L217" t="s">
        <v>3327</v>
      </c>
    </row>
    <row r="218" spans="1:12" x14ac:dyDescent="0.55000000000000004">
      <c r="A218">
        <v>1312</v>
      </c>
      <c r="B218" t="s">
        <v>78</v>
      </c>
      <c r="C218">
        <v>17</v>
      </c>
      <c r="D218">
        <v>2147</v>
      </c>
      <c r="E218" t="s">
        <v>1534</v>
      </c>
      <c r="F218">
        <v>14.37</v>
      </c>
      <c r="G218" t="s">
        <v>1889</v>
      </c>
      <c r="H218" t="s">
        <v>1891</v>
      </c>
      <c r="I218" t="s">
        <v>217</v>
      </c>
      <c r="J218" t="s">
        <v>157</v>
      </c>
      <c r="K218" t="s">
        <v>3034</v>
      </c>
      <c r="L218" t="s">
        <v>3327</v>
      </c>
    </row>
    <row r="219" spans="1:12" x14ac:dyDescent="0.55000000000000004">
      <c r="A219">
        <v>1314</v>
      </c>
      <c r="B219" t="s">
        <v>78</v>
      </c>
      <c r="C219">
        <v>17</v>
      </c>
      <c r="D219">
        <v>2147</v>
      </c>
      <c r="E219" t="s">
        <v>1536</v>
      </c>
      <c r="F219">
        <v>14.01</v>
      </c>
      <c r="G219" t="s">
        <v>1889</v>
      </c>
      <c r="H219" t="s">
        <v>1891</v>
      </c>
      <c r="I219" t="s">
        <v>217</v>
      </c>
      <c r="J219" t="s">
        <v>159</v>
      </c>
      <c r="K219" t="s">
        <v>3036</v>
      </c>
      <c r="L219" t="s">
        <v>3327</v>
      </c>
    </row>
    <row r="220" spans="1:12" x14ac:dyDescent="0.55000000000000004">
      <c r="A220">
        <v>1316</v>
      </c>
      <c r="B220" t="s">
        <v>78</v>
      </c>
      <c r="C220">
        <v>17</v>
      </c>
      <c r="D220">
        <v>2147</v>
      </c>
      <c r="E220" t="s">
        <v>1538</v>
      </c>
      <c r="F220">
        <v>13.49</v>
      </c>
      <c r="G220" t="s">
        <v>1889</v>
      </c>
      <c r="H220" t="s">
        <v>1891</v>
      </c>
      <c r="I220" t="s">
        <v>217</v>
      </c>
      <c r="J220" t="s">
        <v>161</v>
      </c>
      <c r="K220" t="s">
        <v>3038</v>
      </c>
      <c r="L220" t="s">
        <v>3327</v>
      </c>
    </row>
    <row r="221" spans="1:12" x14ac:dyDescent="0.55000000000000004">
      <c r="A221">
        <v>1319</v>
      </c>
      <c r="B221" t="s">
        <v>78</v>
      </c>
      <c r="C221">
        <v>17</v>
      </c>
      <c r="D221">
        <v>2147</v>
      </c>
      <c r="E221" t="s">
        <v>1541</v>
      </c>
      <c r="F221">
        <v>14.79</v>
      </c>
      <c r="G221" t="s">
        <v>1889</v>
      </c>
      <c r="H221" t="s">
        <v>1891</v>
      </c>
      <c r="I221" t="s">
        <v>217</v>
      </c>
      <c r="J221" t="s">
        <v>164</v>
      </c>
      <c r="K221" t="s">
        <v>3041</v>
      </c>
      <c r="L221" t="s">
        <v>3327</v>
      </c>
    </row>
    <row r="222" spans="1:12" x14ac:dyDescent="0.55000000000000004">
      <c r="A222">
        <v>1326</v>
      </c>
      <c r="B222" t="s">
        <v>79</v>
      </c>
      <c r="C222">
        <v>25</v>
      </c>
      <c r="D222">
        <v>2120</v>
      </c>
      <c r="E222" t="s">
        <v>1548</v>
      </c>
      <c r="F222">
        <v>14.83</v>
      </c>
      <c r="G222" t="s">
        <v>1889</v>
      </c>
      <c r="H222" t="s">
        <v>1891</v>
      </c>
      <c r="I222" t="s">
        <v>217</v>
      </c>
      <c r="J222" t="s">
        <v>118</v>
      </c>
      <c r="K222" t="s">
        <v>3044</v>
      </c>
      <c r="L222" t="s">
        <v>3327</v>
      </c>
    </row>
    <row r="223" spans="1:12" x14ac:dyDescent="0.55000000000000004">
      <c r="A223">
        <v>1327</v>
      </c>
      <c r="B223" t="s">
        <v>79</v>
      </c>
      <c r="C223">
        <v>25</v>
      </c>
      <c r="D223">
        <v>2120</v>
      </c>
      <c r="E223" t="s">
        <v>1549</v>
      </c>
      <c r="F223">
        <v>13.33</v>
      </c>
      <c r="G223" t="s">
        <v>1889</v>
      </c>
      <c r="H223" t="s">
        <v>1891</v>
      </c>
      <c r="I223" t="s">
        <v>217</v>
      </c>
      <c r="J223" t="s">
        <v>166</v>
      </c>
      <c r="K223" t="s">
        <v>3045</v>
      </c>
      <c r="L223" t="s">
        <v>3327</v>
      </c>
    </row>
    <row r="224" spans="1:12" x14ac:dyDescent="0.55000000000000004">
      <c r="A224">
        <v>1329</v>
      </c>
      <c r="B224" t="s">
        <v>79</v>
      </c>
      <c r="C224">
        <v>25</v>
      </c>
      <c r="D224">
        <v>2120</v>
      </c>
      <c r="E224" t="s">
        <v>1551</v>
      </c>
      <c r="F224">
        <v>13.98</v>
      </c>
      <c r="G224" t="s">
        <v>1889</v>
      </c>
      <c r="H224" t="s">
        <v>1891</v>
      </c>
      <c r="I224" t="s">
        <v>217</v>
      </c>
      <c r="J224" t="s">
        <v>168</v>
      </c>
      <c r="K224" t="s">
        <v>3047</v>
      </c>
      <c r="L224" t="s">
        <v>3327</v>
      </c>
    </row>
    <row r="225" spans="1:12" x14ac:dyDescent="0.55000000000000004">
      <c r="A225">
        <v>1331</v>
      </c>
      <c r="B225" t="s">
        <v>79</v>
      </c>
      <c r="C225">
        <v>25</v>
      </c>
      <c r="D225">
        <v>2120</v>
      </c>
      <c r="E225" t="s">
        <v>1553</v>
      </c>
      <c r="F225">
        <v>14.9</v>
      </c>
      <c r="G225" t="s">
        <v>1889</v>
      </c>
      <c r="H225" t="s">
        <v>1891</v>
      </c>
      <c r="I225" t="s">
        <v>217</v>
      </c>
      <c r="J225" t="s">
        <v>170</v>
      </c>
      <c r="K225" t="s">
        <v>3049</v>
      </c>
      <c r="L225" t="s">
        <v>3327</v>
      </c>
    </row>
    <row r="226" spans="1:12" x14ac:dyDescent="0.55000000000000004">
      <c r="A226">
        <v>1333</v>
      </c>
      <c r="B226" t="s">
        <v>79</v>
      </c>
      <c r="C226">
        <v>25</v>
      </c>
      <c r="D226">
        <v>2120</v>
      </c>
      <c r="E226" t="s">
        <v>1555</v>
      </c>
      <c r="F226">
        <v>16.02</v>
      </c>
      <c r="G226" t="s">
        <v>1889</v>
      </c>
      <c r="H226" t="s">
        <v>1891</v>
      </c>
      <c r="I226" t="s">
        <v>217</v>
      </c>
      <c r="J226" t="s">
        <v>172</v>
      </c>
      <c r="K226" t="s">
        <v>3051</v>
      </c>
      <c r="L226" t="s">
        <v>3327</v>
      </c>
    </row>
    <row r="227" spans="1:12" x14ac:dyDescent="0.55000000000000004">
      <c r="A227">
        <v>1336</v>
      </c>
      <c r="B227" t="s">
        <v>79</v>
      </c>
      <c r="C227">
        <v>25</v>
      </c>
      <c r="D227">
        <v>2120</v>
      </c>
      <c r="E227" t="s">
        <v>1558</v>
      </c>
      <c r="F227">
        <v>15.1</v>
      </c>
      <c r="G227" t="s">
        <v>1889</v>
      </c>
      <c r="H227" t="s">
        <v>1891</v>
      </c>
      <c r="I227" t="s">
        <v>217</v>
      </c>
      <c r="J227" t="s">
        <v>175</v>
      </c>
      <c r="K227" t="s">
        <v>3054</v>
      </c>
      <c r="L227" t="s">
        <v>3327</v>
      </c>
    </row>
    <row r="228" spans="1:12" x14ac:dyDescent="0.55000000000000004">
      <c r="A228">
        <v>1351</v>
      </c>
      <c r="B228" t="s">
        <v>80</v>
      </c>
      <c r="C228">
        <v>25</v>
      </c>
      <c r="D228">
        <v>2136</v>
      </c>
      <c r="E228" t="s">
        <v>1573</v>
      </c>
      <c r="F228">
        <v>13.31</v>
      </c>
      <c r="G228" t="s">
        <v>1889</v>
      </c>
      <c r="H228" t="s">
        <v>1891</v>
      </c>
      <c r="I228" t="s">
        <v>217</v>
      </c>
      <c r="J228" t="s">
        <v>119</v>
      </c>
      <c r="K228" t="s">
        <v>3061</v>
      </c>
      <c r="L228" t="s">
        <v>3327</v>
      </c>
    </row>
    <row r="229" spans="1:12" x14ac:dyDescent="0.55000000000000004">
      <c r="A229">
        <v>1352</v>
      </c>
      <c r="B229" t="s">
        <v>80</v>
      </c>
      <c r="C229">
        <v>25</v>
      </c>
      <c r="D229">
        <v>2136</v>
      </c>
      <c r="E229" t="s">
        <v>1574</v>
      </c>
      <c r="F229">
        <v>15.24</v>
      </c>
      <c r="G229" t="s">
        <v>1889</v>
      </c>
      <c r="H229" t="s">
        <v>1891</v>
      </c>
      <c r="I229" t="s">
        <v>217</v>
      </c>
      <c r="J229" t="s">
        <v>177</v>
      </c>
      <c r="K229" t="s">
        <v>3062</v>
      </c>
      <c r="L229" t="s">
        <v>3327</v>
      </c>
    </row>
    <row r="230" spans="1:12" x14ac:dyDescent="0.55000000000000004">
      <c r="A230">
        <v>1354</v>
      </c>
      <c r="B230" t="s">
        <v>80</v>
      </c>
      <c r="C230">
        <v>25</v>
      </c>
      <c r="D230">
        <v>2136</v>
      </c>
      <c r="E230" t="s">
        <v>1576</v>
      </c>
      <c r="F230">
        <v>13.92</v>
      </c>
      <c r="G230" t="s">
        <v>1889</v>
      </c>
      <c r="H230" t="s">
        <v>1891</v>
      </c>
      <c r="I230" t="s">
        <v>217</v>
      </c>
      <c r="J230" t="s">
        <v>179</v>
      </c>
      <c r="K230" t="s">
        <v>3064</v>
      </c>
      <c r="L230" t="s">
        <v>3327</v>
      </c>
    </row>
    <row r="231" spans="1:12" x14ac:dyDescent="0.55000000000000004">
      <c r="A231">
        <v>1356</v>
      </c>
      <c r="B231" t="s">
        <v>80</v>
      </c>
      <c r="C231">
        <v>25</v>
      </c>
      <c r="D231">
        <v>2136</v>
      </c>
      <c r="E231" t="s">
        <v>1578</v>
      </c>
      <c r="F231">
        <v>14.48</v>
      </c>
      <c r="G231" t="s">
        <v>1889</v>
      </c>
      <c r="H231" t="s">
        <v>1891</v>
      </c>
      <c r="I231" t="s">
        <v>217</v>
      </c>
      <c r="J231" t="s">
        <v>181</v>
      </c>
      <c r="K231" t="s">
        <v>3066</v>
      </c>
      <c r="L231" t="s">
        <v>3327</v>
      </c>
    </row>
    <row r="232" spans="1:12" x14ac:dyDescent="0.55000000000000004">
      <c r="A232">
        <v>1358</v>
      </c>
      <c r="B232" t="s">
        <v>80</v>
      </c>
      <c r="C232">
        <v>25</v>
      </c>
      <c r="D232">
        <v>2136</v>
      </c>
      <c r="E232" t="s">
        <v>1580</v>
      </c>
      <c r="F232">
        <v>14.38</v>
      </c>
      <c r="G232" t="s">
        <v>1889</v>
      </c>
      <c r="H232" t="s">
        <v>1891</v>
      </c>
      <c r="I232" t="s">
        <v>217</v>
      </c>
      <c r="J232" t="s">
        <v>183</v>
      </c>
      <c r="K232" t="s">
        <v>3068</v>
      </c>
      <c r="L232" t="s">
        <v>3327</v>
      </c>
    </row>
    <row r="233" spans="1:12" x14ac:dyDescent="0.55000000000000004">
      <c r="A233">
        <v>1361</v>
      </c>
      <c r="B233" t="s">
        <v>80</v>
      </c>
      <c r="C233">
        <v>25</v>
      </c>
      <c r="D233">
        <v>2136</v>
      </c>
      <c r="E233" t="s">
        <v>1583</v>
      </c>
      <c r="F233">
        <v>14.1</v>
      </c>
      <c r="G233" t="s">
        <v>1889</v>
      </c>
      <c r="H233" t="s">
        <v>1891</v>
      </c>
      <c r="I233" t="s">
        <v>217</v>
      </c>
      <c r="J233" t="s">
        <v>186</v>
      </c>
      <c r="K233" t="s">
        <v>3071</v>
      </c>
      <c r="L233" t="s">
        <v>3327</v>
      </c>
    </row>
    <row r="234" spans="1:12" x14ac:dyDescent="0.55000000000000004">
      <c r="A234">
        <v>1376</v>
      </c>
      <c r="B234" t="s">
        <v>81</v>
      </c>
      <c r="C234">
        <v>7</v>
      </c>
      <c r="D234">
        <v>2151</v>
      </c>
      <c r="E234" t="s">
        <v>1598</v>
      </c>
      <c r="F234">
        <v>10</v>
      </c>
      <c r="G234" t="s">
        <v>1889</v>
      </c>
      <c r="H234" t="s">
        <v>1891</v>
      </c>
      <c r="I234" t="s">
        <v>217</v>
      </c>
      <c r="J234" t="s">
        <v>120</v>
      </c>
      <c r="K234" t="s">
        <v>3084</v>
      </c>
      <c r="L234" t="s">
        <v>3327</v>
      </c>
    </row>
    <row r="235" spans="1:12" x14ac:dyDescent="0.55000000000000004">
      <c r="A235">
        <v>1377</v>
      </c>
      <c r="B235" t="s">
        <v>81</v>
      </c>
      <c r="C235">
        <v>7</v>
      </c>
      <c r="D235">
        <v>2151</v>
      </c>
      <c r="E235" t="s">
        <v>1599</v>
      </c>
      <c r="F235">
        <v>15.4</v>
      </c>
      <c r="G235" t="s">
        <v>1889</v>
      </c>
      <c r="H235" t="s">
        <v>1891</v>
      </c>
      <c r="I235" t="s">
        <v>217</v>
      </c>
      <c r="J235" t="s">
        <v>188</v>
      </c>
      <c r="K235" t="s">
        <v>3085</v>
      </c>
      <c r="L235" t="s">
        <v>3327</v>
      </c>
    </row>
    <row r="236" spans="1:12" x14ac:dyDescent="0.55000000000000004">
      <c r="A236">
        <v>1379</v>
      </c>
      <c r="B236" t="s">
        <v>81</v>
      </c>
      <c r="C236">
        <v>7</v>
      </c>
      <c r="D236">
        <v>2151</v>
      </c>
      <c r="E236" t="s">
        <v>1601</v>
      </c>
      <c r="F236">
        <v>16.510000000000002</v>
      </c>
      <c r="G236" t="s">
        <v>2113</v>
      </c>
      <c r="H236" t="s">
        <v>110</v>
      </c>
      <c r="I236" t="s">
        <v>217</v>
      </c>
      <c r="J236" t="s">
        <v>190</v>
      </c>
      <c r="L236" t="s">
        <v>3327</v>
      </c>
    </row>
    <row r="237" spans="1:12" x14ac:dyDescent="0.55000000000000004">
      <c r="A237">
        <v>1381</v>
      </c>
      <c r="B237" t="s">
        <v>81</v>
      </c>
      <c r="C237">
        <v>7</v>
      </c>
      <c r="D237">
        <v>2151</v>
      </c>
      <c r="E237" t="s">
        <v>1603</v>
      </c>
      <c r="F237">
        <v>16.420000000000002</v>
      </c>
      <c r="G237" t="s">
        <v>2113</v>
      </c>
      <c r="H237" t="s">
        <v>110</v>
      </c>
      <c r="I237" t="s">
        <v>217</v>
      </c>
      <c r="J237" t="s">
        <v>192</v>
      </c>
      <c r="L237" t="s">
        <v>3327</v>
      </c>
    </row>
    <row r="238" spans="1:12" x14ac:dyDescent="0.55000000000000004">
      <c r="A238">
        <v>1383</v>
      </c>
      <c r="B238" t="s">
        <v>82</v>
      </c>
      <c r="C238">
        <v>25</v>
      </c>
      <c r="D238">
        <v>2115</v>
      </c>
      <c r="E238" t="s">
        <v>1605</v>
      </c>
      <c r="F238">
        <v>14.51</v>
      </c>
      <c r="G238" t="s">
        <v>1889</v>
      </c>
      <c r="H238" t="s">
        <v>1891</v>
      </c>
      <c r="I238" t="s">
        <v>217</v>
      </c>
      <c r="J238" t="s">
        <v>194</v>
      </c>
      <c r="K238" t="s">
        <v>3087</v>
      </c>
      <c r="L238" t="s">
        <v>3327</v>
      </c>
    </row>
    <row r="239" spans="1:12" x14ac:dyDescent="0.55000000000000004">
      <c r="A239">
        <v>1386</v>
      </c>
      <c r="B239" t="s">
        <v>82</v>
      </c>
      <c r="C239">
        <v>25</v>
      </c>
      <c r="D239">
        <v>2115</v>
      </c>
      <c r="E239" t="s">
        <v>1608</v>
      </c>
      <c r="F239">
        <v>10.38</v>
      </c>
      <c r="G239" t="s">
        <v>1889</v>
      </c>
      <c r="H239" t="s">
        <v>1891</v>
      </c>
      <c r="I239" t="s">
        <v>217</v>
      </c>
      <c r="J239" t="s">
        <v>197</v>
      </c>
      <c r="K239" t="s">
        <v>3090</v>
      </c>
      <c r="L239" t="s">
        <v>3327</v>
      </c>
    </row>
    <row r="240" spans="1:12" x14ac:dyDescent="0.55000000000000004">
      <c r="A240">
        <v>1388</v>
      </c>
      <c r="B240" t="s">
        <v>82</v>
      </c>
      <c r="C240">
        <v>25</v>
      </c>
      <c r="D240">
        <v>2115</v>
      </c>
      <c r="E240" t="s">
        <v>1610</v>
      </c>
      <c r="F240">
        <v>14.99</v>
      </c>
      <c r="G240" t="s">
        <v>1889</v>
      </c>
      <c r="H240" t="s">
        <v>1891</v>
      </c>
      <c r="I240" t="s">
        <v>217</v>
      </c>
      <c r="J240" t="s">
        <v>121</v>
      </c>
      <c r="K240" t="s">
        <v>3092</v>
      </c>
      <c r="L240" t="s">
        <v>3327</v>
      </c>
    </row>
    <row r="241" spans="1:12" x14ac:dyDescent="0.55000000000000004">
      <c r="A241">
        <v>1389</v>
      </c>
      <c r="B241" t="s">
        <v>82</v>
      </c>
      <c r="C241">
        <v>25</v>
      </c>
      <c r="D241">
        <v>2115</v>
      </c>
      <c r="E241" t="s">
        <v>1611</v>
      </c>
      <c r="F241">
        <v>13.12</v>
      </c>
      <c r="G241" t="s">
        <v>1889</v>
      </c>
      <c r="H241" t="s">
        <v>1891</v>
      </c>
      <c r="I241" t="s">
        <v>217</v>
      </c>
      <c r="J241" t="s">
        <v>199</v>
      </c>
      <c r="K241" t="s">
        <v>3093</v>
      </c>
      <c r="L241" t="s">
        <v>3327</v>
      </c>
    </row>
    <row r="242" spans="1:12" x14ac:dyDescent="0.55000000000000004">
      <c r="A242">
        <v>1391</v>
      </c>
      <c r="B242" t="s">
        <v>82</v>
      </c>
      <c r="C242">
        <v>25</v>
      </c>
      <c r="D242">
        <v>2115</v>
      </c>
      <c r="E242" t="s">
        <v>1613</v>
      </c>
      <c r="F242">
        <v>13.41</v>
      </c>
      <c r="G242" t="s">
        <v>1889</v>
      </c>
      <c r="H242" t="s">
        <v>1891</v>
      </c>
      <c r="I242" t="s">
        <v>217</v>
      </c>
      <c r="J242" t="s">
        <v>201</v>
      </c>
      <c r="K242" t="s">
        <v>3095</v>
      </c>
      <c r="L242" t="s">
        <v>3327</v>
      </c>
    </row>
    <row r="243" spans="1:12" x14ac:dyDescent="0.55000000000000004">
      <c r="A243">
        <v>1393</v>
      </c>
      <c r="B243" t="s">
        <v>82</v>
      </c>
      <c r="C243">
        <v>25</v>
      </c>
      <c r="D243">
        <v>2115</v>
      </c>
      <c r="E243" t="s">
        <v>1615</v>
      </c>
      <c r="F243">
        <v>15.55</v>
      </c>
      <c r="G243" t="s">
        <v>1889</v>
      </c>
      <c r="H243" t="s">
        <v>1891</v>
      </c>
      <c r="I243" t="s">
        <v>217</v>
      </c>
      <c r="J243" t="s">
        <v>203</v>
      </c>
      <c r="K243" t="s">
        <v>3097</v>
      </c>
      <c r="L243" t="s">
        <v>3327</v>
      </c>
    </row>
    <row r="244" spans="1:12" x14ac:dyDescent="0.55000000000000004">
      <c r="A244">
        <v>1408</v>
      </c>
      <c r="B244" t="s">
        <v>84</v>
      </c>
      <c r="C244">
        <v>1</v>
      </c>
      <c r="D244">
        <v>2134</v>
      </c>
      <c r="E244" t="s">
        <v>1630</v>
      </c>
      <c r="F244">
        <v>15.01</v>
      </c>
      <c r="G244" t="s">
        <v>1889</v>
      </c>
      <c r="H244" t="s">
        <v>1891</v>
      </c>
      <c r="I244" t="s">
        <v>217</v>
      </c>
      <c r="J244" t="s">
        <v>205</v>
      </c>
      <c r="K244" t="s">
        <v>3110</v>
      </c>
      <c r="L244" t="s">
        <v>3327</v>
      </c>
    </row>
    <row r="245" spans="1:12" x14ac:dyDescent="0.55000000000000004">
      <c r="A245">
        <v>1411</v>
      </c>
      <c r="B245" t="s">
        <v>85</v>
      </c>
      <c r="C245">
        <v>20</v>
      </c>
      <c r="D245">
        <v>2118</v>
      </c>
      <c r="E245" t="s">
        <v>1633</v>
      </c>
      <c r="F245">
        <v>15.24</v>
      </c>
      <c r="G245" t="s">
        <v>1889</v>
      </c>
      <c r="H245" t="s">
        <v>1891</v>
      </c>
      <c r="I245" t="s">
        <v>217</v>
      </c>
      <c r="J245" t="s">
        <v>208</v>
      </c>
      <c r="K245" t="s">
        <v>3113</v>
      </c>
      <c r="L245" t="s">
        <v>3327</v>
      </c>
    </row>
    <row r="246" spans="1:12" x14ac:dyDescent="0.55000000000000004">
      <c r="A246">
        <v>1433</v>
      </c>
      <c r="B246" t="s">
        <v>88</v>
      </c>
      <c r="C246">
        <v>6</v>
      </c>
      <c r="D246">
        <v>2150</v>
      </c>
      <c r="E246" t="s">
        <v>1655</v>
      </c>
      <c r="F246">
        <v>14.94</v>
      </c>
      <c r="G246" t="s">
        <v>1889</v>
      </c>
      <c r="H246" t="s">
        <v>1891</v>
      </c>
      <c r="I246" t="s">
        <v>218</v>
      </c>
      <c r="J246" t="s">
        <v>115</v>
      </c>
      <c r="K246" t="s">
        <v>3149</v>
      </c>
      <c r="L246" t="s">
        <v>3327</v>
      </c>
    </row>
    <row r="247" spans="1:12" x14ac:dyDescent="0.55000000000000004">
      <c r="A247">
        <v>1561</v>
      </c>
      <c r="B247" t="s">
        <v>99</v>
      </c>
      <c r="C247">
        <v>23</v>
      </c>
      <c r="D247">
        <v>2153</v>
      </c>
      <c r="E247" t="s">
        <v>1783</v>
      </c>
      <c r="F247">
        <v>16.13</v>
      </c>
      <c r="G247" t="s">
        <v>2113</v>
      </c>
      <c r="H247" t="s">
        <v>110</v>
      </c>
      <c r="I247" t="s">
        <v>219</v>
      </c>
      <c r="J247" t="s">
        <v>123</v>
      </c>
      <c r="L247" t="s">
        <v>3327</v>
      </c>
    </row>
    <row r="248" spans="1:12" x14ac:dyDescent="0.55000000000000004">
      <c r="A248">
        <v>1574</v>
      </c>
      <c r="B248" t="s">
        <v>100</v>
      </c>
      <c r="C248">
        <v>3</v>
      </c>
      <c r="D248">
        <v>2129</v>
      </c>
      <c r="E248" t="s">
        <v>1796</v>
      </c>
      <c r="F248">
        <v>14.41</v>
      </c>
      <c r="G248" t="s">
        <v>1889</v>
      </c>
      <c r="H248" t="s">
        <v>1891</v>
      </c>
      <c r="I248" t="s">
        <v>219</v>
      </c>
      <c r="J248" t="s">
        <v>125</v>
      </c>
      <c r="K248" t="s">
        <v>3256</v>
      </c>
      <c r="L248" t="s">
        <v>3327</v>
      </c>
    </row>
    <row r="249" spans="1:12" x14ac:dyDescent="0.55000000000000004">
      <c r="A249">
        <v>1579</v>
      </c>
      <c r="B249" t="s">
        <v>101</v>
      </c>
      <c r="C249">
        <v>4</v>
      </c>
      <c r="D249">
        <v>2145</v>
      </c>
      <c r="E249" t="s">
        <v>1801</v>
      </c>
      <c r="F249">
        <v>15.93</v>
      </c>
      <c r="G249" t="s">
        <v>2113</v>
      </c>
      <c r="H249" t="s">
        <v>110</v>
      </c>
      <c r="I249" t="s">
        <v>219</v>
      </c>
      <c r="J249" t="s">
        <v>130</v>
      </c>
      <c r="L249" t="s">
        <v>3327</v>
      </c>
    </row>
    <row r="250" spans="1:12" x14ac:dyDescent="0.55000000000000004">
      <c r="A250">
        <v>1581</v>
      </c>
      <c r="B250" t="s">
        <v>102</v>
      </c>
      <c r="C250">
        <v>4</v>
      </c>
      <c r="D250">
        <v>2165</v>
      </c>
      <c r="E250" t="s">
        <v>1803</v>
      </c>
      <c r="F250">
        <v>14.88</v>
      </c>
      <c r="G250" t="s">
        <v>2113</v>
      </c>
      <c r="H250" t="s">
        <v>110</v>
      </c>
      <c r="I250" t="s">
        <v>219</v>
      </c>
      <c r="J250" t="s">
        <v>132</v>
      </c>
      <c r="L250" t="s">
        <v>3327</v>
      </c>
    </row>
    <row r="251" spans="1:12" x14ac:dyDescent="0.55000000000000004">
      <c r="A251">
        <v>1583</v>
      </c>
      <c r="B251" t="s">
        <v>102</v>
      </c>
      <c r="C251">
        <v>4</v>
      </c>
      <c r="D251">
        <v>2165</v>
      </c>
      <c r="E251" t="s">
        <v>1805</v>
      </c>
      <c r="F251">
        <v>17.079999999999998</v>
      </c>
      <c r="G251" t="s">
        <v>2113</v>
      </c>
      <c r="H251" t="s">
        <v>110</v>
      </c>
      <c r="I251" t="s">
        <v>219</v>
      </c>
      <c r="J251" t="s">
        <v>133</v>
      </c>
      <c r="L251" t="s">
        <v>3327</v>
      </c>
    </row>
    <row r="252" spans="1:12" x14ac:dyDescent="0.55000000000000004">
      <c r="A252">
        <v>1585</v>
      </c>
      <c r="B252" t="s">
        <v>103</v>
      </c>
      <c r="C252">
        <v>2</v>
      </c>
      <c r="D252">
        <v>2126</v>
      </c>
      <c r="E252" t="s">
        <v>1807</v>
      </c>
      <c r="F252">
        <v>15.15</v>
      </c>
      <c r="G252" t="s">
        <v>1889</v>
      </c>
      <c r="H252" t="s">
        <v>1891</v>
      </c>
      <c r="I252" t="s">
        <v>219</v>
      </c>
      <c r="J252" t="s">
        <v>135</v>
      </c>
      <c r="K252" t="s">
        <v>3261</v>
      </c>
      <c r="L252" t="s">
        <v>3327</v>
      </c>
    </row>
    <row r="253" spans="1:12" x14ac:dyDescent="0.55000000000000004">
      <c r="A253">
        <v>1587</v>
      </c>
      <c r="B253" t="s">
        <v>104</v>
      </c>
      <c r="C253">
        <v>4</v>
      </c>
      <c r="D253">
        <v>2119</v>
      </c>
      <c r="E253" t="s">
        <v>1809</v>
      </c>
      <c r="F253">
        <v>15.62</v>
      </c>
      <c r="G253" t="s">
        <v>1889</v>
      </c>
      <c r="H253" t="s">
        <v>1891</v>
      </c>
      <c r="I253" t="s">
        <v>219</v>
      </c>
      <c r="J253" t="s">
        <v>137</v>
      </c>
      <c r="K253" t="s">
        <v>3262</v>
      </c>
      <c r="L253" t="s">
        <v>3327</v>
      </c>
    </row>
    <row r="254" spans="1:12" x14ac:dyDescent="0.55000000000000004">
      <c r="A254">
        <v>1589</v>
      </c>
      <c r="B254" t="s">
        <v>104</v>
      </c>
      <c r="C254">
        <v>4</v>
      </c>
      <c r="D254">
        <v>2119</v>
      </c>
      <c r="E254" t="s">
        <v>1811</v>
      </c>
      <c r="F254">
        <v>16.170000000000002</v>
      </c>
      <c r="G254" t="s">
        <v>2113</v>
      </c>
      <c r="H254" t="s">
        <v>110</v>
      </c>
      <c r="I254" t="s">
        <v>219</v>
      </c>
      <c r="J254" t="s">
        <v>139</v>
      </c>
      <c r="L254" t="s">
        <v>3327</v>
      </c>
    </row>
    <row r="255" spans="1:12" x14ac:dyDescent="0.55000000000000004">
      <c r="A255">
        <v>1592</v>
      </c>
      <c r="B255" t="s">
        <v>105</v>
      </c>
      <c r="C255">
        <v>2</v>
      </c>
      <c r="D255">
        <v>2135</v>
      </c>
      <c r="E255" t="s">
        <v>1814</v>
      </c>
      <c r="F255">
        <v>15.91</v>
      </c>
      <c r="G255" t="s">
        <v>2113</v>
      </c>
      <c r="H255" t="s">
        <v>110</v>
      </c>
      <c r="I255" t="s">
        <v>219</v>
      </c>
      <c r="J255" t="s">
        <v>142</v>
      </c>
      <c r="L255" t="s">
        <v>3327</v>
      </c>
    </row>
    <row r="256" spans="1:12" x14ac:dyDescent="0.55000000000000004">
      <c r="A256">
        <v>1594</v>
      </c>
      <c r="B256" t="s">
        <v>106</v>
      </c>
      <c r="C256">
        <v>6</v>
      </c>
      <c r="D256">
        <v>2139</v>
      </c>
      <c r="E256" t="s">
        <v>1816</v>
      </c>
      <c r="F256">
        <v>17.559999999999999</v>
      </c>
      <c r="G256" t="s">
        <v>2113</v>
      </c>
      <c r="H256" t="s">
        <v>110</v>
      </c>
      <c r="I256" t="s">
        <v>219</v>
      </c>
      <c r="J256" t="s">
        <v>116</v>
      </c>
      <c r="L256" t="s">
        <v>3327</v>
      </c>
    </row>
    <row r="257" spans="1:12" x14ac:dyDescent="0.55000000000000004">
      <c r="A257">
        <v>1595</v>
      </c>
      <c r="B257" t="s">
        <v>106</v>
      </c>
      <c r="C257">
        <v>6</v>
      </c>
      <c r="D257">
        <v>2139</v>
      </c>
      <c r="E257" t="s">
        <v>1817</v>
      </c>
      <c r="F257">
        <v>11.65</v>
      </c>
      <c r="G257" t="s">
        <v>1889</v>
      </c>
      <c r="H257" t="s">
        <v>1891</v>
      </c>
      <c r="I257" t="s">
        <v>219</v>
      </c>
      <c r="J257" t="s">
        <v>144</v>
      </c>
      <c r="K257" t="s">
        <v>3263</v>
      </c>
      <c r="L257" t="s">
        <v>3327</v>
      </c>
    </row>
    <row r="258" spans="1:12" x14ac:dyDescent="0.55000000000000004">
      <c r="A258">
        <v>1597</v>
      </c>
      <c r="B258" t="s">
        <v>106</v>
      </c>
      <c r="C258">
        <v>6</v>
      </c>
      <c r="D258">
        <v>2139</v>
      </c>
      <c r="E258" t="s">
        <v>1819</v>
      </c>
      <c r="F258">
        <v>14.3</v>
      </c>
      <c r="G258" t="s">
        <v>1889</v>
      </c>
      <c r="H258" t="s">
        <v>1891</v>
      </c>
      <c r="I258" t="s">
        <v>219</v>
      </c>
      <c r="J258" t="s">
        <v>146</v>
      </c>
      <c r="K258" t="s">
        <v>3265</v>
      </c>
      <c r="L258" t="s">
        <v>3327</v>
      </c>
    </row>
    <row r="259" spans="1:12" x14ac:dyDescent="0.55000000000000004">
      <c r="A259">
        <v>1599</v>
      </c>
      <c r="B259" t="s">
        <v>107</v>
      </c>
      <c r="C259">
        <v>1</v>
      </c>
      <c r="D259">
        <v>753</v>
      </c>
      <c r="E259" t="s">
        <v>1821</v>
      </c>
      <c r="F259">
        <v>17.78</v>
      </c>
      <c r="G259" t="s">
        <v>2113</v>
      </c>
      <c r="H259" t="s">
        <v>110</v>
      </c>
      <c r="I259" t="s">
        <v>219</v>
      </c>
      <c r="J259" t="s">
        <v>148</v>
      </c>
      <c r="L259" t="s">
        <v>3327</v>
      </c>
    </row>
    <row r="260" spans="1:12" x14ac:dyDescent="0.55000000000000004">
      <c r="A260">
        <v>1601</v>
      </c>
      <c r="B260" t="s">
        <v>108</v>
      </c>
      <c r="C260">
        <v>6</v>
      </c>
      <c r="D260">
        <v>2155</v>
      </c>
      <c r="E260" t="s">
        <v>1823</v>
      </c>
      <c r="F260">
        <v>15.47</v>
      </c>
      <c r="G260" t="s">
        <v>1889</v>
      </c>
      <c r="H260" t="s">
        <v>1891</v>
      </c>
      <c r="I260" t="s">
        <v>219</v>
      </c>
      <c r="J260" t="s">
        <v>150</v>
      </c>
      <c r="K260" t="s">
        <v>3268</v>
      </c>
      <c r="L260" t="s">
        <v>3327</v>
      </c>
    </row>
    <row r="261" spans="1:12" x14ac:dyDescent="0.55000000000000004">
      <c r="A261">
        <v>1604</v>
      </c>
      <c r="B261" t="s">
        <v>108</v>
      </c>
      <c r="C261">
        <v>6</v>
      </c>
      <c r="D261">
        <v>2155</v>
      </c>
      <c r="E261" t="s">
        <v>1826</v>
      </c>
      <c r="F261">
        <v>14.26</v>
      </c>
      <c r="G261" t="s">
        <v>1889</v>
      </c>
      <c r="H261" t="s">
        <v>1891</v>
      </c>
      <c r="I261" t="s">
        <v>219</v>
      </c>
      <c r="J261" t="s">
        <v>153</v>
      </c>
      <c r="K261" t="s">
        <v>3271</v>
      </c>
      <c r="L261" t="s">
        <v>3327</v>
      </c>
    </row>
    <row r="262" spans="1:12" x14ac:dyDescent="0.55000000000000004">
      <c r="A262">
        <v>1606</v>
      </c>
      <c r="B262" t="s">
        <v>109</v>
      </c>
      <c r="C262">
        <v>12</v>
      </c>
      <c r="D262">
        <v>2127</v>
      </c>
      <c r="E262" t="s">
        <v>1828</v>
      </c>
      <c r="F262">
        <v>13.97</v>
      </c>
      <c r="G262" t="s">
        <v>1889</v>
      </c>
      <c r="H262" t="s">
        <v>1891</v>
      </c>
      <c r="I262" t="s">
        <v>219</v>
      </c>
      <c r="J262" t="s">
        <v>117</v>
      </c>
      <c r="K262" t="s">
        <v>3272</v>
      </c>
      <c r="L262" t="s">
        <v>3327</v>
      </c>
    </row>
    <row r="263" spans="1:12" x14ac:dyDescent="0.55000000000000004">
      <c r="A263">
        <v>1607</v>
      </c>
      <c r="B263" t="s">
        <v>109</v>
      </c>
      <c r="C263">
        <v>12</v>
      </c>
      <c r="D263">
        <v>2127</v>
      </c>
      <c r="E263" t="s">
        <v>1829</v>
      </c>
      <c r="F263">
        <v>14.94</v>
      </c>
      <c r="G263" t="s">
        <v>1889</v>
      </c>
      <c r="H263" t="s">
        <v>1891</v>
      </c>
      <c r="I263" t="s">
        <v>219</v>
      </c>
      <c r="J263" t="s">
        <v>155</v>
      </c>
      <c r="K263" t="s">
        <v>3273</v>
      </c>
      <c r="L263" t="s">
        <v>3327</v>
      </c>
    </row>
    <row r="264" spans="1:12" x14ac:dyDescent="0.55000000000000004">
      <c r="A264">
        <v>1609</v>
      </c>
      <c r="B264" t="s">
        <v>109</v>
      </c>
      <c r="C264">
        <v>12</v>
      </c>
      <c r="D264">
        <v>2127</v>
      </c>
      <c r="E264" t="s">
        <v>1831</v>
      </c>
      <c r="F264">
        <v>16.350000000000001</v>
      </c>
      <c r="G264" t="s">
        <v>1889</v>
      </c>
      <c r="H264" t="s">
        <v>1891</v>
      </c>
      <c r="I264" t="s">
        <v>219</v>
      </c>
      <c r="J264" t="s">
        <v>157</v>
      </c>
      <c r="K264" t="s">
        <v>3275</v>
      </c>
      <c r="L264" t="s">
        <v>3327</v>
      </c>
    </row>
    <row r="265" spans="1:12" x14ac:dyDescent="0.55000000000000004">
      <c r="A265">
        <v>1611</v>
      </c>
      <c r="B265" t="s">
        <v>109</v>
      </c>
      <c r="C265">
        <v>12</v>
      </c>
      <c r="D265">
        <v>2127</v>
      </c>
      <c r="E265" t="s">
        <v>1833</v>
      </c>
      <c r="F265">
        <v>14.57</v>
      </c>
      <c r="G265" t="s">
        <v>1889</v>
      </c>
      <c r="H265" t="s">
        <v>1891</v>
      </c>
      <c r="I265" t="s">
        <v>219</v>
      </c>
      <c r="J265" t="s">
        <v>159</v>
      </c>
      <c r="K265" t="s">
        <v>3293</v>
      </c>
      <c r="L265" t="s">
        <v>3327</v>
      </c>
    </row>
    <row r="266" spans="1:12" x14ac:dyDescent="0.55000000000000004">
      <c r="A266">
        <v>1613</v>
      </c>
      <c r="B266" t="s">
        <v>109</v>
      </c>
      <c r="C266">
        <v>12</v>
      </c>
      <c r="D266">
        <v>2127</v>
      </c>
      <c r="E266" t="s">
        <v>1835</v>
      </c>
      <c r="F266">
        <v>17.690000000000001</v>
      </c>
      <c r="G266" t="s">
        <v>1889</v>
      </c>
      <c r="H266" t="s">
        <v>1891</v>
      </c>
      <c r="I266" t="s">
        <v>219</v>
      </c>
      <c r="J266" t="s">
        <v>161</v>
      </c>
      <c r="K266" t="s">
        <v>3295</v>
      </c>
      <c r="L266" t="s">
        <v>3327</v>
      </c>
    </row>
    <row r="267" spans="1:12" x14ac:dyDescent="0.55000000000000004">
      <c r="A267">
        <v>1616</v>
      </c>
      <c r="B267" t="s">
        <v>109</v>
      </c>
      <c r="C267">
        <v>12</v>
      </c>
      <c r="D267">
        <v>2127</v>
      </c>
      <c r="E267" t="s">
        <v>1838</v>
      </c>
      <c r="F267">
        <v>21.13</v>
      </c>
      <c r="G267" t="s">
        <v>1889</v>
      </c>
      <c r="H267" t="s">
        <v>1891</v>
      </c>
      <c r="I267" t="s">
        <v>219</v>
      </c>
      <c r="J267" t="s">
        <v>164</v>
      </c>
      <c r="K267" t="s">
        <v>3298</v>
      </c>
      <c r="L267" t="s">
        <v>3327</v>
      </c>
    </row>
    <row r="268" spans="1:12" x14ac:dyDescent="0.55000000000000004">
      <c r="A268">
        <v>1618</v>
      </c>
      <c r="B268" t="s">
        <v>1840</v>
      </c>
      <c r="C268">
        <v>10</v>
      </c>
      <c r="F268">
        <v>133</v>
      </c>
      <c r="G268" t="s">
        <v>1888</v>
      </c>
      <c r="H268" t="s">
        <v>110</v>
      </c>
      <c r="I268" t="s">
        <v>219</v>
      </c>
      <c r="J268" t="s">
        <v>118</v>
      </c>
      <c r="K268" t="s">
        <v>220</v>
      </c>
      <c r="L268" t="s">
        <v>3327</v>
      </c>
    </row>
    <row r="269" spans="1:12" x14ac:dyDescent="0.55000000000000004">
      <c r="A269">
        <v>1619</v>
      </c>
      <c r="B269" t="s">
        <v>1841</v>
      </c>
      <c r="C269">
        <v>10</v>
      </c>
      <c r="F269">
        <v>130</v>
      </c>
      <c r="G269" t="s">
        <v>1888</v>
      </c>
      <c r="H269" t="s">
        <v>110</v>
      </c>
      <c r="I269" t="s">
        <v>219</v>
      </c>
      <c r="J269" t="s">
        <v>166</v>
      </c>
      <c r="K269" t="s">
        <v>220</v>
      </c>
      <c r="L269" t="s">
        <v>3327</v>
      </c>
    </row>
    <row r="270" spans="1:12" x14ac:dyDescent="0.55000000000000004">
      <c r="A270">
        <v>1621</v>
      </c>
      <c r="B270" t="s">
        <v>1843</v>
      </c>
      <c r="C270">
        <v>10</v>
      </c>
      <c r="F270">
        <v>140</v>
      </c>
      <c r="G270" t="s">
        <v>1888</v>
      </c>
      <c r="H270" t="s">
        <v>110</v>
      </c>
      <c r="I270" t="s">
        <v>219</v>
      </c>
      <c r="J270" t="s">
        <v>168</v>
      </c>
      <c r="K270" t="s">
        <v>220</v>
      </c>
      <c r="L270" t="s">
        <v>3327</v>
      </c>
    </row>
    <row r="271" spans="1:12" x14ac:dyDescent="0.55000000000000004">
      <c r="A271">
        <v>1623</v>
      </c>
      <c r="B271" t="s">
        <v>1845</v>
      </c>
      <c r="C271">
        <v>10</v>
      </c>
      <c r="F271">
        <v>99</v>
      </c>
      <c r="G271" t="s">
        <v>1888</v>
      </c>
      <c r="H271" t="s">
        <v>110</v>
      </c>
      <c r="I271" t="s">
        <v>219</v>
      </c>
      <c r="J271" t="s">
        <v>170</v>
      </c>
      <c r="K271" t="s">
        <v>220</v>
      </c>
      <c r="L271" t="s">
        <v>3327</v>
      </c>
    </row>
    <row r="272" spans="1:12" x14ac:dyDescent="0.55000000000000004">
      <c r="A272">
        <v>1625</v>
      </c>
      <c r="B272" t="s">
        <v>1847</v>
      </c>
      <c r="C272">
        <v>10</v>
      </c>
      <c r="F272">
        <v>119</v>
      </c>
      <c r="G272" t="s">
        <v>1888</v>
      </c>
      <c r="H272" t="s">
        <v>110</v>
      </c>
      <c r="I272" t="s">
        <v>219</v>
      </c>
      <c r="J272" t="s">
        <v>172</v>
      </c>
      <c r="K272" t="s">
        <v>220</v>
      </c>
      <c r="L272" t="s">
        <v>3327</v>
      </c>
    </row>
    <row r="273" spans="1:12" x14ac:dyDescent="0.55000000000000004">
      <c r="A273">
        <v>1628</v>
      </c>
      <c r="B273" t="s">
        <v>1850</v>
      </c>
      <c r="C273">
        <v>19</v>
      </c>
      <c r="F273">
        <v>110</v>
      </c>
      <c r="G273" t="s">
        <v>1888</v>
      </c>
      <c r="H273" t="s">
        <v>110</v>
      </c>
      <c r="I273" t="s">
        <v>219</v>
      </c>
      <c r="J273" t="s">
        <v>175</v>
      </c>
      <c r="K273" t="s">
        <v>221</v>
      </c>
      <c r="L273" t="s">
        <v>3327</v>
      </c>
    </row>
    <row r="274" spans="1:12" x14ac:dyDescent="0.55000000000000004">
      <c r="A274">
        <v>1630</v>
      </c>
      <c r="B274" t="s">
        <v>1852</v>
      </c>
      <c r="C274">
        <v>19</v>
      </c>
      <c r="F274">
        <v>99</v>
      </c>
      <c r="G274" t="s">
        <v>1888</v>
      </c>
      <c r="H274" t="s">
        <v>110</v>
      </c>
      <c r="I274" t="s">
        <v>219</v>
      </c>
      <c r="J274" t="s">
        <v>119</v>
      </c>
      <c r="K274" t="s">
        <v>221</v>
      </c>
      <c r="L274" t="s">
        <v>3327</v>
      </c>
    </row>
    <row r="275" spans="1:12" x14ac:dyDescent="0.55000000000000004">
      <c r="A275">
        <v>1631</v>
      </c>
      <c r="B275" t="s">
        <v>1853</v>
      </c>
      <c r="C275">
        <v>19</v>
      </c>
      <c r="F275">
        <v>101</v>
      </c>
      <c r="G275" t="s">
        <v>1888</v>
      </c>
      <c r="H275" t="s">
        <v>110</v>
      </c>
      <c r="I275" t="s">
        <v>219</v>
      </c>
      <c r="J275" t="s">
        <v>177</v>
      </c>
      <c r="K275" t="s">
        <v>221</v>
      </c>
      <c r="L275" t="s">
        <v>3327</v>
      </c>
    </row>
    <row r="276" spans="1:12" x14ac:dyDescent="0.55000000000000004">
      <c r="A276">
        <v>1633</v>
      </c>
      <c r="B276" t="s">
        <v>1855</v>
      </c>
      <c r="C276">
        <v>19</v>
      </c>
      <c r="F276">
        <v>98</v>
      </c>
      <c r="G276" t="s">
        <v>1888</v>
      </c>
      <c r="H276" t="s">
        <v>110</v>
      </c>
      <c r="I276" t="s">
        <v>219</v>
      </c>
      <c r="J276" t="s">
        <v>179</v>
      </c>
      <c r="K276" t="s">
        <v>221</v>
      </c>
      <c r="L276" t="s">
        <v>3327</v>
      </c>
    </row>
    <row r="277" spans="1:12" x14ac:dyDescent="0.55000000000000004">
      <c r="A277">
        <v>1635</v>
      </c>
      <c r="B277" t="s">
        <v>1857</v>
      </c>
      <c r="C277">
        <v>19</v>
      </c>
      <c r="F277">
        <v>100</v>
      </c>
      <c r="G277" t="s">
        <v>1888</v>
      </c>
      <c r="H277" t="s">
        <v>110</v>
      </c>
      <c r="I277" t="s">
        <v>219</v>
      </c>
      <c r="J277" t="s">
        <v>181</v>
      </c>
      <c r="K277" t="s">
        <v>221</v>
      </c>
      <c r="L277" t="s">
        <v>3327</v>
      </c>
    </row>
    <row r="278" spans="1:12" x14ac:dyDescent="0.55000000000000004">
      <c r="A278">
        <v>1637</v>
      </c>
      <c r="B278" t="s">
        <v>1859</v>
      </c>
      <c r="C278">
        <v>19</v>
      </c>
      <c r="F278">
        <v>110</v>
      </c>
      <c r="G278" t="s">
        <v>1888</v>
      </c>
      <c r="H278" t="s">
        <v>110</v>
      </c>
      <c r="I278" t="s">
        <v>219</v>
      </c>
      <c r="J278" t="s">
        <v>183</v>
      </c>
      <c r="K278" t="s">
        <v>221</v>
      </c>
      <c r="L278" t="s">
        <v>3327</v>
      </c>
    </row>
    <row r="279" spans="1:12" x14ac:dyDescent="0.55000000000000004">
      <c r="A279">
        <v>1640</v>
      </c>
      <c r="B279" t="s">
        <v>1862</v>
      </c>
      <c r="C279">
        <v>19</v>
      </c>
      <c r="F279">
        <v>105</v>
      </c>
      <c r="G279" t="s">
        <v>1888</v>
      </c>
      <c r="H279" t="s">
        <v>110</v>
      </c>
      <c r="I279" t="s">
        <v>219</v>
      </c>
      <c r="J279" t="s">
        <v>186</v>
      </c>
      <c r="K279" t="s">
        <v>221</v>
      </c>
      <c r="L279" t="s">
        <v>3327</v>
      </c>
    </row>
    <row r="280" spans="1:12" x14ac:dyDescent="0.55000000000000004">
      <c r="A280">
        <v>1642</v>
      </c>
      <c r="B280" t="s">
        <v>1864</v>
      </c>
      <c r="C280">
        <v>19</v>
      </c>
      <c r="F280">
        <v>110</v>
      </c>
      <c r="G280" t="s">
        <v>1888</v>
      </c>
      <c r="H280" t="s">
        <v>110</v>
      </c>
      <c r="I280" t="s">
        <v>219</v>
      </c>
      <c r="J280" t="s">
        <v>120</v>
      </c>
      <c r="K280" t="s">
        <v>221</v>
      </c>
      <c r="L280" t="s">
        <v>3327</v>
      </c>
    </row>
    <row r="281" spans="1:12" x14ac:dyDescent="0.55000000000000004">
      <c r="A281">
        <v>1643</v>
      </c>
      <c r="B281" t="s">
        <v>1865</v>
      </c>
      <c r="C281">
        <v>19</v>
      </c>
      <c r="F281">
        <v>107</v>
      </c>
      <c r="G281" t="s">
        <v>1888</v>
      </c>
      <c r="H281" t="s">
        <v>110</v>
      </c>
      <c r="I281" t="s">
        <v>219</v>
      </c>
      <c r="J281" t="s">
        <v>188</v>
      </c>
      <c r="K281" t="s">
        <v>221</v>
      </c>
      <c r="L281" t="s">
        <v>3327</v>
      </c>
    </row>
    <row r="282" spans="1:12" x14ac:dyDescent="0.55000000000000004">
      <c r="A282">
        <v>1645</v>
      </c>
      <c r="B282" t="s">
        <v>1867</v>
      </c>
      <c r="C282">
        <v>19</v>
      </c>
      <c r="F282">
        <v>118</v>
      </c>
      <c r="G282" t="s">
        <v>1888</v>
      </c>
      <c r="H282" t="s">
        <v>110</v>
      </c>
      <c r="I282" t="s">
        <v>219</v>
      </c>
      <c r="J282" t="s">
        <v>190</v>
      </c>
      <c r="K282" t="s">
        <v>221</v>
      </c>
      <c r="L282" t="s">
        <v>3327</v>
      </c>
    </row>
    <row r="283" spans="1:12" x14ac:dyDescent="0.55000000000000004">
      <c r="A283">
        <v>1647</v>
      </c>
      <c r="B283" t="s">
        <v>1869</v>
      </c>
      <c r="C283">
        <v>19</v>
      </c>
      <c r="F283">
        <v>60</v>
      </c>
      <c r="G283" t="s">
        <v>1888</v>
      </c>
      <c r="H283" t="s">
        <v>110</v>
      </c>
      <c r="I283" t="s">
        <v>219</v>
      </c>
      <c r="J283" t="s">
        <v>192</v>
      </c>
      <c r="K283" t="s">
        <v>222</v>
      </c>
      <c r="L283" t="s">
        <v>3327</v>
      </c>
    </row>
    <row r="284" spans="1:12" x14ac:dyDescent="0.55000000000000004">
      <c r="A284">
        <v>1649</v>
      </c>
      <c r="B284" t="s">
        <v>1871</v>
      </c>
      <c r="C284">
        <v>19</v>
      </c>
      <c r="F284">
        <v>95</v>
      </c>
      <c r="G284" t="s">
        <v>1888</v>
      </c>
      <c r="H284" t="s">
        <v>110</v>
      </c>
      <c r="I284" t="s">
        <v>219</v>
      </c>
      <c r="J284" t="s">
        <v>194</v>
      </c>
      <c r="K284" t="s">
        <v>222</v>
      </c>
      <c r="L284" t="s">
        <v>3327</v>
      </c>
    </row>
    <row r="285" spans="1:12" x14ac:dyDescent="0.55000000000000004">
      <c r="A285">
        <v>1652</v>
      </c>
      <c r="B285" t="s">
        <v>1874</v>
      </c>
      <c r="C285">
        <v>19</v>
      </c>
      <c r="F285">
        <v>70</v>
      </c>
      <c r="G285" t="s">
        <v>1888</v>
      </c>
      <c r="H285" t="s">
        <v>110</v>
      </c>
      <c r="I285" t="s">
        <v>219</v>
      </c>
      <c r="J285" t="s">
        <v>197</v>
      </c>
      <c r="K285" t="s">
        <v>222</v>
      </c>
      <c r="L285" t="s">
        <v>3327</v>
      </c>
    </row>
    <row r="286" spans="1:12" x14ac:dyDescent="0.55000000000000004">
      <c r="A286">
        <v>1654</v>
      </c>
      <c r="B286" t="s">
        <v>1876</v>
      </c>
      <c r="C286">
        <v>19</v>
      </c>
      <c r="F286">
        <v>87</v>
      </c>
      <c r="G286" t="s">
        <v>1888</v>
      </c>
      <c r="H286" t="s">
        <v>110</v>
      </c>
      <c r="I286" t="s">
        <v>219</v>
      </c>
      <c r="J286" t="s">
        <v>121</v>
      </c>
      <c r="K286" t="s">
        <v>222</v>
      </c>
      <c r="L286" t="s">
        <v>3327</v>
      </c>
    </row>
    <row r="287" spans="1:12" x14ac:dyDescent="0.55000000000000004">
      <c r="A287">
        <v>1655</v>
      </c>
      <c r="B287" t="s">
        <v>1877</v>
      </c>
      <c r="C287">
        <v>19</v>
      </c>
      <c r="F287">
        <v>90</v>
      </c>
      <c r="G287" t="s">
        <v>1888</v>
      </c>
      <c r="H287" t="s">
        <v>110</v>
      </c>
      <c r="I287" t="s">
        <v>219</v>
      </c>
      <c r="J287" t="s">
        <v>199</v>
      </c>
      <c r="K287" t="s">
        <v>222</v>
      </c>
      <c r="L287" t="s">
        <v>3327</v>
      </c>
    </row>
    <row r="288" spans="1:12" x14ac:dyDescent="0.55000000000000004">
      <c r="A288">
        <v>1657</v>
      </c>
      <c r="B288" t="s">
        <v>1879</v>
      </c>
      <c r="C288">
        <v>19</v>
      </c>
      <c r="F288">
        <v>66</v>
      </c>
      <c r="G288" t="s">
        <v>1888</v>
      </c>
      <c r="H288" t="s">
        <v>110</v>
      </c>
      <c r="I288" t="s">
        <v>219</v>
      </c>
      <c r="J288" t="s">
        <v>201</v>
      </c>
      <c r="K288" t="s">
        <v>222</v>
      </c>
      <c r="L288" t="s">
        <v>3327</v>
      </c>
    </row>
    <row r="289" spans="1:12" x14ac:dyDescent="0.55000000000000004">
      <c r="A289">
        <v>1659</v>
      </c>
      <c r="B289" t="s">
        <v>1881</v>
      </c>
      <c r="C289">
        <v>19</v>
      </c>
      <c r="F289">
        <v>80</v>
      </c>
      <c r="G289" t="s">
        <v>1888</v>
      </c>
      <c r="H289" t="s">
        <v>110</v>
      </c>
      <c r="I289" t="s">
        <v>219</v>
      </c>
      <c r="J289" t="s">
        <v>203</v>
      </c>
      <c r="K289" t="s">
        <v>222</v>
      </c>
      <c r="L289" t="s">
        <v>3327</v>
      </c>
    </row>
    <row r="290" spans="1:12" x14ac:dyDescent="0.55000000000000004">
      <c r="A290">
        <v>1661</v>
      </c>
      <c r="B290" t="s">
        <v>1883</v>
      </c>
      <c r="C290">
        <v>19</v>
      </c>
      <c r="F290">
        <v>92</v>
      </c>
      <c r="G290" t="s">
        <v>1888</v>
      </c>
      <c r="H290" t="s">
        <v>110</v>
      </c>
      <c r="I290" t="s">
        <v>219</v>
      </c>
      <c r="J290" t="s">
        <v>205</v>
      </c>
      <c r="K290" t="s">
        <v>222</v>
      </c>
      <c r="L290" t="s">
        <v>3327</v>
      </c>
    </row>
    <row r="291" spans="1:12" x14ac:dyDescent="0.55000000000000004">
      <c r="A291">
        <v>1664</v>
      </c>
      <c r="B291" t="s">
        <v>1886</v>
      </c>
      <c r="C291">
        <v>19</v>
      </c>
      <c r="F291">
        <v>123</v>
      </c>
      <c r="G291" t="s">
        <v>1888</v>
      </c>
      <c r="H291" t="s">
        <v>110</v>
      </c>
      <c r="I291" t="s">
        <v>219</v>
      </c>
      <c r="J291" t="s">
        <v>208</v>
      </c>
      <c r="K291" t="s">
        <v>222</v>
      </c>
      <c r="L291" t="s">
        <v>3327</v>
      </c>
    </row>
    <row r="292" spans="1:12" x14ac:dyDescent="0.55000000000000004">
      <c r="A292">
        <v>1673</v>
      </c>
      <c r="B292" t="s">
        <v>3283</v>
      </c>
      <c r="C292">
        <v>15</v>
      </c>
      <c r="F292">
        <v>338</v>
      </c>
      <c r="G292" t="s">
        <v>1888</v>
      </c>
      <c r="H292" t="s">
        <v>110</v>
      </c>
      <c r="I292" t="s">
        <v>3292</v>
      </c>
      <c r="J292" t="s">
        <v>128</v>
      </c>
      <c r="K292" t="s">
        <v>3291</v>
      </c>
      <c r="L292" t="s">
        <v>3327</v>
      </c>
    </row>
    <row r="293" spans="1:12" x14ac:dyDescent="0.55000000000000004">
      <c r="A293">
        <v>1678</v>
      </c>
      <c r="B293" t="s">
        <v>3288</v>
      </c>
      <c r="C293">
        <v>15</v>
      </c>
      <c r="F293">
        <v>300</v>
      </c>
      <c r="G293" t="s">
        <v>1888</v>
      </c>
      <c r="H293" t="s">
        <v>110</v>
      </c>
      <c r="I293" t="s">
        <v>3292</v>
      </c>
      <c r="J293" t="s">
        <v>115</v>
      </c>
      <c r="K293" t="s">
        <v>3291</v>
      </c>
      <c r="L293" t="s">
        <v>3327</v>
      </c>
    </row>
    <row r="294" spans="1:12" x14ac:dyDescent="0.55000000000000004">
      <c r="A294">
        <v>9</v>
      </c>
      <c r="B294" t="s">
        <v>5</v>
      </c>
      <c r="C294">
        <v>25</v>
      </c>
      <c r="D294">
        <v>71</v>
      </c>
      <c r="E294" t="s">
        <v>231</v>
      </c>
      <c r="F294">
        <v>10.16</v>
      </c>
      <c r="G294" t="s">
        <v>1889</v>
      </c>
      <c r="H294" t="s">
        <v>1891</v>
      </c>
      <c r="I294" t="s">
        <v>210</v>
      </c>
      <c r="J294" t="s">
        <v>129</v>
      </c>
      <c r="K294" t="s">
        <v>1898</v>
      </c>
      <c r="L294" t="s">
        <v>3328</v>
      </c>
    </row>
    <row r="295" spans="1:12" x14ac:dyDescent="0.55000000000000004">
      <c r="A295">
        <v>30</v>
      </c>
      <c r="B295" t="s">
        <v>7</v>
      </c>
      <c r="C295">
        <v>25</v>
      </c>
      <c r="D295">
        <v>75</v>
      </c>
      <c r="E295" t="s">
        <v>252</v>
      </c>
      <c r="F295">
        <v>10.46</v>
      </c>
      <c r="G295" t="s">
        <v>1889</v>
      </c>
      <c r="H295" t="s">
        <v>1891</v>
      </c>
      <c r="I295" t="s">
        <v>210</v>
      </c>
      <c r="J295" t="s">
        <v>136</v>
      </c>
      <c r="K295" t="s">
        <v>1921</v>
      </c>
      <c r="L295" t="s">
        <v>3328</v>
      </c>
    </row>
    <row r="296" spans="1:12" x14ac:dyDescent="0.55000000000000004">
      <c r="A296">
        <v>32</v>
      </c>
      <c r="B296" t="s">
        <v>7</v>
      </c>
      <c r="C296">
        <v>25</v>
      </c>
      <c r="D296">
        <v>75</v>
      </c>
      <c r="E296" t="s">
        <v>254</v>
      </c>
      <c r="F296">
        <v>10.3</v>
      </c>
      <c r="G296" t="s">
        <v>1889</v>
      </c>
      <c r="H296" t="s">
        <v>1891</v>
      </c>
      <c r="I296" t="s">
        <v>210</v>
      </c>
      <c r="J296" t="s">
        <v>138</v>
      </c>
      <c r="K296" t="s">
        <v>1923</v>
      </c>
      <c r="L296" t="s">
        <v>3328</v>
      </c>
    </row>
    <row r="297" spans="1:12" x14ac:dyDescent="0.55000000000000004">
      <c r="A297">
        <v>34</v>
      </c>
      <c r="B297" t="s">
        <v>7</v>
      </c>
      <c r="C297">
        <v>25</v>
      </c>
      <c r="D297">
        <v>75</v>
      </c>
      <c r="E297" t="s">
        <v>256</v>
      </c>
      <c r="F297">
        <v>9.5299999999999994</v>
      </c>
      <c r="G297" t="s">
        <v>1889</v>
      </c>
      <c r="H297" t="s">
        <v>1891</v>
      </c>
      <c r="I297" t="s">
        <v>210</v>
      </c>
      <c r="J297" t="s">
        <v>140</v>
      </c>
      <c r="K297" t="s">
        <v>1925</v>
      </c>
      <c r="L297" t="s">
        <v>3328</v>
      </c>
    </row>
    <row r="298" spans="1:12" x14ac:dyDescent="0.55000000000000004">
      <c r="A298">
        <v>35</v>
      </c>
      <c r="B298" t="s">
        <v>7</v>
      </c>
      <c r="C298">
        <v>25</v>
      </c>
      <c r="D298">
        <v>75</v>
      </c>
      <c r="E298" t="s">
        <v>257</v>
      </c>
      <c r="F298">
        <v>9.9600000000000009</v>
      </c>
      <c r="G298" t="s">
        <v>1889</v>
      </c>
      <c r="H298" t="s">
        <v>1891</v>
      </c>
      <c r="I298" t="s">
        <v>210</v>
      </c>
      <c r="J298" t="s">
        <v>141</v>
      </c>
      <c r="K298" t="s">
        <v>1926</v>
      </c>
      <c r="L298" t="s">
        <v>3328</v>
      </c>
    </row>
    <row r="299" spans="1:12" x14ac:dyDescent="0.55000000000000004">
      <c r="A299">
        <v>37</v>
      </c>
      <c r="B299" t="s">
        <v>7</v>
      </c>
      <c r="C299">
        <v>25</v>
      </c>
      <c r="D299">
        <v>75</v>
      </c>
      <c r="E299" t="s">
        <v>259</v>
      </c>
      <c r="F299">
        <v>11.62</v>
      </c>
      <c r="G299" t="s">
        <v>1889</v>
      </c>
      <c r="H299" t="s">
        <v>1891</v>
      </c>
      <c r="I299" t="s">
        <v>210</v>
      </c>
      <c r="J299" t="s">
        <v>143</v>
      </c>
      <c r="K299" t="s">
        <v>1928</v>
      </c>
      <c r="L299" t="s">
        <v>3328</v>
      </c>
    </row>
    <row r="300" spans="1:12" x14ac:dyDescent="0.55000000000000004">
      <c r="A300">
        <v>53</v>
      </c>
      <c r="B300" t="s">
        <v>8</v>
      </c>
      <c r="C300">
        <v>25</v>
      </c>
      <c r="D300">
        <v>87</v>
      </c>
      <c r="E300" t="s">
        <v>275</v>
      </c>
      <c r="F300">
        <v>10.57</v>
      </c>
      <c r="G300" t="s">
        <v>1889</v>
      </c>
      <c r="H300" t="s">
        <v>1891</v>
      </c>
      <c r="I300" t="s">
        <v>210</v>
      </c>
      <c r="J300" t="s">
        <v>145</v>
      </c>
      <c r="K300" t="s">
        <v>1944</v>
      </c>
      <c r="L300" t="s">
        <v>3328</v>
      </c>
    </row>
    <row r="301" spans="1:12" x14ac:dyDescent="0.55000000000000004">
      <c r="A301">
        <v>55</v>
      </c>
      <c r="B301" t="s">
        <v>8</v>
      </c>
      <c r="C301">
        <v>25</v>
      </c>
      <c r="D301">
        <v>87</v>
      </c>
      <c r="E301" t="s">
        <v>277</v>
      </c>
      <c r="F301">
        <v>12.13</v>
      </c>
      <c r="G301" t="s">
        <v>1889</v>
      </c>
      <c r="H301" t="s">
        <v>1891</v>
      </c>
      <c r="I301" t="s">
        <v>210</v>
      </c>
      <c r="J301" t="s">
        <v>147</v>
      </c>
      <c r="K301" t="s">
        <v>1946</v>
      </c>
      <c r="L301" t="s">
        <v>3328</v>
      </c>
    </row>
    <row r="302" spans="1:12" x14ac:dyDescent="0.55000000000000004">
      <c r="A302">
        <v>57</v>
      </c>
      <c r="B302" t="s">
        <v>8</v>
      </c>
      <c r="C302">
        <v>25</v>
      </c>
      <c r="D302">
        <v>87</v>
      </c>
      <c r="E302" t="s">
        <v>279</v>
      </c>
      <c r="F302">
        <v>10.82</v>
      </c>
      <c r="G302" t="s">
        <v>1889</v>
      </c>
      <c r="H302" t="s">
        <v>1891</v>
      </c>
      <c r="I302" t="s">
        <v>210</v>
      </c>
      <c r="J302" t="s">
        <v>149</v>
      </c>
      <c r="K302" t="s">
        <v>1948</v>
      </c>
      <c r="L302" t="s">
        <v>3328</v>
      </c>
    </row>
    <row r="303" spans="1:12" x14ac:dyDescent="0.55000000000000004">
      <c r="A303">
        <v>59</v>
      </c>
      <c r="B303" t="s">
        <v>8</v>
      </c>
      <c r="C303">
        <v>25</v>
      </c>
      <c r="D303">
        <v>87</v>
      </c>
      <c r="E303" t="s">
        <v>281</v>
      </c>
      <c r="F303">
        <v>13.66</v>
      </c>
      <c r="G303" t="s">
        <v>1889</v>
      </c>
      <c r="H303" t="s">
        <v>1891</v>
      </c>
      <c r="I303" t="s">
        <v>210</v>
      </c>
      <c r="J303" t="s">
        <v>151</v>
      </c>
      <c r="K303" t="s">
        <v>1950</v>
      </c>
      <c r="L303" t="s">
        <v>3328</v>
      </c>
    </row>
    <row r="304" spans="1:12" x14ac:dyDescent="0.55000000000000004">
      <c r="A304">
        <v>60</v>
      </c>
      <c r="B304" t="s">
        <v>8</v>
      </c>
      <c r="C304">
        <v>25</v>
      </c>
      <c r="D304">
        <v>87</v>
      </c>
      <c r="E304" t="s">
        <v>282</v>
      </c>
      <c r="F304">
        <v>10.42</v>
      </c>
      <c r="G304" t="s">
        <v>1889</v>
      </c>
      <c r="H304" t="s">
        <v>1891</v>
      </c>
      <c r="I304" t="s">
        <v>210</v>
      </c>
      <c r="J304" t="s">
        <v>152</v>
      </c>
      <c r="K304" t="s">
        <v>1951</v>
      </c>
      <c r="L304" t="s">
        <v>3328</v>
      </c>
    </row>
    <row r="305" spans="1:12" x14ac:dyDescent="0.55000000000000004">
      <c r="A305">
        <v>62</v>
      </c>
      <c r="B305" t="s">
        <v>8</v>
      </c>
      <c r="C305">
        <v>25</v>
      </c>
      <c r="D305">
        <v>87</v>
      </c>
      <c r="E305" t="s">
        <v>284</v>
      </c>
      <c r="F305">
        <v>9.31</v>
      </c>
      <c r="G305" t="s">
        <v>1889</v>
      </c>
      <c r="H305" t="s">
        <v>1891</v>
      </c>
      <c r="I305" t="s">
        <v>210</v>
      </c>
      <c r="J305" t="s">
        <v>154</v>
      </c>
      <c r="K305" t="s">
        <v>1953</v>
      </c>
      <c r="L305" t="s">
        <v>3328</v>
      </c>
    </row>
    <row r="306" spans="1:12" x14ac:dyDescent="0.55000000000000004">
      <c r="A306">
        <v>78</v>
      </c>
      <c r="B306" t="s">
        <v>9</v>
      </c>
      <c r="C306">
        <v>25</v>
      </c>
      <c r="D306">
        <v>86</v>
      </c>
      <c r="E306" t="s">
        <v>300</v>
      </c>
      <c r="F306">
        <v>10.44</v>
      </c>
      <c r="G306" t="s">
        <v>1889</v>
      </c>
      <c r="H306" t="s">
        <v>1891</v>
      </c>
      <c r="I306" t="s">
        <v>210</v>
      </c>
      <c r="J306" t="s">
        <v>156</v>
      </c>
      <c r="K306" t="s">
        <v>1968</v>
      </c>
      <c r="L306" t="s">
        <v>3328</v>
      </c>
    </row>
    <row r="307" spans="1:12" x14ac:dyDescent="0.55000000000000004">
      <c r="A307">
        <v>80</v>
      </c>
      <c r="B307" t="s">
        <v>9</v>
      </c>
      <c r="C307">
        <v>25</v>
      </c>
      <c r="D307">
        <v>86</v>
      </c>
      <c r="E307" t="s">
        <v>302</v>
      </c>
      <c r="F307">
        <v>12.21</v>
      </c>
      <c r="G307" t="s">
        <v>1889</v>
      </c>
      <c r="H307" t="s">
        <v>1891</v>
      </c>
      <c r="I307" t="s">
        <v>210</v>
      </c>
      <c r="J307" t="s">
        <v>158</v>
      </c>
      <c r="K307" t="s">
        <v>1970</v>
      </c>
      <c r="L307" t="s">
        <v>3328</v>
      </c>
    </row>
    <row r="308" spans="1:12" x14ac:dyDescent="0.55000000000000004">
      <c r="A308">
        <v>82</v>
      </c>
      <c r="B308" t="s">
        <v>9</v>
      </c>
      <c r="C308">
        <v>25</v>
      </c>
      <c r="D308">
        <v>86</v>
      </c>
      <c r="E308" t="s">
        <v>304</v>
      </c>
      <c r="F308">
        <v>11.77</v>
      </c>
      <c r="G308" t="s">
        <v>1889</v>
      </c>
      <c r="H308" t="s">
        <v>1891</v>
      </c>
      <c r="I308" t="s">
        <v>210</v>
      </c>
      <c r="J308" t="s">
        <v>160</v>
      </c>
      <c r="K308" t="s">
        <v>1972</v>
      </c>
      <c r="L308" t="s">
        <v>3328</v>
      </c>
    </row>
    <row r="309" spans="1:12" x14ac:dyDescent="0.55000000000000004">
      <c r="A309">
        <v>84</v>
      </c>
      <c r="B309" t="s">
        <v>9</v>
      </c>
      <c r="C309">
        <v>25</v>
      </c>
      <c r="D309">
        <v>86</v>
      </c>
      <c r="E309" t="s">
        <v>306</v>
      </c>
      <c r="F309">
        <v>11.32</v>
      </c>
      <c r="G309" t="s">
        <v>1889</v>
      </c>
      <c r="H309" t="s">
        <v>1891</v>
      </c>
      <c r="I309" t="s">
        <v>210</v>
      </c>
      <c r="J309" t="s">
        <v>162</v>
      </c>
      <c r="K309" t="s">
        <v>1974</v>
      </c>
      <c r="L309" t="s">
        <v>3328</v>
      </c>
    </row>
    <row r="310" spans="1:12" x14ac:dyDescent="0.55000000000000004">
      <c r="A310">
        <v>85</v>
      </c>
      <c r="B310" t="s">
        <v>9</v>
      </c>
      <c r="C310">
        <v>25</v>
      </c>
      <c r="D310">
        <v>86</v>
      </c>
      <c r="E310" t="s">
        <v>307</v>
      </c>
      <c r="F310">
        <v>10.47</v>
      </c>
      <c r="G310" t="s">
        <v>1889</v>
      </c>
      <c r="H310" t="s">
        <v>1891</v>
      </c>
      <c r="I310" t="s">
        <v>210</v>
      </c>
      <c r="J310" t="s">
        <v>163</v>
      </c>
      <c r="K310" t="s">
        <v>1975</v>
      </c>
      <c r="L310" t="s">
        <v>3328</v>
      </c>
    </row>
    <row r="311" spans="1:12" x14ac:dyDescent="0.55000000000000004">
      <c r="A311">
        <v>87</v>
      </c>
      <c r="B311" t="s">
        <v>9</v>
      </c>
      <c r="C311">
        <v>25</v>
      </c>
      <c r="D311">
        <v>86</v>
      </c>
      <c r="E311" t="s">
        <v>309</v>
      </c>
      <c r="F311">
        <v>11.8</v>
      </c>
      <c r="G311" t="s">
        <v>1889</v>
      </c>
      <c r="H311" t="s">
        <v>1891</v>
      </c>
      <c r="I311" t="s">
        <v>210</v>
      </c>
      <c r="J311" t="s">
        <v>165</v>
      </c>
      <c r="K311" t="s">
        <v>1977</v>
      </c>
      <c r="L311" t="s">
        <v>3328</v>
      </c>
    </row>
    <row r="312" spans="1:12" x14ac:dyDescent="0.55000000000000004">
      <c r="A312">
        <v>103</v>
      </c>
      <c r="B312" t="s">
        <v>10</v>
      </c>
      <c r="C312">
        <v>25</v>
      </c>
      <c r="D312">
        <v>2</v>
      </c>
      <c r="E312" t="s">
        <v>325</v>
      </c>
      <c r="F312">
        <v>9.6999999999999993</v>
      </c>
      <c r="G312" t="s">
        <v>1889</v>
      </c>
      <c r="H312" t="s">
        <v>1891</v>
      </c>
      <c r="I312" t="s">
        <v>210</v>
      </c>
      <c r="J312" t="s">
        <v>167</v>
      </c>
      <c r="K312" t="s">
        <v>1993</v>
      </c>
      <c r="L312" t="s">
        <v>3328</v>
      </c>
    </row>
    <row r="313" spans="1:12" x14ac:dyDescent="0.55000000000000004">
      <c r="A313">
        <v>105</v>
      </c>
      <c r="B313" t="s">
        <v>10</v>
      </c>
      <c r="C313">
        <v>25</v>
      </c>
      <c r="D313">
        <v>2</v>
      </c>
      <c r="E313" t="s">
        <v>327</v>
      </c>
      <c r="F313">
        <v>14.15</v>
      </c>
      <c r="G313" t="s">
        <v>1889</v>
      </c>
      <c r="H313" t="s">
        <v>1891</v>
      </c>
      <c r="I313" t="s">
        <v>210</v>
      </c>
      <c r="J313" t="s">
        <v>169</v>
      </c>
      <c r="K313" t="s">
        <v>1995</v>
      </c>
      <c r="L313" t="s">
        <v>3328</v>
      </c>
    </row>
    <row r="314" spans="1:12" x14ac:dyDescent="0.55000000000000004">
      <c r="A314">
        <v>107</v>
      </c>
      <c r="B314" t="s">
        <v>10</v>
      </c>
      <c r="C314">
        <v>25</v>
      </c>
      <c r="D314">
        <v>2</v>
      </c>
      <c r="E314" t="s">
        <v>329</v>
      </c>
      <c r="F314">
        <v>11.53</v>
      </c>
      <c r="G314" t="s">
        <v>1889</v>
      </c>
      <c r="H314" t="s">
        <v>1891</v>
      </c>
      <c r="I314" t="s">
        <v>210</v>
      </c>
      <c r="J314" t="s">
        <v>171</v>
      </c>
      <c r="K314" t="s">
        <v>1997</v>
      </c>
      <c r="L314" t="s">
        <v>3328</v>
      </c>
    </row>
    <row r="315" spans="1:12" x14ac:dyDescent="0.55000000000000004">
      <c r="A315">
        <v>109</v>
      </c>
      <c r="B315" t="s">
        <v>10</v>
      </c>
      <c r="C315">
        <v>25</v>
      </c>
      <c r="D315">
        <v>2</v>
      </c>
      <c r="E315" t="s">
        <v>331</v>
      </c>
      <c r="F315">
        <v>11.77</v>
      </c>
      <c r="G315" t="s">
        <v>1889</v>
      </c>
      <c r="H315" t="s">
        <v>1891</v>
      </c>
      <c r="I315" t="s">
        <v>210</v>
      </c>
      <c r="J315" t="s">
        <v>173</v>
      </c>
      <c r="K315" t="s">
        <v>1999</v>
      </c>
      <c r="L315" t="s">
        <v>3328</v>
      </c>
    </row>
    <row r="316" spans="1:12" x14ac:dyDescent="0.55000000000000004">
      <c r="A316">
        <v>110</v>
      </c>
      <c r="B316" t="s">
        <v>10</v>
      </c>
      <c r="C316">
        <v>25</v>
      </c>
      <c r="D316">
        <v>2</v>
      </c>
      <c r="E316" t="s">
        <v>332</v>
      </c>
      <c r="F316">
        <v>15.52</v>
      </c>
      <c r="G316" t="s">
        <v>1889</v>
      </c>
      <c r="H316" t="s">
        <v>1891</v>
      </c>
      <c r="I316" t="s">
        <v>210</v>
      </c>
      <c r="J316" t="s">
        <v>174</v>
      </c>
      <c r="K316" t="s">
        <v>2000</v>
      </c>
      <c r="L316" t="s">
        <v>3328</v>
      </c>
    </row>
    <row r="317" spans="1:12" x14ac:dyDescent="0.55000000000000004">
      <c r="A317">
        <v>112</v>
      </c>
      <c r="B317" t="s">
        <v>10</v>
      </c>
      <c r="C317">
        <v>25</v>
      </c>
      <c r="D317">
        <v>2</v>
      </c>
      <c r="E317" t="s">
        <v>334</v>
      </c>
      <c r="F317">
        <v>11.53</v>
      </c>
      <c r="G317" t="s">
        <v>1889</v>
      </c>
      <c r="H317" t="s">
        <v>1891</v>
      </c>
      <c r="I317" t="s">
        <v>210</v>
      </c>
      <c r="J317" t="s">
        <v>176</v>
      </c>
      <c r="K317" t="s">
        <v>2002</v>
      </c>
      <c r="L317" t="s">
        <v>3328</v>
      </c>
    </row>
    <row r="318" spans="1:12" x14ac:dyDescent="0.55000000000000004">
      <c r="A318">
        <v>128</v>
      </c>
      <c r="B318" t="s">
        <v>11</v>
      </c>
      <c r="C318">
        <v>25</v>
      </c>
      <c r="D318">
        <v>24</v>
      </c>
      <c r="E318" t="s">
        <v>350</v>
      </c>
      <c r="F318">
        <v>13.92</v>
      </c>
      <c r="G318" t="s">
        <v>1889</v>
      </c>
      <c r="H318" t="s">
        <v>1891</v>
      </c>
      <c r="I318" t="s">
        <v>210</v>
      </c>
      <c r="J318" t="s">
        <v>178</v>
      </c>
      <c r="K318" t="s">
        <v>2018</v>
      </c>
      <c r="L318" t="s">
        <v>3328</v>
      </c>
    </row>
    <row r="319" spans="1:12" x14ac:dyDescent="0.55000000000000004">
      <c r="A319">
        <v>130</v>
      </c>
      <c r="B319" t="s">
        <v>11</v>
      </c>
      <c r="C319">
        <v>25</v>
      </c>
      <c r="D319">
        <v>24</v>
      </c>
      <c r="E319" t="s">
        <v>352</v>
      </c>
      <c r="F319">
        <v>11.29</v>
      </c>
      <c r="G319" t="s">
        <v>1889</v>
      </c>
      <c r="H319" t="s">
        <v>1891</v>
      </c>
      <c r="I319" t="s">
        <v>210</v>
      </c>
      <c r="J319" t="s">
        <v>180</v>
      </c>
      <c r="K319" t="s">
        <v>2020</v>
      </c>
      <c r="L319" t="s">
        <v>3328</v>
      </c>
    </row>
    <row r="320" spans="1:12" x14ac:dyDescent="0.55000000000000004">
      <c r="A320">
        <v>132</v>
      </c>
      <c r="B320" t="s">
        <v>11</v>
      </c>
      <c r="C320">
        <v>25</v>
      </c>
      <c r="D320">
        <v>24</v>
      </c>
      <c r="E320" t="s">
        <v>354</v>
      </c>
      <c r="F320">
        <v>14.06</v>
      </c>
      <c r="G320" t="s">
        <v>1889</v>
      </c>
      <c r="H320" t="s">
        <v>1891</v>
      </c>
      <c r="I320" t="s">
        <v>210</v>
      </c>
      <c r="J320" t="s">
        <v>182</v>
      </c>
      <c r="K320" t="s">
        <v>2022</v>
      </c>
      <c r="L320" t="s">
        <v>3328</v>
      </c>
    </row>
    <row r="321" spans="1:12" x14ac:dyDescent="0.55000000000000004">
      <c r="A321">
        <v>134</v>
      </c>
      <c r="B321" t="s">
        <v>11</v>
      </c>
      <c r="C321">
        <v>25</v>
      </c>
      <c r="D321">
        <v>24</v>
      </c>
      <c r="E321" t="s">
        <v>356</v>
      </c>
      <c r="F321">
        <v>10.98</v>
      </c>
      <c r="G321" t="s">
        <v>1889</v>
      </c>
      <c r="H321" t="s">
        <v>1891</v>
      </c>
      <c r="I321" t="s">
        <v>210</v>
      </c>
      <c r="J321" t="s">
        <v>184</v>
      </c>
      <c r="K321" t="s">
        <v>2024</v>
      </c>
      <c r="L321" t="s">
        <v>3328</v>
      </c>
    </row>
    <row r="322" spans="1:12" x14ac:dyDescent="0.55000000000000004">
      <c r="A322">
        <v>135</v>
      </c>
      <c r="B322" t="s">
        <v>11</v>
      </c>
      <c r="C322">
        <v>25</v>
      </c>
      <c r="D322">
        <v>24</v>
      </c>
      <c r="E322" t="s">
        <v>357</v>
      </c>
      <c r="F322">
        <v>12.58</v>
      </c>
      <c r="G322" t="s">
        <v>1889</v>
      </c>
      <c r="H322" t="s">
        <v>1891</v>
      </c>
      <c r="I322" t="s">
        <v>210</v>
      </c>
      <c r="J322" t="s">
        <v>185</v>
      </c>
      <c r="K322" t="s">
        <v>2025</v>
      </c>
      <c r="L322" t="s">
        <v>3328</v>
      </c>
    </row>
    <row r="323" spans="1:12" x14ac:dyDescent="0.55000000000000004">
      <c r="A323">
        <v>137</v>
      </c>
      <c r="B323" t="s">
        <v>11</v>
      </c>
      <c r="C323">
        <v>25</v>
      </c>
      <c r="D323">
        <v>24</v>
      </c>
      <c r="E323" t="s">
        <v>359</v>
      </c>
      <c r="F323">
        <v>11.22</v>
      </c>
      <c r="G323" t="s">
        <v>1889</v>
      </c>
      <c r="H323" t="s">
        <v>1891</v>
      </c>
      <c r="I323" t="s">
        <v>210</v>
      </c>
      <c r="J323" t="s">
        <v>187</v>
      </c>
      <c r="K323" t="s">
        <v>2027</v>
      </c>
      <c r="L323" t="s">
        <v>3328</v>
      </c>
    </row>
    <row r="324" spans="1:12" x14ac:dyDescent="0.55000000000000004">
      <c r="A324">
        <v>153</v>
      </c>
      <c r="B324" t="s">
        <v>12</v>
      </c>
      <c r="C324">
        <v>24</v>
      </c>
      <c r="D324">
        <v>52</v>
      </c>
      <c r="E324" t="s">
        <v>375</v>
      </c>
      <c r="F324">
        <v>11.75</v>
      </c>
      <c r="G324" t="s">
        <v>1889</v>
      </c>
      <c r="H324" t="s">
        <v>1891</v>
      </c>
      <c r="I324" t="s">
        <v>210</v>
      </c>
      <c r="J324" t="s">
        <v>189</v>
      </c>
      <c r="K324" t="s">
        <v>2042</v>
      </c>
      <c r="L324" t="s">
        <v>3328</v>
      </c>
    </row>
    <row r="325" spans="1:12" x14ac:dyDescent="0.55000000000000004">
      <c r="A325">
        <v>155</v>
      </c>
      <c r="B325" t="s">
        <v>12</v>
      </c>
      <c r="C325">
        <v>24</v>
      </c>
      <c r="D325">
        <v>52</v>
      </c>
      <c r="E325" t="s">
        <v>377</v>
      </c>
      <c r="F325">
        <v>11.26</v>
      </c>
      <c r="G325" t="s">
        <v>1889</v>
      </c>
      <c r="H325" t="s">
        <v>1891</v>
      </c>
      <c r="I325" t="s">
        <v>210</v>
      </c>
      <c r="J325" t="s">
        <v>191</v>
      </c>
      <c r="K325" t="s">
        <v>2044</v>
      </c>
      <c r="L325" t="s">
        <v>3328</v>
      </c>
    </row>
    <row r="326" spans="1:12" x14ac:dyDescent="0.55000000000000004">
      <c r="A326">
        <v>157</v>
      </c>
      <c r="B326" t="s">
        <v>12</v>
      </c>
      <c r="C326">
        <v>24</v>
      </c>
      <c r="D326">
        <v>52</v>
      </c>
      <c r="E326" t="s">
        <v>379</v>
      </c>
      <c r="F326">
        <v>11.03</v>
      </c>
      <c r="G326" t="s">
        <v>1889</v>
      </c>
      <c r="H326" t="s">
        <v>1891</v>
      </c>
      <c r="I326" t="s">
        <v>210</v>
      </c>
      <c r="J326" t="s">
        <v>193</v>
      </c>
      <c r="K326" t="s">
        <v>2046</v>
      </c>
      <c r="L326" t="s">
        <v>3328</v>
      </c>
    </row>
    <row r="327" spans="1:12" x14ac:dyDescent="0.55000000000000004">
      <c r="A327">
        <v>159</v>
      </c>
      <c r="B327" t="s">
        <v>12</v>
      </c>
      <c r="C327">
        <v>24</v>
      </c>
      <c r="D327">
        <v>52</v>
      </c>
      <c r="E327" t="s">
        <v>381</v>
      </c>
      <c r="F327">
        <v>12.23</v>
      </c>
      <c r="G327" t="s">
        <v>1889</v>
      </c>
      <c r="H327" t="s">
        <v>1891</v>
      </c>
      <c r="I327" t="s">
        <v>210</v>
      </c>
      <c r="J327" t="s">
        <v>195</v>
      </c>
      <c r="K327" t="s">
        <v>2048</v>
      </c>
      <c r="L327" t="s">
        <v>3328</v>
      </c>
    </row>
    <row r="328" spans="1:12" x14ac:dyDescent="0.55000000000000004">
      <c r="A328">
        <v>160</v>
      </c>
      <c r="B328" t="s">
        <v>12</v>
      </c>
      <c r="C328">
        <v>24</v>
      </c>
      <c r="D328">
        <v>52</v>
      </c>
      <c r="E328" t="s">
        <v>382</v>
      </c>
      <c r="F328">
        <v>11.38</v>
      </c>
      <c r="G328" t="s">
        <v>1889</v>
      </c>
      <c r="H328" t="s">
        <v>1891</v>
      </c>
      <c r="I328" t="s">
        <v>210</v>
      </c>
      <c r="J328" t="s">
        <v>196</v>
      </c>
      <c r="K328" t="s">
        <v>2049</v>
      </c>
      <c r="L328" t="s">
        <v>3328</v>
      </c>
    </row>
    <row r="329" spans="1:12" x14ac:dyDescent="0.55000000000000004">
      <c r="A329">
        <v>162</v>
      </c>
      <c r="B329" t="s">
        <v>12</v>
      </c>
      <c r="C329">
        <v>24</v>
      </c>
      <c r="D329">
        <v>52</v>
      </c>
      <c r="E329" t="s">
        <v>384</v>
      </c>
      <c r="F329">
        <v>12.39</v>
      </c>
      <c r="G329" t="s">
        <v>1889</v>
      </c>
      <c r="H329" t="s">
        <v>1891</v>
      </c>
      <c r="I329" t="s">
        <v>210</v>
      </c>
      <c r="J329" t="s">
        <v>198</v>
      </c>
      <c r="K329" t="s">
        <v>2051</v>
      </c>
      <c r="L329" t="s">
        <v>3328</v>
      </c>
    </row>
    <row r="330" spans="1:12" x14ac:dyDescent="0.55000000000000004">
      <c r="A330">
        <v>177</v>
      </c>
      <c r="B330" t="s">
        <v>13</v>
      </c>
      <c r="C330">
        <v>25</v>
      </c>
      <c r="D330">
        <v>44</v>
      </c>
      <c r="E330" t="s">
        <v>399</v>
      </c>
      <c r="F330">
        <v>12.83</v>
      </c>
      <c r="G330" t="s">
        <v>1889</v>
      </c>
      <c r="H330" t="s">
        <v>1891</v>
      </c>
      <c r="I330" t="s">
        <v>210</v>
      </c>
      <c r="J330" t="s">
        <v>200</v>
      </c>
      <c r="K330" t="s">
        <v>2067</v>
      </c>
      <c r="L330" t="s">
        <v>3328</v>
      </c>
    </row>
    <row r="331" spans="1:12" x14ac:dyDescent="0.55000000000000004">
      <c r="A331">
        <v>179</v>
      </c>
      <c r="B331" t="s">
        <v>13</v>
      </c>
      <c r="C331">
        <v>25</v>
      </c>
      <c r="D331">
        <v>44</v>
      </c>
      <c r="E331" t="s">
        <v>401</v>
      </c>
      <c r="F331">
        <v>12.43</v>
      </c>
      <c r="G331" t="s">
        <v>1889</v>
      </c>
      <c r="H331" t="s">
        <v>1891</v>
      </c>
      <c r="I331" t="s">
        <v>210</v>
      </c>
      <c r="J331" t="s">
        <v>202</v>
      </c>
      <c r="K331" t="s">
        <v>2069</v>
      </c>
      <c r="L331" t="s">
        <v>3328</v>
      </c>
    </row>
    <row r="332" spans="1:12" x14ac:dyDescent="0.55000000000000004">
      <c r="A332">
        <v>181</v>
      </c>
      <c r="B332" t="s">
        <v>13</v>
      </c>
      <c r="C332">
        <v>25</v>
      </c>
      <c r="D332">
        <v>44</v>
      </c>
      <c r="E332" t="s">
        <v>403</v>
      </c>
      <c r="F332">
        <v>11.57</v>
      </c>
      <c r="G332" t="s">
        <v>1889</v>
      </c>
      <c r="H332" t="s">
        <v>1891</v>
      </c>
      <c r="I332" t="s">
        <v>210</v>
      </c>
      <c r="J332" t="s">
        <v>204</v>
      </c>
      <c r="K332" t="s">
        <v>2071</v>
      </c>
      <c r="L332" t="s">
        <v>3328</v>
      </c>
    </row>
    <row r="333" spans="1:12" x14ac:dyDescent="0.55000000000000004">
      <c r="A333">
        <v>183</v>
      </c>
      <c r="B333" t="s">
        <v>13</v>
      </c>
      <c r="C333">
        <v>25</v>
      </c>
      <c r="D333">
        <v>44</v>
      </c>
      <c r="E333" t="s">
        <v>405</v>
      </c>
      <c r="F333">
        <v>12.96</v>
      </c>
      <c r="G333" t="s">
        <v>1889</v>
      </c>
      <c r="H333" t="s">
        <v>1891</v>
      </c>
      <c r="I333" t="s">
        <v>210</v>
      </c>
      <c r="J333" t="s">
        <v>206</v>
      </c>
      <c r="K333" t="s">
        <v>2073</v>
      </c>
      <c r="L333" t="s">
        <v>3328</v>
      </c>
    </row>
    <row r="334" spans="1:12" x14ac:dyDescent="0.55000000000000004">
      <c r="A334">
        <v>184</v>
      </c>
      <c r="B334" t="s">
        <v>13</v>
      </c>
      <c r="C334">
        <v>25</v>
      </c>
      <c r="D334">
        <v>44</v>
      </c>
      <c r="E334" t="s">
        <v>406</v>
      </c>
      <c r="F334">
        <v>11.09</v>
      </c>
      <c r="G334" t="s">
        <v>1889</v>
      </c>
      <c r="H334" t="s">
        <v>1891</v>
      </c>
      <c r="I334" t="s">
        <v>210</v>
      </c>
      <c r="J334" t="s">
        <v>207</v>
      </c>
      <c r="K334" t="s">
        <v>2074</v>
      </c>
      <c r="L334" t="s">
        <v>3328</v>
      </c>
    </row>
    <row r="335" spans="1:12" x14ac:dyDescent="0.55000000000000004">
      <c r="A335">
        <v>186</v>
      </c>
      <c r="B335" t="s">
        <v>13</v>
      </c>
      <c r="C335">
        <v>25</v>
      </c>
      <c r="D335">
        <v>44</v>
      </c>
      <c r="E335" t="s">
        <v>408</v>
      </c>
      <c r="F335">
        <v>12.26</v>
      </c>
      <c r="G335" t="s">
        <v>1889</v>
      </c>
      <c r="H335" t="s">
        <v>1891</v>
      </c>
      <c r="I335" t="s">
        <v>210</v>
      </c>
      <c r="J335" t="s">
        <v>209</v>
      </c>
      <c r="K335" t="s">
        <v>2075</v>
      </c>
      <c r="L335" t="s">
        <v>3328</v>
      </c>
    </row>
    <row r="336" spans="1:12" x14ac:dyDescent="0.55000000000000004">
      <c r="A336">
        <v>200</v>
      </c>
      <c r="B336" t="s">
        <v>14</v>
      </c>
      <c r="C336">
        <v>25</v>
      </c>
      <c r="D336">
        <v>45</v>
      </c>
      <c r="E336" t="s">
        <v>422</v>
      </c>
      <c r="F336">
        <v>10.94</v>
      </c>
      <c r="G336" t="s">
        <v>1889</v>
      </c>
      <c r="H336" t="s">
        <v>1891</v>
      </c>
      <c r="I336" t="s">
        <v>211</v>
      </c>
      <c r="J336" t="s">
        <v>114</v>
      </c>
      <c r="K336" t="s">
        <v>2088</v>
      </c>
      <c r="L336" t="s">
        <v>3328</v>
      </c>
    </row>
    <row r="337" spans="1:12" x14ac:dyDescent="0.55000000000000004">
      <c r="A337">
        <v>201</v>
      </c>
      <c r="B337" t="s">
        <v>14</v>
      </c>
      <c r="C337">
        <v>25</v>
      </c>
      <c r="D337">
        <v>45</v>
      </c>
      <c r="E337" t="s">
        <v>423</v>
      </c>
      <c r="F337">
        <v>15.83</v>
      </c>
      <c r="G337" t="s">
        <v>2113</v>
      </c>
      <c r="H337" t="s">
        <v>110</v>
      </c>
      <c r="I337" t="s">
        <v>211</v>
      </c>
      <c r="J337" t="s">
        <v>122</v>
      </c>
      <c r="L337" t="s">
        <v>3328</v>
      </c>
    </row>
    <row r="338" spans="1:12" x14ac:dyDescent="0.55000000000000004">
      <c r="A338">
        <v>203</v>
      </c>
      <c r="B338" t="s">
        <v>14</v>
      </c>
      <c r="C338">
        <v>25</v>
      </c>
      <c r="D338">
        <v>45</v>
      </c>
      <c r="E338" t="s">
        <v>425</v>
      </c>
      <c r="F338">
        <v>20.64</v>
      </c>
      <c r="G338" t="s">
        <v>2113</v>
      </c>
      <c r="H338" t="s">
        <v>110</v>
      </c>
      <c r="I338" t="s">
        <v>211</v>
      </c>
      <c r="J338" t="s">
        <v>124</v>
      </c>
      <c r="L338" t="s">
        <v>3328</v>
      </c>
    </row>
    <row r="339" spans="1:12" x14ac:dyDescent="0.55000000000000004">
      <c r="A339">
        <v>210</v>
      </c>
      <c r="B339" t="s">
        <v>14</v>
      </c>
      <c r="C339">
        <v>25</v>
      </c>
      <c r="D339">
        <v>45</v>
      </c>
      <c r="E339" t="s">
        <v>432</v>
      </c>
      <c r="F339">
        <v>11.86</v>
      </c>
      <c r="G339" t="s">
        <v>1889</v>
      </c>
      <c r="H339" t="s">
        <v>1891</v>
      </c>
      <c r="I339" t="s">
        <v>211</v>
      </c>
      <c r="J339" t="s">
        <v>131</v>
      </c>
      <c r="K339" t="s">
        <v>2095</v>
      </c>
      <c r="L339" t="s">
        <v>3328</v>
      </c>
    </row>
    <row r="340" spans="1:12" x14ac:dyDescent="0.55000000000000004">
      <c r="A340">
        <v>227</v>
      </c>
      <c r="B340" t="s">
        <v>15</v>
      </c>
      <c r="C340">
        <v>25</v>
      </c>
      <c r="D340">
        <v>190</v>
      </c>
      <c r="E340" t="s">
        <v>449</v>
      </c>
      <c r="F340">
        <v>12.55</v>
      </c>
      <c r="G340" t="s">
        <v>1889</v>
      </c>
      <c r="H340" t="s">
        <v>1891</v>
      </c>
      <c r="I340" t="s">
        <v>211</v>
      </c>
      <c r="J340" t="s">
        <v>134</v>
      </c>
      <c r="K340" t="s">
        <v>2112</v>
      </c>
      <c r="L340" t="s">
        <v>3328</v>
      </c>
    </row>
    <row r="341" spans="1:12" x14ac:dyDescent="0.55000000000000004">
      <c r="A341">
        <v>393</v>
      </c>
      <c r="B341" t="s">
        <v>22</v>
      </c>
      <c r="C341">
        <v>25</v>
      </c>
      <c r="D341">
        <v>206</v>
      </c>
      <c r="E341" t="s">
        <v>615</v>
      </c>
      <c r="F341">
        <v>10.33</v>
      </c>
      <c r="G341" t="s">
        <v>1889</v>
      </c>
      <c r="H341" t="s">
        <v>1891</v>
      </c>
      <c r="I341" t="s">
        <v>212</v>
      </c>
      <c r="J341" t="s">
        <v>127</v>
      </c>
      <c r="K341" t="s">
        <v>2271</v>
      </c>
      <c r="L341" t="s">
        <v>3328</v>
      </c>
    </row>
    <row r="342" spans="1:12" x14ac:dyDescent="0.55000000000000004">
      <c r="A342">
        <v>395</v>
      </c>
      <c r="B342" t="s">
        <v>22</v>
      </c>
      <c r="C342">
        <v>25</v>
      </c>
      <c r="D342">
        <v>206</v>
      </c>
      <c r="E342" t="s">
        <v>617</v>
      </c>
      <c r="F342">
        <v>11.33</v>
      </c>
      <c r="G342" t="s">
        <v>1889</v>
      </c>
      <c r="H342" t="s">
        <v>1891</v>
      </c>
      <c r="I342" t="s">
        <v>212</v>
      </c>
      <c r="J342" t="s">
        <v>129</v>
      </c>
      <c r="K342" t="s">
        <v>2273</v>
      </c>
      <c r="L342" t="s">
        <v>3328</v>
      </c>
    </row>
    <row r="343" spans="1:12" x14ac:dyDescent="0.55000000000000004">
      <c r="A343">
        <v>416</v>
      </c>
      <c r="B343" t="s">
        <v>23</v>
      </c>
      <c r="C343">
        <v>10</v>
      </c>
      <c r="D343">
        <v>205</v>
      </c>
      <c r="E343" t="s">
        <v>638</v>
      </c>
      <c r="F343">
        <v>9.93</v>
      </c>
      <c r="G343" t="s">
        <v>1889</v>
      </c>
      <c r="H343" t="s">
        <v>1891</v>
      </c>
      <c r="I343" t="s">
        <v>212</v>
      </c>
      <c r="J343" t="s">
        <v>136</v>
      </c>
      <c r="K343" t="s">
        <v>2294</v>
      </c>
      <c r="L343" t="s">
        <v>3328</v>
      </c>
    </row>
    <row r="344" spans="1:12" x14ac:dyDescent="0.55000000000000004">
      <c r="A344">
        <v>418</v>
      </c>
      <c r="B344" t="s">
        <v>23</v>
      </c>
      <c r="C344">
        <v>10</v>
      </c>
      <c r="D344">
        <v>205</v>
      </c>
      <c r="E344" t="s">
        <v>640</v>
      </c>
      <c r="F344">
        <v>12.8</v>
      </c>
      <c r="G344" t="s">
        <v>1889</v>
      </c>
      <c r="H344" t="s">
        <v>1891</v>
      </c>
      <c r="I344" t="s">
        <v>212</v>
      </c>
      <c r="J344" t="s">
        <v>138</v>
      </c>
      <c r="K344" t="s">
        <v>2296</v>
      </c>
      <c r="L344" t="s">
        <v>3328</v>
      </c>
    </row>
    <row r="345" spans="1:12" x14ac:dyDescent="0.55000000000000004">
      <c r="A345">
        <v>420</v>
      </c>
      <c r="B345" t="s">
        <v>24</v>
      </c>
      <c r="C345">
        <v>25</v>
      </c>
      <c r="D345">
        <v>187</v>
      </c>
      <c r="E345" t="s">
        <v>642</v>
      </c>
      <c r="F345">
        <v>13.08</v>
      </c>
      <c r="G345" t="s">
        <v>1889</v>
      </c>
      <c r="H345" t="s">
        <v>1891</v>
      </c>
      <c r="I345" t="s">
        <v>212</v>
      </c>
      <c r="J345" t="s">
        <v>140</v>
      </c>
      <c r="K345" t="s">
        <v>2298</v>
      </c>
      <c r="L345" t="s">
        <v>3328</v>
      </c>
    </row>
    <row r="346" spans="1:12" x14ac:dyDescent="0.55000000000000004">
      <c r="A346">
        <v>421</v>
      </c>
      <c r="B346" t="s">
        <v>24</v>
      </c>
      <c r="C346">
        <v>25</v>
      </c>
      <c r="D346">
        <v>187</v>
      </c>
      <c r="E346" t="s">
        <v>643</v>
      </c>
      <c r="F346">
        <v>11.72</v>
      </c>
      <c r="G346" t="s">
        <v>1889</v>
      </c>
      <c r="H346" t="s">
        <v>1891</v>
      </c>
      <c r="I346" t="s">
        <v>212</v>
      </c>
      <c r="J346" t="s">
        <v>141</v>
      </c>
      <c r="K346" t="s">
        <v>2299</v>
      </c>
      <c r="L346" t="s">
        <v>3328</v>
      </c>
    </row>
    <row r="347" spans="1:12" x14ac:dyDescent="0.55000000000000004">
      <c r="A347">
        <v>423</v>
      </c>
      <c r="B347" t="s">
        <v>24</v>
      </c>
      <c r="C347">
        <v>25</v>
      </c>
      <c r="D347">
        <v>187</v>
      </c>
      <c r="E347" t="s">
        <v>645</v>
      </c>
      <c r="F347">
        <v>12.85</v>
      </c>
      <c r="G347" t="s">
        <v>1889</v>
      </c>
      <c r="H347" t="s">
        <v>1891</v>
      </c>
      <c r="I347" t="s">
        <v>212</v>
      </c>
      <c r="J347" t="s">
        <v>143</v>
      </c>
      <c r="K347" t="s">
        <v>2301</v>
      </c>
      <c r="L347" t="s">
        <v>3328</v>
      </c>
    </row>
    <row r="348" spans="1:12" x14ac:dyDescent="0.55000000000000004">
      <c r="A348">
        <v>426</v>
      </c>
      <c r="B348" t="s">
        <v>24</v>
      </c>
      <c r="C348">
        <v>25</v>
      </c>
      <c r="D348">
        <v>187</v>
      </c>
      <c r="E348" t="s">
        <v>648</v>
      </c>
      <c r="F348">
        <v>11.69</v>
      </c>
      <c r="G348" t="s">
        <v>1889</v>
      </c>
      <c r="H348" t="s">
        <v>1891</v>
      </c>
      <c r="I348" t="s">
        <v>212</v>
      </c>
      <c r="J348" t="s">
        <v>145</v>
      </c>
      <c r="K348" t="s">
        <v>2304</v>
      </c>
      <c r="L348" t="s">
        <v>3328</v>
      </c>
    </row>
    <row r="349" spans="1:12" x14ac:dyDescent="0.55000000000000004">
      <c r="A349">
        <v>428</v>
      </c>
      <c r="B349" t="s">
        <v>24</v>
      </c>
      <c r="C349">
        <v>25</v>
      </c>
      <c r="D349">
        <v>187</v>
      </c>
      <c r="E349" t="s">
        <v>650</v>
      </c>
      <c r="F349">
        <v>12.66</v>
      </c>
      <c r="G349" t="s">
        <v>1889</v>
      </c>
      <c r="H349" t="s">
        <v>1891</v>
      </c>
      <c r="I349" t="s">
        <v>212</v>
      </c>
      <c r="J349" t="s">
        <v>147</v>
      </c>
      <c r="K349" t="s">
        <v>2306</v>
      </c>
      <c r="L349" t="s">
        <v>3328</v>
      </c>
    </row>
    <row r="350" spans="1:12" x14ac:dyDescent="0.55000000000000004">
      <c r="A350">
        <v>430</v>
      </c>
      <c r="B350" t="s">
        <v>24</v>
      </c>
      <c r="C350">
        <v>25</v>
      </c>
      <c r="D350">
        <v>187</v>
      </c>
      <c r="E350" t="s">
        <v>652</v>
      </c>
      <c r="F350">
        <v>12.96</v>
      </c>
      <c r="G350" t="s">
        <v>1889</v>
      </c>
      <c r="H350" t="s">
        <v>1891</v>
      </c>
      <c r="I350" t="s">
        <v>212</v>
      </c>
      <c r="J350" t="s">
        <v>149</v>
      </c>
      <c r="K350" t="s">
        <v>2308</v>
      </c>
      <c r="L350" t="s">
        <v>3328</v>
      </c>
    </row>
    <row r="351" spans="1:12" x14ac:dyDescent="0.55000000000000004">
      <c r="A351">
        <v>445</v>
      </c>
      <c r="B351" t="s">
        <v>25</v>
      </c>
      <c r="C351">
        <v>25</v>
      </c>
      <c r="D351">
        <v>151</v>
      </c>
      <c r="E351" t="s">
        <v>667</v>
      </c>
      <c r="F351">
        <v>11.33</v>
      </c>
      <c r="G351" t="s">
        <v>1889</v>
      </c>
      <c r="H351" t="s">
        <v>1891</v>
      </c>
      <c r="I351" t="s">
        <v>212</v>
      </c>
      <c r="J351" t="s">
        <v>151</v>
      </c>
      <c r="K351" t="s">
        <v>2322</v>
      </c>
      <c r="L351" t="s">
        <v>3328</v>
      </c>
    </row>
    <row r="352" spans="1:12" x14ac:dyDescent="0.55000000000000004">
      <c r="A352">
        <v>446</v>
      </c>
      <c r="B352" t="s">
        <v>25</v>
      </c>
      <c r="C352">
        <v>25</v>
      </c>
      <c r="D352">
        <v>151</v>
      </c>
      <c r="E352" t="s">
        <v>668</v>
      </c>
      <c r="F352">
        <v>10.72</v>
      </c>
      <c r="G352" t="s">
        <v>1889</v>
      </c>
      <c r="H352" t="s">
        <v>1891</v>
      </c>
      <c r="I352" t="s">
        <v>212</v>
      </c>
      <c r="J352" t="s">
        <v>152</v>
      </c>
      <c r="K352" t="s">
        <v>2323</v>
      </c>
      <c r="L352" t="s">
        <v>3328</v>
      </c>
    </row>
    <row r="353" spans="1:12" x14ac:dyDescent="0.55000000000000004">
      <c r="A353">
        <v>448</v>
      </c>
      <c r="B353" t="s">
        <v>25</v>
      </c>
      <c r="C353">
        <v>25</v>
      </c>
      <c r="D353">
        <v>151</v>
      </c>
      <c r="E353" t="s">
        <v>670</v>
      </c>
      <c r="F353">
        <v>10.91</v>
      </c>
      <c r="G353" t="s">
        <v>1889</v>
      </c>
      <c r="H353" t="s">
        <v>1891</v>
      </c>
      <c r="I353" t="s">
        <v>212</v>
      </c>
      <c r="J353" t="s">
        <v>154</v>
      </c>
      <c r="K353" t="s">
        <v>2325</v>
      </c>
      <c r="L353" t="s">
        <v>3328</v>
      </c>
    </row>
    <row r="354" spans="1:12" x14ac:dyDescent="0.55000000000000004">
      <c r="A354">
        <v>451</v>
      </c>
      <c r="B354" t="s">
        <v>25</v>
      </c>
      <c r="C354">
        <v>25</v>
      </c>
      <c r="D354">
        <v>151</v>
      </c>
      <c r="E354" t="s">
        <v>673</v>
      </c>
      <c r="F354">
        <v>9.43</v>
      </c>
      <c r="G354" t="s">
        <v>1889</v>
      </c>
      <c r="H354" t="s">
        <v>1891</v>
      </c>
      <c r="I354" t="s">
        <v>212</v>
      </c>
      <c r="J354" t="s">
        <v>156</v>
      </c>
      <c r="K354" t="s">
        <v>2328</v>
      </c>
      <c r="L354" t="s">
        <v>3328</v>
      </c>
    </row>
    <row r="355" spans="1:12" x14ac:dyDescent="0.55000000000000004">
      <c r="A355">
        <v>453</v>
      </c>
      <c r="B355" t="s">
        <v>25</v>
      </c>
      <c r="C355">
        <v>25</v>
      </c>
      <c r="D355">
        <v>151</v>
      </c>
      <c r="E355" t="s">
        <v>675</v>
      </c>
      <c r="F355">
        <v>14.14</v>
      </c>
      <c r="G355" t="s">
        <v>1889</v>
      </c>
      <c r="H355" t="s">
        <v>1891</v>
      </c>
      <c r="I355" t="s">
        <v>212</v>
      </c>
      <c r="J355" t="s">
        <v>158</v>
      </c>
      <c r="K355" t="s">
        <v>2330</v>
      </c>
      <c r="L355" t="s">
        <v>3328</v>
      </c>
    </row>
    <row r="356" spans="1:12" x14ac:dyDescent="0.55000000000000004">
      <c r="A356">
        <v>455</v>
      </c>
      <c r="B356" t="s">
        <v>25</v>
      </c>
      <c r="C356">
        <v>25</v>
      </c>
      <c r="D356">
        <v>151</v>
      </c>
      <c r="E356" t="s">
        <v>677</v>
      </c>
      <c r="F356">
        <v>13.27</v>
      </c>
      <c r="G356" t="s">
        <v>1889</v>
      </c>
      <c r="H356" t="s">
        <v>1891</v>
      </c>
      <c r="I356" t="s">
        <v>212</v>
      </c>
      <c r="J356" t="s">
        <v>160</v>
      </c>
      <c r="K356" t="s">
        <v>2332</v>
      </c>
      <c r="L356" t="s">
        <v>3328</v>
      </c>
    </row>
    <row r="357" spans="1:12" x14ac:dyDescent="0.55000000000000004">
      <c r="A357">
        <v>470</v>
      </c>
      <c r="B357" t="s">
        <v>26</v>
      </c>
      <c r="C357">
        <v>25</v>
      </c>
      <c r="D357">
        <v>76</v>
      </c>
      <c r="E357" t="s">
        <v>692</v>
      </c>
      <c r="F357">
        <v>9.7899999999999991</v>
      </c>
      <c r="G357" t="s">
        <v>1889</v>
      </c>
      <c r="H357" t="s">
        <v>1891</v>
      </c>
      <c r="I357" t="s">
        <v>212</v>
      </c>
      <c r="J357" t="s">
        <v>162</v>
      </c>
      <c r="K357" t="s">
        <v>2347</v>
      </c>
      <c r="L357" t="s">
        <v>3328</v>
      </c>
    </row>
    <row r="358" spans="1:12" x14ac:dyDescent="0.55000000000000004">
      <c r="A358">
        <v>471</v>
      </c>
      <c r="B358" t="s">
        <v>26</v>
      </c>
      <c r="C358">
        <v>25</v>
      </c>
      <c r="D358">
        <v>76</v>
      </c>
      <c r="E358" t="s">
        <v>693</v>
      </c>
      <c r="F358">
        <v>10.98</v>
      </c>
      <c r="G358" t="s">
        <v>1889</v>
      </c>
      <c r="H358" t="s">
        <v>1891</v>
      </c>
      <c r="I358" t="s">
        <v>212</v>
      </c>
      <c r="J358" t="s">
        <v>163</v>
      </c>
      <c r="K358" t="s">
        <v>2348</v>
      </c>
      <c r="L358" t="s">
        <v>3328</v>
      </c>
    </row>
    <row r="359" spans="1:12" x14ac:dyDescent="0.55000000000000004">
      <c r="A359">
        <v>473</v>
      </c>
      <c r="B359" t="s">
        <v>26</v>
      </c>
      <c r="C359">
        <v>25</v>
      </c>
      <c r="D359">
        <v>76</v>
      </c>
      <c r="E359" t="s">
        <v>695</v>
      </c>
      <c r="F359">
        <v>9.3800000000000008</v>
      </c>
      <c r="G359" t="s">
        <v>1889</v>
      </c>
      <c r="H359" t="s">
        <v>1891</v>
      </c>
      <c r="I359" t="s">
        <v>212</v>
      </c>
      <c r="J359" t="s">
        <v>165</v>
      </c>
      <c r="K359" t="s">
        <v>2350</v>
      </c>
      <c r="L359" t="s">
        <v>3328</v>
      </c>
    </row>
    <row r="360" spans="1:12" x14ac:dyDescent="0.55000000000000004">
      <c r="A360">
        <v>476</v>
      </c>
      <c r="B360" t="s">
        <v>26</v>
      </c>
      <c r="C360">
        <v>25</v>
      </c>
      <c r="D360">
        <v>76</v>
      </c>
      <c r="E360" t="s">
        <v>698</v>
      </c>
      <c r="F360">
        <v>9.9700000000000006</v>
      </c>
      <c r="G360" t="s">
        <v>1889</v>
      </c>
      <c r="H360" t="s">
        <v>1891</v>
      </c>
      <c r="I360" t="s">
        <v>212</v>
      </c>
      <c r="J360" t="s">
        <v>167</v>
      </c>
      <c r="K360" t="s">
        <v>2353</v>
      </c>
      <c r="L360" t="s">
        <v>3328</v>
      </c>
    </row>
    <row r="361" spans="1:12" x14ac:dyDescent="0.55000000000000004">
      <c r="A361">
        <v>478</v>
      </c>
      <c r="B361" t="s">
        <v>26</v>
      </c>
      <c r="C361">
        <v>25</v>
      </c>
      <c r="D361">
        <v>76</v>
      </c>
      <c r="E361" t="s">
        <v>700</v>
      </c>
      <c r="F361">
        <v>11.06</v>
      </c>
      <c r="G361" t="s">
        <v>1889</v>
      </c>
      <c r="H361" t="s">
        <v>1891</v>
      </c>
      <c r="I361" t="s">
        <v>212</v>
      </c>
      <c r="J361" t="s">
        <v>169</v>
      </c>
      <c r="K361" t="s">
        <v>2355</v>
      </c>
      <c r="L361" t="s">
        <v>3328</v>
      </c>
    </row>
    <row r="362" spans="1:12" x14ac:dyDescent="0.55000000000000004">
      <c r="A362">
        <v>480</v>
      </c>
      <c r="B362" t="s">
        <v>26</v>
      </c>
      <c r="C362">
        <v>25</v>
      </c>
      <c r="D362">
        <v>76</v>
      </c>
      <c r="E362" t="s">
        <v>702</v>
      </c>
      <c r="F362">
        <v>10.65</v>
      </c>
      <c r="G362" t="s">
        <v>1889</v>
      </c>
      <c r="H362" t="s">
        <v>1891</v>
      </c>
      <c r="I362" t="s">
        <v>212</v>
      </c>
      <c r="J362" t="s">
        <v>171</v>
      </c>
      <c r="K362" t="s">
        <v>2357</v>
      </c>
      <c r="L362" t="s">
        <v>3328</v>
      </c>
    </row>
    <row r="363" spans="1:12" x14ac:dyDescent="0.55000000000000004">
      <c r="A363">
        <v>495</v>
      </c>
      <c r="B363" t="s">
        <v>27</v>
      </c>
      <c r="C363">
        <v>25</v>
      </c>
      <c r="D363">
        <v>139</v>
      </c>
      <c r="E363" t="s">
        <v>717</v>
      </c>
      <c r="F363">
        <v>10.3</v>
      </c>
      <c r="G363" t="s">
        <v>1889</v>
      </c>
      <c r="H363" t="s">
        <v>1891</v>
      </c>
      <c r="I363" t="s">
        <v>212</v>
      </c>
      <c r="J363" t="s">
        <v>173</v>
      </c>
      <c r="K363" t="s">
        <v>2372</v>
      </c>
      <c r="L363" t="s">
        <v>3328</v>
      </c>
    </row>
    <row r="364" spans="1:12" x14ac:dyDescent="0.55000000000000004">
      <c r="A364">
        <v>496</v>
      </c>
      <c r="B364" t="s">
        <v>27</v>
      </c>
      <c r="C364">
        <v>25</v>
      </c>
      <c r="D364">
        <v>139</v>
      </c>
      <c r="E364" t="s">
        <v>718</v>
      </c>
      <c r="F364">
        <v>10.77</v>
      </c>
      <c r="G364" t="s">
        <v>1889</v>
      </c>
      <c r="H364" t="s">
        <v>1891</v>
      </c>
      <c r="I364" t="s">
        <v>212</v>
      </c>
      <c r="J364" t="s">
        <v>174</v>
      </c>
      <c r="K364" t="s">
        <v>2373</v>
      </c>
      <c r="L364" t="s">
        <v>3328</v>
      </c>
    </row>
    <row r="365" spans="1:12" x14ac:dyDescent="0.55000000000000004">
      <c r="A365">
        <v>498</v>
      </c>
      <c r="B365" t="s">
        <v>27</v>
      </c>
      <c r="C365">
        <v>25</v>
      </c>
      <c r="D365">
        <v>139</v>
      </c>
      <c r="E365" t="s">
        <v>720</v>
      </c>
      <c r="F365">
        <v>12.07</v>
      </c>
      <c r="G365" t="s">
        <v>1889</v>
      </c>
      <c r="H365" t="s">
        <v>1891</v>
      </c>
      <c r="I365" t="s">
        <v>212</v>
      </c>
      <c r="J365" t="s">
        <v>176</v>
      </c>
      <c r="K365" t="s">
        <v>2375</v>
      </c>
      <c r="L365" t="s">
        <v>3328</v>
      </c>
    </row>
    <row r="366" spans="1:12" x14ac:dyDescent="0.55000000000000004">
      <c r="A366">
        <v>501</v>
      </c>
      <c r="B366" t="s">
        <v>27</v>
      </c>
      <c r="C366">
        <v>25</v>
      </c>
      <c r="D366">
        <v>139</v>
      </c>
      <c r="E366" t="s">
        <v>723</v>
      </c>
      <c r="F366">
        <v>10.029999999999999</v>
      </c>
      <c r="G366" t="s">
        <v>1889</v>
      </c>
      <c r="H366" t="s">
        <v>1891</v>
      </c>
      <c r="I366" t="s">
        <v>212</v>
      </c>
      <c r="J366" t="s">
        <v>178</v>
      </c>
      <c r="K366" t="s">
        <v>2378</v>
      </c>
      <c r="L366" t="s">
        <v>3328</v>
      </c>
    </row>
    <row r="367" spans="1:12" x14ac:dyDescent="0.55000000000000004">
      <c r="A367">
        <v>503</v>
      </c>
      <c r="B367" t="s">
        <v>27</v>
      </c>
      <c r="C367">
        <v>25</v>
      </c>
      <c r="D367">
        <v>139</v>
      </c>
      <c r="E367" t="s">
        <v>725</v>
      </c>
      <c r="F367">
        <v>11.22</v>
      </c>
      <c r="G367" t="s">
        <v>1889</v>
      </c>
      <c r="H367" t="s">
        <v>1891</v>
      </c>
      <c r="I367" t="s">
        <v>212</v>
      </c>
      <c r="J367" t="s">
        <v>180</v>
      </c>
      <c r="K367" t="s">
        <v>2380</v>
      </c>
      <c r="L367" t="s">
        <v>3328</v>
      </c>
    </row>
    <row r="368" spans="1:12" x14ac:dyDescent="0.55000000000000004">
      <c r="A368">
        <v>505</v>
      </c>
      <c r="B368" t="s">
        <v>27</v>
      </c>
      <c r="C368">
        <v>25</v>
      </c>
      <c r="D368">
        <v>139</v>
      </c>
      <c r="E368" t="s">
        <v>727</v>
      </c>
      <c r="F368">
        <v>11.62</v>
      </c>
      <c r="G368" t="s">
        <v>1889</v>
      </c>
      <c r="H368" t="s">
        <v>1891</v>
      </c>
      <c r="I368" t="s">
        <v>212</v>
      </c>
      <c r="J368" t="s">
        <v>182</v>
      </c>
      <c r="K368" t="s">
        <v>2382</v>
      </c>
      <c r="L368" t="s">
        <v>3328</v>
      </c>
    </row>
    <row r="369" spans="1:12" x14ac:dyDescent="0.55000000000000004">
      <c r="A369">
        <v>520</v>
      </c>
      <c r="B369" t="s">
        <v>29</v>
      </c>
      <c r="C369">
        <v>25</v>
      </c>
      <c r="D369">
        <v>184</v>
      </c>
      <c r="E369" t="s">
        <v>742</v>
      </c>
      <c r="F369">
        <v>11.13</v>
      </c>
      <c r="G369" t="s">
        <v>1889</v>
      </c>
      <c r="H369" t="s">
        <v>1891</v>
      </c>
      <c r="I369" t="s">
        <v>212</v>
      </c>
      <c r="J369" t="s">
        <v>184</v>
      </c>
      <c r="K369" t="s">
        <v>2387</v>
      </c>
      <c r="L369" t="s">
        <v>3328</v>
      </c>
    </row>
    <row r="370" spans="1:12" x14ac:dyDescent="0.55000000000000004">
      <c r="A370">
        <v>521</v>
      </c>
      <c r="B370" t="s">
        <v>29</v>
      </c>
      <c r="C370">
        <v>25</v>
      </c>
      <c r="D370">
        <v>184</v>
      </c>
      <c r="E370" t="s">
        <v>743</v>
      </c>
      <c r="F370">
        <v>14.58</v>
      </c>
      <c r="G370" t="s">
        <v>1889</v>
      </c>
      <c r="H370" t="s">
        <v>1891</v>
      </c>
      <c r="I370" t="s">
        <v>212</v>
      </c>
      <c r="J370" t="s">
        <v>185</v>
      </c>
      <c r="K370" t="s">
        <v>2388</v>
      </c>
      <c r="L370" t="s">
        <v>3328</v>
      </c>
    </row>
    <row r="371" spans="1:12" x14ac:dyDescent="0.55000000000000004">
      <c r="A371">
        <v>523</v>
      </c>
      <c r="B371" t="s">
        <v>29</v>
      </c>
      <c r="C371">
        <v>25</v>
      </c>
      <c r="D371">
        <v>184</v>
      </c>
      <c r="E371" t="s">
        <v>745</v>
      </c>
      <c r="F371">
        <v>13.18</v>
      </c>
      <c r="G371" t="s">
        <v>1889</v>
      </c>
      <c r="H371" t="s">
        <v>1891</v>
      </c>
      <c r="I371" t="s">
        <v>212</v>
      </c>
      <c r="J371" t="s">
        <v>187</v>
      </c>
      <c r="K371" t="s">
        <v>2390</v>
      </c>
      <c r="L371" t="s">
        <v>3328</v>
      </c>
    </row>
    <row r="372" spans="1:12" x14ac:dyDescent="0.55000000000000004">
      <c r="A372">
        <v>526</v>
      </c>
      <c r="B372" t="s">
        <v>29</v>
      </c>
      <c r="C372">
        <v>25</v>
      </c>
      <c r="D372">
        <v>184</v>
      </c>
      <c r="E372" t="s">
        <v>748</v>
      </c>
      <c r="F372">
        <v>9.3699999999999992</v>
      </c>
      <c r="G372" t="s">
        <v>1889</v>
      </c>
      <c r="H372" t="s">
        <v>1891</v>
      </c>
      <c r="I372" t="s">
        <v>212</v>
      </c>
      <c r="J372" t="s">
        <v>189</v>
      </c>
      <c r="K372" t="s">
        <v>2393</v>
      </c>
      <c r="L372" t="s">
        <v>3328</v>
      </c>
    </row>
    <row r="373" spans="1:12" x14ac:dyDescent="0.55000000000000004">
      <c r="A373">
        <v>528</v>
      </c>
      <c r="B373" t="s">
        <v>29</v>
      </c>
      <c r="C373">
        <v>25</v>
      </c>
      <c r="D373">
        <v>184</v>
      </c>
      <c r="E373" t="s">
        <v>750</v>
      </c>
      <c r="F373">
        <v>13.25</v>
      </c>
      <c r="G373" t="s">
        <v>1889</v>
      </c>
      <c r="H373" t="s">
        <v>1891</v>
      </c>
      <c r="I373" t="s">
        <v>212</v>
      </c>
      <c r="J373" t="s">
        <v>191</v>
      </c>
      <c r="K373" t="s">
        <v>2395</v>
      </c>
      <c r="L373" t="s">
        <v>3328</v>
      </c>
    </row>
    <row r="374" spans="1:12" x14ac:dyDescent="0.55000000000000004">
      <c r="A374">
        <v>530</v>
      </c>
      <c r="B374" t="s">
        <v>29</v>
      </c>
      <c r="C374">
        <v>25</v>
      </c>
      <c r="D374">
        <v>184</v>
      </c>
      <c r="E374" t="s">
        <v>752</v>
      </c>
      <c r="F374">
        <v>12.46</v>
      </c>
      <c r="G374" t="s">
        <v>1889</v>
      </c>
      <c r="H374" t="s">
        <v>1891</v>
      </c>
      <c r="I374" t="s">
        <v>212</v>
      </c>
      <c r="J374" t="s">
        <v>193</v>
      </c>
      <c r="K374" t="s">
        <v>2397</v>
      </c>
      <c r="L374" t="s">
        <v>3328</v>
      </c>
    </row>
    <row r="375" spans="1:12" x14ac:dyDescent="0.55000000000000004">
      <c r="A375">
        <v>545</v>
      </c>
      <c r="B375" t="s">
        <v>30</v>
      </c>
      <c r="C375">
        <v>25</v>
      </c>
      <c r="D375">
        <v>192</v>
      </c>
      <c r="E375" t="s">
        <v>767</v>
      </c>
      <c r="F375">
        <v>13.73</v>
      </c>
      <c r="G375" t="s">
        <v>1889</v>
      </c>
      <c r="H375" t="s">
        <v>1891</v>
      </c>
      <c r="I375" t="s">
        <v>212</v>
      </c>
      <c r="J375" t="s">
        <v>195</v>
      </c>
      <c r="K375" t="s">
        <v>2412</v>
      </c>
      <c r="L375" t="s">
        <v>3328</v>
      </c>
    </row>
    <row r="376" spans="1:12" x14ac:dyDescent="0.55000000000000004">
      <c r="A376">
        <v>546</v>
      </c>
      <c r="B376" t="s">
        <v>30</v>
      </c>
      <c r="C376">
        <v>25</v>
      </c>
      <c r="D376">
        <v>192</v>
      </c>
      <c r="E376" t="s">
        <v>768</v>
      </c>
      <c r="F376">
        <v>15.07</v>
      </c>
      <c r="G376" t="s">
        <v>1889</v>
      </c>
      <c r="H376" t="s">
        <v>1891</v>
      </c>
      <c r="I376" t="s">
        <v>212</v>
      </c>
      <c r="J376" t="s">
        <v>196</v>
      </c>
      <c r="K376" t="s">
        <v>2413</v>
      </c>
      <c r="L376" t="s">
        <v>3328</v>
      </c>
    </row>
    <row r="377" spans="1:12" x14ac:dyDescent="0.55000000000000004">
      <c r="A377">
        <v>548</v>
      </c>
      <c r="B377" t="s">
        <v>30</v>
      </c>
      <c r="C377">
        <v>25</v>
      </c>
      <c r="D377">
        <v>192</v>
      </c>
      <c r="E377" t="s">
        <v>770</v>
      </c>
      <c r="F377">
        <v>10.33</v>
      </c>
      <c r="G377" t="s">
        <v>1889</v>
      </c>
      <c r="H377" t="s">
        <v>1891</v>
      </c>
      <c r="I377" t="s">
        <v>212</v>
      </c>
      <c r="J377" t="s">
        <v>198</v>
      </c>
      <c r="K377" t="s">
        <v>2415</v>
      </c>
      <c r="L377" t="s">
        <v>3328</v>
      </c>
    </row>
    <row r="378" spans="1:12" x14ac:dyDescent="0.55000000000000004">
      <c r="A378">
        <v>551</v>
      </c>
      <c r="B378" t="s">
        <v>30</v>
      </c>
      <c r="C378">
        <v>25</v>
      </c>
      <c r="D378">
        <v>192</v>
      </c>
      <c r="E378" t="s">
        <v>773</v>
      </c>
      <c r="F378">
        <v>12.85</v>
      </c>
      <c r="G378" t="s">
        <v>1889</v>
      </c>
      <c r="H378" t="s">
        <v>1891</v>
      </c>
      <c r="I378" t="s">
        <v>212</v>
      </c>
      <c r="J378" t="s">
        <v>200</v>
      </c>
      <c r="K378" t="s">
        <v>2418</v>
      </c>
      <c r="L378" t="s">
        <v>3328</v>
      </c>
    </row>
    <row r="379" spans="1:12" x14ac:dyDescent="0.55000000000000004">
      <c r="A379">
        <v>553</v>
      </c>
      <c r="B379" t="s">
        <v>30</v>
      </c>
      <c r="C379">
        <v>25</v>
      </c>
      <c r="D379">
        <v>192</v>
      </c>
      <c r="E379" t="s">
        <v>775</v>
      </c>
      <c r="F379">
        <v>14.51</v>
      </c>
      <c r="G379" t="s">
        <v>1889</v>
      </c>
      <c r="H379" t="s">
        <v>1891</v>
      </c>
      <c r="I379" t="s">
        <v>212</v>
      </c>
      <c r="J379" t="s">
        <v>202</v>
      </c>
      <c r="K379" t="s">
        <v>2420</v>
      </c>
      <c r="L379" t="s">
        <v>3328</v>
      </c>
    </row>
    <row r="380" spans="1:12" x14ac:dyDescent="0.55000000000000004">
      <c r="A380">
        <v>555</v>
      </c>
      <c r="B380" t="s">
        <v>30</v>
      </c>
      <c r="C380">
        <v>25</v>
      </c>
      <c r="D380">
        <v>192</v>
      </c>
      <c r="E380" t="s">
        <v>777</v>
      </c>
      <c r="F380">
        <v>11.46</v>
      </c>
      <c r="G380" t="s">
        <v>1889</v>
      </c>
      <c r="H380" t="s">
        <v>1891</v>
      </c>
      <c r="I380" t="s">
        <v>212</v>
      </c>
      <c r="J380" t="s">
        <v>204</v>
      </c>
      <c r="K380" t="s">
        <v>2422</v>
      </c>
      <c r="L380" t="s">
        <v>3328</v>
      </c>
    </row>
    <row r="381" spans="1:12" x14ac:dyDescent="0.55000000000000004">
      <c r="A381">
        <v>570</v>
      </c>
      <c r="B381" t="s">
        <v>31</v>
      </c>
      <c r="C381">
        <v>25</v>
      </c>
      <c r="D381">
        <v>57</v>
      </c>
      <c r="E381" t="s">
        <v>792</v>
      </c>
      <c r="F381">
        <v>11.48</v>
      </c>
      <c r="G381" t="s">
        <v>1889</v>
      </c>
      <c r="H381" t="s">
        <v>1891</v>
      </c>
      <c r="I381" t="s">
        <v>212</v>
      </c>
      <c r="J381" t="s">
        <v>206</v>
      </c>
      <c r="K381" t="s">
        <v>2436</v>
      </c>
      <c r="L381" t="s">
        <v>3328</v>
      </c>
    </row>
    <row r="382" spans="1:12" x14ac:dyDescent="0.55000000000000004">
      <c r="A382">
        <v>571</v>
      </c>
      <c r="B382" t="s">
        <v>31</v>
      </c>
      <c r="C382">
        <v>25</v>
      </c>
      <c r="D382">
        <v>57</v>
      </c>
      <c r="E382" t="s">
        <v>793</v>
      </c>
      <c r="F382">
        <v>11.55</v>
      </c>
      <c r="G382" t="s">
        <v>1889</v>
      </c>
      <c r="H382" t="s">
        <v>1891</v>
      </c>
      <c r="I382" t="s">
        <v>212</v>
      </c>
      <c r="J382" t="s">
        <v>207</v>
      </c>
      <c r="K382" t="s">
        <v>2437</v>
      </c>
      <c r="L382" t="s">
        <v>3328</v>
      </c>
    </row>
    <row r="383" spans="1:12" x14ac:dyDescent="0.55000000000000004">
      <c r="A383">
        <v>573</v>
      </c>
      <c r="B383" t="s">
        <v>31</v>
      </c>
      <c r="C383">
        <v>25</v>
      </c>
      <c r="D383">
        <v>57</v>
      </c>
      <c r="E383" t="s">
        <v>795</v>
      </c>
      <c r="F383">
        <v>10.45</v>
      </c>
      <c r="G383" t="s">
        <v>1889</v>
      </c>
      <c r="H383" t="s">
        <v>1891</v>
      </c>
      <c r="I383" t="s">
        <v>212</v>
      </c>
      <c r="J383" t="s">
        <v>209</v>
      </c>
      <c r="K383" t="s">
        <v>2439</v>
      </c>
      <c r="L383" t="s">
        <v>3328</v>
      </c>
    </row>
    <row r="384" spans="1:12" x14ac:dyDescent="0.55000000000000004">
      <c r="A384">
        <v>574</v>
      </c>
      <c r="B384" t="s">
        <v>31</v>
      </c>
      <c r="C384">
        <v>25</v>
      </c>
      <c r="D384">
        <v>57</v>
      </c>
      <c r="E384" t="s">
        <v>796</v>
      </c>
      <c r="F384">
        <v>9.5500000000000007</v>
      </c>
      <c r="G384" t="s">
        <v>1889</v>
      </c>
      <c r="H384" t="s">
        <v>1891</v>
      </c>
      <c r="I384" t="s">
        <v>213</v>
      </c>
      <c r="J384" t="s">
        <v>114</v>
      </c>
      <c r="K384" t="s">
        <v>2440</v>
      </c>
      <c r="L384" t="s">
        <v>3328</v>
      </c>
    </row>
    <row r="385" spans="1:12" x14ac:dyDescent="0.55000000000000004">
      <c r="A385">
        <v>575</v>
      </c>
      <c r="B385" t="s">
        <v>31</v>
      </c>
      <c r="C385">
        <v>25</v>
      </c>
      <c r="D385">
        <v>57</v>
      </c>
      <c r="E385" t="s">
        <v>797</v>
      </c>
      <c r="F385">
        <v>10.16</v>
      </c>
      <c r="G385" t="s">
        <v>1889</v>
      </c>
      <c r="H385" t="s">
        <v>1891</v>
      </c>
      <c r="I385" t="s">
        <v>213</v>
      </c>
      <c r="J385" t="s">
        <v>122</v>
      </c>
      <c r="K385" t="s">
        <v>2441</v>
      </c>
      <c r="L385" t="s">
        <v>3328</v>
      </c>
    </row>
    <row r="386" spans="1:12" x14ac:dyDescent="0.55000000000000004">
      <c r="A386">
        <v>597</v>
      </c>
      <c r="B386" t="s">
        <v>32</v>
      </c>
      <c r="C386">
        <v>25</v>
      </c>
      <c r="D386">
        <v>183</v>
      </c>
      <c r="E386" t="s">
        <v>819</v>
      </c>
      <c r="F386">
        <v>10.56</v>
      </c>
      <c r="G386" t="s">
        <v>1889</v>
      </c>
      <c r="H386" t="s">
        <v>1891</v>
      </c>
      <c r="I386" t="s">
        <v>213</v>
      </c>
      <c r="J386" t="s">
        <v>131</v>
      </c>
      <c r="K386" t="s">
        <v>2463</v>
      </c>
      <c r="L386" t="s">
        <v>3328</v>
      </c>
    </row>
    <row r="387" spans="1:12" x14ac:dyDescent="0.55000000000000004">
      <c r="A387">
        <v>601</v>
      </c>
      <c r="B387" t="s">
        <v>32</v>
      </c>
      <c r="C387">
        <v>25</v>
      </c>
      <c r="D387">
        <v>183</v>
      </c>
      <c r="E387" t="s">
        <v>823</v>
      </c>
      <c r="F387">
        <v>12.11</v>
      </c>
      <c r="G387" t="s">
        <v>1889</v>
      </c>
      <c r="H387" t="s">
        <v>1891</v>
      </c>
      <c r="I387" t="s">
        <v>213</v>
      </c>
      <c r="J387" t="s">
        <v>134</v>
      </c>
      <c r="K387" t="s">
        <v>2467</v>
      </c>
      <c r="L387" t="s">
        <v>3328</v>
      </c>
    </row>
    <row r="388" spans="1:12" x14ac:dyDescent="0.55000000000000004">
      <c r="A388">
        <v>768</v>
      </c>
      <c r="B388" t="s">
        <v>41</v>
      </c>
      <c r="C388">
        <v>6</v>
      </c>
      <c r="D388">
        <v>120</v>
      </c>
      <c r="E388" t="s">
        <v>990</v>
      </c>
      <c r="F388">
        <v>11.5</v>
      </c>
      <c r="G388" t="s">
        <v>1889</v>
      </c>
      <c r="H388" t="s">
        <v>1891</v>
      </c>
      <c r="I388" t="s">
        <v>214</v>
      </c>
      <c r="J388" t="s">
        <v>125</v>
      </c>
      <c r="K388" t="s">
        <v>2632</v>
      </c>
      <c r="L388" t="s">
        <v>3328</v>
      </c>
    </row>
    <row r="389" spans="1:12" x14ac:dyDescent="0.55000000000000004">
      <c r="A389">
        <v>770</v>
      </c>
      <c r="B389" t="s">
        <v>41</v>
      </c>
      <c r="C389">
        <v>6</v>
      </c>
      <c r="D389">
        <v>120</v>
      </c>
      <c r="E389" t="s">
        <v>992</v>
      </c>
      <c r="F389">
        <v>13.23</v>
      </c>
      <c r="G389" t="s">
        <v>1889</v>
      </c>
      <c r="H389" t="s">
        <v>1891</v>
      </c>
      <c r="I389" t="s">
        <v>214</v>
      </c>
      <c r="J389" t="s">
        <v>127</v>
      </c>
      <c r="K389" t="s">
        <v>2634</v>
      </c>
      <c r="L389" t="s">
        <v>3328</v>
      </c>
    </row>
    <row r="390" spans="1:12" x14ac:dyDescent="0.55000000000000004">
      <c r="A390">
        <v>772</v>
      </c>
      <c r="B390" t="s">
        <v>43</v>
      </c>
      <c r="C390">
        <v>3</v>
      </c>
      <c r="D390">
        <v>178</v>
      </c>
      <c r="E390" t="s">
        <v>994</v>
      </c>
      <c r="F390">
        <v>12.07</v>
      </c>
      <c r="G390" t="s">
        <v>1889</v>
      </c>
      <c r="H390" t="s">
        <v>1891</v>
      </c>
      <c r="I390" t="s">
        <v>214</v>
      </c>
      <c r="J390" t="s">
        <v>129</v>
      </c>
      <c r="K390" t="s">
        <v>2636</v>
      </c>
      <c r="L390" t="s">
        <v>3328</v>
      </c>
    </row>
    <row r="391" spans="1:12" x14ac:dyDescent="0.55000000000000004">
      <c r="A391">
        <v>785</v>
      </c>
      <c r="B391" t="s">
        <v>44</v>
      </c>
      <c r="C391">
        <v>25</v>
      </c>
      <c r="D391">
        <v>177</v>
      </c>
      <c r="E391" t="s">
        <v>1007</v>
      </c>
      <c r="F391">
        <v>12.3</v>
      </c>
      <c r="G391" t="s">
        <v>1889</v>
      </c>
      <c r="H391" t="s">
        <v>1891</v>
      </c>
      <c r="I391" t="s">
        <v>214</v>
      </c>
      <c r="J391" t="s">
        <v>141</v>
      </c>
      <c r="K391" t="s">
        <v>2649</v>
      </c>
      <c r="L391" t="s">
        <v>3328</v>
      </c>
    </row>
    <row r="392" spans="1:12" x14ac:dyDescent="0.55000000000000004">
      <c r="A392">
        <v>800</v>
      </c>
      <c r="B392" t="s">
        <v>45</v>
      </c>
      <c r="C392">
        <v>7</v>
      </c>
      <c r="D392">
        <v>176</v>
      </c>
      <c r="E392" t="s">
        <v>1022</v>
      </c>
      <c r="F392">
        <v>10.25</v>
      </c>
      <c r="G392" t="s">
        <v>1889</v>
      </c>
      <c r="H392" t="s">
        <v>1891</v>
      </c>
      <c r="I392" t="s">
        <v>214</v>
      </c>
      <c r="J392" t="s">
        <v>143</v>
      </c>
      <c r="K392" t="s">
        <v>2664</v>
      </c>
      <c r="L392" t="s">
        <v>3328</v>
      </c>
    </row>
    <row r="393" spans="1:12" x14ac:dyDescent="0.55000000000000004">
      <c r="A393">
        <v>886</v>
      </c>
      <c r="B393" t="s">
        <v>54</v>
      </c>
      <c r="C393">
        <v>25</v>
      </c>
      <c r="D393">
        <v>456</v>
      </c>
      <c r="E393" t="s">
        <v>1108</v>
      </c>
      <c r="F393">
        <v>12.36</v>
      </c>
      <c r="G393" t="s">
        <v>1889</v>
      </c>
      <c r="H393" t="s">
        <v>1891</v>
      </c>
      <c r="I393" t="s">
        <v>215</v>
      </c>
      <c r="J393" t="s">
        <v>114</v>
      </c>
      <c r="K393" t="s">
        <v>2748</v>
      </c>
      <c r="L393" t="s">
        <v>3328</v>
      </c>
    </row>
    <row r="394" spans="1:12" x14ac:dyDescent="0.55000000000000004">
      <c r="A394">
        <v>909</v>
      </c>
      <c r="B394" t="s">
        <v>55</v>
      </c>
      <c r="C394">
        <v>9</v>
      </c>
      <c r="D394">
        <v>451</v>
      </c>
      <c r="E394" t="s">
        <v>1131</v>
      </c>
      <c r="F394">
        <v>12.98</v>
      </c>
      <c r="G394" t="s">
        <v>1889</v>
      </c>
      <c r="H394" t="s">
        <v>1891</v>
      </c>
      <c r="I394" t="s">
        <v>215</v>
      </c>
      <c r="J394" t="s">
        <v>131</v>
      </c>
      <c r="K394" t="s">
        <v>2771</v>
      </c>
      <c r="L394" t="s">
        <v>3328</v>
      </c>
    </row>
    <row r="395" spans="1:12" x14ac:dyDescent="0.55000000000000004">
      <c r="A395">
        <v>1062</v>
      </c>
      <c r="B395" t="s">
        <v>65</v>
      </c>
      <c r="C395">
        <v>25</v>
      </c>
      <c r="D395">
        <v>414</v>
      </c>
      <c r="E395" t="s">
        <v>1284</v>
      </c>
      <c r="F395">
        <v>15.22</v>
      </c>
      <c r="G395" t="s">
        <v>1889</v>
      </c>
      <c r="H395" t="s">
        <v>1891</v>
      </c>
      <c r="I395" t="s">
        <v>216</v>
      </c>
      <c r="J395" t="s">
        <v>123</v>
      </c>
      <c r="K395" t="s">
        <v>2884</v>
      </c>
      <c r="L395" t="s">
        <v>3328</v>
      </c>
    </row>
    <row r="396" spans="1:12" x14ac:dyDescent="0.55000000000000004">
      <c r="A396">
        <v>1064</v>
      </c>
      <c r="B396" t="s">
        <v>65</v>
      </c>
      <c r="C396">
        <v>25</v>
      </c>
      <c r="D396">
        <v>414</v>
      </c>
      <c r="E396" t="s">
        <v>1286</v>
      </c>
      <c r="F396">
        <v>15.24</v>
      </c>
      <c r="G396" t="s">
        <v>1889</v>
      </c>
      <c r="H396" t="s">
        <v>1891</v>
      </c>
      <c r="I396" t="s">
        <v>216</v>
      </c>
      <c r="J396" t="s">
        <v>125</v>
      </c>
      <c r="K396" t="s">
        <v>2886</v>
      </c>
      <c r="L396" t="s">
        <v>3328</v>
      </c>
    </row>
    <row r="397" spans="1:12" x14ac:dyDescent="0.55000000000000004">
      <c r="A397">
        <v>1066</v>
      </c>
      <c r="B397" t="s">
        <v>65</v>
      </c>
      <c r="C397">
        <v>25</v>
      </c>
      <c r="D397">
        <v>414</v>
      </c>
      <c r="E397" t="s">
        <v>1288</v>
      </c>
      <c r="F397">
        <v>13.57</v>
      </c>
      <c r="G397" t="s">
        <v>1889</v>
      </c>
      <c r="H397" t="s">
        <v>1891</v>
      </c>
      <c r="I397" t="s">
        <v>216</v>
      </c>
      <c r="J397" t="s">
        <v>127</v>
      </c>
      <c r="K397" t="s">
        <v>2888</v>
      </c>
      <c r="L397" t="s">
        <v>3328</v>
      </c>
    </row>
    <row r="398" spans="1:12" x14ac:dyDescent="0.55000000000000004">
      <c r="A398">
        <v>1068</v>
      </c>
      <c r="B398" t="s">
        <v>65</v>
      </c>
      <c r="C398">
        <v>25</v>
      </c>
      <c r="D398">
        <v>414</v>
      </c>
      <c r="E398" t="s">
        <v>1290</v>
      </c>
      <c r="F398">
        <v>17.88</v>
      </c>
      <c r="G398" t="s">
        <v>2113</v>
      </c>
      <c r="H398" t="s">
        <v>110</v>
      </c>
      <c r="I398" t="s">
        <v>216</v>
      </c>
      <c r="J398" t="s">
        <v>129</v>
      </c>
      <c r="L398" t="s">
        <v>3328</v>
      </c>
    </row>
    <row r="399" spans="1:12" x14ac:dyDescent="0.55000000000000004">
      <c r="A399">
        <v>1088</v>
      </c>
      <c r="B399" t="s">
        <v>67</v>
      </c>
      <c r="C399">
        <v>4</v>
      </c>
      <c r="D399">
        <v>405</v>
      </c>
      <c r="E399" t="s">
        <v>1310</v>
      </c>
      <c r="F399">
        <v>21.04</v>
      </c>
      <c r="G399" t="s">
        <v>2113</v>
      </c>
      <c r="H399" t="s">
        <v>110</v>
      </c>
      <c r="I399" t="s">
        <v>216</v>
      </c>
      <c r="J399" t="s">
        <v>135</v>
      </c>
      <c r="L399" t="s">
        <v>3328</v>
      </c>
    </row>
    <row r="400" spans="1:12" x14ac:dyDescent="0.55000000000000004">
      <c r="A400">
        <v>1090</v>
      </c>
      <c r="B400" t="s">
        <v>68</v>
      </c>
      <c r="C400">
        <v>25</v>
      </c>
      <c r="D400">
        <v>401</v>
      </c>
      <c r="E400" t="s">
        <v>1312</v>
      </c>
      <c r="F400">
        <v>19.98</v>
      </c>
      <c r="G400" t="s">
        <v>2113</v>
      </c>
      <c r="H400" t="s">
        <v>110</v>
      </c>
      <c r="I400" t="s">
        <v>216</v>
      </c>
      <c r="J400" t="s">
        <v>137</v>
      </c>
      <c r="L400" t="s">
        <v>3328</v>
      </c>
    </row>
    <row r="401" spans="1:12" x14ac:dyDescent="0.55000000000000004">
      <c r="A401">
        <v>1092</v>
      </c>
      <c r="B401" t="s">
        <v>68</v>
      </c>
      <c r="C401">
        <v>25</v>
      </c>
      <c r="D401">
        <v>401</v>
      </c>
      <c r="E401" t="s">
        <v>1314</v>
      </c>
      <c r="F401">
        <v>16.399999999999999</v>
      </c>
      <c r="G401" t="s">
        <v>2113</v>
      </c>
      <c r="H401" t="s">
        <v>110</v>
      </c>
      <c r="I401" t="s">
        <v>216</v>
      </c>
      <c r="J401" t="s">
        <v>139</v>
      </c>
      <c r="L401" t="s">
        <v>3328</v>
      </c>
    </row>
    <row r="402" spans="1:12" x14ac:dyDescent="0.55000000000000004">
      <c r="A402">
        <v>1097</v>
      </c>
      <c r="B402" t="s">
        <v>68</v>
      </c>
      <c r="C402">
        <v>25</v>
      </c>
      <c r="D402">
        <v>401</v>
      </c>
      <c r="E402" t="s">
        <v>1319</v>
      </c>
      <c r="F402">
        <v>10.119999999999999</v>
      </c>
      <c r="G402" t="s">
        <v>1889</v>
      </c>
      <c r="H402" t="s">
        <v>1891</v>
      </c>
      <c r="I402" t="s">
        <v>216</v>
      </c>
      <c r="J402" t="s">
        <v>116</v>
      </c>
      <c r="K402" t="s">
        <v>2906</v>
      </c>
      <c r="L402" t="s">
        <v>3328</v>
      </c>
    </row>
    <row r="403" spans="1:12" x14ac:dyDescent="0.55000000000000004">
      <c r="A403">
        <v>1098</v>
      </c>
      <c r="B403" t="s">
        <v>68</v>
      </c>
      <c r="C403">
        <v>25</v>
      </c>
      <c r="D403">
        <v>401</v>
      </c>
      <c r="E403" t="s">
        <v>1320</v>
      </c>
      <c r="F403">
        <v>10.79</v>
      </c>
      <c r="G403" t="s">
        <v>1889</v>
      </c>
      <c r="H403" t="s">
        <v>1891</v>
      </c>
      <c r="I403" t="s">
        <v>216</v>
      </c>
      <c r="J403" t="s">
        <v>144</v>
      </c>
      <c r="K403" t="s">
        <v>2907</v>
      </c>
      <c r="L403" t="s">
        <v>3328</v>
      </c>
    </row>
    <row r="404" spans="1:12" x14ac:dyDescent="0.55000000000000004">
      <c r="A404">
        <v>1100</v>
      </c>
      <c r="B404" t="s">
        <v>68</v>
      </c>
      <c r="C404">
        <v>25</v>
      </c>
      <c r="D404">
        <v>401</v>
      </c>
      <c r="E404" t="s">
        <v>1322</v>
      </c>
      <c r="F404">
        <v>12.24</v>
      </c>
      <c r="G404" t="s">
        <v>1889</v>
      </c>
      <c r="H404" t="s">
        <v>1891</v>
      </c>
      <c r="I404" t="s">
        <v>216</v>
      </c>
      <c r="J404" t="s">
        <v>146</v>
      </c>
      <c r="K404" t="s">
        <v>2909</v>
      </c>
      <c r="L404" t="s">
        <v>3328</v>
      </c>
    </row>
    <row r="405" spans="1:12" x14ac:dyDescent="0.55000000000000004">
      <c r="A405">
        <v>1115</v>
      </c>
      <c r="B405" t="s">
        <v>69</v>
      </c>
      <c r="C405">
        <v>25</v>
      </c>
      <c r="D405">
        <v>402</v>
      </c>
      <c r="E405" t="s">
        <v>1337</v>
      </c>
      <c r="F405">
        <v>13.98</v>
      </c>
      <c r="I405" t="s">
        <v>216</v>
      </c>
      <c r="J405" t="s">
        <v>148</v>
      </c>
      <c r="K405" t="s">
        <v>2920</v>
      </c>
      <c r="L405" t="s">
        <v>3328</v>
      </c>
    </row>
    <row r="406" spans="1:12" x14ac:dyDescent="0.55000000000000004">
      <c r="A406">
        <v>1117</v>
      </c>
      <c r="B406" t="s">
        <v>69</v>
      </c>
      <c r="C406">
        <v>25</v>
      </c>
      <c r="D406">
        <v>402</v>
      </c>
      <c r="E406" t="s">
        <v>1339</v>
      </c>
      <c r="F406">
        <v>13.59</v>
      </c>
      <c r="I406" t="s">
        <v>216</v>
      </c>
      <c r="J406" t="s">
        <v>150</v>
      </c>
      <c r="K406" t="s">
        <v>2922</v>
      </c>
      <c r="L406" t="s">
        <v>3328</v>
      </c>
    </row>
    <row r="407" spans="1:12" x14ac:dyDescent="0.55000000000000004">
      <c r="A407">
        <v>1120</v>
      </c>
      <c r="B407" t="s">
        <v>69</v>
      </c>
      <c r="C407">
        <v>25</v>
      </c>
      <c r="D407">
        <v>402</v>
      </c>
      <c r="E407" t="s">
        <v>1342</v>
      </c>
      <c r="F407">
        <v>15.48</v>
      </c>
      <c r="G407" t="s">
        <v>2113</v>
      </c>
      <c r="H407" t="s">
        <v>110</v>
      </c>
      <c r="I407" t="s">
        <v>216</v>
      </c>
      <c r="J407" t="s">
        <v>153</v>
      </c>
      <c r="L407" t="s">
        <v>3328</v>
      </c>
    </row>
    <row r="408" spans="1:12" x14ac:dyDescent="0.55000000000000004">
      <c r="A408">
        <v>1122</v>
      </c>
      <c r="B408" t="s">
        <v>69</v>
      </c>
      <c r="C408">
        <v>25</v>
      </c>
      <c r="D408">
        <v>402</v>
      </c>
      <c r="E408" t="s">
        <v>1344</v>
      </c>
      <c r="F408">
        <v>14.67</v>
      </c>
      <c r="G408" t="s">
        <v>2113</v>
      </c>
      <c r="H408" t="s">
        <v>110</v>
      </c>
      <c r="I408" t="s">
        <v>216</v>
      </c>
      <c r="J408" t="s">
        <v>117</v>
      </c>
      <c r="L408" t="s">
        <v>3328</v>
      </c>
    </row>
    <row r="409" spans="1:12" x14ac:dyDescent="0.55000000000000004">
      <c r="A409">
        <v>1123</v>
      </c>
      <c r="B409" t="s">
        <v>69</v>
      </c>
      <c r="C409">
        <v>25</v>
      </c>
      <c r="D409">
        <v>402</v>
      </c>
      <c r="E409" t="s">
        <v>1345</v>
      </c>
      <c r="F409">
        <v>13.58</v>
      </c>
      <c r="G409" t="s">
        <v>2113</v>
      </c>
      <c r="H409" t="s">
        <v>110</v>
      </c>
      <c r="I409" t="s">
        <v>216</v>
      </c>
      <c r="J409" t="s">
        <v>155</v>
      </c>
      <c r="L409" t="s">
        <v>3328</v>
      </c>
    </row>
    <row r="410" spans="1:12" x14ac:dyDescent="0.55000000000000004">
      <c r="A410">
        <v>1125</v>
      </c>
      <c r="B410" t="s">
        <v>69</v>
      </c>
      <c r="C410">
        <v>25</v>
      </c>
      <c r="D410">
        <v>402</v>
      </c>
      <c r="E410" t="s">
        <v>1347</v>
      </c>
      <c r="F410">
        <v>14.46</v>
      </c>
      <c r="G410" t="s">
        <v>2113</v>
      </c>
      <c r="H410" t="s">
        <v>110</v>
      </c>
      <c r="I410" t="s">
        <v>216</v>
      </c>
      <c r="J410" t="s">
        <v>157</v>
      </c>
      <c r="L410" t="s">
        <v>3328</v>
      </c>
    </row>
    <row r="411" spans="1:12" x14ac:dyDescent="0.55000000000000004">
      <c r="A411">
        <v>1140</v>
      </c>
      <c r="B411" t="s">
        <v>70</v>
      </c>
      <c r="C411">
        <v>25</v>
      </c>
      <c r="D411">
        <v>404</v>
      </c>
      <c r="E411" t="s">
        <v>1362</v>
      </c>
      <c r="F411">
        <v>14.49</v>
      </c>
      <c r="G411" t="s">
        <v>1889</v>
      </c>
      <c r="H411" t="s">
        <v>1891</v>
      </c>
      <c r="I411" t="s">
        <v>216</v>
      </c>
      <c r="J411" t="s">
        <v>159</v>
      </c>
      <c r="K411" t="s">
        <v>2935</v>
      </c>
      <c r="L411" t="s">
        <v>3328</v>
      </c>
    </row>
    <row r="412" spans="1:12" x14ac:dyDescent="0.55000000000000004">
      <c r="A412">
        <v>1142</v>
      </c>
      <c r="B412" t="s">
        <v>70</v>
      </c>
      <c r="C412">
        <v>25</v>
      </c>
      <c r="D412">
        <v>404</v>
      </c>
      <c r="E412" t="s">
        <v>1364</v>
      </c>
      <c r="F412">
        <v>13.81</v>
      </c>
      <c r="G412" t="s">
        <v>1889</v>
      </c>
      <c r="H412" t="s">
        <v>1891</v>
      </c>
      <c r="I412" t="s">
        <v>216</v>
      </c>
      <c r="J412" t="s">
        <v>161</v>
      </c>
      <c r="K412" t="s">
        <v>2937</v>
      </c>
      <c r="L412" t="s">
        <v>3328</v>
      </c>
    </row>
    <row r="413" spans="1:12" x14ac:dyDescent="0.55000000000000004">
      <c r="A413">
        <v>1145</v>
      </c>
      <c r="B413" t="s">
        <v>70</v>
      </c>
      <c r="C413">
        <v>25</v>
      </c>
      <c r="D413">
        <v>404</v>
      </c>
      <c r="E413" t="s">
        <v>1367</v>
      </c>
      <c r="F413">
        <v>14.3</v>
      </c>
      <c r="G413" t="s">
        <v>1889</v>
      </c>
      <c r="H413" t="s">
        <v>1891</v>
      </c>
      <c r="I413" t="s">
        <v>216</v>
      </c>
      <c r="J413" t="s">
        <v>164</v>
      </c>
      <c r="K413" t="s">
        <v>2940</v>
      </c>
      <c r="L413" t="s">
        <v>3328</v>
      </c>
    </row>
    <row r="414" spans="1:12" x14ac:dyDescent="0.55000000000000004">
      <c r="A414">
        <v>1147</v>
      </c>
      <c r="B414" t="s">
        <v>70</v>
      </c>
      <c r="C414">
        <v>25</v>
      </c>
      <c r="D414">
        <v>404</v>
      </c>
      <c r="E414" t="s">
        <v>1369</v>
      </c>
      <c r="F414">
        <v>16</v>
      </c>
      <c r="G414" t="s">
        <v>2113</v>
      </c>
      <c r="H414" t="s">
        <v>110</v>
      </c>
      <c r="I414" t="s">
        <v>216</v>
      </c>
      <c r="J414" t="s">
        <v>118</v>
      </c>
      <c r="L414" t="s">
        <v>3328</v>
      </c>
    </row>
    <row r="415" spans="1:12" x14ac:dyDescent="0.55000000000000004">
      <c r="A415">
        <v>1148</v>
      </c>
      <c r="B415" t="s">
        <v>70</v>
      </c>
      <c r="C415">
        <v>25</v>
      </c>
      <c r="D415">
        <v>404</v>
      </c>
      <c r="E415" t="s">
        <v>1370</v>
      </c>
      <c r="F415">
        <v>19.93</v>
      </c>
      <c r="G415" t="s">
        <v>2113</v>
      </c>
      <c r="H415" t="s">
        <v>110</v>
      </c>
      <c r="I415" t="s">
        <v>216</v>
      </c>
      <c r="J415" t="s">
        <v>166</v>
      </c>
      <c r="L415" t="s">
        <v>3328</v>
      </c>
    </row>
    <row r="416" spans="1:12" x14ac:dyDescent="0.55000000000000004">
      <c r="A416">
        <v>1150</v>
      </c>
      <c r="B416" t="s">
        <v>70</v>
      </c>
      <c r="C416">
        <v>25</v>
      </c>
      <c r="D416">
        <v>404</v>
      </c>
      <c r="E416" t="s">
        <v>1372</v>
      </c>
      <c r="F416">
        <v>18</v>
      </c>
      <c r="G416" t="s">
        <v>2113</v>
      </c>
      <c r="H416" t="s">
        <v>110</v>
      </c>
      <c r="I416" t="s">
        <v>216</v>
      </c>
      <c r="J416" t="s">
        <v>168</v>
      </c>
      <c r="L416" t="s">
        <v>3328</v>
      </c>
    </row>
    <row r="417" spans="1:12" x14ac:dyDescent="0.55000000000000004">
      <c r="A417">
        <v>1165</v>
      </c>
      <c r="B417" t="s">
        <v>71</v>
      </c>
      <c r="C417">
        <v>25</v>
      </c>
      <c r="D417">
        <v>403</v>
      </c>
      <c r="E417" t="s">
        <v>1387</v>
      </c>
      <c r="F417">
        <v>15.84</v>
      </c>
      <c r="G417" t="s">
        <v>1889</v>
      </c>
      <c r="H417" t="s">
        <v>1891</v>
      </c>
      <c r="I417" t="s">
        <v>216</v>
      </c>
      <c r="J417" t="s">
        <v>170</v>
      </c>
      <c r="K417" t="s">
        <v>2947</v>
      </c>
      <c r="L417" t="s">
        <v>3328</v>
      </c>
    </row>
    <row r="418" spans="1:12" x14ac:dyDescent="0.55000000000000004">
      <c r="A418">
        <v>1167</v>
      </c>
      <c r="B418" t="s">
        <v>71</v>
      </c>
      <c r="C418">
        <v>25</v>
      </c>
      <c r="D418">
        <v>403</v>
      </c>
      <c r="E418" t="s">
        <v>1389</v>
      </c>
      <c r="F418">
        <v>15.87</v>
      </c>
      <c r="G418" t="s">
        <v>1889</v>
      </c>
      <c r="H418" t="s">
        <v>1891</v>
      </c>
      <c r="I418" t="s">
        <v>216</v>
      </c>
      <c r="J418" t="s">
        <v>172</v>
      </c>
      <c r="K418" t="s">
        <v>2949</v>
      </c>
      <c r="L418" t="s">
        <v>3328</v>
      </c>
    </row>
    <row r="419" spans="1:12" x14ac:dyDescent="0.55000000000000004">
      <c r="A419">
        <v>1170</v>
      </c>
      <c r="B419" t="s">
        <v>71</v>
      </c>
      <c r="C419">
        <v>25</v>
      </c>
      <c r="D419">
        <v>403</v>
      </c>
      <c r="E419" t="s">
        <v>1392</v>
      </c>
      <c r="F419">
        <v>16.23</v>
      </c>
      <c r="G419" t="s">
        <v>1889</v>
      </c>
      <c r="H419" t="s">
        <v>1891</v>
      </c>
      <c r="I419" t="s">
        <v>216</v>
      </c>
      <c r="J419" t="s">
        <v>175</v>
      </c>
      <c r="K419" t="s">
        <v>2952</v>
      </c>
      <c r="L419" t="s">
        <v>3328</v>
      </c>
    </row>
    <row r="420" spans="1:12" x14ac:dyDescent="0.55000000000000004">
      <c r="A420">
        <v>1172</v>
      </c>
      <c r="B420" t="s">
        <v>71</v>
      </c>
      <c r="C420">
        <v>25</v>
      </c>
      <c r="D420">
        <v>403</v>
      </c>
      <c r="E420" t="s">
        <v>1394</v>
      </c>
      <c r="F420">
        <v>15.58</v>
      </c>
      <c r="G420" t="s">
        <v>1889</v>
      </c>
      <c r="H420" t="s">
        <v>1891</v>
      </c>
      <c r="I420" t="s">
        <v>216</v>
      </c>
      <c r="J420" t="s">
        <v>119</v>
      </c>
      <c r="K420" t="s">
        <v>2954</v>
      </c>
      <c r="L420" t="s">
        <v>3328</v>
      </c>
    </row>
    <row r="421" spans="1:12" x14ac:dyDescent="0.55000000000000004">
      <c r="A421">
        <v>1173</v>
      </c>
      <c r="B421" t="s">
        <v>71</v>
      </c>
      <c r="C421">
        <v>25</v>
      </c>
      <c r="D421">
        <v>403</v>
      </c>
      <c r="E421" t="s">
        <v>1395</v>
      </c>
      <c r="F421">
        <v>15.51</v>
      </c>
      <c r="G421" t="s">
        <v>1889</v>
      </c>
      <c r="H421" t="s">
        <v>1891</v>
      </c>
      <c r="I421" t="s">
        <v>216</v>
      </c>
      <c r="J421" t="s">
        <v>177</v>
      </c>
      <c r="K421" t="s">
        <v>2955</v>
      </c>
      <c r="L421" t="s">
        <v>3328</v>
      </c>
    </row>
    <row r="422" spans="1:12" x14ac:dyDescent="0.55000000000000004">
      <c r="A422">
        <v>1175</v>
      </c>
      <c r="B422" t="s">
        <v>71</v>
      </c>
      <c r="C422">
        <v>25</v>
      </c>
      <c r="D422">
        <v>403</v>
      </c>
      <c r="E422" t="s">
        <v>1397</v>
      </c>
      <c r="F422">
        <v>15.77</v>
      </c>
      <c r="G422" t="s">
        <v>2113</v>
      </c>
      <c r="H422" t="s">
        <v>110</v>
      </c>
      <c r="I422" t="s">
        <v>216</v>
      </c>
      <c r="J422" t="s">
        <v>179</v>
      </c>
      <c r="L422" t="s">
        <v>3328</v>
      </c>
    </row>
    <row r="423" spans="1:12" x14ac:dyDescent="0.55000000000000004">
      <c r="A423">
        <v>1190</v>
      </c>
      <c r="B423" t="s">
        <v>72</v>
      </c>
      <c r="C423">
        <v>13</v>
      </c>
      <c r="D423">
        <v>400</v>
      </c>
      <c r="E423" t="s">
        <v>1412</v>
      </c>
      <c r="F423">
        <v>15.34</v>
      </c>
      <c r="G423" t="s">
        <v>1889</v>
      </c>
      <c r="H423" t="s">
        <v>1891</v>
      </c>
      <c r="I423" t="s">
        <v>216</v>
      </c>
      <c r="J423" t="s">
        <v>181</v>
      </c>
      <c r="K423" t="s">
        <v>2958</v>
      </c>
      <c r="L423" t="s">
        <v>3328</v>
      </c>
    </row>
    <row r="424" spans="1:12" x14ac:dyDescent="0.55000000000000004">
      <c r="A424">
        <v>1192</v>
      </c>
      <c r="B424" t="s">
        <v>72</v>
      </c>
      <c r="C424">
        <v>13</v>
      </c>
      <c r="D424">
        <v>400</v>
      </c>
      <c r="E424" t="s">
        <v>1414</v>
      </c>
      <c r="F424">
        <v>8.89</v>
      </c>
      <c r="G424" t="s">
        <v>1889</v>
      </c>
      <c r="H424" t="s">
        <v>1891</v>
      </c>
      <c r="I424" t="s">
        <v>216</v>
      </c>
      <c r="J424" t="s">
        <v>183</v>
      </c>
      <c r="K424" t="s">
        <v>2960</v>
      </c>
      <c r="L424" t="s">
        <v>3328</v>
      </c>
    </row>
    <row r="425" spans="1:12" x14ac:dyDescent="0.55000000000000004">
      <c r="A425">
        <v>1195</v>
      </c>
      <c r="B425" t="s">
        <v>72</v>
      </c>
      <c r="C425">
        <v>13</v>
      </c>
      <c r="D425">
        <v>400</v>
      </c>
      <c r="E425" t="s">
        <v>1417</v>
      </c>
      <c r="F425">
        <v>14.28</v>
      </c>
      <c r="G425" t="s">
        <v>1889</v>
      </c>
      <c r="H425" t="s">
        <v>1891</v>
      </c>
      <c r="I425" t="s">
        <v>216</v>
      </c>
      <c r="J425" t="s">
        <v>186</v>
      </c>
      <c r="K425" t="s">
        <v>2963</v>
      </c>
      <c r="L425" t="s">
        <v>3328</v>
      </c>
    </row>
    <row r="426" spans="1:12" x14ac:dyDescent="0.55000000000000004">
      <c r="A426">
        <v>1197</v>
      </c>
      <c r="B426" t="s">
        <v>72</v>
      </c>
      <c r="C426">
        <v>13</v>
      </c>
      <c r="D426">
        <v>400</v>
      </c>
      <c r="E426" t="s">
        <v>1419</v>
      </c>
      <c r="F426">
        <v>16.21</v>
      </c>
      <c r="G426" t="s">
        <v>1889</v>
      </c>
      <c r="H426" t="s">
        <v>1891</v>
      </c>
      <c r="I426" t="s">
        <v>216</v>
      </c>
      <c r="J426" t="s">
        <v>120</v>
      </c>
      <c r="K426" t="s">
        <v>2965</v>
      </c>
      <c r="L426" t="s">
        <v>3328</v>
      </c>
    </row>
    <row r="427" spans="1:12" x14ac:dyDescent="0.55000000000000004">
      <c r="A427">
        <v>1198</v>
      </c>
      <c r="B427" t="s">
        <v>72</v>
      </c>
      <c r="C427">
        <v>13</v>
      </c>
      <c r="D427">
        <v>400</v>
      </c>
      <c r="E427" t="s">
        <v>1420</v>
      </c>
      <c r="F427">
        <v>15.46</v>
      </c>
      <c r="G427" t="s">
        <v>2113</v>
      </c>
      <c r="H427" t="s">
        <v>110</v>
      </c>
      <c r="I427" t="s">
        <v>216</v>
      </c>
      <c r="J427" t="s">
        <v>188</v>
      </c>
      <c r="L427" t="s">
        <v>3328</v>
      </c>
    </row>
    <row r="428" spans="1:12" x14ac:dyDescent="0.55000000000000004">
      <c r="A428">
        <v>1200</v>
      </c>
      <c r="B428" t="s">
        <v>72</v>
      </c>
      <c r="C428">
        <v>13</v>
      </c>
      <c r="D428">
        <v>400</v>
      </c>
      <c r="E428" t="s">
        <v>1422</v>
      </c>
      <c r="F428">
        <v>15.06</v>
      </c>
      <c r="G428" t="s">
        <v>2113</v>
      </c>
      <c r="H428" t="s">
        <v>110</v>
      </c>
      <c r="I428" t="s">
        <v>216</v>
      </c>
      <c r="J428" t="s">
        <v>190</v>
      </c>
      <c r="L428" t="s">
        <v>3328</v>
      </c>
    </row>
    <row r="429" spans="1:12" x14ac:dyDescent="0.55000000000000004">
      <c r="A429">
        <v>1203</v>
      </c>
      <c r="B429" t="s">
        <v>73</v>
      </c>
      <c r="C429">
        <v>25</v>
      </c>
      <c r="D429">
        <v>191</v>
      </c>
      <c r="E429" t="s">
        <v>1425</v>
      </c>
      <c r="F429">
        <v>15.2</v>
      </c>
      <c r="G429" t="s">
        <v>1889</v>
      </c>
      <c r="H429" t="s">
        <v>1891</v>
      </c>
      <c r="I429" t="s">
        <v>216</v>
      </c>
      <c r="J429" t="s">
        <v>192</v>
      </c>
      <c r="K429" t="s">
        <v>2967</v>
      </c>
      <c r="L429" t="s">
        <v>3328</v>
      </c>
    </row>
    <row r="430" spans="1:12" x14ac:dyDescent="0.55000000000000004">
      <c r="A430">
        <v>1205</v>
      </c>
      <c r="B430" t="s">
        <v>73</v>
      </c>
      <c r="C430">
        <v>25</v>
      </c>
      <c r="D430">
        <v>191</v>
      </c>
      <c r="E430" t="s">
        <v>1427</v>
      </c>
      <c r="F430">
        <v>15.31</v>
      </c>
      <c r="G430" t="s">
        <v>1889</v>
      </c>
      <c r="H430" t="s">
        <v>1891</v>
      </c>
      <c r="I430" t="s">
        <v>216</v>
      </c>
      <c r="J430" t="s">
        <v>194</v>
      </c>
      <c r="K430" t="s">
        <v>2969</v>
      </c>
      <c r="L430" t="s">
        <v>3328</v>
      </c>
    </row>
    <row r="431" spans="1:12" x14ac:dyDescent="0.55000000000000004">
      <c r="A431">
        <v>1208</v>
      </c>
      <c r="B431" t="s">
        <v>73</v>
      </c>
      <c r="C431">
        <v>25</v>
      </c>
      <c r="D431">
        <v>191</v>
      </c>
      <c r="E431" t="s">
        <v>1430</v>
      </c>
      <c r="F431">
        <v>13.14</v>
      </c>
      <c r="G431" t="s">
        <v>1889</v>
      </c>
      <c r="H431" t="s">
        <v>1891</v>
      </c>
      <c r="I431" t="s">
        <v>216</v>
      </c>
      <c r="J431" t="s">
        <v>197</v>
      </c>
      <c r="K431" t="s">
        <v>2972</v>
      </c>
      <c r="L431" t="s">
        <v>3328</v>
      </c>
    </row>
    <row r="432" spans="1:12" x14ac:dyDescent="0.55000000000000004">
      <c r="A432">
        <v>1210</v>
      </c>
      <c r="B432" t="s">
        <v>73</v>
      </c>
      <c r="C432">
        <v>25</v>
      </c>
      <c r="D432">
        <v>191</v>
      </c>
      <c r="E432" t="s">
        <v>1432</v>
      </c>
      <c r="F432">
        <v>14.43</v>
      </c>
      <c r="G432" t="s">
        <v>1889</v>
      </c>
      <c r="H432" t="s">
        <v>1891</v>
      </c>
      <c r="I432" t="s">
        <v>216</v>
      </c>
      <c r="J432" t="s">
        <v>121</v>
      </c>
      <c r="K432" t="s">
        <v>2974</v>
      </c>
      <c r="L432" t="s">
        <v>3328</v>
      </c>
    </row>
    <row r="433" spans="1:12" x14ac:dyDescent="0.55000000000000004">
      <c r="A433">
        <v>1211</v>
      </c>
      <c r="B433" t="s">
        <v>73</v>
      </c>
      <c r="C433">
        <v>25</v>
      </c>
      <c r="D433">
        <v>191</v>
      </c>
      <c r="E433" t="s">
        <v>1433</v>
      </c>
      <c r="F433">
        <v>13.9</v>
      </c>
      <c r="G433" t="s">
        <v>1889</v>
      </c>
      <c r="H433" t="s">
        <v>1891</v>
      </c>
      <c r="I433" t="s">
        <v>216</v>
      </c>
      <c r="J433" t="s">
        <v>199</v>
      </c>
      <c r="K433" t="s">
        <v>2975</v>
      </c>
      <c r="L433" t="s">
        <v>3328</v>
      </c>
    </row>
    <row r="434" spans="1:12" x14ac:dyDescent="0.55000000000000004">
      <c r="A434">
        <v>1213</v>
      </c>
      <c r="B434" t="s">
        <v>73</v>
      </c>
      <c r="C434">
        <v>25</v>
      </c>
      <c r="D434">
        <v>191</v>
      </c>
      <c r="E434" t="s">
        <v>1435</v>
      </c>
      <c r="F434">
        <v>13.33</v>
      </c>
      <c r="G434" t="s">
        <v>1889</v>
      </c>
      <c r="H434" t="s">
        <v>1891</v>
      </c>
      <c r="I434" t="s">
        <v>216</v>
      </c>
      <c r="J434" t="s">
        <v>201</v>
      </c>
      <c r="K434" t="s">
        <v>2977</v>
      </c>
      <c r="L434" t="s">
        <v>3328</v>
      </c>
    </row>
    <row r="435" spans="1:12" x14ac:dyDescent="0.55000000000000004">
      <c r="A435">
        <v>1228</v>
      </c>
      <c r="B435" t="s">
        <v>74</v>
      </c>
      <c r="C435">
        <v>25</v>
      </c>
      <c r="D435">
        <v>207</v>
      </c>
      <c r="E435" t="s">
        <v>1450</v>
      </c>
      <c r="F435">
        <v>15.76</v>
      </c>
      <c r="G435" t="s">
        <v>1889</v>
      </c>
      <c r="H435" t="s">
        <v>1891</v>
      </c>
      <c r="I435" t="s">
        <v>216</v>
      </c>
      <c r="J435" t="s">
        <v>203</v>
      </c>
      <c r="K435" t="s">
        <v>3116</v>
      </c>
      <c r="L435" t="s">
        <v>3328</v>
      </c>
    </row>
    <row r="436" spans="1:12" x14ac:dyDescent="0.55000000000000004">
      <c r="A436">
        <v>1230</v>
      </c>
      <c r="B436" t="s">
        <v>74</v>
      </c>
      <c r="C436">
        <v>25</v>
      </c>
      <c r="D436">
        <v>207</v>
      </c>
      <c r="E436" t="s">
        <v>1452</v>
      </c>
      <c r="F436">
        <v>13.58</v>
      </c>
      <c r="G436" t="s">
        <v>1889</v>
      </c>
      <c r="H436" t="s">
        <v>1891</v>
      </c>
      <c r="I436" t="s">
        <v>216</v>
      </c>
      <c r="J436" t="s">
        <v>205</v>
      </c>
      <c r="K436" t="s">
        <v>3118</v>
      </c>
      <c r="L436" t="s">
        <v>3328</v>
      </c>
    </row>
    <row r="437" spans="1:12" x14ac:dyDescent="0.55000000000000004">
      <c r="A437">
        <v>1233</v>
      </c>
      <c r="B437" t="s">
        <v>74</v>
      </c>
      <c r="C437">
        <v>25</v>
      </c>
      <c r="D437">
        <v>207</v>
      </c>
      <c r="E437" t="s">
        <v>1455</v>
      </c>
      <c r="F437">
        <v>13.81</v>
      </c>
      <c r="G437" t="s">
        <v>1889</v>
      </c>
      <c r="H437" t="s">
        <v>1891</v>
      </c>
      <c r="I437" t="s">
        <v>216</v>
      </c>
      <c r="J437" t="s">
        <v>208</v>
      </c>
      <c r="K437" t="s">
        <v>3121</v>
      </c>
      <c r="L437" t="s">
        <v>3328</v>
      </c>
    </row>
    <row r="438" spans="1:12" x14ac:dyDescent="0.55000000000000004">
      <c r="A438">
        <v>1235</v>
      </c>
      <c r="B438" t="s">
        <v>74</v>
      </c>
      <c r="C438">
        <v>25</v>
      </c>
      <c r="D438">
        <v>207</v>
      </c>
      <c r="E438" t="s">
        <v>1457</v>
      </c>
      <c r="F438">
        <v>15.01</v>
      </c>
      <c r="G438" t="s">
        <v>1889</v>
      </c>
      <c r="H438" t="s">
        <v>1891</v>
      </c>
      <c r="I438" t="s">
        <v>217</v>
      </c>
      <c r="J438" t="s">
        <v>114</v>
      </c>
      <c r="K438" t="s">
        <v>3123</v>
      </c>
      <c r="L438" t="s">
        <v>3328</v>
      </c>
    </row>
    <row r="439" spans="1:12" x14ac:dyDescent="0.55000000000000004">
      <c r="A439">
        <v>1415</v>
      </c>
      <c r="B439" t="s">
        <v>85</v>
      </c>
      <c r="C439">
        <v>20</v>
      </c>
      <c r="D439">
        <v>2118</v>
      </c>
      <c r="E439" t="s">
        <v>1637</v>
      </c>
      <c r="F439">
        <v>13.57</v>
      </c>
      <c r="G439" t="s">
        <v>1889</v>
      </c>
      <c r="H439" t="s">
        <v>1891</v>
      </c>
      <c r="I439" t="s">
        <v>218</v>
      </c>
      <c r="J439" t="s">
        <v>123</v>
      </c>
      <c r="K439" t="s">
        <v>3138</v>
      </c>
      <c r="L439" t="s">
        <v>3328</v>
      </c>
    </row>
    <row r="440" spans="1:12" x14ac:dyDescent="0.55000000000000004">
      <c r="A440">
        <v>1417</v>
      </c>
      <c r="B440" t="s">
        <v>85</v>
      </c>
      <c r="C440">
        <v>20</v>
      </c>
      <c r="D440">
        <v>2118</v>
      </c>
      <c r="E440" t="s">
        <v>1639</v>
      </c>
      <c r="F440">
        <v>14.83</v>
      </c>
      <c r="G440" t="s">
        <v>1889</v>
      </c>
      <c r="H440" t="s">
        <v>1891</v>
      </c>
      <c r="I440" t="s">
        <v>218</v>
      </c>
      <c r="J440" t="s">
        <v>125</v>
      </c>
      <c r="K440" t="s">
        <v>3140</v>
      </c>
      <c r="L440" t="s">
        <v>3328</v>
      </c>
    </row>
    <row r="441" spans="1:12" x14ac:dyDescent="0.55000000000000004">
      <c r="A441">
        <v>1419</v>
      </c>
      <c r="B441" t="s">
        <v>85</v>
      </c>
      <c r="C441">
        <v>20</v>
      </c>
      <c r="D441">
        <v>2118</v>
      </c>
      <c r="E441" t="s">
        <v>1641</v>
      </c>
      <c r="F441">
        <v>15.42</v>
      </c>
      <c r="G441" t="s">
        <v>2113</v>
      </c>
      <c r="H441" t="s">
        <v>110</v>
      </c>
      <c r="I441" t="s">
        <v>218</v>
      </c>
      <c r="J441" t="s">
        <v>127</v>
      </c>
      <c r="L441" t="s">
        <v>3328</v>
      </c>
    </row>
    <row r="442" spans="1:12" x14ac:dyDescent="0.55000000000000004">
      <c r="A442">
        <v>1432</v>
      </c>
      <c r="B442" t="s">
        <v>87</v>
      </c>
      <c r="C442">
        <v>2</v>
      </c>
      <c r="D442">
        <v>2138</v>
      </c>
      <c r="E442" t="s">
        <v>1654</v>
      </c>
      <c r="F442">
        <v>13.46</v>
      </c>
      <c r="G442" t="s">
        <v>1889</v>
      </c>
      <c r="H442" t="s">
        <v>1891</v>
      </c>
      <c r="I442" t="s">
        <v>218</v>
      </c>
      <c r="J442" t="s">
        <v>132</v>
      </c>
      <c r="K442" t="s">
        <v>3148</v>
      </c>
      <c r="L442" t="s">
        <v>3328</v>
      </c>
    </row>
    <row r="443" spans="1:12" x14ac:dyDescent="0.55000000000000004">
      <c r="A443">
        <v>1434</v>
      </c>
      <c r="B443" t="s">
        <v>88</v>
      </c>
      <c r="C443">
        <v>6</v>
      </c>
      <c r="D443">
        <v>2150</v>
      </c>
      <c r="E443" t="s">
        <v>1656</v>
      </c>
      <c r="F443">
        <v>14.22</v>
      </c>
      <c r="G443" t="s">
        <v>1889</v>
      </c>
      <c r="H443" t="s">
        <v>1891</v>
      </c>
      <c r="I443" t="s">
        <v>218</v>
      </c>
      <c r="J443" t="s">
        <v>133</v>
      </c>
      <c r="K443" t="s">
        <v>3150</v>
      </c>
      <c r="L443" t="s">
        <v>3328</v>
      </c>
    </row>
    <row r="444" spans="1:12" x14ac:dyDescent="0.55000000000000004">
      <c r="A444">
        <v>1436</v>
      </c>
      <c r="B444" t="s">
        <v>88</v>
      </c>
      <c r="C444">
        <v>6</v>
      </c>
      <c r="D444">
        <v>2150</v>
      </c>
      <c r="E444" t="s">
        <v>1658</v>
      </c>
      <c r="F444">
        <v>15.5</v>
      </c>
      <c r="G444" t="s">
        <v>1889</v>
      </c>
      <c r="H444" t="s">
        <v>1891</v>
      </c>
      <c r="I444" t="s">
        <v>218</v>
      </c>
      <c r="J444" t="s">
        <v>135</v>
      </c>
      <c r="K444" t="s">
        <v>3152</v>
      </c>
      <c r="L444" t="s">
        <v>3328</v>
      </c>
    </row>
    <row r="445" spans="1:12" x14ac:dyDescent="0.55000000000000004">
      <c r="A445">
        <v>1438</v>
      </c>
      <c r="B445" t="s">
        <v>88</v>
      </c>
      <c r="C445">
        <v>6</v>
      </c>
      <c r="D445">
        <v>2150</v>
      </c>
      <c r="E445" t="s">
        <v>1660</v>
      </c>
      <c r="F445">
        <v>16.260000000000002</v>
      </c>
      <c r="G445" t="s">
        <v>2113</v>
      </c>
      <c r="H445" t="s">
        <v>110</v>
      </c>
      <c r="I445" t="s">
        <v>218</v>
      </c>
      <c r="J445" t="s">
        <v>137</v>
      </c>
      <c r="L445" t="s">
        <v>3328</v>
      </c>
    </row>
    <row r="446" spans="1:12" x14ac:dyDescent="0.55000000000000004">
      <c r="A446">
        <v>1440</v>
      </c>
      <c r="B446" t="s">
        <v>89</v>
      </c>
      <c r="C446">
        <v>2</v>
      </c>
      <c r="D446">
        <v>2154</v>
      </c>
      <c r="E446" t="s">
        <v>1662</v>
      </c>
      <c r="F446">
        <v>14.73</v>
      </c>
      <c r="G446" t="s">
        <v>1889</v>
      </c>
      <c r="H446" t="s">
        <v>1891</v>
      </c>
      <c r="I446" t="s">
        <v>218</v>
      </c>
      <c r="J446" t="s">
        <v>139</v>
      </c>
      <c r="K446" t="s">
        <v>3153</v>
      </c>
      <c r="L446" t="s">
        <v>3328</v>
      </c>
    </row>
    <row r="447" spans="1:12" x14ac:dyDescent="0.55000000000000004">
      <c r="A447">
        <v>1443</v>
      </c>
      <c r="B447" t="s">
        <v>90</v>
      </c>
      <c r="C447">
        <v>4</v>
      </c>
      <c r="D447">
        <v>2152</v>
      </c>
      <c r="E447" t="s">
        <v>1665</v>
      </c>
      <c r="F447">
        <v>14.42</v>
      </c>
      <c r="G447" t="s">
        <v>1889</v>
      </c>
      <c r="H447" t="s">
        <v>1891</v>
      </c>
      <c r="I447" t="s">
        <v>218</v>
      </c>
      <c r="J447" t="s">
        <v>142</v>
      </c>
      <c r="K447" t="s">
        <v>3156</v>
      </c>
      <c r="L447" t="s">
        <v>3328</v>
      </c>
    </row>
    <row r="448" spans="1:12" x14ac:dyDescent="0.55000000000000004">
      <c r="A448">
        <v>1445</v>
      </c>
      <c r="B448" t="s">
        <v>91</v>
      </c>
      <c r="C448">
        <v>25</v>
      </c>
      <c r="D448">
        <v>2116</v>
      </c>
      <c r="E448" t="s">
        <v>1667</v>
      </c>
      <c r="F448">
        <v>12.94</v>
      </c>
      <c r="G448" t="s">
        <v>1889</v>
      </c>
      <c r="H448" t="s">
        <v>1891</v>
      </c>
      <c r="I448" t="s">
        <v>218</v>
      </c>
      <c r="J448" t="s">
        <v>116</v>
      </c>
      <c r="K448" t="s">
        <v>3158</v>
      </c>
      <c r="L448" t="s">
        <v>3328</v>
      </c>
    </row>
    <row r="449" spans="1:12" x14ac:dyDescent="0.55000000000000004">
      <c r="A449">
        <v>1446</v>
      </c>
      <c r="B449" t="s">
        <v>91</v>
      </c>
      <c r="C449">
        <v>25</v>
      </c>
      <c r="D449">
        <v>2116</v>
      </c>
      <c r="E449" t="s">
        <v>1668</v>
      </c>
      <c r="F449">
        <v>12.25</v>
      </c>
      <c r="G449" t="s">
        <v>1889</v>
      </c>
      <c r="H449" t="s">
        <v>1891</v>
      </c>
      <c r="I449" t="s">
        <v>218</v>
      </c>
      <c r="J449" t="s">
        <v>144</v>
      </c>
      <c r="K449" t="s">
        <v>3159</v>
      </c>
      <c r="L449" t="s">
        <v>3328</v>
      </c>
    </row>
    <row r="450" spans="1:12" x14ac:dyDescent="0.55000000000000004">
      <c r="A450">
        <v>1448</v>
      </c>
      <c r="B450" t="s">
        <v>91</v>
      </c>
      <c r="C450">
        <v>25</v>
      </c>
      <c r="D450">
        <v>2116</v>
      </c>
      <c r="E450" t="s">
        <v>1670</v>
      </c>
      <c r="F450">
        <v>11.62</v>
      </c>
      <c r="G450" t="s">
        <v>1889</v>
      </c>
      <c r="H450" t="s">
        <v>1891</v>
      </c>
      <c r="I450" t="s">
        <v>218</v>
      </c>
      <c r="J450" t="s">
        <v>146</v>
      </c>
      <c r="K450" t="s">
        <v>3161</v>
      </c>
      <c r="L450" t="s">
        <v>3328</v>
      </c>
    </row>
    <row r="451" spans="1:12" x14ac:dyDescent="0.55000000000000004">
      <c r="A451">
        <v>1450</v>
      </c>
      <c r="B451" t="s">
        <v>91</v>
      </c>
      <c r="C451">
        <v>25</v>
      </c>
      <c r="D451">
        <v>2116</v>
      </c>
      <c r="E451" t="s">
        <v>1672</v>
      </c>
      <c r="F451">
        <v>13.22</v>
      </c>
      <c r="G451" t="s">
        <v>1889</v>
      </c>
      <c r="H451" t="s">
        <v>1891</v>
      </c>
      <c r="I451" t="s">
        <v>218</v>
      </c>
      <c r="J451" t="s">
        <v>148</v>
      </c>
      <c r="K451" t="s">
        <v>3163</v>
      </c>
      <c r="L451" t="s">
        <v>3328</v>
      </c>
    </row>
    <row r="452" spans="1:12" x14ac:dyDescent="0.55000000000000004">
      <c r="A452">
        <v>1452</v>
      </c>
      <c r="B452" t="s">
        <v>91</v>
      </c>
      <c r="C452">
        <v>25</v>
      </c>
      <c r="D452">
        <v>2116</v>
      </c>
      <c r="E452" t="s">
        <v>1674</v>
      </c>
      <c r="F452">
        <v>12.83</v>
      </c>
      <c r="G452" t="s">
        <v>1889</v>
      </c>
      <c r="H452" t="s">
        <v>1891</v>
      </c>
      <c r="I452" t="s">
        <v>218</v>
      </c>
      <c r="J452" t="s">
        <v>150</v>
      </c>
      <c r="K452" t="s">
        <v>3165</v>
      </c>
      <c r="L452" t="s">
        <v>3328</v>
      </c>
    </row>
    <row r="453" spans="1:12" x14ac:dyDescent="0.55000000000000004">
      <c r="A453">
        <v>1455</v>
      </c>
      <c r="B453" t="s">
        <v>91</v>
      </c>
      <c r="C453">
        <v>25</v>
      </c>
      <c r="D453">
        <v>2116</v>
      </c>
      <c r="E453" t="s">
        <v>1677</v>
      </c>
      <c r="F453">
        <v>13.25</v>
      </c>
      <c r="G453" t="s">
        <v>1889</v>
      </c>
      <c r="H453" t="s">
        <v>1891</v>
      </c>
      <c r="I453" t="s">
        <v>218</v>
      </c>
      <c r="J453" t="s">
        <v>153</v>
      </c>
      <c r="K453" t="s">
        <v>3168</v>
      </c>
      <c r="L453" t="s">
        <v>3328</v>
      </c>
    </row>
    <row r="454" spans="1:12" x14ac:dyDescent="0.55000000000000004">
      <c r="A454">
        <v>1470</v>
      </c>
      <c r="B454" t="s">
        <v>92</v>
      </c>
      <c r="C454">
        <v>8</v>
      </c>
      <c r="D454">
        <v>2141</v>
      </c>
      <c r="E454" t="s">
        <v>1692</v>
      </c>
      <c r="F454">
        <v>15.3</v>
      </c>
      <c r="G454" t="s">
        <v>1889</v>
      </c>
      <c r="H454" t="s">
        <v>1891</v>
      </c>
      <c r="I454" t="s">
        <v>218</v>
      </c>
      <c r="J454" t="s">
        <v>117</v>
      </c>
      <c r="K454" t="s">
        <v>3178</v>
      </c>
      <c r="L454" t="s">
        <v>3328</v>
      </c>
    </row>
    <row r="455" spans="1:12" x14ac:dyDescent="0.55000000000000004">
      <c r="A455">
        <v>1471</v>
      </c>
      <c r="B455" t="s">
        <v>92</v>
      </c>
      <c r="C455">
        <v>8</v>
      </c>
      <c r="D455">
        <v>2141</v>
      </c>
      <c r="E455" t="s">
        <v>1693</v>
      </c>
      <c r="F455">
        <v>12.91</v>
      </c>
      <c r="G455" t="s">
        <v>1889</v>
      </c>
      <c r="H455" t="s">
        <v>1891</v>
      </c>
      <c r="I455" t="s">
        <v>218</v>
      </c>
      <c r="J455" t="s">
        <v>155</v>
      </c>
      <c r="K455" t="s">
        <v>3179</v>
      </c>
      <c r="L455" t="s">
        <v>3328</v>
      </c>
    </row>
    <row r="456" spans="1:12" x14ac:dyDescent="0.55000000000000004">
      <c r="A456">
        <v>1473</v>
      </c>
      <c r="B456" t="s">
        <v>92</v>
      </c>
      <c r="C456">
        <v>8</v>
      </c>
      <c r="D456">
        <v>2141</v>
      </c>
      <c r="E456" t="s">
        <v>1695</v>
      </c>
      <c r="F456">
        <v>11.83</v>
      </c>
      <c r="G456" t="s">
        <v>1889</v>
      </c>
      <c r="H456" t="s">
        <v>1891</v>
      </c>
      <c r="I456" t="s">
        <v>218</v>
      </c>
      <c r="J456" t="s">
        <v>157</v>
      </c>
      <c r="K456" t="s">
        <v>3181</v>
      </c>
      <c r="L456" t="s">
        <v>3328</v>
      </c>
    </row>
    <row r="457" spans="1:12" x14ac:dyDescent="0.55000000000000004">
      <c r="A457">
        <v>1475</v>
      </c>
      <c r="B457" t="s">
        <v>92</v>
      </c>
      <c r="C457">
        <v>8</v>
      </c>
      <c r="D457">
        <v>2141</v>
      </c>
      <c r="E457" t="s">
        <v>1697</v>
      </c>
      <c r="F457">
        <v>12.71</v>
      </c>
      <c r="G457" t="s">
        <v>1889</v>
      </c>
      <c r="H457" t="s">
        <v>1891</v>
      </c>
      <c r="I457" t="s">
        <v>218</v>
      </c>
      <c r="J457" t="s">
        <v>159</v>
      </c>
      <c r="K457" t="s">
        <v>3183</v>
      </c>
      <c r="L457" t="s">
        <v>3328</v>
      </c>
    </row>
    <row r="458" spans="1:12" x14ac:dyDescent="0.55000000000000004">
      <c r="A458">
        <v>1477</v>
      </c>
      <c r="B458" t="s">
        <v>92</v>
      </c>
      <c r="C458">
        <v>8</v>
      </c>
      <c r="D458">
        <v>2141</v>
      </c>
      <c r="E458" t="s">
        <v>1699</v>
      </c>
      <c r="F458">
        <v>15.23</v>
      </c>
      <c r="G458" t="s">
        <v>1889</v>
      </c>
      <c r="H458" t="s">
        <v>1891</v>
      </c>
      <c r="I458" t="s">
        <v>218</v>
      </c>
      <c r="J458" t="s">
        <v>161</v>
      </c>
      <c r="K458" t="s">
        <v>3185</v>
      </c>
      <c r="L458" t="s">
        <v>3328</v>
      </c>
    </row>
    <row r="459" spans="1:12" x14ac:dyDescent="0.55000000000000004">
      <c r="A459">
        <v>1480</v>
      </c>
      <c r="B459" t="s">
        <v>94</v>
      </c>
      <c r="C459">
        <v>2</v>
      </c>
      <c r="D459">
        <v>2148</v>
      </c>
      <c r="E459" t="s">
        <v>1702</v>
      </c>
      <c r="F459">
        <v>15.36</v>
      </c>
      <c r="G459" t="s">
        <v>1889</v>
      </c>
      <c r="H459" t="s">
        <v>1891</v>
      </c>
      <c r="I459" t="s">
        <v>218</v>
      </c>
      <c r="J459" t="s">
        <v>164</v>
      </c>
      <c r="K459" t="s">
        <v>3188</v>
      </c>
      <c r="L459" t="s">
        <v>3328</v>
      </c>
    </row>
    <row r="460" spans="1:12" x14ac:dyDescent="0.55000000000000004">
      <c r="A460">
        <v>1482</v>
      </c>
      <c r="B460" t="s">
        <v>95</v>
      </c>
      <c r="C460">
        <v>4</v>
      </c>
      <c r="D460">
        <v>2039</v>
      </c>
      <c r="E460" t="s">
        <v>1704</v>
      </c>
      <c r="F460">
        <v>13.04</v>
      </c>
      <c r="G460" t="s">
        <v>1889</v>
      </c>
      <c r="H460" t="s">
        <v>1891</v>
      </c>
      <c r="I460" t="s">
        <v>218</v>
      </c>
      <c r="J460" t="s">
        <v>118</v>
      </c>
      <c r="K460" t="s">
        <v>3190</v>
      </c>
      <c r="L460" t="s">
        <v>3328</v>
      </c>
    </row>
    <row r="461" spans="1:12" x14ac:dyDescent="0.55000000000000004">
      <c r="A461">
        <v>1483</v>
      </c>
      <c r="B461" t="s">
        <v>95</v>
      </c>
      <c r="C461">
        <v>4</v>
      </c>
      <c r="D461">
        <v>2039</v>
      </c>
      <c r="E461" t="s">
        <v>1705</v>
      </c>
      <c r="F461">
        <v>11.06</v>
      </c>
      <c r="G461" t="s">
        <v>1889</v>
      </c>
      <c r="H461" t="s">
        <v>1891</v>
      </c>
      <c r="I461" t="s">
        <v>218</v>
      </c>
      <c r="J461" t="s">
        <v>166</v>
      </c>
      <c r="K461" t="s">
        <v>3191</v>
      </c>
      <c r="L461" t="s">
        <v>3328</v>
      </c>
    </row>
    <row r="462" spans="1:12" x14ac:dyDescent="0.55000000000000004">
      <c r="A462">
        <v>1485</v>
      </c>
      <c r="B462" t="s">
        <v>95</v>
      </c>
      <c r="C462">
        <v>4</v>
      </c>
      <c r="D462">
        <v>2039</v>
      </c>
      <c r="E462" t="s">
        <v>1707</v>
      </c>
      <c r="F462">
        <v>13.19</v>
      </c>
      <c r="G462" t="s">
        <v>1889</v>
      </c>
      <c r="H462" t="s">
        <v>1891</v>
      </c>
      <c r="I462" t="s">
        <v>218</v>
      </c>
      <c r="J462" t="s">
        <v>168</v>
      </c>
      <c r="K462" t="s">
        <v>3193</v>
      </c>
      <c r="L462" t="s">
        <v>3328</v>
      </c>
    </row>
    <row r="463" spans="1:12" x14ac:dyDescent="0.55000000000000004">
      <c r="A463">
        <v>1487</v>
      </c>
      <c r="B463" t="s">
        <v>96</v>
      </c>
      <c r="C463">
        <v>25</v>
      </c>
      <c r="D463">
        <v>2137</v>
      </c>
      <c r="E463" t="s">
        <v>1709</v>
      </c>
      <c r="F463">
        <v>12.39</v>
      </c>
      <c r="G463" t="s">
        <v>1889</v>
      </c>
      <c r="H463" t="s">
        <v>1891</v>
      </c>
      <c r="I463" t="s">
        <v>218</v>
      </c>
      <c r="J463" t="s">
        <v>170</v>
      </c>
      <c r="K463" t="s">
        <v>3195</v>
      </c>
      <c r="L463" t="s">
        <v>3328</v>
      </c>
    </row>
    <row r="464" spans="1:12" x14ac:dyDescent="0.55000000000000004">
      <c r="A464">
        <v>1489</v>
      </c>
      <c r="B464" t="s">
        <v>96</v>
      </c>
      <c r="C464">
        <v>25</v>
      </c>
      <c r="D464">
        <v>2137</v>
      </c>
      <c r="E464" t="s">
        <v>1711</v>
      </c>
      <c r="F464">
        <v>12.19</v>
      </c>
      <c r="G464" t="s">
        <v>1889</v>
      </c>
      <c r="H464" t="s">
        <v>1891</v>
      </c>
      <c r="I464" t="s">
        <v>218</v>
      </c>
      <c r="J464" t="s">
        <v>172</v>
      </c>
      <c r="K464" t="s">
        <v>3197</v>
      </c>
      <c r="L464" t="s">
        <v>3328</v>
      </c>
    </row>
    <row r="465" spans="1:12" x14ac:dyDescent="0.55000000000000004">
      <c r="A465">
        <v>1492</v>
      </c>
      <c r="B465" t="s">
        <v>96</v>
      </c>
      <c r="C465">
        <v>25</v>
      </c>
      <c r="D465">
        <v>2137</v>
      </c>
      <c r="E465" t="s">
        <v>1714</v>
      </c>
      <c r="F465">
        <v>13.1</v>
      </c>
      <c r="G465" t="s">
        <v>1889</v>
      </c>
      <c r="H465" t="s">
        <v>1891</v>
      </c>
      <c r="I465" t="s">
        <v>218</v>
      </c>
      <c r="J465" t="s">
        <v>175</v>
      </c>
      <c r="K465" t="s">
        <v>3200</v>
      </c>
      <c r="L465" t="s">
        <v>3328</v>
      </c>
    </row>
    <row r="466" spans="1:12" x14ac:dyDescent="0.55000000000000004">
      <c r="A466">
        <v>1494</v>
      </c>
      <c r="B466" t="s">
        <v>96</v>
      </c>
      <c r="C466">
        <v>25</v>
      </c>
      <c r="D466">
        <v>2137</v>
      </c>
      <c r="E466" t="s">
        <v>1716</v>
      </c>
      <c r="F466">
        <v>11.62</v>
      </c>
      <c r="G466" t="s">
        <v>1889</v>
      </c>
      <c r="H466" t="s">
        <v>1891</v>
      </c>
      <c r="I466" t="s">
        <v>218</v>
      </c>
      <c r="J466" t="s">
        <v>119</v>
      </c>
      <c r="K466" t="s">
        <v>3202</v>
      </c>
      <c r="L466" t="s">
        <v>3328</v>
      </c>
    </row>
    <row r="467" spans="1:12" x14ac:dyDescent="0.55000000000000004">
      <c r="A467">
        <v>1495</v>
      </c>
      <c r="B467" t="s">
        <v>96</v>
      </c>
      <c r="C467">
        <v>25</v>
      </c>
      <c r="D467">
        <v>2137</v>
      </c>
      <c r="E467" t="s">
        <v>1717</v>
      </c>
      <c r="F467">
        <v>14.69</v>
      </c>
      <c r="G467" t="s">
        <v>1889</v>
      </c>
      <c r="H467" t="s">
        <v>1891</v>
      </c>
      <c r="I467" t="s">
        <v>218</v>
      </c>
      <c r="J467" t="s">
        <v>177</v>
      </c>
      <c r="K467" t="s">
        <v>3203</v>
      </c>
      <c r="L467" t="s">
        <v>3328</v>
      </c>
    </row>
    <row r="468" spans="1:12" x14ac:dyDescent="0.55000000000000004">
      <c r="A468">
        <v>1497</v>
      </c>
      <c r="B468" t="s">
        <v>96</v>
      </c>
      <c r="C468">
        <v>25</v>
      </c>
      <c r="D468">
        <v>2137</v>
      </c>
      <c r="E468" t="s">
        <v>1719</v>
      </c>
      <c r="F468">
        <v>12.82</v>
      </c>
      <c r="G468" t="s">
        <v>1889</v>
      </c>
      <c r="H468" t="s">
        <v>1891</v>
      </c>
      <c r="I468" t="s">
        <v>218</v>
      </c>
      <c r="J468" t="s">
        <v>179</v>
      </c>
      <c r="K468" t="s">
        <v>3205</v>
      </c>
      <c r="L468" t="s">
        <v>3328</v>
      </c>
    </row>
    <row r="469" spans="1:12" x14ac:dyDescent="0.55000000000000004">
      <c r="A469">
        <v>1512</v>
      </c>
      <c r="B469" t="s">
        <v>97</v>
      </c>
      <c r="C469">
        <v>21</v>
      </c>
      <c r="D469">
        <v>2121</v>
      </c>
      <c r="E469" t="s">
        <v>1734</v>
      </c>
      <c r="F469">
        <v>13.24</v>
      </c>
      <c r="G469" t="s">
        <v>1889</v>
      </c>
      <c r="H469" t="s">
        <v>1891</v>
      </c>
      <c r="I469" t="s">
        <v>218</v>
      </c>
      <c r="J469" t="s">
        <v>181</v>
      </c>
      <c r="K469" t="s">
        <v>3214</v>
      </c>
      <c r="L469" t="s">
        <v>3328</v>
      </c>
    </row>
    <row r="470" spans="1:12" x14ac:dyDescent="0.55000000000000004">
      <c r="A470">
        <v>1514</v>
      </c>
      <c r="B470" t="s">
        <v>97</v>
      </c>
      <c r="C470">
        <v>21</v>
      </c>
      <c r="D470">
        <v>2121</v>
      </c>
      <c r="E470" t="s">
        <v>1736</v>
      </c>
      <c r="F470">
        <v>14.34</v>
      </c>
      <c r="G470" t="s">
        <v>1889</v>
      </c>
      <c r="H470" t="s">
        <v>1891</v>
      </c>
      <c r="I470" t="s">
        <v>218</v>
      </c>
      <c r="J470" t="s">
        <v>183</v>
      </c>
      <c r="K470" t="s">
        <v>3216</v>
      </c>
      <c r="L470" t="s">
        <v>3328</v>
      </c>
    </row>
    <row r="471" spans="1:12" x14ac:dyDescent="0.55000000000000004">
      <c r="A471">
        <v>1517</v>
      </c>
      <c r="B471" t="s">
        <v>97</v>
      </c>
      <c r="C471">
        <v>21</v>
      </c>
      <c r="D471">
        <v>2121</v>
      </c>
      <c r="E471" t="s">
        <v>1739</v>
      </c>
      <c r="F471">
        <v>15.05</v>
      </c>
      <c r="G471" t="s">
        <v>1889</v>
      </c>
      <c r="H471" t="s">
        <v>1891</v>
      </c>
      <c r="I471" t="s">
        <v>218</v>
      </c>
      <c r="J471" t="s">
        <v>186</v>
      </c>
      <c r="K471" t="s">
        <v>3219</v>
      </c>
      <c r="L471" t="s">
        <v>3328</v>
      </c>
    </row>
    <row r="472" spans="1:12" x14ac:dyDescent="0.55000000000000004">
      <c r="A472">
        <v>1519</v>
      </c>
      <c r="B472" t="s">
        <v>97</v>
      </c>
      <c r="C472">
        <v>21</v>
      </c>
      <c r="D472">
        <v>2121</v>
      </c>
      <c r="E472" t="s">
        <v>1741</v>
      </c>
      <c r="F472">
        <v>14.01</v>
      </c>
      <c r="G472" t="s">
        <v>1889</v>
      </c>
      <c r="H472" t="s">
        <v>1891</v>
      </c>
      <c r="I472" t="s">
        <v>218</v>
      </c>
      <c r="J472" t="s">
        <v>120</v>
      </c>
      <c r="K472" t="s">
        <v>3221</v>
      </c>
      <c r="L472" t="s">
        <v>3328</v>
      </c>
    </row>
    <row r="473" spans="1:12" x14ac:dyDescent="0.55000000000000004">
      <c r="A473">
        <v>1520</v>
      </c>
      <c r="B473" t="s">
        <v>97</v>
      </c>
      <c r="C473">
        <v>21</v>
      </c>
      <c r="D473">
        <v>2121</v>
      </c>
      <c r="E473" t="s">
        <v>1742</v>
      </c>
      <c r="F473">
        <v>14.51</v>
      </c>
      <c r="G473" t="s">
        <v>1889</v>
      </c>
      <c r="H473" t="s">
        <v>1891</v>
      </c>
      <c r="I473" t="s">
        <v>218</v>
      </c>
      <c r="J473" t="s">
        <v>188</v>
      </c>
      <c r="K473" t="s">
        <v>3222</v>
      </c>
      <c r="L473" t="s">
        <v>3328</v>
      </c>
    </row>
    <row r="474" spans="1:12" x14ac:dyDescent="0.55000000000000004">
      <c r="A474">
        <v>1522</v>
      </c>
      <c r="B474" t="s">
        <v>97</v>
      </c>
      <c r="C474">
        <v>21</v>
      </c>
      <c r="D474">
        <v>2121</v>
      </c>
      <c r="E474" t="s">
        <v>1744</v>
      </c>
      <c r="F474">
        <v>12.05</v>
      </c>
      <c r="G474" t="s">
        <v>1889</v>
      </c>
      <c r="H474" t="s">
        <v>1891</v>
      </c>
      <c r="I474" t="s">
        <v>218</v>
      </c>
      <c r="J474" t="s">
        <v>190</v>
      </c>
      <c r="K474" t="s">
        <v>3224</v>
      </c>
      <c r="L474" t="s">
        <v>3328</v>
      </c>
    </row>
    <row r="475" spans="1:12" x14ac:dyDescent="0.55000000000000004">
      <c r="A475">
        <v>1533</v>
      </c>
      <c r="B475" t="s">
        <v>98</v>
      </c>
      <c r="C475">
        <v>19</v>
      </c>
      <c r="D475">
        <v>2059</v>
      </c>
      <c r="E475" t="s">
        <v>1755</v>
      </c>
      <c r="F475">
        <v>15.32</v>
      </c>
      <c r="G475" t="s">
        <v>1889</v>
      </c>
      <c r="H475" t="s">
        <v>110</v>
      </c>
      <c r="I475" t="s">
        <v>218</v>
      </c>
      <c r="J475" t="s">
        <v>192</v>
      </c>
      <c r="K475" t="s">
        <v>3231</v>
      </c>
      <c r="L475" t="s">
        <v>3328</v>
      </c>
    </row>
    <row r="476" spans="1:12" x14ac:dyDescent="0.55000000000000004">
      <c r="A476">
        <v>1535</v>
      </c>
      <c r="B476" t="s">
        <v>98</v>
      </c>
      <c r="C476">
        <v>19</v>
      </c>
      <c r="D476">
        <v>2059</v>
      </c>
      <c r="E476" t="s">
        <v>1757</v>
      </c>
      <c r="F476">
        <v>14.17</v>
      </c>
      <c r="G476" t="s">
        <v>1889</v>
      </c>
      <c r="H476" t="s">
        <v>1891</v>
      </c>
      <c r="I476" t="s">
        <v>218</v>
      </c>
      <c r="J476" t="s">
        <v>194</v>
      </c>
      <c r="K476" t="s">
        <v>3233</v>
      </c>
      <c r="L476" t="s">
        <v>3328</v>
      </c>
    </row>
    <row r="477" spans="1:12" x14ac:dyDescent="0.55000000000000004">
      <c r="A477">
        <v>1538</v>
      </c>
      <c r="B477" t="s">
        <v>98</v>
      </c>
      <c r="C477">
        <v>19</v>
      </c>
      <c r="D477">
        <v>2059</v>
      </c>
      <c r="E477" t="s">
        <v>1760</v>
      </c>
      <c r="F477">
        <v>14.49</v>
      </c>
      <c r="G477" t="s">
        <v>1889</v>
      </c>
      <c r="H477" t="s">
        <v>1891</v>
      </c>
      <c r="I477" t="s">
        <v>218</v>
      </c>
      <c r="J477" t="s">
        <v>197</v>
      </c>
      <c r="K477" t="s">
        <v>3236</v>
      </c>
      <c r="L477" t="s">
        <v>3328</v>
      </c>
    </row>
    <row r="478" spans="1:12" x14ac:dyDescent="0.55000000000000004">
      <c r="A478">
        <v>1540</v>
      </c>
      <c r="B478" t="s">
        <v>98</v>
      </c>
      <c r="C478">
        <v>19</v>
      </c>
      <c r="D478">
        <v>2059</v>
      </c>
      <c r="E478" t="s">
        <v>1762</v>
      </c>
      <c r="F478">
        <v>14.4</v>
      </c>
      <c r="G478" t="s">
        <v>1889</v>
      </c>
      <c r="H478" t="s">
        <v>1891</v>
      </c>
      <c r="I478" t="s">
        <v>218</v>
      </c>
      <c r="J478" t="s">
        <v>121</v>
      </c>
      <c r="K478" t="s">
        <v>3238</v>
      </c>
      <c r="L478" t="s">
        <v>3328</v>
      </c>
    </row>
    <row r="479" spans="1:12" x14ac:dyDescent="0.55000000000000004">
      <c r="A479">
        <v>1541</v>
      </c>
      <c r="B479" t="s">
        <v>98</v>
      </c>
      <c r="C479">
        <v>19</v>
      </c>
      <c r="D479">
        <v>2059</v>
      </c>
      <c r="E479" t="s">
        <v>1763</v>
      </c>
      <c r="F479">
        <v>11.11</v>
      </c>
      <c r="G479" t="s">
        <v>1889</v>
      </c>
      <c r="H479" t="s">
        <v>1891</v>
      </c>
      <c r="I479" t="s">
        <v>218</v>
      </c>
      <c r="J479" t="s">
        <v>199</v>
      </c>
      <c r="K479" t="s">
        <v>3239</v>
      </c>
      <c r="L479" t="s">
        <v>3328</v>
      </c>
    </row>
    <row r="480" spans="1:12" x14ac:dyDescent="0.55000000000000004">
      <c r="A480">
        <v>1543</v>
      </c>
      <c r="B480" t="s">
        <v>98</v>
      </c>
      <c r="C480">
        <v>19</v>
      </c>
      <c r="D480">
        <v>2059</v>
      </c>
      <c r="E480" t="s">
        <v>1765</v>
      </c>
      <c r="F480">
        <v>12.77</v>
      </c>
      <c r="G480" t="s">
        <v>1889</v>
      </c>
      <c r="H480" t="s">
        <v>1891</v>
      </c>
      <c r="I480" t="s">
        <v>218</v>
      </c>
      <c r="J480" t="s">
        <v>201</v>
      </c>
      <c r="K480" t="s">
        <v>3241</v>
      </c>
      <c r="L480" t="s">
        <v>3328</v>
      </c>
    </row>
    <row r="481" spans="1:12" x14ac:dyDescent="0.55000000000000004">
      <c r="A481">
        <v>1552</v>
      </c>
      <c r="B481" t="s">
        <v>99</v>
      </c>
      <c r="C481">
        <v>23</v>
      </c>
      <c r="D481">
        <v>2153</v>
      </c>
      <c r="E481" t="s">
        <v>1774</v>
      </c>
      <c r="F481">
        <v>15.29</v>
      </c>
      <c r="G481" t="s">
        <v>1889</v>
      </c>
      <c r="H481" t="s">
        <v>1891</v>
      </c>
      <c r="I481" t="s">
        <v>218</v>
      </c>
      <c r="J481" t="s">
        <v>203</v>
      </c>
      <c r="K481" t="s">
        <v>3244</v>
      </c>
      <c r="L481" t="s">
        <v>3328</v>
      </c>
    </row>
    <row r="482" spans="1:12" x14ac:dyDescent="0.55000000000000004">
      <c r="A482">
        <v>1554</v>
      </c>
      <c r="B482" t="s">
        <v>99</v>
      </c>
      <c r="C482">
        <v>23</v>
      </c>
      <c r="D482">
        <v>2153</v>
      </c>
      <c r="E482" t="s">
        <v>1776</v>
      </c>
      <c r="F482">
        <v>13.13</v>
      </c>
      <c r="G482" t="s">
        <v>1889</v>
      </c>
      <c r="H482" t="s">
        <v>1891</v>
      </c>
      <c r="I482" t="s">
        <v>218</v>
      </c>
      <c r="J482" t="s">
        <v>205</v>
      </c>
      <c r="K482" t="s">
        <v>3246</v>
      </c>
      <c r="L482" t="s">
        <v>3328</v>
      </c>
    </row>
    <row r="483" spans="1:12" x14ac:dyDescent="0.55000000000000004">
      <c r="A483">
        <v>1557</v>
      </c>
      <c r="B483" t="s">
        <v>99</v>
      </c>
      <c r="C483">
        <v>23</v>
      </c>
      <c r="D483">
        <v>2153</v>
      </c>
      <c r="E483" t="s">
        <v>1779</v>
      </c>
      <c r="F483">
        <v>14.69</v>
      </c>
      <c r="G483" t="s">
        <v>1889</v>
      </c>
      <c r="H483" t="s">
        <v>1891</v>
      </c>
      <c r="I483" t="s">
        <v>218</v>
      </c>
      <c r="J483" t="s">
        <v>208</v>
      </c>
      <c r="K483" t="s">
        <v>3249</v>
      </c>
      <c r="L483" t="s">
        <v>3328</v>
      </c>
    </row>
    <row r="484" spans="1:12" x14ac:dyDescent="0.55000000000000004">
      <c r="A484">
        <v>1582</v>
      </c>
      <c r="B484" t="s">
        <v>102</v>
      </c>
      <c r="C484">
        <v>4</v>
      </c>
      <c r="D484">
        <v>2165</v>
      </c>
      <c r="E484" t="s">
        <v>1804</v>
      </c>
      <c r="F484">
        <v>17.079999999999998</v>
      </c>
      <c r="G484" t="s">
        <v>2113</v>
      </c>
      <c r="H484" t="s">
        <v>110</v>
      </c>
      <c r="I484" t="s">
        <v>219</v>
      </c>
      <c r="J484" t="s">
        <v>115</v>
      </c>
      <c r="L484" t="s">
        <v>3328</v>
      </c>
    </row>
    <row r="485" spans="1:12" x14ac:dyDescent="0.55000000000000004">
      <c r="A485">
        <v>1668</v>
      </c>
      <c r="B485" t="s">
        <v>3278</v>
      </c>
      <c r="C485">
        <v>15</v>
      </c>
      <c r="F485">
        <v>273</v>
      </c>
      <c r="G485" t="s">
        <v>1888</v>
      </c>
      <c r="H485" t="s">
        <v>110</v>
      </c>
      <c r="I485" t="s">
        <v>3292</v>
      </c>
      <c r="J485" t="s">
        <v>123</v>
      </c>
      <c r="K485" t="s">
        <v>3291</v>
      </c>
      <c r="L485" t="s">
        <v>3328</v>
      </c>
    </row>
    <row r="486" spans="1:12" x14ac:dyDescent="0.55000000000000004">
      <c r="A486">
        <v>1670</v>
      </c>
      <c r="B486" t="s">
        <v>3280</v>
      </c>
      <c r="C486">
        <v>15</v>
      </c>
      <c r="F486">
        <v>305</v>
      </c>
      <c r="G486" t="s">
        <v>1888</v>
      </c>
      <c r="H486" t="s">
        <v>110</v>
      </c>
      <c r="I486" t="s">
        <v>3292</v>
      </c>
      <c r="J486" t="s">
        <v>125</v>
      </c>
      <c r="K486" t="s">
        <v>3291</v>
      </c>
      <c r="L486" t="s">
        <v>3328</v>
      </c>
    </row>
    <row r="487" spans="1:12" x14ac:dyDescent="0.55000000000000004">
      <c r="A487">
        <v>1675</v>
      </c>
      <c r="B487" t="s">
        <v>3285</v>
      </c>
      <c r="C487">
        <v>15</v>
      </c>
      <c r="F487">
        <v>305</v>
      </c>
      <c r="G487" t="s">
        <v>1888</v>
      </c>
      <c r="H487" t="s">
        <v>110</v>
      </c>
      <c r="I487" t="s">
        <v>3292</v>
      </c>
      <c r="J487" t="s">
        <v>130</v>
      </c>
      <c r="K487" t="s">
        <v>3291</v>
      </c>
      <c r="L487" t="s">
        <v>3328</v>
      </c>
    </row>
    <row r="488" spans="1:12" x14ac:dyDescent="0.55000000000000004">
      <c r="A488">
        <v>1677</v>
      </c>
      <c r="B488" t="s">
        <v>3287</v>
      </c>
      <c r="C488">
        <v>15</v>
      </c>
      <c r="F488">
        <v>325</v>
      </c>
      <c r="G488" t="s">
        <v>1888</v>
      </c>
      <c r="H488" t="s">
        <v>110</v>
      </c>
      <c r="I488" t="s">
        <v>3292</v>
      </c>
      <c r="J488" t="s">
        <v>132</v>
      </c>
      <c r="K488" t="s">
        <v>3291</v>
      </c>
      <c r="L488" t="s">
        <v>3328</v>
      </c>
    </row>
    <row r="489" spans="1:12" x14ac:dyDescent="0.55000000000000004">
      <c r="A489">
        <v>1679</v>
      </c>
      <c r="B489" t="s">
        <v>3289</v>
      </c>
      <c r="C489">
        <v>15</v>
      </c>
      <c r="F489">
        <v>314</v>
      </c>
      <c r="G489" t="s">
        <v>1888</v>
      </c>
      <c r="H489" t="s">
        <v>110</v>
      </c>
      <c r="I489" t="s">
        <v>3292</v>
      </c>
      <c r="J489" t="s">
        <v>133</v>
      </c>
      <c r="K489" t="s">
        <v>3291</v>
      </c>
      <c r="L489" t="s">
        <v>3328</v>
      </c>
    </row>
    <row r="490" spans="1:12" x14ac:dyDescent="0.55000000000000004">
      <c r="A490">
        <v>6</v>
      </c>
      <c r="B490" t="s">
        <v>5</v>
      </c>
      <c r="C490">
        <v>25</v>
      </c>
      <c r="D490">
        <v>71</v>
      </c>
      <c r="E490" t="s">
        <v>228</v>
      </c>
      <c r="F490">
        <v>9.9700000000000006</v>
      </c>
      <c r="G490" t="s">
        <v>1889</v>
      </c>
      <c r="H490" t="s">
        <v>1891</v>
      </c>
      <c r="I490" t="s">
        <v>210</v>
      </c>
      <c r="J490" t="s">
        <v>126</v>
      </c>
      <c r="K490" t="s">
        <v>1895</v>
      </c>
      <c r="L490" t="s">
        <v>3329</v>
      </c>
    </row>
    <row r="491" spans="1:12" x14ac:dyDescent="0.55000000000000004">
      <c r="A491">
        <v>8</v>
      </c>
      <c r="B491" t="s">
        <v>5</v>
      </c>
      <c r="C491">
        <v>25</v>
      </c>
      <c r="D491">
        <v>71</v>
      </c>
      <c r="E491" t="s">
        <v>230</v>
      </c>
      <c r="F491">
        <v>10.97</v>
      </c>
      <c r="G491" t="s">
        <v>1889</v>
      </c>
      <c r="H491" t="s">
        <v>1891</v>
      </c>
      <c r="I491" t="s">
        <v>210</v>
      </c>
      <c r="J491" t="s">
        <v>128</v>
      </c>
      <c r="K491" t="s">
        <v>1897</v>
      </c>
      <c r="L491" t="s">
        <v>3329</v>
      </c>
    </row>
    <row r="492" spans="1:12" x14ac:dyDescent="0.55000000000000004">
      <c r="A492">
        <v>10</v>
      </c>
      <c r="B492" t="s">
        <v>5</v>
      </c>
      <c r="C492">
        <v>25</v>
      </c>
      <c r="D492">
        <v>71</v>
      </c>
      <c r="E492" t="s">
        <v>232</v>
      </c>
      <c r="F492">
        <v>11.24</v>
      </c>
      <c r="G492" t="s">
        <v>1889</v>
      </c>
      <c r="H492" t="s">
        <v>1891</v>
      </c>
      <c r="I492" t="s">
        <v>210</v>
      </c>
      <c r="J492" t="s">
        <v>130</v>
      </c>
      <c r="K492" t="s">
        <v>1899</v>
      </c>
      <c r="L492" t="s">
        <v>3329</v>
      </c>
    </row>
    <row r="493" spans="1:12" x14ac:dyDescent="0.55000000000000004">
      <c r="A493">
        <v>12</v>
      </c>
      <c r="B493" t="s">
        <v>5</v>
      </c>
      <c r="C493">
        <v>25</v>
      </c>
      <c r="D493">
        <v>71</v>
      </c>
      <c r="E493" t="s">
        <v>234</v>
      </c>
      <c r="F493">
        <v>9.61</v>
      </c>
      <c r="G493" t="s">
        <v>1889</v>
      </c>
      <c r="H493" t="s">
        <v>1891</v>
      </c>
      <c r="I493" t="s">
        <v>210</v>
      </c>
      <c r="J493" t="s">
        <v>132</v>
      </c>
      <c r="K493" t="s">
        <v>1901</v>
      </c>
      <c r="L493" t="s">
        <v>3329</v>
      </c>
    </row>
    <row r="494" spans="1:12" x14ac:dyDescent="0.55000000000000004">
      <c r="A494">
        <v>26</v>
      </c>
      <c r="B494" t="s">
        <v>7</v>
      </c>
      <c r="C494">
        <v>25</v>
      </c>
      <c r="D494">
        <v>75</v>
      </c>
      <c r="E494" t="s">
        <v>248</v>
      </c>
      <c r="F494">
        <v>11.13</v>
      </c>
      <c r="G494" t="s">
        <v>1889</v>
      </c>
      <c r="H494" t="s">
        <v>1891</v>
      </c>
      <c r="I494" t="s">
        <v>210</v>
      </c>
      <c r="J494" t="s">
        <v>115</v>
      </c>
      <c r="K494" t="s">
        <v>1917</v>
      </c>
      <c r="L494" t="s">
        <v>3329</v>
      </c>
    </row>
    <row r="495" spans="1:12" x14ac:dyDescent="0.55000000000000004">
      <c r="A495">
        <v>27</v>
      </c>
      <c r="B495" t="s">
        <v>7</v>
      </c>
      <c r="C495">
        <v>25</v>
      </c>
      <c r="D495">
        <v>75</v>
      </c>
      <c r="E495" t="s">
        <v>249</v>
      </c>
      <c r="F495">
        <v>9.57</v>
      </c>
      <c r="G495" t="s">
        <v>1889</v>
      </c>
      <c r="H495" t="s">
        <v>1891</v>
      </c>
      <c r="I495" t="s">
        <v>210</v>
      </c>
      <c r="J495" t="s">
        <v>133</v>
      </c>
      <c r="K495" t="s">
        <v>1918</v>
      </c>
      <c r="L495" t="s">
        <v>3329</v>
      </c>
    </row>
    <row r="496" spans="1:12" x14ac:dyDescent="0.55000000000000004">
      <c r="A496">
        <v>36</v>
      </c>
      <c r="B496" t="s">
        <v>7</v>
      </c>
      <c r="C496">
        <v>25</v>
      </c>
      <c r="D496">
        <v>75</v>
      </c>
      <c r="E496" t="s">
        <v>258</v>
      </c>
      <c r="F496">
        <v>9.65</v>
      </c>
      <c r="G496" t="s">
        <v>1889</v>
      </c>
      <c r="H496" t="s">
        <v>1891</v>
      </c>
      <c r="I496" t="s">
        <v>210</v>
      </c>
      <c r="J496" t="s">
        <v>142</v>
      </c>
      <c r="K496" t="s">
        <v>1927</v>
      </c>
      <c r="L496" t="s">
        <v>3329</v>
      </c>
    </row>
    <row r="497" spans="1:12" x14ac:dyDescent="0.55000000000000004">
      <c r="A497">
        <v>205</v>
      </c>
      <c r="B497" t="s">
        <v>14</v>
      </c>
      <c r="C497">
        <v>25</v>
      </c>
      <c r="D497">
        <v>45</v>
      </c>
      <c r="E497" t="s">
        <v>427</v>
      </c>
      <c r="F497">
        <v>12.13</v>
      </c>
      <c r="G497" t="s">
        <v>1889</v>
      </c>
      <c r="H497" t="s">
        <v>1891</v>
      </c>
      <c r="I497" t="s">
        <v>211</v>
      </c>
      <c r="J497" t="s">
        <v>126</v>
      </c>
      <c r="K497" t="s">
        <v>2090</v>
      </c>
      <c r="L497" t="s">
        <v>3329</v>
      </c>
    </row>
    <row r="498" spans="1:12" x14ac:dyDescent="0.55000000000000004">
      <c r="A498">
        <v>207</v>
      </c>
      <c r="B498" t="s">
        <v>14</v>
      </c>
      <c r="C498">
        <v>25</v>
      </c>
      <c r="D498">
        <v>45</v>
      </c>
      <c r="E498" t="s">
        <v>429</v>
      </c>
      <c r="F498">
        <v>10.89</v>
      </c>
      <c r="G498" t="s">
        <v>1889</v>
      </c>
      <c r="H498" t="s">
        <v>1891</v>
      </c>
      <c r="I498" t="s">
        <v>211</v>
      </c>
      <c r="J498" t="s">
        <v>128</v>
      </c>
      <c r="K498" t="s">
        <v>2092</v>
      </c>
      <c r="L498" t="s">
        <v>3329</v>
      </c>
    </row>
    <row r="499" spans="1:12" x14ac:dyDescent="0.55000000000000004">
      <c r="A499">
        <v>209</v>
      </c>
      <c r="B499" t="s">
        <v>14</v>
      </c>
      <c r="C499">
        <v>25</v>
      </c>
      <c r="D499">
        <v>45</v>
      </c>
      <c r="E499" t="s">
        <v>431</v>
      </c>
      <c r="F499">
        <v>13.38</v>
      </c>
      <c r="G499" t="s">
        <v>1889</v>
      </c>
      <c r="H499" t="s">
        <v>1891</v>
      </c>
      <c r="I499" t="s">
        <v>211</v>
      </c>
      <c r="J499" t="s">
        <v>130</v>
      </c>
      <c r="K499" t="s">
        <v>2094</v>
      </c>
      <c r="L499" t="s">
        <v>3329</v>
      </c>
    </row>
    <row r="500" spans="1:12" x14ac:dyDescent="0.55000000000000004">
      <c r="A500">
        <v>211</v>
      </c>
      <c r="B500" t="s">
        <v>14</v>
      </c>
      <c r="C500">
        <v>25</v>
      </c>
      <c r="D500">
        <v>45</v>
      </c>
      <c r="E500" t="s">
        <v>433</v>
      </c>
      <c r="F500">
        <v>11.94</v>
      </c>
      <c r="G500" t="s">
        <v>1889</v>
      </c>
      <c r="H500" t="s">
        <v>1891</v>
      </c>
      <c r="I500" t="s">
        <v>211</v>
      </c>
      <c r="J500" t="s">
        <v>132</v>
      </c>
      <c r="K500" t="s">
        <v>2096</v>
      </c>
      <c r="L500" t="s">
        <v>3329</v>
      </c>
    </row>
    <row r="501" spans="1:12" x14ac:dyDescent="0.55000000000000004">
      <c r="A501">
        <v>225</v>
      </c>
      <c r="B501" t="s">
        <v>15</v>
      </c>
      <c r="C501">
        <v>25</v>
      </c>
      <c r="D501">
        <v>190</v>
      </c>
      <c r="E501" t="s">
        <v>447</v>
      </c>
      <c r="F501">
        <v>13.02</v>
      </c>
      <c r="G501" t="s">
        <v>1889</v>
      </c>
      <c r="H501" t="s">
        <v>1891</v>
      </c>
      <c r="I501" t="s">
        <v>211</v>
      </c>
      <c r="J501" t="s">
        <v>115</v>
      </c>
      <c r="K501" t="s">
        <v>2110</v>
      </c>
      <c r="L501" t="s">
        <v>3329</v>
      </c>
    </row>
    <row r="502" spans="1:12" x14ac:dyDescent="0.55000000000000004">
      <c r="A502">
        <v>226</v>
      </c>
      <c r="B502" t="s">
        <v>15</v>
      </c>
      <c r="C502">
        <v>25</v>
      </c>
      <c r="D502">
        <v>190</v>
      </c>
      <c r="E502" t="s">
        <v>448</v>
      </c>
      <c r="F502">
        <v>12.5</v>
      </c>
      <c r="G502" t="s">
        <v>1889</v>
      </c>
      <c r="H502" t="s">
        <v>1891</v>
      </c>
      <c r="I502" t="s">
        <v>211</v>
      </c>
      <c r="J502" t="s">
        <v>133</v>
      </c>
      <c r="K502" t="s">
        <v>2111</v>
      </c>
      <c r="L502" t="s">
        <v>3329</v>
      </c>
    </row>
    <row r="503" spans="1:12" x14ac:dyDescent="0.55000000000000004">
      <c r="A503">
        <v>235</v>
      </c>
      <c r="B503" t="s">
        <v>15</v>
      </c>
      <c r="C503">
        <v>25</v>
      </c>
      <c r="D503">
        <v>190</v>
      </c>
      <c r="E503" t="s">
        <v>457</v>
      </c>
      <c r="F503">
        <v>14.18</v>
      </c>
      <c r="G503" t="s">
        <v>1889</v>
      </c>
      <c r="H503" t="s">
        <v>1891</v>
      </c>
      <c r="I503" t="s">
        <v>211</v>
      </c>
      <c r="J503" t="s">
        <v>142</v>
      </c>
      <c r="K503" t="s">
        <v>2121</v>
      </c>
      <c r="L503" t="s">
        <v>3329</v>
      </c>
    </row>
    <row r="504" spans="1:12" x14ac:dyDescent="0.55000000000000004">
      <c r="A504">
        <v>390</v>
      </c>
      <c r="B504" t="s">
        <v>22</v>
      </c>
      <c r="C504">
        <v>25</v>
      </c>
      <c r="D504">
        <v>206</v>
      </c>
      <c r="E504" t="s">
        <v>612</v>
      </c>
      <c r="F504">
        <v>11.32</v>
      </c>
      <c r="G504" t="s">
        <v>1889</v>
      </c>
      <c r="H504" t="s">
        <v>1891</v>
      </c>
      <c r="I504" t="s">
        <v>212</v>
      </c>
      <c r="J504" t="s">
        <v>124</v>
      </c>
      <c r="K504" t="s">
        <v>2268</v>
      </c>
      <c r="L504" t="s">
        <v>3329</v>
      </c>
    </row>
    <row r="505" spans="1:12" x14ac:dyDescent="0.55000000000000004">
      <c r="A505">
        <v>392</v>
      </c>
      <c r="B505" t="s">
        <v>22</v>
      </c>
      <c r="C505">
        <v>25</v>
      </c>
      <c r="D505">
        <v>206</v>
      </c>
      <c r="E505" t="s">
        <v>614</v>
      </c>
      <c r="F505">
        <v>12.67</v>
      </c>
      <c r="G505" t="s">
        <v>1889</v>
      </c>
      <c r="H505" t="s">
        <v>1891</v>
      </c>
      <c r="I505" t="s">
        <v>212</v>
      </c>
      <c r="J505" t="s">
        <v>126</v>
      </c>
      <c r="K505" t="s">
        <v>2270</v>
      </c>
      <c r="L505" t="s">
        <v>3329</v>
      </c>
    </row>
    <row r="506" spans="1:12" x14ac:dyDescent="0.55000000000000004">
      <c r="A506">
        <v>394</v>
      </c>
      <c r="B506" t="s">
        <v>22</v>
      </c>
      <c r="C506">
        <v>25</v>
      </c>
      <c r="D506">
        <v>206</v>
      </c>
      <c r="E506" t="s">
        <v>616</v>
      </c>
      <c r="F506">
        <v>12.92</v>
      </c>
      <c r="G506" t="s">
        <v>1889</v>
      </c>
      <c r="H506" t="s">
        <v>1891</v>
      </c>
      <c r="I506" t="s">
        <v>212</v>
      </c>
      <c r="J506" t="s">
        <v>128</v>
      </c>
      <c r="K506" t="s">
        <v>2272</v>
      </c>
      <c r="L506" t="s">
        <v>3329</v>
      </c>
    </row>
    <row r="507" spans="1:12" x14ac:dyDescent="0.55000000000000004">
      <c r="A507">
        <v>396</v>
      </c>
      <c r="B507" t="s">
        <v>22</v>
      </c>
      <c r="C507">
        <v>25</v>
      </c>
      <c r="D507">
        <v>206</v>
      </c>
      <c r="E507" t="s">
        <v>618</v>
      </c>
      <c r="F507">
        <v>9.5500000000000007</v>
      </c>
      <c r="G507" t="s">
        <v>1889</v>
      </c>
      <c r="H507" t="s">
        <v>1891</v>
      </c>
      <c r="I507" t="s">
        <v>212</v>
      </c>
      <c r="J507" t="s">
        <v>130</v>
      </c>
      <c r="K507" t="s">
        <v>2274</v>
      </c>
      <c r="L507" t="s">
        <v>3329</v>
      </c>
    </row>
    <row r="508" spans="1:12" x14ac:dyDescent="0.55000000000000004">
      <c r="A508">
        <v>412</v>
      </c>
      <c r="B508" t="s">
        <v>23</v>
      </c>
      <c r="C508">
        <v>10</v>
      </c>
      <c r="D508">
        <v>205</v>
      </c>
      <c r="E508" t="s">
        <v>634</v>
      </c>
      <c r="F508">
        <v>12.33</v>
      </c>
      <c r="G508" t="s">
        <v>1889</v>
      </c>
      <c r="H508" t="s">
        <v>1891</v>
      </c>
      <c r="I508" t="s">
        <v>212</v>
      </c>
      <c r="J508" t="s">
        <v>115</v>
      </c>
      <c r="K508" t="s">
        <v>2290</v>
      </c>
      <c r="L508" t="s">
        <v>3329</v>
      </c>
    </row>
    <row r="509" spans="1:12" x14ac:dyDescent="0.55000000000000004">
      <c r="A509">
        <v>577</v>
      </c>
      <c r="B509" t="s">
        <v>31</v>
      </c>
      <c r="C509">
        <v>25</v>
      </c>
      <c r="D509">
        <v>57</v>
      </c>
      <c r="E509" t="s">
        <v>799</v>
      </c>
      <c r="F509">
        <v>12.11</v>
      </c>
      <c r="G509" t="s">
        <v>1889</v>
      </c>
      <c r="H509" t="s">
        <v>1891</v>
      </c>
      <c r="I509" t="s">
        <v>213</v>
      </c>
      <c r="J509" t="s">
        <v>124</v>
      </c>
      <c r="K509" t="s">
        <v>2443</v>
      </c>
      <c r="L509" t="s">
        <v>3329</v>
      </c>
    </row>
    <row r="510" spans="1:12" x14ac:dyDescent="0.55000000000000004">
      <c r="A510">
        <v>579</v>
      </c>
      <c r="B510" t="s">
        <v>31</v>
      </c>
      <c r="C510">
        <v>25</v>
      </c>
      <c r="D510">
        <v>57</v>
      </c>
      <c r="E510" t="s">
        <v>801</v>
      </c>
      <c r="F510">
        <v>11.26</v>
      </c>
      <c r="G510" t="s">
        <v>1889</v>
      </c>
      <c r="H510" t="s">
        <v>1891</v>
      </c>
      <c r="I510" t="s">
        <v>213</v>
      </c>
      <c r="J510" t="s">
        <v>126</v>
      </c>
      <c r="K510" t="s">
        <v>2445</v>
      </c>
      <c r="L510" t="s">
        <v>3329</v>
      </c>
    </row>
    <row r="511" spans="1:12" x14ac:dyDescent="0.55000000000000004">
      <c r="A511">
        <v>581</v>
      </c>
      <c r="B511" t="s">
        <v>31</v>
      </c>
      <c r="C511">
        <v>25</v>
      </c>
      <c r="D511">
        <v>57</v>
      </c>
      <c r="E511" t="s">
        <v>803</v>
      </c>
      <c r="F511">
        <v>11.08</v>
      </c>
      <c r="G511" t="s">
        <v>1889</v>
      </c>
      <c r="H511" t="s">
        <v>1891</v>
      </c>
      <c r="I511" t="s">
        <v>213</v>
      </c>
      <c r="J511" t="s">
        <v>128</v>
      </c>
      <c r="K511" t="s">
        <v>2447</v>
      </c>
      <c r="L511" t="s">
        <v>3329</v>
      </c>
    </row>
    <row r="512" spans="1:12" x14ac:dyDescent="0.55000000000000004">
      <c r="A512">
        <v>596</v>
      </c>
      <c r="B512" t="s">
        <v>32</v>
      </c>
      <c r="C512">
        <v>25</v>
      </c>
      <c r="D512">
        <v>183</v>
      </c>
      <c r="E512" t="s">
        <v>818</v>
      </c>
      <c r="F512">
        <v>13.8</v>
      </c>
      <c r="G512" t="s">
        <v>1889</v>
      </c>
      <c r="H512" t="s">
        <v>1891</v>
      </c>
      <c r="I512" t="s">
        <v>213</v>
      </c>
      <c r="J512" t="s">
        <v>130</v>
      </c>
      <c r="K512" t="s">
        <v>2462</v>
      </c>
      <c r="L512" t="s">
        <v>3329</v>
      </c>
    </row>
    <row r="513" spans="1:12" x14ac:dyDescent="0.55000000000000004">
      <c r="A513">
        <v>603</v>
      </c>
      <c r="B513" t="s">
        <v>32</v>
      </c>
      <c r="C513">
        <v>25</v>
      </c>
      <c r="D513">
        <v>183</v>
      </c>
      <c r="E513" t="s">
        <v>825</v>
      </c>
      <c r="F513">
        <v>10.95</v>
      </c>
      <c r="G513" t="s">
        <v>1889</v>
      </c>
      <c r="H513" t="s">
        <v>1891</v>
      </c>
      <c r="I513" t="s">
        <v>213</v>
      </c>
      <c r="J513" t="s">
        <v>136</v>
      </c>
      <c r="K513" t="s">
        <v>2469</v>
      </c>
      <c r="L513" t="s">
        <v>3329</v>
      </c>
    </row>
    <row r="514" spans="1:12" x14ac:dyDescent="0.55000000000000004">
      <c r="A514">
        <v>605</v>
      </c>
      <c r="B514" t="s">
        <v>32</v>
      </c>
      <c r="C514">
        <v>25</v>
      </c>
      <c r="D514">
        <v>183</v>
      </c>
      <c r="E514" t="s">
        <v>827</v>
      </c>
      <c r="F514">
        <v>10.26</v>
      </c>
      <c r="G514" t="s">
        <v>1889</v>
      </c>
      <c r="H514" t="s">
        <v>1891</v>
      </c>
      <c r="I514" t="s">
        <v>213</v>
      </c>
      <c r="J514" t="s">
        <v>138</v>
      </c>
      <c r="K514" t="s">
        <v>2471</v>
      </c>
      <c r="L514" t="s">
        <v>3329</v>
      </c>
    </row>
    <row r="515" spans="1:12" x14ac:dyDescent="0.55000000000000004">
      <c r="A515">
        <v>620</v>
      </c>
      <c r="B515" t="s">
        <v>33</v>
      </c>
      <c r="C515">
        <v>5</v>
      </c>
      <c r="D515">
        <v>182</v>
      </c>
      <c r="E515" t="s">
        <v>842</v>
      </c>
      <c r="F515">
        <v>10.39</v>
      </c>
      <c r="G515" t="s">
        <v>1889</v>
      </c>
      <c r="H515" t="s">
        <v>1891</v>
      </c>
      <c r="I515" t="s">
        <v>213</v>
      </c>
      <c r="J515" t="s">
        <v>140</v>
      </c>
      <c r="K515" t="s">
        <v>2486</v>
      </c>
      <c r="L515" t="s">
        <v>3329</v>
      </c>
    </row>
    <row r="516" spans="1:12" x14ac:dyDescent="0.55000000000000004">
      <c r="A516">
        <v>626</v>
      </c>
      <c r="B516" t="s">
        <v>34</v>
      </c>
      <c r="C516">
        <v>25</v>
      </c>
      <c r="D516">
        <v>82</v>
      </c>
      <c r="E516" t="s">
        <v>848</v>
      </c>
      <c r="F516">
        <v>11.9</v>
      </c>
      <c r="G516" t="s">
        <v>1889</v>
      </c>
      <c r="H516" t="s">
        <v>1891</v>
      </c>
      <c r="I516" t="s">
        <v>213</v>
      </c>
      <c r="J516" t="s">
        <v>145</v>
      </c>
      <c r="K516" t="s">
        <v>2492</v>
      </c>
      <c r="L516" t="s">
        <v>3329</v>
      </c>
    </row>
    <row r="517" spans="1:12" x14ac:dyDescent="0.55000000000000004">
      <c r="A517">
        <v>628</v>
      </c>
      <c r="B517" t="s">
        <v>34</v>
      </c>
      <c r="C517">
        <v>25</v>
      </c>
      <c r="D517">
        <v>82</v>
      </c>
      <c r="E517" t="s">
        <v>850</v>
      </c>
      <c r="F517">
        <v>12.17</v>
      </c>
      <c r="G517" t="s">
        <v>1889</v>
      </c>
      <c r="H517" t="s">
        <v>1891</v>
      </c>
      <c r="I517" t="s">
        <v>213</v>
      </c>
      <c r="J517" t="s">
        <v>147</v>
      </c>
      <c r="K517" t="s">
        <v>2494</v>
      </c>
      <c r="L517" t="s">
        <v>3329</v>
      </c>
    </row>
    <row r="518" spans="1:12" x14ac:dyDescent="0.55000000000000004">
      <c r="A518">
        <v>630</v>
      </c>
      <c r="B518" t="s">
        <v>34</v>
      </c>
      <c r="C518">
        <v>25</v>
      </c>
      <c r="D518">
        <v>82</v>
      </c>
      <c r="E518" t="s">
        <v>852</v>
      </c>
      <c r="F518">
        <v>14.53</v>
      </c>
      <c r="G518" t="s">
        <v>1889</v>
      </c>
      <c r="H518" t="s">
        <v>1891</v>
      </c>
      <c r="I518" t="s">
        <v>213</v>
      </c>
      <c r="J518" t="s">
        <v>149</v>
      </c>
      <c r="K518" t="s">
        <v>2496</v>
      </c>
      <c r="L518" t="s">
        <v>3329</v>
      </c>
    </row>
    <row r="519" spans="1:12" x14ac:dyDescent="0.55000000000000004">
      <c r="A519">
        <v>632</v>
      </c>
      <c r="B519" t="s">
        <v>34</v>
      </c>
      <c r="C519">
        <v>25</v>
      </c>
      <c r="D519">
        <v>82</v>
      </c>
      <c r="E519" t="s">
        <v>854</v>
      </c>
      <c r="F519">
        <v>12.58</v>
      </c>
      <c r="G519" t="s">
        <v>1889</v>
      </c>
      <c r="H519" t="s">
        <v>1891</v>
      </c>
      <c r="I519" t="s">
        <v>213</v>
      </c>
      <c r="J519" t="s">
        <v>151</v>
      </c>
      <c r="K519" t="s">
        <v>2498</v>
      </c>
      <c r="L519" t="s">
        <v>3329</v>
      </c>
    </row>
    <row r="520" spans="1:12" x14ac:dyDescent="0.55000000000000004">
      <c r="A520">
        <v>633</v>
      </c>
      <c r="B520" t="s">
        <v>34</v>
      </c>
      <c r="C520">
        <v>25</v>
      </c>
      <c r="D520">
        <v>82</v>
      </c>
      <c r="E520" t="s">
        <v>855</v>
      </c>
      <c r="F520">
        <v>12.06</v>
      </c>
      <c r="G520" t="s">
        <v>1889</v>
      </c>
      <c r="H520" t="s">
        <v>1891</v>
      </c>
      <c r="I520" t="s">
        <v>213</v>
      </c>
      <c r="J520" t="s">
        <v>152</v>
      </c>
      <c r="K520" t="s">
        <v>2499</v>
      </c>
      <c r="L520" t="s">
        <v>3329</v>
      </c>
    </row>
    <row r="521" spans="1:12" x14ac:dyDescent="0.55000000000000004">
      <c r="A521">
        <v>635</v>
      </c>
      <c r="B521" t="s">
        <v>34</v>
      </c>
      <c r="C521">
        <v>25</v>
      </c>
      <c r="D521">
        <v>82</v>
      </c>
      <c r="E521" t="s">
        <v>857</v>
      </c>
      <c r="F521">
        <v>13.17</v>
      </c>
      <c r="G521" t="s">
        <v>1889</v>
      </c>
      <c r="H521" t="s">
        <v>1891</v>
      </c>
      <c r="I521" t="s">
        <v>213</v>
      </c>
      <c r="J521" t="s">
        <v>154</v>
      </c>
      <c r="K521" t="s">
        <v>2501</v>
      </c>
      <c r="L521" t="s">
        <v>3329</v>
      </c>
    </row>
    <row r="522" spans="1:12" x14ac:dyDescent="0.55000000000000004">
      <c r="A522">
        <v>651</v>
      </c>
      <c r="B522" t="s">
        <v>35</v>
      </c>
      <c r="C522">
        <v>25</v>
      </c>
      <c r="D522">
        <v>84</v>
      </c>
      <c r="E522" t="s">
        <v>873</v>
      </c>
      <c r="F522">
        <v>10.93</v>
      </c>
      <c r="G522" t="s">
        <v>1889</v>
      </c>
      <c r="H522" t="s">
        <v>1891</v>
      </c>
      <c r="I522" t="s">
        <v>213</v>
      </c>
      <c r="J522" t="s">
        <v>156</v>
      </c>
      <c r="K522" t="s">
        <v>2517</v>
      </c>
      <c r="L522" t="s">
        <v>3329</v>
      </c>
    </row>
    <row r="523" spans="1:12" x14ac:dyDescent="0.55000000000000004">
      <c r="A523">
        <v>653</v>
      </c>
      <c r="B523" t="s">
        <v>35</v>
      </c>
      <c r="C523">
        <v>25</v>
      </c>
      <c r="D523">
        <v>84</v>
      </c>
      <c r="E523" t="s">
        <v>875</v>
      </c>
      <c r="F523">
        <v>13.1</v>
      </c>
      <c r="G523" t="s">
        <v>1889</v>
      </c>
      <c r="H523" t="s">
        <v>1891</v>
      </c>
      <c r="I523" t="s">
        <v>213</v>
      </c>
      <c r="J523" t="s">
        <v>158</v>
      </c>
      <c r="K523" t="s">
        <v>2519</v>
      </c>
      <c r="L523" t="s">
        <v>3329</v>
      </c>
    </row>
    <row r="524" spans="1:12" x14ac:dyDescent="0.55000000000000004">
      <c r="A524">
        <v>655</v>
      </c>
      <c r="B524" t="s">
        <v>35</v>
      </c>
      <c r="C524">
        <v>25</v>
      </c>
      <c r="D524">
        <v>84</v>
      </c>
      <c r="E524" t="s">
        <v>877</v>
      </c>
      <c r="F524">
        <v>12.92</v>
      </c>
      <c r="G524" t="s">
        <v>1889</v>
      </c>
      <c r="H524" t="s">
        <v>1891</v>
      </c>
      <c r="I524" t="s">
        <v>213</v>
      </c>
      <c r="J524" t="s">
        <v>160</v>
      </c>
      <c r="K524" t="s">
        <v>2521</v>
      </c>
      <c r="L524" t="s">
        <v>3329</v>
      </c>
    </row>
    <row r="525" spans="1:12" x14ac:dyDescent="0.55000000000000004">
      <c r="A525">
        <v>657</v>
      </c>
      <c r="B525" t="s">
        <v>35</v>
      </c>
      <c r="C525">
        <v>25</v>
      </c>
      <c r="D525">
        <v>84</v>
      </c>
      <c r="E525" t="s">
        <v>879</v>
      </c>
      <c r="F525">
        <v>12.45</v>
      </c>
      <c r="G525" t="s">
        <v>1889</v>
      </c>
      <c r="H525" t="s">
        <v>1891</v>
      </c>
      <c r="I525" t="s">
        <v>213</v>
      </c>
      <c r="J525" t="s">
        <v>162</v>
      </c>
      <c r="K525" t="s">
        <v>2523</v>
      </c>
      <c r="L525" t="s">
        <v>3329</v>
      </c>
    </row>
    <row r="526" spans="1:12" x14ac:dyDescent="0.55000000000000004">
      <c r="A526">
        <v>658</v>
      </c>
      <c r="B526" t="s">
        <v>35</v>
      </c>
      <c r="C526">
        <v>25</v>
      </c>
      <c r="D526">
        <v>84</v>
      </c>
      <c r="E526" t="s">
        <v>880</v>
      </c>
      <c r="F526">
        <v>12.18</v>
      </c>
      <c r="G526" t="s">
        <v>1889</v>
      </c>
      <c r="H526" t="s">
        <v>1891</v>
      </c>
      <c r="I526" t="s">
        <v>213</v>
      </c>
      <c r="J526" t="s">
        <v>163</v>
      </c>
      <c r="K526" t="s">
        <v>2524</v>
      </c>
      <c r="L526" t="s">
        <v>3329</v>
      </c>
    </row>
    <row r="527" spans="1:12" x14ac:dyDescent="0.55000000000000004">
      <c r="A527">
        <v>660</v>
      </c>
      <c r="B527" t="s">
        <v>35</v>
      </c>
      <c r="C527">
        <v>25</v>
      </c>
      <c r="D527">
        <v>84</v>
      </c>
      <c r="E527" t="s">
        <v>882</v>
      </c>
      <c r="F527">
        <v>13.07</v>
      </c>
      <c r="G527" t="s">
        <v>1889</v>
      </c>
      <c r="H527" t="s">
        <v>1891</v>
      </c>
      <c r="I527" t="s">
        <v>213</v>
      </c>
      <c r="J527" t="s">
        <v>165</v>
      </c>
      <c r="K527" t="s">
        <v>2526</v>
      </c>
      <c r="L527" t="s">
        <v>3329</v>
      </c>
    </row>
    <row r="528" spans="1:12" x14ac:dyDescent="0.55000000000000004">
      <c r="A528">
        <v>676</v>
      </c>
      <c r="B528" t="s">
        <v>36</v>
      </c>
      <c r="C528">
        <v>25</v>
      </c>
      <c r="D528">
        <v>85</v>
      </c>
      <c r="E528" t="s">
        <v>898</v>
      </c>
      <c r="F528">
        <v>12.21</v>
      </c>
      <c r="G528" t="s">
        <v>1889</v>
      </c>
      <c r="H528" t="s">
        <v>1891</v>
      </c>
      <c r="I528" t="s">
        <v>213</v>
      </c>
      <c r="J528" t="s">
        <v>167</v>
      </c>
      <c r="K528" t="s">
        <v>2540</v>
      </c>
      <c r="L528" t="s">
        <v>3329</v>
      </c>
    </row>
    <row r="529" spans="1:12" x14ac:dyDescent="0.55000000000000004">
      <c r="A529">
        <v>678</v>
      </c>
      <c r="B529" t="s">
        <v>36</v>
      </c>
      <c r="C529">
        <v>25</v>
      </c>
      <c r="D529">
        <v>85</v>
      </c>
      <c r="E529" t="s">
        <v>900</v>
      </c>
      <c r="F529">
        <v>11.72</v>
      </c>
      <c r="G529" t="s">
        <v>1889</v>
      </c>
      <c r="H529" t="s">
        <v>1891</v>
      </c>
      <c r="I529" t="s">
        <v>213</v>
      </c>
      <c r="J529" t="s">
        <v>169</v>
      </c>
      <c r="K529" t="s">
        <v>2542</v>
      </c>
      <c r="L529" t="s">
        <v>3329</v>
      </c>
    </row>
    <row r="530" spans="1:12" x14ac:dyDescent="0.55000000000000004">
      <c r="A530">
        <v>680</v>
      </c>
      <c r="B530" t="s">
        <v>36</v>
      </c>
      <c r="C530">
        <v>25</v>
      </c>
      <c r="D530">
        <v>85</v>
      </c>
      <c r="E530" t="s">
        <v>902</v>
      </c>
      <c r="F530">
        <v>11.72</v>
      </c>
      <c r="G530" t="s">
        <v>1889</v>
      </c>
      <c r="H530" t="s">
        <v>1891</v>
      </c>
      <c r="I530" t="s">
        <v>213</v>
      </c>
      <c r="J530" t="s">
        <v>171</v>
      </c>
      <c r="K530" t="s">
        <v>2544</v>
      </c>
      <c r="L530" t="s">
        <v>3329</v>
      </c>
    </row>
    <row r="531" spans="1:12" x14ac:dyDescent="0.55000000000000004">
      <c r="A531">
        <v>682</v>
      </c>
      <c r="B531" t="s">
        <v>36</v>
      </c>
      <c r="C531">
        <v>25</v>
      </c>
      <c r="D531">
        <v>85</v>
      </c>
      <c r="E531" t="s">
        <v>904</v>
      </c>
      <c r="F531">
        <v>9.44</v>
      </c>
      <c r="G531" t="s">
        <v>1889</v>
      </c>
      <c r="H531" t="s">
        <v>1891</v>
      </c>
      <c r="I531" t="s">
        <v>213</v>
      </c>
      <c r="J531" t="s">
        <v>173</v>
      </c>
      <c r="K531" t="s">
        <v>2546</v>
      </c>
      <c r="L531" t="s">
        <v>3329</v>
      </c>
    </row>
    <row r="532" spans="1:12" x14ac:dyDescent="0.55000000000000004">
      <c r="A532">
        <v>683</v>
      </c>
      <c r="B532" t="s">
        <v>36</v>
      </c>
      <c r="C532">
        <v>25</v>
      </c>
      <c r="D532">
        <v>85</v>
      </c>
      <c r="E532" t="s">
        <v>905</v>
      </c>
      <c r="F532">
        <v>10.58</v>
      </c>
      <c r="G532" t="s">
        <v>1889</v>
      </c>
      <c r="H532" t="s">
        <v>1891</v>
      </c>
      <c r="I532" t="s">
        <v>213</v>
      </c>
      <c r="J532" t="s">
        <v>174</v>
      </c>
      <c r="K532" t="s">
        <v>2547</v>
      </c>
      <c r="L532" t="s">
        <v>3329</v>
      </c>
    </row>
    <row r="533" spans="1:12" x14ac:dyDescent="0.55000000000000004">
      <c r="A533">
        <v>685</v>
      </c>
      <c r="B533" t="s">
        <v>36</v>
      </c>
      <c r="C533">
        <v>25</v>
      </c>
      <c r="D533">
        <v>85</v>
      </c>
      <c r="E533" t="s">
        <v>907</v>
      </c>
      <c r="F533">
        <v>10.83</v>
      </c>
      <c r="G533" t="s">
        <v>1889</v>
      </c>
      <c r="H533" t="s">
        <v>1891</v>
      </c>
      <c r="I533" t="s">
        <v>213</v>
      </c>
      <c r="J533" t="s">
        <v>176</v>
      </c>
      <c r="K533" t="s">
        <v>2549</v>
      </c>
      <c r="L533" t="s">
        <v>3329</v>
      </c>
    </row>
    <row r="534" spans="1:12" x14ac:dyDescent="0.55000000000000004">
      <c r="A534">
        <v>701</v>
      </c>
      <c r="B534" t="s">
        <v>37</v>
      </c>
      <c r="C534">
        <v>25</v>
      </c>
      <c r="D534">
        <v>101</v>
      </c>
      <c r="E534" t="s">
        <v>923</v>
      </c>
      <c r="F534">
        <v>10.1</v>
      </c>
      <c r="G534" t="s">
        <v>1889</v>
      </c>
      <c r="H534" t="s">
        <v>1891</v>
      </c>
      <c r="I534" t="s">
        <v>213</v>
      </c>
      <c r="J534" t="s">
        <v>178</v>
      </c>
      <c r="K534" t="s">
        <v>2565</v>
      </c>
      <c r="L534" t="s">
        <v>3329</v>
      </c>
    </row>
    <row r="535" spans="1:12" x14ac:dyDescent="0.55000000000000004">
      <c r="A535">
        <v>703</v>
      </c>
      <c r="B535" t="s">
        <v>37</v>
      </c>
      <c r="C535">
        <v>25</v>
      </c>
      <c r="D535">
        <v>101</v>
      </c>
      <c r="E535" t="s">
        <v>925</v>
      </c>
      <c r="F535">
        <v>12.59</v>
      </c>
      <c r="G535" t="s">
        <v>1889</v>
      </c>
      <c r="H535" t="s">
        <v>1891</v>
      </c>
      <c r="I535" t="s">
        <v>213</v>
      </c>
      <c r="J535" t="s">
        <v>180</v>
      </c>
      <c r="K535" t="s">
        <v>2567</v>
      </c>
      <c r="L535" t="s">
        <v>3329</v>
      </c>
    </row>
    <row r="536" spans="1:12" x14ac:dyDescent="0.55000000000000004">
      <c r="A536">
        <v>705</v>
      </c>
      <c r="B536" t="s">
        <v>37</v>
      </c>
      <c r="C536">
        <v>25</v>
      </c>
      <c r="D536">
        <v>101</v>
      </c>
      <c r="E536" t="s">
        <v>927</v>
      </c>
      <c r="F536">
        <v>11.06</v>
      </c>
      <c r="G536" t="s">
        <v>1889</v>
      </c>
      <c r="H536" t="s">
        <v>1891</v>
      </c>
      <c r="I536" t="s">
        <v>213</v>
      </c>
      <c r="J536" t="s">
        <v>182</v>
      </c>
      <c r="K536" t="s">
        <v>2569</v>
      </c>
      <c r="L536" t="s">
        <v>3329</v>
      </c>
    </row>
    <row r="537" spans="1:12" x14ac:dyDescent="0.55000000000000004">
      <c r="A537">
        <v>707</v>
      </c>
      <c r="B537" t="s">
        <v>37</v>
      </c>
      <c r="C537">
        <v>25</v>
      </c>
      <c r="D537">
        <v>101</v>
      </c>
      <c r="E537" t="s">
        <v>929</v>
      </c>
      <c r="F537">
        <v>13.03</v>
      </c>
      <c r="G537" t="s">
        <v>1889</v>
      </c>
      <c r="H537" t="s">
        <v>1891</v>
      </c>
      <c r="I537" t="s">
        <v>213</v>
      </c>
      <c r="J537" t="s">
        <v>184</v>
      </c>
      <c r="K537" t="s">
        <v>2571</v>
      </c>
      <c r="L537" t="s">
        <v>3329</v>
      </c>
    </row>
    <row r="538" spans="1:12" x14ac:dyDescent="0.55000000000000004">
      <c r="A538">
        <v>708</v>
      </c>
      <c r="B538" t="s">
        <v>37</v>
      </c>
      <c r="C538">
        <v>25</v>
      </c>
      <c r="D538">
        <v>101</v>
      </c>
      <c r="E538" t="s">
        <v>930</v>
      </c>
      <c r="F538">
        <v>13.56</v>
      </c>
      <c r="G538" t="s">
        <v>1889</v>
      </c>
      <c r="H538" t="s">
        <v>1891</v>
      </c>
      <c r="I538" t="s">
        <v>213</v>
      </c>
      <c r="J538" t="s">
        <v>185</v>
      </c>
      <c r="K538" t="s">
        <v>2572</v>
      </c>
      <c r="L538" t="s">
        <v>3329</v>
      </c>
    </row>
    <row r="539" spans="1:12" x14ac:dyDescent="0.55000000000000004">
      <c r="A539">
        <v>710</v>
      </c>
      <c r="B539" t="s">
        <v>37</v>
      </c>
      <c r="C539">
        <v>25</v>
      </c>
      <c r="D539">
        <v>101</v>
      </c>
      <c r="E539" t="s">
        <v>932</v>
      </c>
      <c r="F539">
        <v>11.07</v>
      </c>
      <c r="G539" t="s">
        <v>1889</v>
      </c>
      <c r="H539" t="s">
        <v>1891</v>
      </c>
      <c r="I539" t="s">
        <v>213</v>
      </c>
      <c r="J539" t="s">
        <v>187</v>
      </c>
      <c r="K539" t="s">
        <v>2574</v>
      </c>
      <c r="L539" t="s">
        <v>3329</v>
      </c>
    </row>
    <row r="540" spans="1:12" x14ac:dyDescent="0.55000000000000004">
      <c r="A540">
        <v>726</v>
      </c>
      <c r="B540" t="s">
        <v>38</v>
      </c>
      <c r="C540">
        <v>25</v>
      </c>
      <c r="D540">
        <v>158</v>
      </c>
      <c r="E540" t="s">
        <v>948</v>
      </c>
      <c r="F540">
        <v>12.9</v>
      </c>
      <c r="G540" t="s">
        <v>1889</v>
      </c>
      <c r="H540" t="s">
        <v>1891</v>
      </c>
      <c r="I540" t="s">
        <v>213</v>
      </c>
      <c r="J540" t="s">
        <v>189</v>
      </c>
      <c r="K540" t="s">
        <v>2590</v>
      </c>
      <c r="L540" t="s">
        <v>3329</v>
      </c>
    </row>
    <row r="541" spans="1:12" x14ac:dyDescent="0.55000000000000004">
      <c r="A541">
        <v>728</v>
      </c>
      <c r="B541" t="s">
        <v>38</v>
      </c>
      <c r="C541">
        <v>25</v>
      </c>
      <c r="D541">
        <v>158</v>
      </c>
      <c r="E541" t="s">
        <v>950</v>
      </c>
      <c r="F541">
        <v>13.72</v>
      </c>
      <c r="G541" t="s">
        <v>1889</v>
      </c>
      <c r="H541" t="s">
        <v>1891</v>
      </c>
      <c r="I541" t="s">
        <v>213</v>
      </c>
      <c r="J541" t="s">
        <v>191</v>
      </c>
      <c r="K541" t="s">
        <v>2592</v>
      </c>
      <c r="L541" t="s">
        <v>3329</v>
      </c>
    </row>
    <row r="542" spans="1:12" x14ac:dyDescent="0.55000000000000004">
      <c r="A542">
        <v>730</v>
      </c>
      <c r="B542" t="s">
        <v>38</v>
      </c>
      <c r="C542">
        <v>25</v>
      </c>
      <c r="D542">
        <v>158</v>
      </c>
      <c r="E542" t="s">
        <v>952</v>
      </c>
      <c r="F542">
        <v>12.87</v>
      </c>
      <c r="G542" t="s">
        <v>1889</v>
      </c>
      <c r="H542" t="s">
        <v>1891</v>
      </c>
      <c r="I542" t="s">
        <v>213</v>
      </c>
      <c r="J542" t="s">
        <v>193</v>
      </c>
      <c r="K542" t="s">
        <v>2594</v>
      </c>
      <c r="L542" t="s">
        <v>3329</v>
      </c>
    </row>
    <row r="543" spans="1:12" x14ac:dyDescent="0.55000000000000004">
      <c r="A543">
        <v>732</v>
      </c>
      <c r="B543" t="s">
        <v>38</v>
      </c>
      <c r="C543">
        <v>25</v>
      </c>
      <c r="D543">
        <v>158</v>
      </c>
      <c r="E543" t="s">
        <v>954</v>
      </c>
      <c r="F543">
        <v>11.24</v>
      </c>
      <c r="G543" t="s">
        <v>1889</v>
      </c>
      <c r="H543" t="s">
        <v>1891</v>
      </c>
      <c r="I543" t="s">
        <v>213</v>
      </c>
      <c r="J543" t="s">
        <v>195</v>
      </c>
      <c r="K543" t="s">
        <v>2596</v>
      </c>
      <c r="L543" t="s">
        <v>3329</v>
      </c>
    </row>
    <row r="544" spans="1:12" x14ac:dyDescent="0.55000000000000004">
      <c r="A544">
        <v>733</v>
      </c>
      <c r="B544" t="s">
        <v>38</v>
      </c>
      <c r="C544">
        <v>25</v>
      </c>
      <c r="D544">
        <v>158</v>
      </c>
      <c r="E544" t="s">
        <v>955</v>
      </c>
      <c r="F544">
        <v>14.82</v>
      </c>
      <c r="G544" t="s">
        <v>1889</v>
      </c>
      <c r="H544" t="s">
        <v>1891</v>
      </c>
      <c r="I544" t="s">
        <v>213</v>
      </c>
      <c r="J544" t="s">
        <v>196</v>
      </c>
      <c r="K544" t="s">
        <v>2597</v>
      </c>
      <c r="L544" t="s">
        <v>3329</v>
      </c>
    </row>
    <row r="545" spans="1:12" x14ac:dyDescent="0.55000000000000004">
      <c r="A545">
        <v>735</v>
      </c>
      <c r="B545" t="s">
        <v>38</v>
      </c>
      <c r="C545">
        <v>25</v>
      </c>
      <c r="D545">
        <v>158</v>
      </c>
      <c r="E545" t="s">
        <v>957</v>
      </c>
      <c r="F545">
        <v>12.99</v>
      </c>
      <c r="G545" t="s">
        <v>1889</v>
      </c>
      <c r="H545" t="s">
        <v>1891</v>
      </c>
      <c r="I545" t="s">
        <v>213</v>
      </c>
      <c r="J545" t="s">
        <v>198</v>
      </c>
      <c r="K545" t="s">
        <v>2599</v>
      </c>
      <c r="L545" t="s">
        <v>3329</v>
      </c>
    </row>
    <row r="546" spans="1:12" x14ac:dyDescent="0.55000000000000004">
      <c r="A546">
        <v>751</v>
      </c>
      <c r="B546" t="s">
        <v>40</v>
      </c>
      <c r="C546">
        <v>15</v>
      </c>
      <c r="D546">
        <v>196</v>
      </c>
      <c r="E546" t="s">
        <v>973</v>
      </c>
      <c r="F546">
        <v>12.58</v>
      </c>
      <c r="G546" t="s">
        <v>1889</v>
      </c>
      <c r="H546" t="s">
        <v>1891</v>
      </c>
      <c r="I546" t="s">
        <v>213</v>
      </c>
      <c r="J546" t="s">
        <v>200</v>
      </c>
      <c r="K546" t="s">
        <v>2615</v>
      </c>
      <c r="L546" t="s">
        <v>3329</v>
      </c>
    </row>
    <row r="547" spans="1:12" x14ac:dyDescent="0.55000000000000004">
      <c r="A547">
        <v>753</v>
      </c>
      <c r="B547" t="s">
        <v>40</v>
      </c>
      <c r="C547">
        <v>15</v>
      </c>
      <c r="D547">
        <v>196</v>
      </c>
      <c r="E547" t="s">
        <v>975</v>
      </c>
      <c r="F547">
        <v>12.6</v>
      </c>
      <c r="G547" t="s">
        <v>1889</v>
      </c>
      <c r="H547" t="s">
        <v>1891</v>
      </c>
      <c r="I547" t="s">
        <v>213</v>
      </c>
      <c r="J547" t="s">
        <v>202</v>
      </c>
      <c r="K547" t="s">
        <v>2617</v>
      </c>
      <c r="L547" t="s">
        <v>3329</v>
      </c>
    </row>
    <row r="548" spans="1:12" x14ac:dyDescent="0.55000000000000004">
      <c r="A548">
        <v>755</v>
      </c>
      <c r="B548" t="s">
        <v>40</v>
      </c>
      <c r="C548">
        <v>15</v>
      </c>
      <c r="D548">
        <v>196</v>
      </c>
      <c r="E548" t="s">
        <v>977</v>
      </c>
      <c r="F548">
        <v>13.12</v>
      </c>
      <c r="G548" t="s">
        <v>1889</v>
      </c>
      <c r="H548" t="s">
        <v>1891</v>
      </c>
      <c r="I548" t="s">
        <v>213</v>
      </c>
      <c r="J548" t="s">
        <v>204</v>
      </c>
      <c r="K548" t="s">
        <v>2619</v>
      </c>
      <c r="L548" t="s">
        <v>3329</v>
      </c>
    </row>
    <row r="549" spans="1:12" x14ac:dyDescent="0.55000000000000004">
      <c r="A549">
        <v>757</v>
      </c>
      <c r="B549" t="s">
        <v>40</v>
      </c>
      <c r="C549">
        <v>15</v>
      </c>
      <c r="D549">
        <v>196</v>
      </c>
      <c r="E549" t="s">
        <v>979</v>
      </c>
      <c r="F549">
        <v>11.99</v>
      </c>
      <c r="G549" t="s">
        <v>1889</v>
      </c>
      <c r="H549" t="s">
        <v>1891</v>
      </c>
      <c r="I549" t="s">
        <v>213</v>
      </c>
      <c r="J549" t="s">
        <v>206</v>
      </c>
      <c r="K549" t="s">
        <v>2621</v>
      </c>
      <c r="L549" t="s">
        <v>3329</v>
      </c>
    </row>
    <row r="550" spans="1:12" x14ac:dyDescent="0.55000000000000004">
      <c r="A550">
        <v>758</v>
      </c>
      <c r="B550" t="s">
        <v>40</v>
      </c>
      <c r="C550">
        <v>15</v>
      </c>
      <c r="D550">
        <v>196</v>
      </c>
      <c r="E550" t="s">
        <v>980</v>
      </c>
      <c r="F550">
        <v>14.46</v>
      </c>
      <c r="G550" t="s">
        <v>1889</v>
      </c>
      <c r="H550" t="s">
        <v>1891</v>
      </c>
      <c r="I550" t="s">
        <v>213</v>
      </c>
      <c r="J550" t="s">
        <v>207</v>
      </c>
      <c r="K550" t="s">
        <v>2622</v>
      </c>
      <c r="L550" t="s">
        <v>3329</v>
      </c>
    </row>
    <row r="551" spans="1:12" x14ac:dyDescent="0.55000000000000004">
      <c r="A551">
        <v>760</v>
      </c>
      <c r="B551" t="s">
        <v>40</v>
      </c>
      <c r="C551">
        <v>15</v>
      </c>
      <c r="D551">
        <v>196</v>
      </c>
      <c r="E551" t="s">
        <v>982</v>
      </c>
      <c r="F551">
        <v>13.51</v>
      </c>
      <c r="G551" t="s">
        <v>1889</v>
      </c>
      <c r="H551" t="s">
        <v>1891</v>
      </c>
      <c r="I551" t="s">
        <v>213</v>
      </c>
      <c r="J551" t="s">
        <v>209</v>
      </c>
      <c r="K551" t="s">
        <v>2624</v>
      </c>
      <c r="L551" t="s">
        <v>3329</v>
      </c>
    </row>
    <row r="552" spans="1:12" x14ac:dyDescent="0.55000000000000004">
      <c r="A552">
        <v>765</v>
      </c>
      <c r="B552" t="s">
        <v>41</v>
      </c>
      <c r="C552">
        <v>6</v>
      </c>
      <c r="D552">
        <v>120</v>
      </c>
      <c r="E552" t="s">
        <v>987</v>
      </c>
      <c r="F552">
        <v>12.72</v>
      </c>
      <c r="G552" t="s">
        <v>1889</v>
      </c>
      <c r="H552" t="s">
        <v>1891</v>
      </c>
      <c r="I552" t="s">
        <v>214</v>
      </c>
      <c r="J552" t="s">
        <v>122</v>
      </c>
      <c r="K552" t="s">
        <v>2629</v>
      </c>
      <c r="L552" t="s">
        <v>3329</v>
      </c>
    </row>
    <row r="553" spans="1:12" x14ac:dyDescent="0.55000000000000004">
      <c r="A553">
        <v>767</v>
      </c>
      <c r="B553" t="s">
        <v>41</v>
      </c>
      <c r="C553">
        <v>6</v>
      </c>
      <c r="D553">
        <v>120</v>
      </c>
      <c r="E553" t="s">
        <v>989</v>
      </c>
      <c r="F553">
        <v>13.92</v>
      </c>
      <c r="G553" t="s">
        <v>1889</v>
      </c>
      <c r="H553" t="s">
        <v>1891</v>
      </c>
      <c r="I553" t="s">
        <v>214</v>
      </c>
      <c r="J553" t="s">
        <v>124</v>
      </c>
      <c r="K553" t="s">
        <v>2631</v>
      </c>
      <c r="L553" t="s">
        <v>3329</v>
      </c>
    </row>
    <row r="554" spans="1:12" x14ac:dyDescent="0.55000000000000004">
      <c r="A554">
        <v>769</v>
      </c>
      <c r="B554" t="s">
        <v>41</v>
      </c>
      <c r="C554">
        <v>6</v>
      </c>
      <c r="D554">
        <v>120</v>
      </c>
      <c r="E554" t="s">
        <v>991</v>
      </c>
      <c r="F554">
        <v>11.97</v>
      </c>
      <c r="G554" t="s">
        <v>1889</v>
      </c>
      <c r="H554" t="s">
        <v>1891</v>
      </c>
      <c r="I554" t="s">
        <v>214</v>
      </c>
      <c r="J554" t="s">
        <v>126</v>
      </c>
      <c r="K554" t="s">
        <v>2633</v>
      </c>
      <c r="L554" t="s">
        <v>3329</v>
      </c>
    </row>
    <row r="555" spans="1:12" x14ac:dyDescent="0.55000000000000004">
      <c r="A555">
        <v>771</v>
      </c>
      <c r="B555" t="s">
        <v>42</v>
      </c>
      <c r="C555">
        <v>1</v>
      </c>
      <c r="D555">
        <v>209</v>
      </c>
      <c r="E555" t="s">
        <v>993</v>
      </c>
      <c r="F555">
        <v>15.43</v>
      </c>
      <c r="G555" t="s">
        <v>1889</v>
      </c>
      <c r="H555" t="s">
        <v>1891</v>
      </c>
      <c r="I555" t="s">
        <v>214</v>
      </c>
      <c r="J555" t="s">
        <v>128</v>
      </c>
      <c r="K555" t="s">
        <v>2635</v>
      </c>
      <c r="L555" t="s">
        <v>3329</v>
      </c>
    </row>
    <row r="556" spans="1:12" x14ac:dyDescent="0.55000000000000004">
      <c r="A556">
        <v>778</v>
      </c>
      <c r="B556" t="s">
        <v>44</v>
      </c>
      <c r="C556">
        <v>25</v>
      </c>
      <c r="D556">
        <v>177</v>
      </c>
      <c r="E556" t="s">
        <v>1000</v>
      </c>
      <c r="F556">
        <v>10.58</v>
      </c>
      <c r="G556" t="s">
        <v>1889</v>
      </c>
      <c r="H556" t="s">
        <v>1891</v>
      </c>
      <c r="I556" t="s">
        <v>214</v>
      </c>
      <c r="J556" t="s">
        <v>134</v>
      </c>
      <c r="K556" t="s">
        <v>2642</v>
      </c>
      <c r="L556" t="s">
        <v>3329</v>
      </c>
    </row>
    <row r="557" spans="1:12" x14ac:dyDescent="0.55000000000000004">
      <c r="A557">
        <v>780</v>
      </c>
      <c r="B557" t="s">
        <v>44</v>
      </c>
      <c r="C557">
        <v>25</v>
      </c>
      <c r="D557">
        <v>177</v>
      </c>
      <c r="E557" t="s">
        <v>1002</v>
      </c>
      <c r="F557">
        <v>12.45</v>
      </c>
      <c r="G557" t="s">
        <v>1889</v>
      </c>
      <c r="H557" t="s">
        <v>1891</v>
      </c>
      <c r="I557" t="s">
        <v>214</v>
      </c>
      <c r="J557" t="s">
        <v>136</v>
      </c>
      <c r="K557" t="s">
        <v>2644</v>
      </c>
      <c r="L557" t="s">
        <v>3329</v>
      </c>
    </row>
    <row r="558" spans="1:12" x14ac:dyDescent="0.55000000000000004">
      <c r="A558">
        <v>782</v>
      </c>
      <c r="B558" t="s">
        <v>44</v>
      </c>
      <c r="C558">
        <v>25</v>
      </c>
      <c r="D558">
        <v>177</v>
      </c>
      <c r="E558" t="s">
        <v>1004</v>
      </c>
      <c r="F558">
        <v>10.37</v>
      </c>
      <c r="G558" t="s">
        <v>1889</v>
      </c>
      <c r="H558" t="s">
        <v>1891</v>
      </c>
      <c r="I558" t="s">
        <v>214</v>
      </c>
      <c r="J558" t="s">
        <v>138</v>
      </c>
      <c r="K558" t="s">
        <v>2646</v>
      </c>
      <c r="L558" t="s">
        <v>3329</v>
      </c>
    </row>
    <row r="559" spans="1:12" x14ac:dyDescent="0.55000000000000004">
      <c r="A559">
        <v>784</v>
      </c>
      <c r="B559" t="s">
        <v>44</v>
      </c>
      <c r="C559">
        <v>25</v>
      </c>
      <c r="D559">
        <v>177</v>
      </c>
      <c r="E559" t="s">
        <v>1006</v>
      </c>
      <c r="F559">
        <v>10.24</v>
      </c>
      <c r="G559" t="s">
        <v>1889</v>
      </c>
      <c r="H559" t="s">
        <v>1891</v>
      </c>
      <c r="I559" t="s">
        <v>214</v>
      </c>
      <c r="J559" t="s">
        <v>140</v>
      </c>
      <c r="K559" t="s">
        <v>2648</v>
      </c>
      <c r="L559" t="s">
        <v>3329</v>
      </c>
    </row>
    <row r="560" spans="1:12" x14ac:dyDescent="0.55000000000000004">
      <c r="A560">
        <v>803</v>
      </c>
      <c r="B560" t="s">
        <v>45</v>
      </c>
      <c r="C560">
        <v>7</v>
      </c>
      <c r="D560">
        <v>176</v>
      </c>
      <c r="E560" t="s">
        <v>1025</v>
      </c>
      <c r="F560">
        <v>12.08</v>
      </c>
      <c r="G560" t="s">
        <v>1889</v>
      </c>
      <c r="H560" t="s">
        <v>1891</v>
      </c>
      <c r="I560" t="s">
        <v>214</v>
      </c>
      <c r="J560" t="s">
        <v>145</v>
      </c>
      <c r="K560" t="s">
        <v>2667</v>
      </c>
      <c r="L560" t="s">
        <v>3329</v>
      </c>
    </row>
    <row r="561" spans="1:12" x14ac:dyDescent="0.55000000000000004">
      <c r="A561">
        <v>805</v>
      </c>
      <c r="B561" t="s">
        <v>45</v>
      </c>
      <c r="C561">
        <v>7</v>
      </c>
      <c r="D561">
        <v>176</v>
      </c>
      <c r="E561" t="s">
        <v>1027</v>
      </c>
      <c r="F561">
        <v>14.52</v>
      </c>
      <c r="G561" t="s">
        <v>1889</v>
      </c>
      <c r="H561" t="s">
        <v>1891</v>
      </c>
      <c r="I561" t="s">
        <v>214</v>
      </c>
      <c r="J561" t="s">
        <v>147</v>
      </c>
      <c r="K561" t="s">
        <v>2669</v>
      </c>
      <c r="L561" t="s">
        <v>3329</v>
      </c>
    </row>
    <row r="562" spans="1:12" x14ac:dyDescent="0.55000000000000004">
      <c r="A562">
        <v>807</v>
      </c>
      <c r="B562" t="s">
        <v>46</v>
      </c>
      <c r="C562">
        <v>17</v>
      </c>
      <c r="D562">
        <v>195</v>
      </c>
      <c r="E562" t="s">
        <v>1029</v>
      </c>
      <c r="F562">
        <v>12.24</v>
      </c>
      <c r="G562" t="s">
        <v>1889</v>
      </c>
      <c r="H562" t="s">
        <v>1891</v>
      </c>
      <c r="I562" t="s">
        <v>214</v>
      </c>
      <c r="J562" t="s">
        <v>149</v>
      </c>
      <c r="K562" t="s">
        <v>2670</v>
      </c>
      <c r="L562" t="s">
        <v>3329</v>
      </c>
    </row>
    <row r="563" spans="1:12" x14ac:dyDescent="0.55000000000000004">
      <c r="A563">
        <v>809</v>
      </c>
      <c r="B563" t="s">
        <v>46</v>
      </c>
      <c r="C563">
        <v>17</v>
      </c>
      <c r="D563">
        <v>195</v>
      </c>
      <c r="E563" t="s">
        <v>1031</v>
      </c>
      <c r="F563">
        <v>13.17</v>
      </c>
      <c r="G563" t="s">
        <v>1889</v>
      </c>
      <c r="H563" t="s">
        <v>1891</v>
      </c>
      <c r="I563" t="s">
        <v>214</v>
      </c>
      <c r="J563" t="s">
        <v>151</v>
      </c>
      <c r="K563" t="s">
        <v>2672</v>
      </c>
      <c r="L563" t="s">
        <v>3329</v>
      </c>
    </row>
    <row r="564" spans="1:12" x14ac:dyDescent="0.55000000000000004">
      <c r="A564">
        <v>810</v>
      </c>
      <c r="B564" t="s">
        <v>46</v>
      </c>
      <c r="C564">
        <v>17</v>
      </c>
      <c r="D564">
        <v>195</v>
      </c>
      <c r="E564" t="s">
        <v>1032</v>
      </c>
      <c r="F564">
        <v>13.39</v>
      </c>
      <c r="G564" t="s">
        <v>1889</v>
      </c>
      <c r="H564" t="s">
        <v>1891</v>
      </c>
      <c r="I564" t="s">
        <v>214</v>
      </c>
      <c r="J564" t="s">
        <v>152</v>
      </c>
      <c r="K564" t="s">
        <v>2673</v>
      </c>
      <c r="L564" t="s">
        <v>3329</v>
      </c>
    </row>
    <row r="565" spans="1:12" x14ac:dyDescent="0.55000000000000004">
      <c r="A565">
        <v>812</v>
      </c>
      <c r="B565" t="s">
        <v>46</v>
      </c>
      <c r="C565">
        <v>17</v>
      </c>
      <c r="D565">
        <v>195</v>
      </c>
      <c r="E565" t="s">
        <v>1034</v>
      </c>
      <c r="F565">
        <v>11.89</v>
      </c>
      <c r="G565" t="s">
        <v>1889</v>
      </c>
      <c r="H565" t="s">
        <v>1891</v>
      </c>
      <c r="I565" t="s">
        <v>214</v>
      </c>
      <c r="J565" t="s">
        <v>154</v>
      </c>
      <c r="K565" t="s">
        <v>2675</v>
      </c>
      <c r="L565" t="s">
        <v>3329</v>
      </c>
    </row>
    <row r="566" spans="1:12" x14ac:dyDescent="0.55000000000000004">
      <c r="A566">
        <v>815</v>
      </c>
      <c r="B566" t="s">
        <v>46</v>
      </c>
      <c r="C566">
        <v>17</v>
      </c>
      <c r="D566">
        <v>195</v>
      </c>
      <c r="E566" t="s">
        <v>1037</v>
      </c>
      <c r="F566">
        <v>11.54</v>
      </c>
      <c r="G566" t="s">
        <v>1889</v>
      </c>
      <c r="H566" t="s">
        <v>1891</v>
      </c>
      <c r="I566" t="s">
        <v>214</v>
      </c>
      <c r="J566" t="s">
        <v>156</v>
      </c>
      <c r="K566" t="s">
        <v>2678</v>
      </c>
      <c r="L566" t="s">
        <v>3329</v>
      </c>
    </row>
    <row r="567" spans="1:12" x14ac:dyDescent="0.55000000000000004">
      <c r="A567">
        <v>817</v>
      </c>
      <c r="B567" t="s">
        <v>46</v>
      </c>
      <c r="C567">
        <v>17</v>
      </c>
      <c r="D567">
        <v>195</v>
      </c>
      <c r="E567" t="s">
        <v>1039</v>
      </c>
      <c r="F567">
        <v>12.51</v>
      </c>
      <c r="G567" t="s">
        <v>1889</v>
      </c>
      <c r="H567" t="s">
        <v>1891</v>
      </c>
      <c r="I567" t="s">
        <v>214</v>
      </c>
      <c r="J567" t="s">
        <v>158</v>
      </c>
      <c r="K567" t="s">
        <v>2680</v>
      </c>
      <c r="L567" t="s">
        <v>3329</v>
      </c>
    </row>
    <row r="568" spans="1:12" x14ac:dyDescent="0.55000000000000004">
      <c r="A568">
        <v>824</v>
      </c>
      <c r="B568" t="s">
        <v>47</v>
      </c>
      <c r="C568">
        <v>1</v>
      </c>
      <c r="D568">
        <v>194</v>
      </c>
      <c r="E568" t="s">
        <v>1046</v>
      </c>
      <c r="F568">
        <v>13.24</v>
      </c>
      <c r="G568" t="s">
        <v>1889</v>
      </c>
      <c r="H568" t="s">
        <v>1891</v>
      </c>
      <c r="I568" t="s">
        <v>214</v>
      </c>
      <c r="J568" t="s">
        <v>160</v>
      </c>
      <c r="K568" t="s">
        <v>2686</v>
      </c>
      <c r="L568" t="s">
        <v>3329</v>
      </c>
    </row>
    <row r="569" spans="1:12" x14ac:dyDescent="0.55000000000000004">
      <c r="A569">
        <v>826</v>
      </c>
      <c r="B569" t="s">
        <v>49</v>
      </c>
      <c r="C569">
        <v>4</v>
      </c>
      <c r="D569">
        <v>174</v>
      </c>
      <c r="E569" t="s">
        <v>1048</v>
      </c>
      <c r="F569">
        <v>12.16</v>
      </c>
      <c r="G569" t="s">
        <v>1889</v>
      </c>
      <c r="H569" t="s">
        <v>1891</v>
      </c>
      <c r="I569" t="s">
        <v>214</v>
      </c>
      <c r="J569" t="s">
        <v>162</v>
      </c>
      <c r="K569" t="s">
        <v>2688</v>
      </c>
      <c r="L569" t="s">
        <v>3329</v>
      </c>
    </row>
    <row r="570" spans="1:12" x14ac:dyDescent="0.55000000000000004">
      <c r="A570">
        <v>827</v>
      </c>
      <c r="B570" t="s">
        <v>49</v>
      </c>
      <c r="C570">
        <v>4</v>
      </c>
      <c r="D570">
        <v>174</v>
      </c>
      <c r="E570" t="s">
        <v>1049</v>
      </c>
      <c r="F570">
        <v>11.05</v>
      </c>
      <c r="G570" t="s">
        <v>1889</v>
      </c>
      <c r="H570" t="s">
        <v>1891</v>
      </c>
      <c r="I570" t="s">
        <v>214</v>
      </c>
      <c r="J570" t="s">
        <v>163</v>
      </c>
      <c r="K570" t="s">
        <v>2689</v>
      </c>
      <c r="L570" t="s">
        <v>3329</v>
      </c>
    </row>
    <row r="571" spans="1:12" x14ac:dyDescent="0.55000000000000004">
      <c r="A571">
        <v>829</v>
      </c>
      <c r="B571" t="s">
        <v>49</v>
      </c>
      <c r="C571">
        <v>4</v>
      </c>
      <c r="D571">
        <v>174</v>
      </c>
      <c r="E571" t="s">
        <v>1051</v>
      </c>
      <c r="F571">
        <v>11.51</v>
      </c>
      <c r="G571" t="s">
        <v>1889</v>
      </c>
      <c r="H571" t="s">
        <v>1891</v>
      </c>
      <c r="I571" t="s">
        <v>214</v>
      </c>
      <c r="J571" t="s">
        <v>165</v>
      </c>
      <c r="K571" t="s">
        <v>2691</v>
      </c>
      <c r="L571" t="s">
        <v>3329</v>
      </c>
    </row>
    <row r="572" spans="1:12" x14ac:dyDescent="0.55000000000000004">
      <c r="A572">
        <v>832</v>
      </c>
      <c r="B572" t="s">
        <v>50</v>
      </c>
      <c r="C572">
        <v>15</v>
      </c>
      <c r="D572">
        <v>460</v>
      </c>
      <c r="E572" t="s">
        <v>1054</v>
      </c>
      <c r="F572">
        <v>13.98</v>
      </c>
      <c r="G572" t="s">
        <v>1889</v>
      </c>
      <c r="H572" t="s">
        <v>1891</v>
      </c>
      <c r="I572" t="s">
        <v>214</v>
      </c>
      <c r="J572" t="s">
        <v>167</v>
      </c>
      <c r="K572" t="s">
        <v>2694</v>
      </c>
      <c r="L572" t="s">
        <v>3329</v>
      </c>
    </row>
    <row r="573" spans="1:12" x14ac:dyDescent="0.55000000000000004">
      <c r="A573">
        <v>834</v>
      </c>
      <c r="B573" t="s">
        <v>50</v>
      </c>
      <c r="C573">
        <v>15</v>
      </c>
      <c r="D573">
        <v>460</v>
      </c>
      <c r="E573" t="s">
        <v>1056</v>
      </c>
      <c r="F573">
        <v>11.64</v>
      </c>
      <c r="G573" t="s">
        <v>1889</v>
      </c>
      <c r="H573" t="s">
        <v>1891</v>
      </c>
      <c r="I573" t="s">
        <v>214</v>
      </c>
      <c r="J573" t="s">
        <v>169</v>
      </c>
      <c r="K573" t="s">
        <v>2696</v>
      </c>
      <c r="L573" t="s">
        <v>3329</v>
      </c>
    </row>
    <row r="574" spans="1:12" x14ac:dyDescent="0.55000000000000004">
      <c r="A574">
        <v>836</v>
      </c>
      <c r="B574" t="s">
        <v>50</v>
      </c>
      <c r="C574">
        <v>15</v>
      </c>
      <c r="D574">
        <v>460</v>
      </c>
      <c r="E574" t="s">
        <v>1058</v>
      </c>
      <c r="F574">
        <v>15.92</v>
      </c>
      <c r="G574" t="s">
        <v>1889</v>
      </c>
      <c r="H574" t="s">
        <v>1891</v>
      </c>
      <c r="I574" t="s">
        <v>214</v>
      </c>
      <c r="J574" t="s">
        <v>171</v>
      </c>
      <c r="K574" t="s">
        <v>2698</v>
      </c>
      <c r="L574" t="s">
        <v>3329</v>
      </c>
    </row>
    <row r="575" spans="1:12" x14ac:dyDescent="0.55000000000000004">
      <c r="A575">
        <v>838</v>
      </c>
      <c r="B575" t="s">
        <v>50</v>
      </c>
      <c r="C575">
        <v>15</v>
      </c>
      <c r="D575">
        <v>460</v>
      </c>
      <c r="E575" t="s">
        <v>1060</v>
      </c>
      <c r="F575">
        <v>12.26</v>
      </c>
      <c r="G575" t="s">
        <v>1889</v>
      </c>
      <c r="H575" t="s">
        <v>1891</v>
      </c>
      <c r="I575" t="s">
        <v>214</v>
      </c>
      <c r="J575" t="s">
        <v>173</v>
      </c>
      <c r="K575" t="s">
        <v>2700</v>
      </c>
      <c r="L575" t="s">
        <v>3329</v>
      </c>
    </row>
    <row r="576" spans="1:12" x14ac:dyDescent="0.55000000000000004">
      <c r="A576">
        <v>839</v>
      </c>
      <c r="B576" t="s">
        <v>50</v>
      </c>
      <c r="C576">
        <v>15</v>
      </c>
      <c r="D576">
        <v>460</v>
      </c>
      <c r="E576" t="s">
        <v>1061</v>
      </c>
      <c r="F576">
        <v>11</v>
      </c>
      <c r="G576" t="s">
        <v>1889</v>
      </c>
      <c r="H576" t="s">
        <v>1891</v>
      </c>
      <c r="I576" t="s">
        <v>214</v>
      </c>
      <c r="J576" t="s">
        <v>174</v>
      </c>
      <c r="K576" t="s">
        <v>2701</v>
      </c>
      <c r="L576" t="s">
        <v>3329</v>
      </c>
    </row>
    <row r="577" spans="1:12" x14ac:dyDescent="0.55000000000000004">
      <c r="A577">
        <v>841</v>
      </c>
      <c r="B577" t="s">
        <v>50</v>
      </c>
      <c r="C577">
        <v>15</v>
      </c>
      <c r="D577">
        <v>460</v>
      </c>
      <c r="E577" t="s">
        <v>1063</v>
      </c>
      <c r="F577">
        <v>13.8</v>
      </c>
      <c r="G577" t="s">
        <v>1889</v>
      </c>
      <c r="H577" t="s">
        <v>1891</v>
      </c>
      <c r="I577" t="s">
        <v>214</v>
      </c>
      <c r="J577" t="s">
        <v>176</v>
      </c>
      <c r="K577" t="s">
        <v>2703</v>
      </c>
      <c r="L577" t="s">
        <v>3329</v>
      </c>
    </row>
    <row r="578" spans="1:12" x14ac:dyDescent="0.55000000000000004">
      <c r="A578">
        <v>847</v>
      </c>
      <c r="B578" t="s">
        <v>51</v>
      </c>
      <c r="C578">
        <v>6</v>
      </c>
      <c r="D578">
        <v>459</v>
      </c>
      <c r="E578" t="s">
        <v>1069</v>
      </c>
      <c r="F578">
        <v>14.4</v>
      </c>
      <c r="G578" t="s">
        <v>1889</v>
      </c>
      <c r="H578" t="s">
        <v>1891</v>
      </c>
      <c r="I578" t="s">
        <v>214</v>
      </c>
      <c r="J578" t="s">
        <v>178</v>
      </c>
      <c r="K578" t="s">
        <v>2709</v>
      </c>
      <c r="L578" t="s">
        <v>3329</v>
      </c>
    </row>
    <row r="579" spans="1:12" x14ac:dyDescent="0.55000000000000004">
      <c r="A579">
        <v>849</v>
      </c>
      <c r="B579" t="s">
        <v>51</v>
      </c>
      <c r="C579">
        <v>6</v>
      </c>
      <c r="D579">
        <v>459</v>
      </c>
      <c r="E579" t="s">
        <v>1071</v>
      </c>
      <c r="F579">
        <v>10.41</v>
      </c>
      <c r="G579" t="s">
        <v>1889</v>
      </c>
      <c r="H579" t="s">
        <v>1891</v>
      </c>
      <c r="I579" t="s">
        <v>214</v>
      </c>
      <c r="J579" t="s">
        <v>180</v>
      </c>
      <c r="K579" t="s">
        <v>2711</v>
      </c>
      <c r="L579" t="s">
        <v>3329</v>
      </c>
    </row>
    <row r="580" spans="1:12" x14ac:dyDescent="0.55000000000000004">
      <c r="A580">
        <v>851</v>
      </c>
      <c r="B580" t="s">
        <v>52</v>
      </c>
      <c r="C580">
        <v>17</v>
      </c>
      <c r="D580">
        <v>461</v>
      </c>
      <c r="E580" t="s">
        <v>1073</v>
      </c>
      <c r="F580">
        <v>10.91</v>
      </c>
      <c r="G580" t="s">
        <v>1889</v>
      </c>
      <c r="H580" t="s">
        <v>1891</v>
      </c>
      <c r="I580" t="s">
        <v>214</v>
      </c>
      <c r="J580" t="s">
        <v>182</v>
      </c>
      <c r="K580" t="s">
        <v>2713</v>
      </c>
      <c r="L580" t="s">
        <v>3329</v>
      </c>
    </row>
    <row r="581" spans="1:12" x14ac:dyDescent="0.55000000000000004">
      <c r="A581">
        <v>853</v>
      </c>
      <c r="B581" t="s">
        <v>52</v>
      </c>
      <c r="C581">
        <v>17</v>
      </c>
      <c r="D581">
        <v>461</v>
      </c>
      <c r="E581" t="s">
        <v>1075</v>
      </c>
      <c r="F581">
        <v>11.83</v>
      </c>
      <c r="G581" t="s">
        <v>1889</v>
      </c>
      <c r="H581" t="s">
        <v>1891</v>
      </c>
      <c r="I581" t="s">
        <v>214</v>
      </c>
      <c r="J581" t="s">
        <v>184</v>
      </c>
      <c r="K581" t="s">
        <v>2715</v>
      </c>
      <c r="L581" t="s">
        <v>3329</v>
      </c>
    </row>
    <row r="582" spans="1:12" x14ac:dyDescent="0.55000000000000004">
      <c r="A582">
        <v>854</v>
      </c>
      <c r="B582" t="s">
        <v>52</v>
      </c>
      <c r="C582">
        <v>17</v>
      </c>
      <c r="D582">
        <v>461</v>
      </c>
      <c r="E582" t="s">
        <v>1076</v>
      </c>
      <c r="F582">
        <v>12.01</v>
      </c>
      <c r="G582" t="s">
        <v>1889</v>
      </c>
      <c r="H582" t="s">
        <v>1891</v>
      </c>
      <c r="I582" t="s">
        <v>214</v>
      </c>
      <c r="J582" t="s">
        <v>185</v>
      </c>
      <c r="K582" t="s">
        <v>2716</v>
      </c>
      <c r="L582" t="s">
        <v>3329</v>
      </c>
    </row>
    <row r="583" spans="1:12" x14ac:dyDescent="0.55000000000000004">
      <c r="A583">
        <v>856</v>
      </c>
      <c r="B583" t="s">
        <v>52</v>
      </c>
      <c r="C583">
        <v>17</v>
      </c>
      <c r="D583">
        <v>461</v>
      </c>
      <c r="E583" t="s">
        <v>1078</v>
      </c>
      <c r="F583">
        <v>13.34</v>
      </c>
      <c r="G583" t="s">
        <v>1889</v>
      </c>
      <c r="H583" t="s">
        <v>1891</v>
      </c>
      <c r="I583" t="s">
        <v>214</v>
      </c>
      <c r="J583" t="s">
        <v>187</v>
      </c>
      <c r="K583" t="s">
        <v>2718</v>
      </c>
      <c r="L583" t="s">
        <v>3329</v>
      </c>
    </row>
    <row r="584" spans="1:12" x14ac:dyDescent="0.55000000000000004">
      <c r="A584">
        <v>859</v>
      </c>
      <c r="B584" t="s">
        <v>52</v>
      </c>
      <c r="C584">
        <v>17</v>
      </c>
      <c r="D584">
        <v>461</v>
      </c>
      <c r="E584" t="s">
        <v>1081</v>
      </c>
      <c r="F584">
        <v>13.93</v>
      </c>
      <c r="G584" t="s">
        <v>1889</v>
      </c>
      <c r="H584" t="s">
        <v>1891</v>
      </c>
      <c r="I584" t="s">
        <v>214</v>
      </c>
      <c r="J584" t="s">
        <v>189</v>
      </c>
      <c r="K584" t="s">
        <v>2721</v>
      </c>
      <c r="L584" t="s">
        <v>3329</v>
      </c>
    </row>
    <row r="585" spans="1:12" x14ac:dyDescent="0.55000000000000004">
      <c r="A585">
        <v>861</v>
      </c>
      <c r="B585" t="s">
        <v>52</v>
      </c>
      <c r="C585">
        <v>17</v>
      </c>
      <c r="D585">
        <v>461</v>
      </c>
      <c r="E585" t="s">
        <v>1083</v>
      </c>
      <c r="F585">
        <v>13</v>
      </c>
      <c r="G585" t="s">
        <v>1889</v>
      </c>
      <c r="H585" t="s">
        <v>1891</v>
      </c>
      <c r="I585" t="s">
        <v>214</v>
      </c>
      <c r="J585" t="s">
        <v>191</v>
      </c>
      <c r="K585" t="s">
        <v>2723</v>
      </c>
      <c r="L585" t="s">
        <v>3329</v>
      </c>
    </row>
    <row r="586" spans="1:12" x14ac:dyDescent="0.55000000000000004">
      <c r="A586">
        <v>868</v>
      </c>
      <c r="B586" t="s">
        <v>53</v>
      </c>
      <c r="C586">
        <v>8</v>
      </c>
      <c r="D586">
        <v>457</v>
      </c>
      <c r="E586" t="s">
        <v>1090</v>
      </c>
      <c r="F586">
        <v>12.77</v>
      </c>
      <c r="G586" t="s">
        <v>1889</v>
      </c>
      <c r="H586" t="s">
        <v>1891</v>
      </c>
      <c r="I586" t="s">
        <v>214</v>
      </c>
      <c r="J586" t="s">
        <v>193</v>
      </c>
      <c r="K586" t="s">
        <v>2730</v>
      </c>
      <c r="L586" t="s">
        <v>3329</v>
      </c>
    </row>
    <row r="587" spans="1:12" x14ac:dyDescent="0.55000000000000004">
      <c r="A587">
        <v>870</v>
      </c>
      <c r="B587" t="s">
        <v>53</v>
      </c>
      <c r="C587">
        <v>8</v>
      </c>
      <c r="D587">
        <v>457</v>
      </c>
      <c r="E587" t="s">
        <v>1092</v>
      </c>
      <c r="F587">
        <v>13.16</v>
      </c>
      <c r="G587" t="s">
        <v>1889</v>
      </c>
      <c r="H587" t="s">
        <v>1891</v>
      </c>
      <c r="I587" t="s">
        <v>214</v>
      </c>
      <c r="J587" t="s">
        <v>195</v>
      </c>
      <c r="K587" t="s">
        <v>2732</v>
      </c>
      <c r="L587" t="s">
        <v>3329</v>
      </c>
    </row>
    <row r="588" spans="1:12" x14ac:dyDescent="0.55000000000000004">
      <c r="A588">
        <v>871</v>
      </c>
      <c r="B588" t="s">
        <v>53</v>
      </c>
      <c r="C588">
        <v>8</v>
      </c>
      <c r="D588">
        <v>457</v>
      </c>
      <c r="E588" t="s">
        <v>1093</v>
      </c>
      <c r="F588">
        <v>12.61</v>
      </c>
      <c r="G588" t="s">
        <v>1889</v>
      </c>
      <c r="H588" t="s">
        <v>1891</v>
      </c>
      <c r="I588" t="s">
        <v>214</v>
      </c>
      <c r="J588" t="s">
        <v>196</v>
      </c>
      <c r="K588" t="s">
        <v>2733</v>
      </c>
      <c r="L588" t="s">
        <v>3329</v>
      </c>
    </row>
    <row r="589" spans="1:12" x14ac:dyDescent="0.55000000000000004">
      <c r="A589">
        <v>873</v>
      </c>
      <c r="B589" t="s">
        <v>53</v>
      </c>
      <c r="C589">
        <v>8</v>
      </c>
      <c r="D589">
        <v>457</v>
      </c>
      <c r="E589" t="s">
        <v>1095</v>
      </c>
      <c r="F589">
        <v>8.74</v>
      </c>
      <c r="G589" t="s">
        <v>1889</v>
      </c>
      <c r="H589" t="s">
        <v>1891</v>
      </c>
      <c r="I589" t="s">
        <v>214</v>
      </c>
      <c r="J589" t="s">
        <v>198</v>
      </c>
      <c r="K589" t="s">
        <v>2735</v>
      </c>
      <c r="L589" t="s">
        <v>3329</v>
      </c>
    </row>
    <row r="590" spans="1:12" x14ac:dyDescent="0.55000000000000004">
      <c r="A590">
        <v>876</v>
      </c>
      <c r="B590" t="s">
        <v>54</v>
      </c>
      <c r="C590">
        <v>25</v>
      </c>
      <c r="D590">
        <v>456</v>
      </c>
      <c r="E590" t="s">
        <v>1098</v>
      </c>
      <c r="F590">
        <v>12.51</v>
      </c>
      <c r="G590" t="s">
        <v>1889</v>
      </c>
      <c r="H590" t="s">
        <v>1891</v>
      </c>
      <c r="I590" t="s">
        <v>214</v>
      </c>
      <c r="J590" t="s">
        <v>200</v>
      </c>
      <c r="K590" t="s">
        <v>2738</v>
      </c>
      <c r="L590" t="s">
        <v>3329</v>
      </c>
    </row>
    <row r="591" spans="1:12" x14ac:dyDescent="0.55000000000000004">
      <c r="A591">
        <v>878</v>
      </c>
      <c r="B591" t="s">
        <v>54</v>
      </c>
      <c r="C591">
        <v>25</v>
      </c>
      <c r="D591">
        <v>456</v>
      </c>
      <c r="E591" t="s">
        <v>1100</v>
      </c>
      <c r="F591">
        <v>12.82</v>
      </c>
      <c r="G591" t="s">
        <v>1889</v>
      </c>
      <c r="H591" t="s">
        <v>1891</v>
      </c>
      <c r="I591" t="s">
        <v>214</v>
      </c>
      <c r="J591" t="s">
        <v>202</v>
      </c>
      <c r="K591" t="s">
        <v>2740</v>
      </c>
      <c r="L591" t="s">
        <v>3329</v>
      </c>
    </row>
    <row r="592" spans="1:12" x14ac:dyDescent="0.55000000000000004">
      <c r="A592">
        <v>880</v>
      </c>
      <c r="B592" t="s">
        <v>54</v>
      </c>
      <c r="C592">
        <v>25</v>
      </c>
      <c r="D592">
        <v>456</v>
      </c>
      <c r="E592" t="s">
        <v>1102</v>
      </c>
      <c r="F592">
        <v>13.25</v>
      </c>
      <c r="G592" t="s">
        <v>1889</v>
      </c>
      <c r="H592" t="s">
        <v>1891</v>
      </c>
      <c r="I592" t="s">
        <v>214</v>
      </c>
      <c r="J592" t="s">
        <v>204</v>
      </c>
      <c r="K592" t="s">
        <v>2742</v>
      </c>
      <c r="L592" t="s">
        <v>3329</v>
      </c>
    </row>
    <row r="593" spans="1:12" x14ac:dyDescent="0.55000000000000004">
      <c r="A593">
        <v>882</v>
      </c>
      <c r="B593" t="s">
        <v>54</v>
      </c>
      <c r="C593">
        <v>25</v>
      </c>
      <c r="D593">
        <v>456</v>
      </c>
      <c r="E593" t="s">
        <v>1104</v>
      </c>
      <c r="F593">
        <v>12.91</v>
      </c>
      <c r="G593" t="s">
        <v>1889</v>
      </c>
      <c r="H593" t="s">
        <v>1891</v>
      </c>
      <c r="I593" t="s">
        <v>214</v>
      </c>
      <c r="J593" t="s">
        <v>206</v>
      </c>
      <c r="K593" t="s">
        <v>2744</v>
      </c>
      <c r="L593" t="s">
        <v>3329</v>
      </c>
    </row>
    <row r="594" spans="1:12" x14ac:dyDescent="0.55000000000000004">
      <c r="A594">
        <v>883</v>
      </c>
      <c r="B594" t="s">
        <v>54</v>
      </c>
      <c r="C594">
        <v>25</v>
      </c>
      <c r="D594">
        <v>456</v>
      </c>
      <c r="E594" t="s">
        <v>1105</v>
      </c>
      <c r="F594">
        <v>12.22</v>
      </c>
      <c r="G594" t="s">
        <v>1889</v>
      </c>
      <c r="H594" t="s">
        <v>1891</v>
      </c>
      <c r="I594" t="s">
        <v>214</v>
      </c>
      <c r="J594" t="s">
        <v>207</v>
      </c>
      <c r="K594" t="s">
        <v>2745</v>
      </c>
      <c r="L594" t="s">
        <v>3329</v>
      </c>
    </row>
    <row r="595" spans="1:12" x14ac:dyDescent="0.55000000000000004">
      <c r="A595">
        <v>885</v>
      </c>
      <c r="B595" t="s">
        <v>54</v>
      </c>
      <c r="C595">
        <v>25</v>
      </c>
      <c r="D595">
        <v>456</v>
      </c>
      <c r="E595" t="s">
        <v>1107</v>
      </c>
      <c r="F595">
        <v>13.2</v>
      </c>
      <c r="G595" t="s">
        <v>1889</v>
      </c>
      <c r="H595" t="s">
        <v>1891</v>
      </c>
      <c r="I595" t="s">
        <v>214</v>
      </c>
      <c r="J595" t="s">
        <v>209</v>
      </c>
      <c r="K595" t="s">
        <v>2747</v>
      </c>
      <c r="L595" t="s">
        <v>3329</v>
      </c>
    </row>
    <row r="596" spans="1:12" x14ac:dyDescent="0.55000000000000004">
      <c r="A596">
        <v>887</v>
      </c>
      <c r="B596" t="s">
        <v>54</v>
      </c>
      <c r="C596">
        <v>25</v>
      </c>
      <c r="D596">
        <v>456</v>
      </c>
      <c r="E596" t="s">
        <v>1109</v>
      </c>
      <c r="F596">
        <v>10.57</v>
      </c>
      <c r="G596" t="s">
        <v>1889</v>
      </c>
      <c r="H596" t="s">
        <v>1891</v>
      </c>
      <c r="I596" t="s">
        <v>215</v>
      </c>
      <c r="J596" t="s">
        <v>122</v>
      </c>
      <c r="K596" t="s">
        <v>2749</v>
      </c>
      <c r="L596" t="s">
        <v>3329</v>
      </c>
    </row>
    <row r="597" spans="1:12" x14ac:dyDescent="0.55000000000000004">
      <c r="A597">
        <v>902</v>
      </c>
      <c r="B597" t="s">
        <v>55</v>
      </c>
      <c r="C597">
        <v>9</v>
      </c>
      <c r="D597">
        <v>451</v>
      </c>
      <c r="E597" t="s">
        <v>1124</v>
      </c>
      <c r="F597">
        <v>13.67</v>
      </c>
      <c r="G597" t="s">
        <v>1889</v>
      </c>
      <c r="H597" t="s">
        <v>1891</v>
      </c>
      <c r="I597" t="s">
        <v>215</v>
      </c>
      <c r="J597" t="s">
        <v>124</v>
      </c>
      <c r="K597" t="s">
        <v>2764</v>
      </c>
      <c r="L597" t="s">
        <v>3329</v>
      </c>
    </row>
    <row r="598" spans="1:12" x14ac:dyDescent="0.55000000000000004">
      <c r="A598">
        <v>904</v>
      </c>
      <c r="B598" t="s">
        <v>55</v>
      </c>
      <c r="C598">
        <v>9</v>
      </c>
      <c r="D598">
        <v>451</v>
      </c>
      <c r="E598" t="s">
        <v>1126</v>
      </c>
      <c r="F598">
        <v>13.81</v>
      </c>
      <c r="G598" t="s">
        <v>1889</v>
      </c>
      <c r="H598" t="s">
        <v>1891</v>
      </c>
      <c r="I598" t="s">
        <v>215</v>
      </c>
      <c r="J598" t="s">
        <v>126</v>
      </c>
      <c r="K598" t="s">
        <v>2766</v>
      </c>
      <c r="L598" t="s">
        <v>3329</v>
      </c>
    </row>
    <row r="599" spans="1:12" x14ac:dyDescent="0.55000000000000004">
      <c r="A599">
        <v>913</v>
      </c>
      <c r="B599" t="s">
        <v>57</v>
      </c>
      <c r="C599">
        <v>2</v>
      </c>
      <c r="D599">
        <v>464</v>
      </c>
      <c r="E599" t="s">
        <v>1135</v>
      </c>
      <c r="F599">
        <v>12.74</v>
      </c>
      <c r="G599" t="s">
        <v>1889</v>
      </c>
      <c r="H599" t="s">
        <v>1891</v>
      </c>
      <c r="I599" t="s">
        <v>215</v>
      </c>
      <c r="J599" t="s">
        <v>134</v>
      </c>
      <c r="K599" t="s">
        <v>2775</v>
      </c>
      <c r="L599" t="s">
        <v>3329</v>
      </c>
    </row>
    <row r="600" spans="1:12" x14ac:dyDescent="0.55000000000000004">
      <c r="A600">
        <v>915</v>
      </c>
      <c r="B600" t="s">
        <v>58</v>
      </c>
      <c r="C600">
        <v>8</v>
      </c>
      <c r="D600">
        <v>465</v>
      </c>
      <c r="E600" t="s">
        <v>1137</v>
      </c>
      <c r="F600">
        <v>14.89</v>
      </c>
      <c r="G600" t="s">
        <v>1889</v>
      </c>
      <c r="H600" t="s">
        <v>1891</v>
      </c>
      <c r="I600" t="s">
        <v>215</v>
      </c>
      <c r="J600" t="s">
        <v>136</v>
      </c>
      <c r="K600" t="s">
        <v>2777</v>
      </c>
      <c r="L600" t="s">
        <v>3329</v>
      </c>
    </row>
    <row r="601" spans="1:12" x14ac:dyDescent="0.55000000000000004">
      <c r="A601">
        <v>917</v>
      </c>
      <c r="B601" t="s">
        <v>58</v>
      </c>
      <c r="C601">
        <v>8</v>
      </c>
      <c r="D601">
        <v>465</v>
      </c>
      <c r="E601" t="s">
        <v>1139</v>
      </c>
      <c r="F601">
        <v>14.18</v>
      </c>
      <c r="G601" t="s">
        <v>1889</v>
      </c>
      <c r="H601" t="s">
        <v>1891</v>
      </c>
      <c r="I601" t="s">
        <v>215</v>
      </c>
      <c r="J601" t="s">
        <v>138</v>
      </c>
      <c r="K601" t="s">
        <v>2779</v>
      </c>
      <c r="L601" t="s">
        <v>3329</v>
      </c>
    </row>
    <row r="602" spans="1:12" x14ac:dyDescent="0.55000000000000004">
      <c r="A602">
        <v>919</v>
      </c>
      <c r="B602" t="s">
        <v>58</v>
      </c>
      <c r="C602">
        <v>8</v>
      </c>
      <c r="D602">
        <v>465</v>
      </c>
      <c r="E602" t="s">
        <v>1141</v>
      </c>
      <c r="F602">
        <v>14.8</v>
      </c>
      <c r="G602" t="s">
        <v>1889</v>
      </c>
      <c r="H602" t="s">
        <v>1891</v>
      </c>
      <c r="I602" t="s">
        <v>215</v>
      </c>
      <c r="J602" t="s">
        <v>140</v>
      </c>
      <c r="K602" t="s">
        <v>2781</v>
      </c>
      <c r="L602" t="s">
        <v>3329</v>
      </c>
    </row>
    <row r="603" spans="1:12" x14ac:dyDescent="0.55000000000000004">
      <c r="A603">
        <v>920</v>
      </c>
      <c r="B603" t="s">
        <v>58</v>
      </c>
      <c r="C603">
        <v>8</v>
      </c>
      <c r="D603">
        <v>465</v>
      </c>
      <c r="E603" t="s">
        <v>1142</v>
      </c>
      <c r="F603">
        <v>14.67</v>
      </c>
      <c r="G603" t="s">
        <v>1889</v>
      </c>
      <c r="H603" t="s">
        <v>1891</v>
      </c>
      <c r="I603" t="s">
        <v>215</v>
      </c>
      <c r="J603" t="s">
        <v>141</v>
      </c>
      <c r="K603" t="s">
        <v>2782</v>
      </c>
      <c r="L603" t="s">
        <v>3329</v>
      </c>
    </row>
    <row r="604" spans="1:12" x14ac:dyDescent="0.55000000000000004">
      <c r="A604">
        <v>922</v>
      </c>
      <c r="B604" t="s">
        <v>58</v>
      </c>
      <c r="C604">
        <v>8</v>
      </c>
      <c r="D604">
        <v>465</v>
      </c>
      <c r="E604" t="s">
        <v>1144</v>
      </c>
      <c r="F604">
        <v>15.58</v>
      </c>
      <c r="G604" t="s">
        <v>1889</v>
      </c>
      <c r="H604" t="s">
        <v>1891</v>
      </c>
      <c r="I604" t="s">
        <v>215</v>
      </c>
      <c r="J604" t="s">
        <v>143</v>
      </c>
      <c r="K604" t="s">
        <v>2784</v>
      </c>
      <c r="L604" t="s">
        <v>3329</v>
      </c>
    </row>
    <row r="605" spans="1:12" x14ac:dyDescent="0.55000000000000004">
      <c r="A605">
        <v>925</v>
      </c>
      <c r="B605" t="s">
        <v>59</v>
      </c>
      <c r="C605">
        <v>25</v>
      </c>
      <c r="D605">
        <v>422</v>
      </c>
      <c r="E605" t="s">
        <v>1147</v>
      </c>
      <c r="F605">
        <v>16.059999999999999</v>
      </c>
      <c r="G605" t="s">
        <v>2113</v>
      </c>
      <c r="H605" t="s">
        <v>110</v>
      </c>
      <c r="I605" t="s">
        <v>215</v>
      </c>
      <c r="J605" t="s">
        <v>145</v>
      </c>
      <c r="L605" t="s">
        <v>3329</v>
      </c>
    </row>
    <row r="606" spans="1:12" x14ac:dyDescent="0.55000000000000004">
      <c r="A606">
        <v>927</v>
      </c>
      <c r="B606" t="s">
        <v>59</v>
      </c>
      <c r="C606">
        <v>25</v>
      </c>
      <c r="D606">
        <v>422</v>
      </c>
      <c r="E606" t="s">
        <v>1149</v>
      </c>
      <c r="F606">
        <v>20.75</v>
      </c>
      <c r="G606" t="s">
        <v>2113</v>
      </c>
      <c r="H606" t="s">
        <v>110</v>
      </c>
      <c r="I606" t="s">
        <v>215</v>
      </c>
      <c r="J606" t="s">
        <v>147</v>
      </c>
      <c r="L606" t="s">
        <v>3329</v>
      </c>
    </row>
    <row r="607" spans="1:12" x14ac:dyDescent="0.55000000000000004">
      <c r="A607">
        <v>929</v>
      </c>
      <c r="B607" t="s">
        <v>59</v>
      </c>
      <c r="C607">
        <v>25</v>
      </c>
      <c r="D607">
        <v>422</v>
      </c>
      <c r="E607" t="s">
        <v>1151</v>
      </c>
      <c r="F607">
        <v>15.59</v>
      </c>
      <c r="G607" t="s">
        <v>2113</v>
      </c>
      <c r="H607" t="s">
        <v>110</v>
      </c>
      <c r="I607" t="s">
        <v>215</v>
      </c>
      <c r="J607" t="s">
        <v>149</v>
      </c>
      <c r="L607" t="s">
        <v>3329</v>
      </c>
    </row>
    <row r="608" spans="1:12" x14ac:dyDescent="0.55000000000000004">
      <c r="A608">
        <v>931</v>
      </c>
      <c r="B608" t="s">
        <v>59</v>
      </c>
      <c r="C608">
        <v>25</v>
      </c>
      <c r="D608">
        <v>422</v>
      </c>
      <c r="E608" t="s">
        <v>1153</v>
      </c>
      <c r="F608">
        <v>15.95</v>
      </c>
      <c r="G608" t="s">
        <v>2113</v>
      </c>
      <c r="H608" t="s">
        <v>110</v>
      </c>
      <c r="I608" t="s">
        <v>215</v>
      </c>
      <c r="J608" t="s">
        <v>151</v>
      </c>
      <c r="L608" t="s">
        <v>3329</v>
      </c>
    </row>
    <row r="609" spans="1:12" x14ac:dyDescent="0.55000000000000004">
      <c r="A609">
        <v>932</v>
      </c>
      <c r="B609" t="s">
        <v>59</v>
      </c>
      <c r="C609">
        <v>25</v>
      </c>
      <c r="D609">
        <v>422</v>
      </c>
      <c r="E609" t="s">
        <v>1154</v>
      </c>
      <c r="F609">
        <v>14.57</v>
      </c>
      <c r="G609" t="s">
        <v>1889</v>
      </c>
      <c r="H609" t="s">
        <v>1891</v>
      </c>
      <c r="I609" t="s">
        <v>215</v>
      </c>
      <c r="J609" t="s">
        <v>152</v>
      </c>
      <c r="K609" t="s">
        <v>2786</v>
      </c>
      <c r="L609" t="s">
        <v>3329</v>
      </c>
    </row>
    <row r="610" spans="1:12" x14ac:dyDescent="0.55000000000000004">
      <c r="A610">
        <v>934</v>
      </c>
      <c r="B610" t="s">
        <v>59</v>
      </c>
      <c r="C610">
        <v>25</v>
      </c>
      <c r="D610">
        <v>422</v>
      </c>
      <c r="E610" t="s">
        <v>1156</v>
      </c>
      <c r="F610">
        <v>13.81</v>
      </c>
      <c r="G610" t="s">
        <v>1889</v>
      </c>
      <c r="H610" t="s">
        <v>1891</v>
      </c>
      <c r="I610" t="s">
        <v>215</v>
      </c>
      <c r="J610" t="s">
        <v>154</v>
      </c>
      <c r="K610" t="s">
        <v>2788</v>
      </c>
      <c r="L610" t="s">
        <v>3329</v>
      </c>
    </row>
    <row r="611" spans="1:12" x14ac:dyDescent="0.55000000000000004">
      <c r="A611">
        <v>950</v>
      </c>
      <c r="B611" t="s">
        <v>60</v>
      </c>
      <c r="C611">
        <v>25</v>
      </c>
      <c r="D611">
        <v>420</v>
      </c>
      <c r="E611" t="s">
        <v>1172</v>
      </c>
      <c r="F611">
        <v>12.75</v>
      </c>
      <c r="G611" t="s">
        <v>1889</v>
      </c>
      <c r="H611" t="s">
        <v>1891</v>
      </c>
      <c r="I611" t="s">
        <v>215</v>
      </c>
      <c r="J611" t="s">
        <v>156</v>
      </c>
      <c r="K611" t="s">
        <v>2798</v>
      </c>
      <c r="L611" t="s">
        <v>3329</v>
      </c>
    </row>
    <row r="612" spans="1:12" x14ac:dyDescent="0.55000000000000004">
      <c r="A612">
        <v>952</v>
      </c>
      <c r="B612" t="s">
        <v>60</v>
      </c>
      <c r="C612">
        <v>25</v>
      </c>
      <c r="D612">
        <v>420</v>
      </c>
      <c r="E612" t="s">
        <v>1174</v>
      </c>
      <c r="F612">
        <v>15.05</v>
      </c>
      <c r="G612" t="s">
        <v>1889</v>
      </c>
      <c r="H612" t="s">
        <v>1891</v>
      </c>
      <c r="I612" t="s">
        <v>215</v>
      </c>
      <c r="J612" t="s">
        <v>158</v>
      </c>
      <c r="K612" t="s">
        <v>2800</v>
      </c>
      <c r="L612" t="s">
        <v>3329</v>
      </c>
    </row>
    <row r="613" spans="1:12" x14ac:dyDescent="0.55000000000000004">
      <c r="A613">
        <v>954</v>
      </c>
      <c r="B613" t="s">
        <v>60</v>
      </c>
      <c r="C613">
        <v>25</v>
      </c>
      <c r="D613">
        <v>420</v>
      </c>
      <c r="E613" t="s">
        <v>1176</v>
      </c>
      <c r="F613">
        <v>13.72</v>
      </c>
      <c r="G613" t="s">
        <v>1889</v>
      </c>
      <c r="H613" t="s">
        <v>1891</v>
      </c>
      <c r="I613" t="s">
        <v>215</v>
      </c>
      <c r="J613" t="s">
        <v>160</v>
      </c>
      <c r="K613" t="s">
        <v>2802</v>
      </c>
      <c r="L613" t="s">
        <v>3329</v>
      </c>
    </row>
    <row r="614" spans="1:12" x14ac:dyDescent="0.55000000000000004">
      <c r="A614">
        <v>956</v>
      </c>
      <c r="B614" t="s">
        <v>60</v>
      </c>
      <c r="C614">
        <v>25</v>
      </c>
      <c r="D614">
        <v>420</v>
      </c>
      <c r="E614" t="s">
        <v>1178</v>
      </c>
      <c r="F614">
        <v>14.87</v>
      </c>
      <c r="G614" t="s">
        <v>1889</v>
      </c>
      <c r="H614" t="s">
        <v>1891</v>
      </c>
      <c r="I614" t="s">
        <v>215</v>
      </c>
      <c r="J614" t="s">
        <v>162</v>
      </c>
      <c r="K614" t="s">
        <v>2804</v>
      </c>
      <c r="L614" t="s">
        <v>3329</v>
      </c>
    </row>
    <row r="615" spans="1:12" x14ac:dyDescent="0.55000000000000004">
      <c r="A615">
        <v>957</v>
      </c>
      <c r="B615" t="s">
        <v>60</v>
      </c>
      <c r="C615">
        <v>25</v>
      </c>
      <c r="D615">
        <v>420</v>
      </c>
      <c r="E615" t="s">
        <v>1179</v>
      </c>
      <c r="F615">
        <v>13.51</v>
      </c>
      <c r="G615" t="s">
        <v>1889</v>
      </c>
      <c r="H615" t="s">
        <v>1891</v>
      </c>
      <c r="I615" t="s">
        <v>215</v>
      </c>
      <c r="J615" t="s">
        <v>163</v>
      </c>
      <c r="K615" t="s">
        <v>2805</v>
      </c>
      <c r="L615" t="s">
        <v>3329</v>
      </c>
    </row>
    <row r="616" spans="1:12" x14ac:dyDescent="0.55000000000000004">
      <c r="A616">
        <v>959</v>
      </c>
      <c r="B616" t="s">
        <v>60</v>
      </c>
      <c r="C616">
        <v>25</v>
      </c>
      <c r="D616">
        <v>420</v>
      </c>
      <c r="E616" t="s">
        <v>1181</v>
      </c>
      <c r="F616">
        <v>12.41</v>
      </c>
      <c r="G616" t="s">
        <v>1889</v>
      </c>
      <c r="H616" t="s">
        <v>1891</v>
      </c>
      <c r="I616" t="s">
        <v>215</v>
      </c>
      <c r="J616" t="s">
        <v>165</v>
      </c>
      <c r="K616" t="s">
        <v>2807</v>
      </c>
      <c r="L616" t="s">
        <v>3329</v>
      </c>
    </row>
    <row r="617" spans="1:12" x14ac:dyDescent="0.55000000000000004">
      <c r="A617">
        <v>975</v>
      </c>
      <c r="B617" t="s">
        <v>61</v>
      </c>
      <c r="C617">
        <v>25</v>
      </c>
      <c r="D617">
        <v>419</v>
      </c>
      <c r="E617" t="s">
        <v>1197</v>
      </c>
      <c r="F617">
        <v>13.77</v>
      </c>
      <c r="G617" t="s">
        <v>1889</v>
      </c>
      <c r="H617" t="s">
        <v>1891</v>
      </c>
      <c r="I617" t="s">
        <v>215</v>
      </c>
      <c r="J617" t="s">
        <v>167</v>
      </c>
      <c r="K617" t="s">
        <v>2820</v>
      </c>
      <c r="L617" t="s">
        <v>3329</v>
      </c>
    </row>
    <row r="618" spans="1:12" x14ac:dyDescent="0.55000000000000004">
      <c r="A618">
        <v>977</v>
      </c>
      <c r="B618" t="s">
        <v>61</v>
      </c>
      <c r="C618">
        <v>25</v>
      </c>
      <c r="D618">
        <v>419</v>
      </c>
      <c r="E618" t="s">
        <v>1199</v>
      </c>
      <c r="F618">
        <v>12.29</v>
      </c>
      <c r="G618" t="s">
        <v>1889</v>
      </c>
      <c r="H618" t="s">
        <v>1891</v>
      </c>
      <c r="I618" t="s">
        <v>215</v>
      </c>
      <c r="J618" t="s">
        <v>169</v>
      </c>
      <c r="K618" t="s">
        <v>2822</v>
      </c>
      <c r="L618" t="s">
        <v>3329</v>
      </c>
    </row>
    <row r="619" spans="1:12" x14ac:dyDescent="0.55000000000000004">
      <c r="A619">
        <v>979</v>
      </c>
      <c r="B619" t="s">
        <v>61</v>
      </c>
      <c r="C619">
        <v>25</v>
      </c>
      <c r="D619">
        <v>419</v>
      </c>
      <c r="E619" t="s">
        <v>1201</v>
      </c>
      <c r="F619">
        <v>12.96</v>
      </c>
      <c r="G619" t="s">
        <v>1889</v>
      </c>
      <c r="H619" t="s">
        <v>1891</v>
      </c>
      <c r="I619" t="s">
        <v>215</v>
      </c>
      <c r="J619" t="s">
        <v>171</v>
      </c>
      <c r="K619" t="s">
        <v>2824</v>
      </c>
      <c r="L619" t="s">
        <v>3329</v>
      </c>
    </row>
    <row r="620" spans="1:12" x14ac:dyDescent="0.55000000000000004">
      <c r="A620">
        <v>981</v>
      </c>
      <c r="B620" t="s">
        <v>61</v>
      </c>
      <c r="C620">
        <v>25</v>
      </c>
      <c r="D620">
        <v>419</v>
      </c>
      <c r="E620" t="s">
        <v>1203</v>
      </c>
      <c r="F620">
        <v>12.87</v>
      </c>
      <c r="G620" t="s">
        <v>1889</v>
      </c>
      <c r="H620" t="s">
        <v>1891</v>
      </c>
      <c r="I620" t="s">
        <v>215</v>
      </c>
      <c r="J620" t="s">
        <v>173</v>
      </c>
      <c r="K620" t="s">
        <v>2826</v>
      </c>
      <c r="L620" t="s">
        <v>3329</v>
      </c>
    </row>
    <row r="621" spans="1:12" x14ac:dyDescent="0.55000000000000004">
      <c r="A621">
        <v>982</v>
      </c>
      <c r="B621" t="s">
        <v>61</v>
      </c>
      <c r="C621">
        <v>25</v>
      </c>
      <c r="D621">
        <v>419</v>
      </c>
      <c r="E621" t="s">
        <v>1204</v>
      </c>
      <c r="F621">
        <v>14.49</v>
      </c>
      <c r="G621" t="s">
        <v>1889</v>
      </c>
      <c r="H621" t="s">
        <v>1891</v>
      </c>
      <c r="I621" t="s">
        <v>215</v>
      </c>
      <c r="J621" t="s">
        <v>174</v>
      </c>
      <c r="K621" t="s">
        <v>2827</v>
      </c>
      <c r="L621" t="s">
        <v>3329</v>
      </c>
    </row>
    <row r="622" spans="1:12" x14ac:dyDescent="0.55000000000000004">
      <c r="A622">
        <v>984</v>
      </c>
      <c r="B622" t="s">
        <v>61</v>
      </c>
      <c r="C622">
        <v>25</v>
      </c>
      <c r="D622">
        <v>419</v>
      </c>
      <c r="E622" t="s">
        <v>1206</v>
      </c>
      <c r="F622">
        <v>11.97</v>
      </c>
      <c r="G622" t="s">
        <v>1889</v>
      </c>
      <c r="H622" t="s">
        <v>1891</v>
      </c>
      <c r="I622" t="s">
        <v>215</v>
      </c>
      <c r="J622" t="s">
        <v>176</v>
      </c>
      <c r="K622" t="s">
        <v>2829</v>
      </c>
      <c r="L622" t="s">
        <v>3329</v>
      </c>
    </row>
    <row r="623" spans="1:12" x14ac:dyDescent="0.55000000000000004">
      <c r="A623">
        <v>1000</v>
      </c>
      <c r="B623" t="s">
        <v>62</v>
      </c>
      <c r="C623">
        <v>25</v>
      </c>
      <c r="D623">
        <v>418</v>
      </c>
      <c r="E623" t="s">
        <v>1222</v>
      </c>
      <c r="F623">
        <v>14.75</v>
      </c>
      <c r="G623" t="s">
        <v>1889</v>
      </c>
      <c r="H623" t="s">
        <v>1891</v>
      </c>
      <c r="I623" t="s">
        <v>215</v>
      </c>
      <c r="J623" t="s">
        <v>178</v>
      </c>
      <c r="K623" t="s">
        <v>2845</v>
      </c>
      <c r="L623" t="s">
        <v>3329</v>
      </c>
    </row>
    <row r="624" spans="1:12" x14ac:dyDescent="0.55000000000000004">
      <c r="A624">
        <v>1002</v>
      </c>
      <c r="B624" t="s">
        <v>62</v>
      </c>
      <c r="C624">
        <v>25</v>
      </c>
      <c r="D624">
        <v>418</v>
      </c>
      <c r="E624" t="s">
        <v>1224</v>
      </c>
      <c r="F624">
        <v>15.18</v>
      </c>
      <c r="G624" t="s">
        <v>2113</v>
      </c>
      <c r="H624" t="s">
        <v>110</v>
      </c>
      <c r="I624" t="s">
        <v>215</v>
      </c>
      <c r="J624" t="s">
        <v>180</v>
      </c>
      <c r="L624" t="s">
        <v>3329</v>
      </c>
    </row>
    <row r="625" spans="1:12" x14ac:dyDescent="0.55000000000000004">
      <c r="A625">
        <v>1004</v>
      </c>
      <c r="B625" t="s">
        <v>62</v>
      </c>
      <c r="C625">
        <v>25</v>
      </c>
      <c r="D625">
        <v>418</v>
      </c>
      <c r="E625" t="s">
        <v>1226</v>
      </c>
      <c r="F625">
        <v>15.18</v>
      </c>
      <c r="G625" t="s">
        <v>2113</v>
      </c>
      <c r="H625" t="s">
        <v>110</v>
      </c>
      <c r="I625" t="s">
        <v>215</v>
      </c>
      <c r="J625" t="s">
        <v>182</v>
      </c>
      <c r="L625" t="s">
        <v>3329</v>
      </c>
    </row>
    <row r="626" spans="1:12" x14ac:dyDescent="0.55000000000000004">
      <c r="A626">
        <v>1006</v>
      </c>
      <c r="B626" t="s">
        <v>62</v>
      </c>
      <c r="C626">
        <v>25</v>
      </c>
      <c r="D626">
        <v>418</v>
      </c>
      <c r="E626" t="s">
        <v>1228</v>
      </c>
      <c r="F626">
        <v>16.190000000000001</v>
      </c>
      <c r="G626" t="s">
        <v>2113</v>
      </c>
      <c r="H626" t="s">
        <v>110</v>
      </c>
      <c r="I626" t="s">
        <v>215</v>
      </c>
      <c r="J626" t="s">
        <v>184</v>
      </c>
      <c r="L626" t="s">
        <v>3329</v>
      </c>
    </row>
    <row r="627" spans="1:12" x14ac:dyDescent="0.55000000000000004">
      <c r="A627">
        <v>1007</v>
      </c>
      <c r="B627" t="s">
        <v>62</v>
      </c>
      <c r="C627">
        <v>25</v>
      </c>
      <c r="D627">
        <v>418</v>
      </c>
      <c r="E627" t="s">
        <v>1229</v>
      </c>
      <c r="F627">
        <v>16.07</v>
      </c>
      <c r="G627" t="s">
        <v>2113</v>
      </c>
      <c r="H627" t="s">
        <v>110</v>
      </c>
      <c r="I627" t="s">
        <v>215</v>
      </c>
      <c r="J627" t="s">
        <v>185</v>
      </c>
      <c r="L627" t="s">
        <v>3329</v>
      </c>
    </row>
    <row r="628" spans="1:12" x14ac:dyDescent="0.55000000000000004">
      <c r="A628">
        <v>1009</v>
      </c>
      <c r="B628" t="s">
        <v>62</v>
      </c>
      <c r="C628">
        <v>25</v>
      </c>
      <c r="D628">
        <v>418</v>
      </c>
      <c r="E628" t="s">
        <v>1231</v>
      </c>
      <c r="F628">
        <v>17.11</v>
      </c>
      <c r="G628" t="s">
        <v>2113</v>
      </c>
      <c r="H628" t="s">
        <v>110</v>
      </c>
      <c r="I628" t="s">
        <v>215</v>
      </c>
      <c r="J628" t="s">
        <v>187</v>
      </c>
      <c r="L628" t="s">
        <v>3329</v>
      </c>
    </row>
    <row r="629" spans="1:12" x14ac:dyDescent="0.55000000000000004">
      <c r="A629">
        <v>1025</v>
      </c>
      <c r="B629" t="s">
        <v>63</v>
      </c>
      <c r="C629">
        <v>11</v>
      </c>
      <c r="D629">
        <v>417</v>
      </c>
      <c r="E629" t="s">
        <v>1247</v>
      </c>
      <c r="F629">
        <v>12.1</v>
      </c>
      <c r="G629" t="s">
        <v>1889</v>
      </c>
      <c r="H629" t="s">
        <v>1891</v>
      </c>
      <c r="I629" t="s">
        <v>215</v>
      </c>
      <c r="J629" t="s">
        <v>189</v>
      </c>
      <c r="K629" t="s">
        <v>2854</v>
      </c>
      <c r="L629" t="s">
        <v>3329</v>
      </c>
    </row>
    <row r="630" spans="1:12" x14ac:dyDescent="0.55000000000000004">
      <c r="A630">
        <v>1027</v>
      </c>
      <c r="B630" t="s">
        <v>63</v>
      </c>
      <c r="C630">
        <v>11</v>
      </c>
      <c r="D630">
        <v>417</v>
      </c>
      <c r="E630" t="s">
        <v>1249</v>
      </c>
      <c r="F630">
        <v>13.9</v>
      </c>
      <c r="G630" t="s">
        <v>1889</v>
      </c>
      <c r="H630" t="s">
        <v>1891</v>
      </c>
      <c r="I630" t="s">
        <v>215</v>
      </c>
      <c r="J630" t="s">
        <v>191</v>
      </c>
      <c r="K630" t="s">
        <v>2856</v>
      </c>
      <c r="L630" t="s">
        <v>3329</v>
      </c>
    </row>
    <row r="631" spans="1:12" x14ac:dyDescent="0.55000000000000004">
      <c r="A631">
        <v>1029</v>
      </c>
      <c r="B631" t="s">
        <v>63</v>
      </c>
      <c r="C631">
        <v>11</v>
      </c>
      <c r="D631">
        <v>417</v>
      </c>
      <c r="E631" t="s">
        <v>1251</v>
      </c>
      <c r="F631">
        <v>12.97</v>
      </c>
      <c r="G631" t="s">
        <v>1889</v>
      </c>
      <c r="H631" t="s">
        <v>1891</v>
      </c>
      <c r="I631" t="s">
        <v>215</v>
      </c>
      <c r="J631" t="s">
        <v>193</v>
      </c>
      <c r="K631" t="s">
        <v>2858</v>
      </c>
      <c r="L631" t="s">
        <v>3329</v>
      </c>
    </row>
    <row r="632" spans="1:12" x14ac:dyDescent="0.55000000000000004">
      <c r="A632">
        <v>1031</v>
      </c>
      <c r="B632" t="s">
        <v>63</v>
      </c>
      <c r="C632">
        <v>11</v>
      </c>
      <c r="D632">
        <v>417</v>
      </c>
      <c r="E632" t="s">
        <v>1253</v>
      </c>
      <c r="F632">
        <v>15.73</v>
      </c>
      <c r="G632" t="s">
        <v>1889</v>
      </c>
      <c r="H632" t="s">
        <v>1891</v>
      </c>
      <c r="I632" t="s">
        <v>215</v>
      </c>
      <c r="J632" t="s">
        <v>195</v>
      </c>
      <c r="K632" t="s">
        <v>2860</v>
      </c>
      <c r="L632" t="s">
        <v>3329</v>
      </c>
    </row>
    <row r="633" spans="1:12" x14ac:dyDescent="0.55000000000000004">
      <c r="A633">
        <v>1032</v>
      </c>
      <c r="B633" t="s">
        <v>63</v>
      </c>
      <c r="C633">
        <v>11</v>
      </c>
      <c r="D633">
        <v>417</v>
      </c>
      <c r="E633" t="s">
        <v>1254</v>
      </c>
      <c r="F633">
        <v>15.75</v>
      </c>
      <c r="G633" t="s">
        <v>1889</v>
      </c>
      <c r="H633" t="s">
        <v>1891</v>
      </c>
      <c r="I633" t="s">
        <v>215</v>
      </c>
      <c r="J633" t="s">
        <v>196</v>
      </c>
      <c r="K633" t="s">
        <v>2861</v>
      </c>
      <c r="L633" t="s">
        <v>3329</v>
      </c>
    </row>
    <row r="634" spans="1:12" x14ac:dyDescent="0.55000000000000004">
      <c r="A634">
        <v>1034</v>
      </c>
      <c r="B634" t="s">
        <v>64</v>
      </c>
      <c r="C634">
        <v>25</v>
      </c>
      <c r="D634">
        <v>415</v>
      </c>
      <c r="E634" t="s">
        <v>1256</v>
      </c>
      <c r="F634">
        <v>14.18</v>
      </c>
      <c r="G634" t="s">
        <v>1889</v>
      </c>
      <c r="H634" t="s">
        <v>1891</v>
      </c>
      <c r="I634" t="s">
        <v>215</v>
      </c>
      <c r="J634" t="s">
        <v>198</v>
      </c>
      <c r="K634" t="s">
        <v>2863</v>
      </c>
      <c r="L634" t="s">
        <v>3329</v>
      </c>
    </row>
    <row r="635" spans="1:12" x14ac:dyDescent="0.55000000000000004">
      <c r="A635">
        <v>1037</v>
      </c>
      <c r="B635" t="s">
        <v>64</v>
      </c>
      <c r="C635">
        <v>25</v>
      </c>
      <c r="D635">
        <v>415</v>
      </c>
      <c r="E635" t="s">
        <v>1259</v>
      </c>
      <c r="F635">
        <v>15.76</v>
      </c>
      <c r="G635" t="s">
        <v>1889</v>
      </c>
      <c r="H635" t="s">
        <v>1891</v>
      </c>
      <c r="I635" t="s">
        <v>215</v>
      </c>
      <c r="J635" t="s">
        <v>200</v>
      </c>
      <c r="K635" t="s">
        <v>2866</v>
      </c>
      <c r="L635" t="s">
        <v>3329</v>
      </c>
    </row>
    <row r="636" spans="1:12" x14ac:dyDescent="0.55000000000000004">
      <c r="A636">
        <v>1039</v>
      </c>
      <c r="B636" t="s">
        <v>64</v>
      </c>
      <c r="C636">
        <v>25</v>
      </c>
      <c r="D636">
        <v>415</v>
      </c>
      <c r="E636" t="s">
        <v>1261</v>
      </c>
      <c r="F636">
        <v>10.94</v>
      </c>
      <c r="G636" t="s">
        <v>1889</v>
      </c>
      <c r="H636" t="s">
        <v>1891</v>
      </c>
      <c r="I636" t="s">
        <v>215</v>
      </c>
      <c r="J636" t="s">
        <v>202</v>
      </c>
      <c r="K636" t="s">
        <v>2868</v>
      </c>
      <c r="L636" t="s">
        <v>3329</v>
      </c>
    </row>
    <row r="637" spans="1:12" x14ac:dyDescent="0.55000000000000004">
      <c r="A637">
        <v>1041</v>
      </c>
      <c r="B637" t="s">
        <v>64</v>
      </c>
      <c r="C637">
        <v>25</v>
      </c>
      <c r="D637">
        <v>415</v>
      </c>
      <c r="E637" t="s">
        <v>1263</v>
      </c>
      <c r="F637">
        <v>15.15</v>
      </c>
      <c r="G637" t="s">
        <v>1889</v>
      </c>
      <c r="H637" t="s">
        <v>1891</v>
      </c>
      <c r="I637" t="s">
        <v>215</v>
      </c>
      <c r="J637" t="s">
        <v>204</v>
      </c>
      <c r="K637" t="s">
        <v>2870</v>
      </c>
      <c r="L637" t="s">
        <v>3329</v>
      </c>
    </row>
    <row r="638" spans="1:12" x14ac:dyDescent="0.55000000000000004">
      <c r="A638">
        <v>1043</v>
      </c>
      <c r="B638" t="s">
        <v>64</v>
      </c>
      <c r="C638">
        <v>25</v>
      </c>
      <c r="D638">
        <v>415</v>
      </c>
      <c r="E638" t="s">
        <v>1265</v>
      </c>
      <c r="F638">
        <v>13.31</v>
      </c>
      <c r="G638" t="s">
        <v>1889</v>
      </c>
      <c r="H638" t="s">
        <v>1891</v>
      </c>
      <c r="I638" t="s">
        <v>215</v>
      </c>
      <c r="J638" t="s">
        <v>206</v>
      </c>
      <c r="K638" t="s">
        <v>2872</v>
      </c>
      <c r="L638" t="s">
        <v>3329</v>
      </c>
    </row>
    <row r="639" spans="1:12" x14ac:dyDescent="0.55000000000000004">
      <c r="A639">
        <v>1044</v>
      </c>
      <c r="B639" t="s">
        <v>64</v>
      </c>
      <c r="C639">
        <v>25</v>
      </c>
      <c r="D639">
        <v>415</v>
      </c>
      <c r="E639" t="s">
        <v>1266</v>
      </c>
      <c r="F639">
        <v>13.61</v>
      </c>
      <c r="G639" t="s">
        <v>1889</v>
      </c>
      <c r="H639" t="s">
        <v>1891</v>
      </c>
      <c r="I639" t="s">
        <v>215</v>
      </c>
      <c r="J639" t="s">
        <v>207</v>
      </c>
      <c r="K639" t="s">
        <v>2873</v>
      </c>
      <c r="L639" t="s">
        <v>3329</v>
      </c>
    </row>
    <row r="640" spans="1:12" x14ac:dyDescent="0.55000000000000004">
      <c r="A640">
        <v>1059</v>
      </c>
      <c r="B640" t="s">
        <v>65</v>
      </c>
      <c r="C640">
        <v>25</v>
      </c>
      <c r="D640">
        <v>414</v>
      </c>
      <c r="E640" t="s">
        <v>1281</v>
      </c>
      <c r="F640">
        <v>15.74</v>
      </c>
      <c r="G640" t="s">
        <v>1889</v>
      </c>
      <c r="H640" t="s">
        <v>1891</v>
      </c>
      <c r="I640" t="s">
        <v>215</v>
      </c>
      <c r="J640" t="s">
        <v>209</v>
      </c>
      <c r="K640" t="s">
        <v>2881</v>
      </c>
      <c r="L640" t="s">
        <v>3329</v>
      </c>
    </row>
    <row r="641" spans="1:12" x14ac:dyDescent="0.55000000000000004">
      <c r="A641">
        <v>1061</v>
      </c>
      <c r="B641" t="s">
        <v>65</v>
      </c>
      <c r="C641">
        <v>25</v>
      </c>
      <c r="D641">
        <v>414</v>
      </c>
      <c r="E641" t="s">
        <v>1283</v>
      </c>
      <c r="F641">
        <v>14.52</v>
      </c>
      <c r="G641" t="s">
        <v>1889</v>
      </c>
      <c r="H641" t="s">
        <v>1891</v>
      </c>
      <c r="I641" t="s">
        <v>216</v>
      </c>
      <c r="J641" t="s">
        <v>122</v>
      </c>
      <c r="K641" t="s">
        <v>2883</v>
      </c>
      <c r="L641" t="s">
        <v>3329</v>
      </c>
    </row>
    <row r="642" spans="1:12" x14ac:dyDescent="0.55000000000000004">
      <c r="A642">
        <v>1063</v>
      </c>
      <c r="B642" t="s">
        <v>65</v>
      </c>
      <c r="C642">
        <v>25</v>
      </c>
      <c r="D642">
        <v>414</v>
      </c>
      <c r="E642" t="s">
        <v>1285</v>
      </c>
      <c r="F642">
        <v>15.26</v>
      </c>
      <c r="G642" t="s">
        <v>1889</v>
      </c>
      <c r="H642" t="s">
        <v>1891</v>
      </c>
      <c r="I642" t="s">
        <v>216</v>
      </c>
      <c r="J642" t="s">
        <v>124</v>
      </c>
      <c r="K642" t="s">
        <v>2885</v>
      </c>
      <c r="L642" t="s">
        <v>3329</v>
      </c>
    </row>
    <row r="643" spans="1:12" x14ac:dyDescent="0.55000000000000004">
      <c r="A643">
        <v>1065</v>
      </c>
      <c r="B643" t="s">
        <v>65</v>
      </c>
      <c r="C643">
        <v>25</v>
      </c>
      <c r="D643">
        <v>414</v>
      </c>
      <c r="E643" t="s">
        <v>1287</v>
      </c>
      <c r="F643">
        <v>14.25</v>
      </c>
      <c r="G643" t="s">
        <v>1889</v>
      </c>
      <c r="H643" t="s">
        <v>1891</v>
      </c>
      <c r="I643" t="s">
        <v>216</v>
      </c>
      <c r="J643" t="s">
        <v>126</v>
      </c>
      <c r="K643" t="s">
        <v>2887</v>
      </c>
      <c r="L643" t="s">
        <v>3329</v>
      </c>
    </row>
    <row r="644" spans="1:12" x14ac:dyDescent="0.55000000000000004">
      <c r="A644">
        <v>1070</v>
      </c>
      <c r="B644" t="s">
        <v>65</v>
      </c>
      <c r="C644">
        <v>25</v>
      </c>
      <c r="D644">
        <v>414</v>
      </c>
      <c r="E644" t="s">
        <v>1292</v>
      </c>
      <c r="F644">
        <v>16.170000000000002</v>
      </c>
      <c r="G644" t="s">
        <v>2113</v>
      </c>
      <c r="H644" t="s">
        <v>110</v>
      </c>
      <c r="I644" t="s">
        <v>216</v>
      </c>
      <c r="J644" t="s">
        <v>131</v>
      </c>
      <c r="L644" t="s">
        <v>3329</v>
      </c>
    </row>
    <row r="645" spans="1:12" x14ac:dyDescent="0.55000000000000004">
      <c r="A645">
        <v>1087</v>
      </c>
      <c r="B645" t="s">
        <v>67</v>
      </c>
      <c r="C645">
        <v>4</v>
      </c>
      <c r="D645">
        <v>405</v>
      </c>
      <c r="E645" t="s">
        <v>1309</v>
      </c>
      <c r="F645">
        <v>14.01</v>
      </c>
      <c r="I645" t="s">
        <v>216</v>
      </c>
      <c r="J645" t="s">
        <v>134</v>
      </c>
      <c r="K645" t="s">
        <v>2903</v>
      </c>
      <c r="L645" t="s">
        <v>3329</v>
      </c>
    </row>
    <row r="646" spans="1:12" x14ac:dyDescent="0.55000000000000004">
      <c r="A646">
        <v>1089</v>
      </c>
      <c r="B646" t="s">
        <v>68</v>
      </c>
      <c r="C646">
        <v>25</v>
      </c>
      <c r="D646">
        <v>401</v>
      </c>
      <c r="E646" t="s">
        <v>1311</v>
      </c>
      <c r="F646">
        <v>16.489999999999998</v>
      </c>
      <c r="G646" t="s">
        <v>2113</v>
      </c>
      <c r="H646" t="s">
        <v>110</v>
      </c>
      <c r="I646" t="s">
        <v>216</v>
      </c>
      <c r="J646" t="s">
        <v>136</v>
      </c>
      <c r="L646" t="s">
        <v>3329</v>
      </c>
    </row>
    <row r="647" spans="1:12" x14ac:dyDescent="0.55000000000000004">
      <c r="A647">
        <v>1091</v>
      </c>
      <c r="B647" t="s">
        <v>68</v>
      </c>
      <c r="C647">
        <v>25</v>
      </c>
      <c r="D647">
        <v>401</v>
      </c>
      <c r="E647" t="s">
        <v>1313</v>
      </c>
      <c r="F647">
        <v>16.5</v>
      </c>
      <c r="G647" t="s">
        <v>2113</v>
      </c>
      <c r="H647" t="s">
        <v>110</v>
      </c>
      <c r="I647" t="s">
        <v>216</v>
      </c>
      <c r="J647" t="s">
        <v>138</v>
      </c>
      <c r="L647" t="s">
        <v>3329</v>
      </c>
    </row>
    <row r="648" spans="1:12" x14ac:dyDescent="0.55000000000000004">
      <c r="A648">
        <v>1093</v>
      </c>
      <c r="B648" t="s">
        <v>68</v>
      </c>
      <c r="C648">
        <v>25</v>
      </c>
      <c r="D648">
        <v>401</v>
      </c>
      <c r="E648" t="s">
        <v>1315</v>
      </c>
      <c r="F648">
        <v>16.100000000000001</v>
      </c>
      <c r="G648" t="s">
        <v>2113</v>
      </c>
      <c r="H648" t="s">
        <v>110</v>
      </c>
      <c r="I648" t="s">
        <v>216</v>
      </c>
      <c r="J648" t="s">
        <v>140</v>
      </c>
      <c r="L648" t="s">
        <v>3329</v>
      </c>
    </row>
    <row r="649" spans="1:12" x14ac:dyDescent="0.55000000000000004">
      <c r="A649">
        <v>1094</v>
      </c>
      <c r="B649" t="s">
        <v>68</v>
      </c>
      <c r="C649">
        <v>25</v>
      </c>
      <c r="D649">
        <v>401</v>
      </c>
      <c r="E649" t="s">
        <v>1316</v>
      </c>
      <c r="F649">
        <v>19.8</v>
      </c>
      <c r="G649" t="s">
        <v>2113</v>
      </c>
      <c r="H649" t="s">
        <v>110</v>
      </c>
      <c r="I649" t="s">
        <v>216</v>
      </c>
      <c r="J649" t="s">
        <v>141</v>
      </c>
      <c r="L649" t="s">
        <v>3329</v>
      </c>
    </row>
    <row r="650" spans="1:12" x14ac:dyDescent="0.55000000000000004">
      <c r="A650">
        <v>1096</v>
      </c>
      <c r="B650" t="s">
        <v>68</v>
      </c>
      <c r="C650">
        <v>25</v>
      </c>
      <c r="D650">
        <v>401</v>
      </c>
      <c r="E650" t="s">
        <v>1318</v>
      </c>
      <c r="F650">
        <v>9.99</v>
      </c>
      <c r="G650" t="s">
        <v>1889</v>
      </c>
      <c r="H650" t="s">
        <v>1891</v>
      </c>
      <c r="I650" t="s">
        <v>216</v>
      </c>
      <c r="J650" t="s">
        <v>143</v>
      </c>
      <c r="K650" t="s">
        <v>2905</v>
      </c>
      <c r="L650" t="s">
        <v>3329</v>
      </c>
    </row>
    <row r="651" spans="1:12" x14ac:dyDescent="0.55000000000000004">
      <c r="A651">
        <v>1099</v>
      </c>
      <c r="B651" t="s">
        <v>68</v>
      </c>
      <c r="C651">
        <v>25</v>
      </c>
      <c r="D651">
        <v>401</v>
      </c>
      <c r="E651" t="s">
        <v>1321</v>
      </c>
      <c r="F651">
        <v>9.65</v>
      </c>
      <c r="G651" t="s">
        <v>1889</v>
      </c>
      <c r="H651" t="s">
        <v>1891</v>
      </c>
      <c r="I651" t="s">
        <v>216</v>
      </c>
      <c r="J651" t="s">
        <v>145</v>
      </c>
      <c r="K651" t="s">
        <v>2908</v>
      </c>
      <c r="L651" t="s">
        <v>3329</v>
      </c>
    </row>
    <row r="652" spans="1:12" x14ac:dyDescent="0.55000000000000004">
      <c r="A652">
        <v>1114</v>
      </c>
      <c r="B652" t="s">
        <v>69</v>
      </c>
      <c r="C652">
        <v>25</v>
      </c>
      <c r="D652">
        <v>402</v>
      </c>
      <c r="E652" t="s">
        <v>1336</v>
      </c>
      <c r="F652">
        <v>13.64</v>
      </c>
      <c r="I652" t="s">
        <v>216</v>
      </c>
      <c r="J652" t="s">
        <v>147</v>
      </c>
      <c r="K652" t="s">
        <v>2919</v>
      </c>
      <c r="L652" t="s">
        <v>3329</v>
      </c>
    </row>
    <row r="653" spans="1:12" x14ac:dyDescent="0.55000000000000004">
      <c r="A653">
        <v>1116</v>
      </c>
      <c r="B653" t="s">
        <v>69</v>
      </c>
      <c r="C653">
        <v>25</v>
      </c>
      <c r="D653">
        <v>402</v>
      </c>
      <c r="E653" t="s">
        <v>1338</v>
      </c>
      <c r="F653">
        <v>15.39</v>
      </c>
      <c r="I653" t="s">
        <v>216</v>
      </c>
      <c r="J653" t="s">
        <v>149</v>
      </c>
      <c r="K653" t="s">
        <v>2921</v>
      </c>
      <c r="L653" t="s">
        <v>3329</v>
      </c>
    </row>
    <row r="654" spans="1:12" x14ac:dyDescent="0.55000000000000004">
      <c r="A654">
        <v>1118</v>
      </c>
      <c r="B654" t="s">
        <v>69</v>
      </c>
      <c r="C654">
        <v>25</v>
      </c>
      <c r="D654">
        <v>402</v>
      </c>
      <c r="E654" t="s">
        <v>1340</v>
      </c>
      <c r="F654">
        <v>14.52</v>
      </c>
      <c r="I654" t="s">
        <v>216</v>
      </c>
      <c r="J654" t="s">
        <v>151</v>
      </c>
      <c r="K654" t="s">
        <v>2923</v>
      </c>
      <c r="L654" t="s">
        <v>3329</v>
      </c>
    </row>
    <row r="655" spans="1:12" x14ac:dyDescent="0.55000000000000004">
      <c r="A655">
        <v>1119</v>
      </c>
      <c r="B655" t="s">
        <v>69</v>
      </c>
      <c r="C655">
        <v>25</v>
      </c>
      <c r="D655">
        <v>402</v>
      </c>
      <c r="E655" t="s">
        <v>1341</v>
      </c>
      <c r="F655">
        <v>13.05</v>
      </c>
      <c r="I655" t="s">
        <v>216</v>
      </c>
      <c r="J655" t="s">
        <v>152</v>
      </c>
      <c r="K655" t="s">
        <v>2924</v>
      </c>
      <c r="L655" t="s">
        <v>3329</v>
      </c>
    </row>
    <row r="656" spans="1:12" x14ac:dyDescent="0.55000000000000004">
      <c r="A656">
        <v>1121</v>
      </c>
      <c r="B656" t="s">
        <v>69</v>
      </c>
      <c r="C656">
        <v>25</v>
      </c>
      <c r="D656">
        <v>402</v>
      </c>
      <c r="E656" t="s">
        <v>1343</v>
      </c>
      <c r="F656">
        <v>15.48</v>
      </c>
      <c r="G656" t="s">
        <v>2113</v>
      </c>
      <c r="H656" t="s">
        <v>110</v>
      </c>
      <c r="I656" t="s">
        <v>216</v>
      </c>
      <c r="J656" t="s">
        <v>154</v>
      </c>
      <c r="L656" t="s">
        <v>3329</v>
      </c>
    </row>
    <row r="657" spans="1:12" x14ac:dyDescent="0.55000000000000004">
      <c r="A657">
        <v>1124</v>
      </c>
      <c r="B657" t="s">
        <v>69</v>
      </c>
      <c r="C657">
        <v>25</v>
      </c>
      <c r="D657">
        <v>402</v>
      </c>
      <c r="E657" t="s">
        <v>1346</v>
      </c>
      <c r="F657">
        <v>14.46</v>
      </c>
      <c r="G657" t="s">
        <v>2113</v>
      </c>
      <c r="H657" t="s">
        <v>110</v>
      </c>
      <c r="I657" t="s">
        <v>216</v>
      </c>
      <c r="J657" t="s">
        <v>156</v>
      </c>
      <c r="L657" t="s">
        <v>3329</v>
      </c>
    </row>
    <row r="658" spans="1:12" x14ac:dyDescent="0.55000000000000004">
      <c r="A658">
        <v>1139</v>
      </c>
      <c r="B658" t="s">
        <v>70</v>
      </c>
      <c r="C658">
        <v>25</v>
      </c>
      <c r="D658">
        <v>404</v>
      </c>
      <c r="E658" t="s">
        <v>1361</v>
      </c>
      <c r="F658">
        <v>15.16</v>
      </c>
      <c r="G658" t="s">
        <v>1889</v>
      </c>
      <c r="H658" t="s">
        <v>1891</v>
      </c>
      <c r="I658" t="s">
        <v>216</v>
      </c>
      <c r="J658" t="s">
        <v>158</v>
      </c>
      <c r="K658" t="s">
        <v>2934</v>
      </c>
      <c r="L658" t="s">
        <v>3329</v>
      </c>
    </row>
    <row r="659" spans="1:12" x14ac:dyDescent="0.55000000000000004">
      <c r="A659">
        <v>1141</v>
      </c>
      <c r="B659" t="s">
        <v>70</v>
      </c>
      <c r="C659">
        <v>25</v>
      </c>
      <c r="D659">
        <v>404</v>
      </c>
      <c r="E659" t="s">
        <v>1363</v>
      </c>
      <c r="F659">
        <v>16.059999999999999</v>
      </c>
      <c r="G659" t="s">
        <v>1889</v>
      </c>
      <c r="H659" t="s">
        <v>1891</v>
      </c>
      <c r="I659" t="s">
        <v>216</v>
      </c>
      <c r="J659" t="s">
        <v>160</v>
      </c>
      <c r="K659" t="s">
        <v>2936</v>
      </c>
      <c r="L659" t="s">
        <v>3329</v>
      </c>
    </row>
    <row r="660" spans="1:12" x14ac:dyDescent="0.55000000000000004">
      <c r="A660">
        <v>1143</v>
      </c>
      <c r="B660" t="s">
        <v>70</v>
      </c>
      <c r="C660">
        <v>25</v>
      </c>
      <c r="D660">
        <v>404</v>
      </c>
      <c r="E660" t="s">
        <v>1365</v>
      </c>
      <c r="F660">
        <v>14.16</v>
      </c>
      <c r="G660" t="s">
        <v>1889</v>
      </c>
      <c r="H660" t="s">
        <v>1891</v>
      </c>
      <c r="I660" t="s">
        <v>216</v>
      </c>
      <c r="J660" t="s">
        <v>162</v>
      </c>
      <c r="K660" t="s">
        <v>2938</v>
      </c>
      <c r="L660" t="s">
        <v>3329</v>
      </c>
    </row>
    <row r="661" spans="1:12" x14ac:dyDescent="0.55000000000000004">
      <c r="A661">
        <v>1144</v>
      </c>
      <c r="B661" t="s">
        <v>70</v>
      </c>
      <c r="C661">
        <v>25</v>
      </c>
      <c r="D661">
        <v>404</v>
      </c>
      <c r="E661" t="s">
        <v>1366</v>
      </c>
      <c r="F661">
        <v>14.11</v>
      </c>
      <c r="G661" t="s">
        <v>1889</v>
      </c>
      <c r="H661" t="s">
        <v>1891</v>
      </c>
      <c r="I661" t="s">
        <v>216</v>
      </c>
      <c r="J661" t="s">
        <v>163</v>
      </c>
      <c r="K661" t="s">
        <v>2939</v>
      </c>
      <c r="L661" t="s">
        <v>3329</v>
      </c>
    </row>
    <row r="662" spans="1:12" x14ac:dyDescent="0.55000000000000004">
      <c r="A662">
        <v>1146</v>
      </c>
      <c r="B662" t="s">
        <v>70</v>
      </c>
      <c r="C662">
        <v>25</v>
      </c>
      <c r="D662">
        <v>404</v>
      </c>
      <c r="E662" t="s">
        <v>1368</v>
      </c>
      <c r="F662">
        <v>16</v>
      </c>
      <c r="G662" t="s">
        <v>2113</v>
      </c>
      <c r="H662" t="s">
        <v>110</v>
      </c>
      <c r="I662" t="s">
        <v>216</v>
      </c>
      <c r="J662" t="s">
        <v>165</v>
      </c>
      <c r="L662" t="s">
        <v>3329</v>
      </c>
    </row>
    <row r="663" spans="1:12" x14ac:dyDescent="0.55000000000000004">
      <c r="A663">
        <v>1149</v>
      </c>
      <c r="B663" t="s">
        <v>70</v>
      </c>
      <c r="C663">
        <v>25</v>
      </c>
      <c r="D663">
        <v>404</v>
      </c>
      <c r="E663" t="s">
        <v>1371</v>
      </c>
      <c r="F663">
        <v>18</v>
      </c>
      <c r="G663" t="s">
        <v>2113</v>
      </c>
      <c r="H663" t="s">
        <v>110</v>
      </c>
      <c r="I663" t="s">
        <v>216</v>
      </c>
      <c r="J663" t="s">
        <v>167</v>
      </c>
      <c r="L663" t="s">
        <v>3329</v>
      </c>
    </row>
    <row r="664" spans="1:12" x14ac:dyDescent="0.55000000000000004">
      <c r="A664">
        <v>1164</v>
      </c>
      <c r="B664" t="s">
        <v>71</v>
      </c>
      <c r="C664">
        <v>25</v>
      </c>
      <c r="D664">
        <v>403</v>
      </c>
      <c r="E664" t="s">
        <v>1386</v>
      </c>
      <c r="F664">
        <v>13.75</v>
      </c>
      <c r="G664" t="s">
        <v>1889</v>
      </c>
      <c r="H664" t="s">
        <v>1891</v>
      </c>
      <c r="I664" t="s">
        <v>216</v>
      </c>
      <c r="J664" t="s">
        <v>169</v>
      </c>
      <c r="K664" t="s">
        <v>2946</v>
      </c>
      <c r="L664" t="s">
        <v>3329</v>
      </c>
    </row>
    <row r="665" spans="1:12" x14ac:dyDescent="0.55000000000000004">
      <c r="A665">
        <v>1166</v>
      </c>
      <c r="B665" t="s">
        <v>71</v>
      </c>
      <c r="C665">
        <v>25</v>
      </c>
      <c r="D665">
        <v>403</v>
      </c>
      <c r="E665" t="s">
        <v>1388</v>
      </c>
      <c r="F665">
        <v>12.86</v>
      </c>
      <c r="G665" t="s">
        <v>1889</v>
      </c>
      <c r="H665" t="s">
        <v>1891</v>
      </c>
      <c r="I665" t="s">
        <v>216</v>
      </c>
      <c r="J665" t="s">
        <v>171</v>
      </c>
      <c r="K665" t="s">
        <v>2948</v>
      </c>
      <c r="L665" t="s">
        <v>3329</v>
      </c>
    </row>
    <row r="666" spans="1:12" x14ac:dyDescent="0.55000000000000004">
      <c r="A666">
        <v>1168</v>
      </c>
      <c r="B666" t="s">
        <v>71</v>
      </c>
      <c r="C666">
        <v>25</v>
      </c>
      <c r="D666">
        <v>403</v>
      </c>
      <c r="E666" t="s">
        <v>1390</v>
      </c>
      <c r="F666">
        <v>14.98</v>
      </c>
      <c r="G666" t="s">
        <v>1889</v>
      </c>
      <c r="H666" t="s">
        <v>1891</v>
      </c>
      <c r="I666" t="s">
        <v>216</v>
      </c>
      <c r="J666" t="s">
        <v>173</v>
      </c>
      <c r="K666" t="s">
        <v>2950</v>
      </c>
      <c r="L666" t="s">
        <v>3329</v>
      </c>
    </row>
    <row r="667" spans="1:12" x14ac:dyDescent="0.55000000000000004">
      <c r="A667">
        <v>1169</v>
      </c>
      <c r="B667" t="s">
        <v>71</v>
      </c>
      <c r="C667">
        <v>25</v>
      </c>
      <c r="D667">
        <v>403</v>
      </c>
      <c r="E667" t="s">
        <v>1391</v>
      </c>
      <c r="F667">
        <v>14.58</v>
      </c>
      <c r="G667" t="s">
        <v>1889</v>
      </c>
      <c r="H667" t="s">
        <v>1891</v>
      </c>
      <c r="I667" t="s">
        <v>216</v>
      </c>
      <c r="J667" t="s">
        <v>174</v>
      </c>
      <c r="K667" t="s">
        <v>2951</v>
      </c>
      <c r="L667" t="s">
        <v>3329</v>
      </c>
    </row>
    <row r="668" spans="1:12" x14ac:dyDescent="0.55000000000000004">
      <c r="A668">
        <v>1171</v>
      </c>
      <c r="B668" t="s">
        <v>71</v>
      </c>
      <c r="C668">
        <v>25</v>
      </c>
      <c r="D668">
        <v>403</v>
      </c>
      <c r="E668" t="s">
        <v>1393</v>
      </c>
      <c r="F668">
        <v>14.65</v>
      </c>
      <c r="G668" t="s">
        <v>1889</v>
      </c>
      <c r="H668" t="s">
        <v>1891</v>
      </c>
      <c r="I668" t="s">
        <v>216</v>
      </c>
      <c r="J668" t="s">
        <v>176</v>
      </c>
      <c r="K668" t="s">
        <v>2953</v>
      </c>
      <c r="L668" t="s">
        <v>3329</v>
      </c>
    </row>
    <row r="669" spans="1:12" x14ac:dyDescent="0.55000000000000004">
      <c r="A669">
        <v>1174</v>
      </c>
      <c r="B669" t="s">
        <v>71</v>
      </c>
      <c r="C669">
        <v>25</v>
      </c>
      <c r="D669">
        <v>403</v>
      </c>
      <c r="E669" t="s">
        <v>1396</v>
      </c>
      <c r="F669">
        <v>16.420000000000002</v>
      </c>
      <c r="G669" t="s">
        <v>2113</v>
      </c>
      <c r="H669" t="s">
        <v>110</v>
      </c>
      <c r="I669" t="s">
        <v>216</v>
      </c>
      <c r="J669" t="s">
        <v>178</v>
      </c>
      <c r="L669" t="s">
        <v>3329</v>
      </c>
    </row>
    <row r="670" spans="1:12" x14ac:dyDescent="0.55000000000000004">
      <c r="A670">
        <v>1189</v>
      </c>
      <c r="B670" t="s">
        <v>72</v>
      </c>
      <c r="C670">
        <v>13</v>
      </c>
      <c r="D670">
        <v>400</v>
      </c>
      <c r="E670" t="s">
        <v>1411</v>
      </c>
      <c r="F670">
        <v>13.8</v>
      </c>
      <c r="G670" t="s">
        <v>1889</v>
      </c>
      <c r="H670" t="s">
        <v>1891</v>
      </c>
      <c r="I670" t="s">
        <v>216</v>
      </c>
      <c r="J670" t="s">
        <v>180</v>
      </c>
      <c r="K670" t="s">
        <v>2957</v>
      </c>
      <c r="L670" t="s">
        <v>3329</v>
      </c>
    </row>
    <row r="671" spans="1:12" x14ac:dyDescent="0.55000000000000004">
      <c r="A671">
        <v>1191</v>
      </c>
      <c r="B671" t="s">
        <v>72</v>
      </c>
      <c r="C671">
        <v>13</v>
      </c>
      <c r="D671">
        <v>400</v>
      </c>
      <c r="E671" t="s">
        <v>1413</v>
      </c>
      <c r="F671">
        <v>14.45</v>
      </c>
      <c r="G671" t="s">
        <v>1889</v>
      </c>
      <c r="H671" t="s">
        <v>1891</v>
      </c>
      <c r="I671" t="s">
        <v>216</v>
      </c>
      <c r="J671" t="s">
        <v>182</v>
      </c>
      <c r="K671" t="s">
        <v>2959</v>
      </c>
      <c r="L671" t="s">
        <v>3329</v>
      </c>
    </row>
    <row r="672" spans="1:12" x14ac:dyDescent="0.55000000000000004">
      <c r="A672">
        <v>1193</v>
      </c>
      <c r="B672" t="s">
        <v>72</v>
      </c>
      <c r="C672">
        <v>13</v>
      </c>
      <c r="D672">
        <v>400</v>
      </c>
      <c r="E672" t="s">
        <v>1415</v>
      </c>
      <c r="F672">
        <v>14.05</v>
      </c>
      <c r="G672" t="s">
        <v>1889</v>
      </c>
      <c r="H672" t="s">
        <v>1891</v>
      </c>
      <c r="I672" t="s">
        <v>216</v>
      </c>
      <c r="J672" t="s">
        <v>184</v>
      </c>
      <c r="K672" t="s">
        <v>2961</v>
      </c>
      <c r="L672" t="s">
        <v>3329</v>
      </c>
    </row>
    <row r="673" spans="1:12" x14ac:dyDescent="0.55000000000000004">
      <c r="A673">
        <v>1194</v>
      </c>
      <c r="B673" t="s">
        <v>72</v>
      </c>
      <c r="C673">
        <v>13</v>
      </c>
      <c r="D673">
        <v>400</v>
      </c>
      <c r="E673" t="s">
        <v>1416</v>
      </c>
      <c r="F673">
        <v>13.98</v>
      </c>
      <c r="G673" t="s">
        <v>1889</v>
      </c>
      <c r="H673" t="s">
        <v>1891</v>
      </c>
      <c r="I673" t="s">
        <v>216</v>
      </c>
      <c r="J673" t="s">
        <v>185</v>
      </c>
      <c r="K673" t="s">
        <v>2962</v>
      </c>
      <c r="L673" t="s">
        <v>3329</v>
      </c>
    </row>
    <row r="674" spans="1:12" x14ac:dyDescent="0.55000000000000004">
      <c r="A674">
        <v>1196</v>
      </c>
      <c r="B674" t="s">
        <v>72</v>
      </c>
      <c r="C674">
        <v>13</v>
      </c>
      <c r="D674">
        <v>400</v>
      </c>
      <c r="E674" t="s">
        <v>1418</v>
      </c>
      <c r="F674">
        <v>13.23</v>
      </c>
      <c r="G674" t="s">
        <v>1889</v>
      </c>
      <c r="H674" t="s">
        <v>1891</v>
      </c>
      <c r="I674" t="s">
        <v>216</v>
      </c>
      <c r="J674" t="s">
        <v>187</v>
      </c>
      <c r="K674" t="s">
        <v>2964</v>
      </c>
      <c r="L674" t="s">
        <v>3329</v>
      </c>
    </row>
    <row r="675" spans="1:12" x14ac:dyDescent="0.55000000000000004">
      <c r="A675">
        <v>1199</v>
      </c>
      <c r="B675" t="s">
        <v>72</v>
      </c>
      <c r="C675">
        <v>13</v>
      </c>
      <c r="D675">
        <v>400</v>
      </c>
      <c r="E675" t="s">
        <v>1421</v>
      </c>
      <c r="F675">
        <v>18.739999999999998</v>
      </c>
      <c r="G675" t="s">
        <v>2113</v>
      </c>
      <c r="H675" t="s">
        <v>110</v>
      </c>
      <c r="I675" t="s">
        <v>216</v>
      </c>
      <c r="J675" t="s">
        <v>189</v>
      </c>
      <c r="L675" t="s">
        <v>3329</v>
      </c>
    </row>
    <row r="676" spans="1:12" x14ac:dyDescent="0.55000000000000004">
      <c r="A676">
        <v>1202</v>
      </c>
      <c r="B676" t="s">
        <v>73</v>
      </c>
      <c r="C676">
        <v>25</v>
      </c>
      <c r="D676">
        <v>191</v>
      </c>
      <c r="E676" t="s">
        <v>1424</v>
      </c>
      <c r="F676">
        <v>12.08</v>
      </c>
      <c r="G676" t="s">
        <v>1889</v>
      </c>
      <c r="H676" t="s">
        <v>1891</v>
      </c>
      <c r="I676" t="s">
        <v>216</v>
      </c>
      <c r="J676" t="s">
        <v>191</v>
      </c>
      <c r="K676" t="s">
        <v>2966</v>
      </c>
      <c r="L676" t="s">
        <v>3329</v>
      </c>
    </row>
    <row r="677" spans="1:12" x14ac:dyDescent="0.55000000000000004">
      <c r="A677">
        <v>1204</v>
      </c>
      <c r="B677" t="s">
        <v>73</v>
      </c>
      <c r="C677">
        <v>25</v>
      </c>
      <c r="D677">
        <v>191</v>
      </c>
      <c r="E677" t="s">
        <v>1426</v>
      </c>
      <c r="F677">
        <v>14.42</v>
      </c>
      <c r="G677" t="s">
        <v>1889</v>
      </c>
      <c r="H677" t="s">
        <v>1891</v>
      </c>
      <c r="I677" t="s">
        <v>216</v>
      </c>
      <c r="J677" t="s">
        <v>193</v>
      </c>
      <c r="K677" t="s">
        <v>2968</v>
      </c>
      <c r="L677" t="s">
        <v>3329</v>
      </c>
    </row>
    <row r="678" spans="1:12" x14ac:dyDescent="0.55000000000000004">
      <c r="A678">
        <v>1206</v>
      </c>
      <c r="B678" t="s">
        <v>73</v>
      </c>
      <c r="C678">
        <v>25</v>
      </c>
      <c r="D678">
        <v>191</v>
      </c>
      <c r="E678" t="s">
        <v>1428</v>
      </c>
      <c r="F678">
        <v>15.59</v>
      </c>
      <c r="G678" t="s">
        <v>1889</v>
      </c>
      <c r="H678" t="s">
        <v>1891</v>
      </c>
      <c r="I678" t="s">
        <v>216</v>
      </c>
      <c r="J678" t="s">
        <v>195</v>
      </c>
      <c r="K678" t="s">
        <v>2970</v>
      </c>
      <c r="L678" t="s">
        <v>3329</v>
      </c>
    </row>
    <row r="679" spans="1:12" x14ac:dyDescent="0.55000000000000004">
      <c r="A679">
        <v>1207</v>
      </c>
      <c r="B679" t="s">
        <v>73</v>
      </c>
      <c r="C679">
        <v>25</v>
      </c>
      <c r="D679">
        <v>191</v>
      </c>
      <c r="E679" t="s">
        <v>1429</v>
      </c>
      <c r="F679">
        <v>13.65</v>
      </c>
      <c r="G679" t="s">
        <v>1889</v>
      </c>
      <c r="H679" t="s">
        <v>1891</v>
      </c>
      <c r="I679" t="s">
        <v>216</v>
      </c>
      <c r="J679" t="s">
        <v>196</v>
      </c>
      <c r="K679" t="s">
        <v>2971</v>
      </c>
      <c r="L679" t="s">
        <v>3329</v>
      </c>
    </row>
    <row r="680" spans="1:12" x14ac:dyDescent="0.55000000000000004">
      <c r="A680">
        <v>1209</v>
      </c>
      <c r="B680" t="s">
        <v>73</v>
      </c>
      <c r="C680">
        <v>25</v>
      </c>
      <c r="D680">
        <v>191</v>
      </c>
      <c r="E680" t="s">
        <v>1431</v>
      </c>
      <c r="F680">
        <v>14.22</v>
      </c>
      <c r="G680" t="s">
        <v>1889</v>
      </c>
      <c r="H680" t="s">
        <v>1891</v>
      </c>
      <c r="I680" t="s">
        <v>216</v>
      </c>
      <c r="J680" t="s">
        <v>198</v>
      </c>
      <c r="K680" t="s">
        <v>2973</v>
      </c>
      <c r="L680" t="s">
        <v>3329</v>
      </c>
    </row>
    <row r="681" spans="1:12" x14ac:dyDescent="0.55000000000000004">
      <c r="A681">
        <v>1212</v>
      </c>
      <c r="B681" t="s">
        <v>73</v>
      </c>
      <c r="C681">
        <v>25</v>
      </c>
      <c r="D681">
        <v>191</v>
      </c>
      <c r="E681" t="s">
        <v>1434</v>
      </c>
      <c r="F681">
        <v>15.28</v>
      </c>
      <c r="G681" t="s">
        <v>1889</v>
      </c>
      <c r="H681" t="s">
        <v>1891</v>
      </c>
      <c r="I681" t="s">
        <v>216</v>
      </c>
      <c r="J681" t="s">
        <v>200</v>
      </c>
      <c r="K681" t="s">
        <v>2976</v>
      </c>
      <c r="L681" t="s">
        <v>3329</v>
      </c>
    </row>
    <row r="682" spans="1:12" x14ac:dyDescent="0.55000000000000004">
      <c r="A682">
        <v>1227</v>
      </c>
      <c r="B682" t="s">
        <v>74</v>
      </c>
      <c r="C682">
        <v>25</v>
      </c>
      <c r="D682">
        <v>207</v>
      </c>
      <c r="E682" t="s">
        <v>1449</v>
      </c>
      <c r="F682">
        <v>12.55</v>
      </c>
      <c r="G682" t="s">
        <v>1889</v>
      </c>
      <c r="H682" t="s">
        <v>1891</v>
      </c>
      <c r="I682" t="s">
        <v>216</v>
      </c>
      <c r="J682" t="s">
        <v>202</v>
      </c>
      <c r="K682" t="s">
        <v>3115</v>
      </c>
      <c r="L682" t="s">
        <v>3329</v>
      </c>
    </row>
    <row r="683" spans="1:12" x14ac:dyDescent="0.55000000000000004">
      <c r="A683">
        <v>1229</v>
      </c>
      <c r="B683" t="s">
        <v>74</v>
      </c>
      <c r="C683">
        <v>25</v>
      </c>
      <c r="D683">
        <v>207</v>
      </c>
      <c r="E683" t="s">
        <v>1451</v>
      </c>
      <c r="F683">
        <v>14.21</v>
      </c>
      <c r="G683" t="s">
        <v>1889</v>
      </c>
      <c r="H683" t="s">
        <v>1891</v>
      </c>
      <c r="I683" t="s">
        <v>216</v>
      </c>
      <c r="J683" t="s">
        <v>204</v>
      </c>
      <c r="K683" t="s">
        <v>3117</v>
      </c>
      <c r="L683" t="s">
        <v>3329</v>
      </c>
    </row>
    <row r="684" spans="1:12" x14ac:dyDescent="0.55000000000000004">
      <c r="A684">
        <v>1231</v>
      </c>
      <c r="B684" t="s">
        <v>74</v>
      </c>
      <c r="C684">
        <v>25</v>
      </c>
      <c r="D684">
        <v>207</v>
      </c>
      <c r="E684" t="s">
        <v>1453</v>
      </c>
      <c r="F684">
        <v>14.67</v>
      </c>
      <c r="G684" t="s">
        <v>1889</v>
      </c>
      <c r="H684" t="s">
        <v>1891</v>
      </c>
      <c r="I684" t="s">
        <v>216</v>
      </c>
      <c r="J684" t="s">
        <v>206</v>
      </c>
      <c r="K684" t="s">
        <v>3119</v>
      </c>
      <c r="L684" t="s">
        <v>3329</v>
      </c>
    </row>
    <row r="685" spans="1:12" x14ac:dyDescent="0.55000000000000004">
      <c r="A685">
        <v>1232</v>
      </c>
      <c r="B685" t="s">
        <v>74</v>
      </c>
      <c r="C685">
        <v>25</v>
      </c>
      <c r="D685">
        <v>207</v>
      </c>
      <c r="E685" t="s">
        <v>1454</v>
      </c>
      <c r="F685">
        <v>14.62</v>
      </c>
      <c r="G685" t="s">
        <v>1889</v>
      </c>
      <c r="H685" t="s">
        <v>1891</v>
      </c>
      <c r="I685" t="s">
        <v>216</v>
      </c>
      <c r="J685" t="s">
        <v>207</v>
      </c>
      <c r="K685" t="s">
        <v>3120</v>
      </c>
      <c r="L685" t="s">
        <v>3329</v>
      </c>
    </row>
    <row r="686" spans="1:12" x14ac:dyDescent="0.55000000000000004">
      <c r="A686">
        <v>1234</v>
      </c>
      <c r="B686" t="s">
        <v>74</v>
      </c>
      <c r="C686">
        <v>25</v>
      </c>
      <c r="D686">
        <v>207</v>
      </c>
      <c r="E686" t="s">
        <v>1456</v>
      </c>
      <c r="F686">
        <v>12.39</v>
      </c>
      <c r="G686" t="s">
        <v>1889</v>
      </c>
      <c r="H686" t="s">
        <v>1891</v>
      </c>
      <c r="I686" t="s">
        <v>216</v>
      </c>
      <c r="J686" t="s">
        <v>209</v>
      </c>
      <c r="K686" t="s">
        <v>3122</v>
      </c>
      <c r="L686" t="s">
        <v>3329</v>
      </c>
    </row>
    <row r="687" spans="1:12" x14ac:dyDescent="0.55000000000000004">
      <c r="A687">
        <v>1236</v>
      </c>
      <c r="B687" t="s">
        <v>74</v>
      </c>
      <c r="C687">
        <v>25</v>
      </c>
      <c r="D687">
        <v>207</v>
      </c>
      <c r="E687" t="s">
        <v>1458</v>
      </c>
      <c r="F687">
        <v>15.32</v>
      </c>
      <c r="G687" t="s">
        <v>1889</v>
      </c>
      <c r="H687" t="s">
        <v>1891</v>
      </c>
      <c r="I687" t="s">
        <v>217</v>
      </c>
      <c r="J687" t="s">
        <v>122</v>
      </c>
      <c r="K687" t="s">
        <v>3124</v>
      </c>
      <c r="L687" t="s">
        <v>3329</v>
      </c>
    </row>
    <row r="688" spans="1:12" x14ac:dyDescent="0.55000000000000004">
      <c r="A688">
        <v>1238</v>
      </c>
      <c r="B688" t="s">
        <v>74</v>
      </c>
      <c r="C688">
        <v>25</v>
      </c>
      <c r="D688">
        <v>207</v>
      </c>
      <c r="E688" t="s">
        <v>1460</v>
      </c>
      <c r="F688">
        <v>14.68</v>
      </c>
      <c r="G688" t="s">
        <v>1889</v>
      </c>
      <c r="H688" t="s">
        <v>1891</v>
      </c>
      <c r="I688" t="s">
        <v>217</v>
      </c>
      <c r="J688" t="s">
        <v>124</v>
      </c>
      <c r="K688" t="s">
        <v>3126</v>
      </c>
      <c r="L688" t="s">
        <v>3329</v>
      </c>
    </row>
    <row r="689" spans="1:12" x14ac:dyDescent="0.55000000000000004">
      <c r="A689">
        <v>1256</v>
      </c>
      <c r="B689" t="s">
        <v>75</v>
      </c>
      <c r="C689">
        <v>7</v>
      </c>
      <c r="D689">
        <v>2161</v>
      </c>
      <c r="E689" t="s">
        <v>1478</v>
      </c>
      <c r="F689">
        <v>14.76</v>
      </c>
      <c r="G689" t="s">
        <v>1889</v>
      </c>
      <c r="H689" t="s">
        <v>1891</v>
      </c>
      <c r="I689" t="s">
        <v>217</v>
      </c>
      <c r="J689" t="s">
        <v>129</v>
      </c>
      <c r="K689" t="s">
        <v>2986</v>
      </c>
      <c r="L689" t="s">
        <v>3329</v>
      </c>
    </row>
    <row r="690" spans="1:12" x14ac:dyDescent="0.55000000000000004">
      <c r="A690">
        <v>1258</v>
      </c>
      <c r="B690" t="s">
        <v>75</v>
      </c>
      <c r="C690">
        <v>7</v>
      </c>
      <c r="D690">
        <v>2161</v>
      </c>
      <c r="E690" t="s">
        <v>1480</v>
      </c>
      <c r="F690">
        <v>14.01</v>
      </c>
      <c r="G690" t="s">
        <v>1889</v>
      </c>
      <c r="H690" t="s">
        <v>1891</v>
      </c>
      <c r="I690" t="s">
        <v>217</v>
      </c>
      <c r="J690" t="s">
        <v>131</v>
      </c>
      <c r="K690" t="s">
        <v>2988</v>
      </c>
      <c r="L690" t="s">
        <v>3329</v>
      </c>
    </row>
    <row r="691" spans="1:12" x14ac:dyDescent="0.55000000000000004">
      <c r="A691">
        <v>1262</v>
      </c>
      <c r="B691" t="s">
        <v>76</v>
      </c>
      <c r="C691">
        <v>25</v>
      </c>
      <c r="D691">
        <v>2133</v>
      </c>
      <c r="E691" t="s">
        <v>1484</v>
      </c>
      <c r="F691">
        <v>13.76</v>
      </c>
      <c r="G691" t="s">
        <v>1889</v>
      </c>
      <c r="H691" t="s">
        <v>1891</v>
      </c>
      <c r="I691" t="s">
        <v>217</v>
      </c>
      <c r="J691" t="s">
        <v>134</v>
      </c>
      <c r="K691" t="s">
        <v>2992</v>
      </c>
      <c r="L691" t="s">
        <v>3329</v>
      </c>
    </row>
    <row r="692" spans="1:12" x14ac:dyDescent="0.55000000000000004">
      <c r="A692">
        <v>1264</v>
      </c>
      <c r="B692" t="s">
        <v>76</v>
      </c>
      <c r="C692">
        <v>25</v>
      </c>
      <c r="D692">
        <v>2133</v>
      </c>
      <c r="E692" t="s">
        <v>1486</v>
      </c>
      <c r="F692">
        <v>14.01</v>
      </c>
      <c r="G692" t="s">
        <v>1889</v>
      </c>
      <c r="H692" t="s">
        <v>1891</v>
      </c>
      <c r="I692" t="s">
        <v>217</v>
      </c>
      <c r="J692" t="s">
        <v>136</v>
      </c>
      <c r="K692" t="s">
        <v>2994</v>
      </c>
      <c r="L692" t="s">
        <v>3329</v>
      </c>
    </row>
    <row r="693" spans="1:12" x14ac:dyDescent="0.55000000000000004">
      <c r="A693">
        <v>1266</v>
      </c>
      <c r="B693" t="s">
        <v>76</v>
      </c>
      <c r="C693">
        <v>25</v>
      </c>
      <c r="D693">
        <v>2133</v>
      </c>
      <c r="E693" t="s">
        <v>1488</v>
      </c>
      <c r="F693">
        <v>15.66</v>
      </c>
      <c r="G693" t="s">
        <v>1889</v>
      </c>
      <c r="H693" t="s">
        <v>1891</v>
      </c>
      <c r="I693" t="s">
        <v>217</v>
      </c>
      <c r="J693" t="s">
        <v>138</v>
      </c>
      <c r="K693" t="s">
        <v>2996</v>
      </c>
      <c r="L693" t="s">
        <v>3329</v>
      </c>
    </row>
    <row r="694" spans="1:12" x14ac:dyDescent="0.55000000000000004">
      <c r="A694">
        <v>1268</v>
      </c>
      <c r="B694" t="s">
        <v>76</v>
      </c>
      <c r="C694">
        <v>25</v>
      </c>
      <c r="D694">
        <v>2133</v>
      </c>
      <c r="E694" t="s">
        <v>1490</v>
      </c>
      <c r="F694">
        <v>14.68</v>
      </c>
      <c r="G694" t="s">
        <v>1889</v>
      </c>
      <c r="H694" t="s">
        <v>1891</v>
      </c>
      <c r="I694" t="s">
        <v>217</v>
      </c>
      <c r="J694" t="s">
        <v>140</v>
      </c>
      <c r="K694" t="s">
        <v>2998</v>
      </c>
      <c r="L694" t="s">
        <v>3329</v>
      </c>
    </row>
    <row r="695" spans="1:12" x14ac:dyDescent="0.55000000000000004">
      <c r="A695">
        <v>1269</v>
      </c>
      <c r="B695" t="s">
        <v>76</v>
      </c>
      <c r="C695">
        <v>25</v>
      </c>
      <c r="D695">
        <v>2133</v>
      </c>
      <c r="E695" t="s">
        <v>1491</v>
      </c>
      <c r="F695">
        <v>12.53</v>
      </c>
      <c r="G695" t="s">
        <v>1889</v>
      </c>
      <c r="H695" t="s">
        <v>1891</v>
      </c>
      <c r="I695" t="s">
        <v>217</v>
      </c>
      <c r="J695" t="s">
        <v>141</v>
      </c>
      <c r="K695" t="s">
        <v>2999</v>
      </c>
      <c r="L695" t="s">
        <v>3329</v>
      </c>
    </row>
    <row r="696" spans="1:12" x14ac:dyDescent="0.55000000000000004">
      <c r="A696">
        <v>1284</v>
      </c>
      <c r="B696" t="s">
        <v>77</v>
      </c>
      <c r="C696">
        <v>24</v>
      </c>
      <c r="D696">
        <v>2124</v>
      </c>
      <c r="E696" t="s">
        <v>1506</v>
      </c>
      <c r="F696">
        <v>15.5</v>
      </c>
      <c r="G696" t="s">
        <v>1889</v>
      </c>
      <c r="H696" t="s">
        <v>1891</v>
      </c>
      <c r="I696" t="s">
        <v>217</v>
      </c>
      <c r="J696" t="s">
        <v>143</v>
      </c>
      <c r="K696" t="s">
        <v>3009</v>
      </c>
      <c r="L696" t="s">
        <v>3329</v>
      </c>
    </row>
    <row r="697" spans="1:12" x14ac:dyDescent="0.55000000000000004">
      <c r="A697">
        <v>1287</v>
      </c>
      <c r="B697" t="s">
        <v>77</v>
      </c>
      <c r="C697">
        <v>24</v>
      </c>
      <c r="D697">
        <v>2124</v>
      </c>
      <c r="E697" t="s">
        <v>1509</v>
      </c>
      <c r="F697">
        <v>13.21</v>
      </c>
      <c r="G697" t="s">
        <v>1889</v>
      </c>
      <c r="H697" t="s">
        <v>1891</v>
      </c>
      <c r="I697" t="s">
        <v>217</v>
      </c>
      <c r="J697" t="s">
        <v>145</v>
      </c>
      <c r="K697" t="s">
        <v>3012</v>
      </c>
      <c r="L697" t="s">
        <v>3329</v>
      </c>
    </row>
    <row r="698" spans="1:12" x14ac:dyDescent="0.55000000000000004">
      <c r="A698">
        <v>1289</v>
      </c>
      <c r="B698" t="s">
        <v>77</v>
      </c>
      <c r="C698">
        <v>24</v>
      </c>
      <c r="D698">
        <v>2124</v>
      </c>
      <c r="E698" t="s">
        <v>1511</v>
      </c>
      <c r="F698">
        <v>15.37</v>
      </c>
      <c r="G698" t="s">
        <v>1889</v>
      </c>
      <c r="H698" t="s">
        <v>1891</v>
      </c>
      <c r="I698" t="s">
        <v>217</v>
      </c>
      <c r="J698" t="s">
        <v>147</v>
      </c>
      <c r="K698" t="s">
        <v>3014</v>
      </c>
      <c r="L698" t="s">
        <v>3329</v>
      </c>
    </row>
    <row r="699" spans="1:12" x14ac:dyDescent="0.55000000000000004">
      <c r="A699">
        <v>1291</v>
      </c>
      <c r="B699" t="s">
        <v>77</v>
      </c>
      <c r="C699">
        <v>24</v>
      </c>
      <c r="D699">
        <v>2124</v>
      </c>
      <c r="E699" t="s">
        <v>1513</v>
      </c>
      <c r="F699">
        <v>14.05</v>
      </c>
      <c r="G699" t="s">
        <v>1889</v>
      </c>
      <c r="H699" t="s">
        <v>1891</v>
      </c>
      <c r="I699" t="s">
        <v>217</v>
      </c>
      <c r="J699" t="s">
        <v>149</v>
      </c>
      <c r="K699" t="s">
        <v>3016</v>
      </c>
      <c r="L699" t="s">
        <v>3329</v>
      </c>
    </row>
    <row r="700" spans="1:12" x14ac:dyDescent="0.55000000000000004">
      <c r="A700">
        <v>1293</v>
      </c>
      <c r="B700" t="s">
        <v>77</v>
      </c>
      <c r="C700">
        <v>24</v>
      </c>
      <c r="D700">
        <v>2124</v>
      </c>
      <c r="E700" t="s">
        <v>1515</v>
      </c>
      <c r="F700">
        <v>14.03</v>
      </c>
      <c r="G700" t="s">
        <v>1889</v>
      </c>
      <c r="H700" t="s">
        <v>1891</v>
      </c>
      <c r="I700" t="s">
        <v>217</v>
      </c>
      <c r="J700" t="s">
        <v>151</v>
      </c>
      <c r="K700" t="s">
        <v>3018</v>
      </c>
      <c r="L700" t="s">
        <v>3329</v>
      </c>
    </row>
    <row r="701" spans="1:12" x14ac:dyDescent="0.55000000000000004">
      <c r="A701">
        <v>1294</v>
      </c>
      <c r="B701" t="s">
        <v>77</v>
      </c>
      <c r="C701">
        <v>24</v>
      </c>
      <c r="D701">
        <v>2124</v>
      </c>
      <c r="E701" t="s">
        <v>1516</v>
      </c>
      <c r="F701">
        <v>15.22</v>
      </c>
      <c r="G701" t="s">
        <v>1889</v>
      </c>
      <c r="H701" t="s">
        <v>1891</v>
      </c>
      <c r="I701" t="s">
        <v>217</v>
      </c>
      <c r="J701" t="s">
        <v>152</v>
      </c>
      <c r="K701" t="s">
        <v>3019</v>
      </c>
      <c r="L701" t="s">
        <v>3329</v>
      </c>
    </row>
    <row r="702" spans="1:12" x14ac:dyDescent="0.55000000000000004">
      <c r="A702">
        <v>1308</v>
      </c>
      <c r="B702" t="s">
        <v>78</v>
      </c>
      <c r="C702">
        <v>17</v>
      </c>
      <c r="D702">
        <v>2147</v>
      </c>
      <c r="E702" t="s">
        <v>1530</v>
      </c>
      <c r="F702">
        <v>15.16</v>
      </c>
      <c r="G702" t="s">
        <v>1889</v>
      </c>
      <c r="H702" t="s">
        <v>1891</v>
      </c>
      <c r="I702" t="s">
        <v>217</v>
      </c>
      <c r="J702" t="s">
        <v>154</v>
      </c>
      <c r="K702" t="s">
        <v>3030</v>
      </c>
      <c r="L702" t="s">
        <v>3329</v>
      </c>
    </row>
    <row r="703" spans="1:12" x14ac:dyDescent="0.55000000000000004">
      <c r="A703">
        <v>1311</v>
      </c>
      <c r="B703" t="s">
        <v>78</v>
      </c>
      <c r="C703">
        <v>17</v>
      </c>
      <c r="D703">
        <v>2147</v>
      </c>
      <c r="E703" t="s">
        <v>1533</v>
      </c>
      <c r="F703">
        <v>13.8</v>
      </c>
      <c r="G703" t="s">
        <v>1889</v>
      </c>
      <c r="H703" t="s">
        <v>1891</v>
      </c>
      <c r="I703" t="s">
        <v>217</v>
      </c>
      <c r="J703" t="s">
        <v>156</v>
      </c>
      <c r="K703" t="s">
        <v>3033</v>
      </c>
      <c r="L703" t="s">
        <v>3329</v>
      </c>
    </row>
    <row r="704" spans="1:12" x14ac:dyDescent="0.55000000000000004">
      <c r="A704">
        <v>1313</v>
      </c>
      <c r="B704" t="s">
        <v>78</v>
      </c>
      <c r="C704">
        <v>17</v>
      </c>
      <c r="D704">
        <v>2147</v>
      </c>
      <c r="E704" t="s">
        <v>1535</v>
      </c>
      <c r="F704">
        <v>15.04</v>
      </c>
      <c r="G704" t="s">
        <v>1889</v>
      </c>
      <c r="H704" t="s">
        <v>1891</v>
      </c>
      <c r="I704" t="s">
        <v>217</v>
      </c>
      <c r="J704" t="s">
        <v>158</v>
      </c>
      <c r="K704" t="s">
        <v>3035</v>
      </c>
      <c r="L704" t="s">
        <v>3329</v>
      </c>
    </row>
    <row r="705" spans="1:12" x14ac:dyDescent="0.55000000000000004">
      <c r="A705">
        <v>1315</v>
      </c>
      <c r="B705" t="s">
        <v>78</v>
      </c>
      <c r="C705">
        <v>17</v>
      </c>
      <c r="D705">
        <v>2147</v>
      </c>
      <c r="E705" t="s">
        <v>1537</v>
      </c>
      <c r="F705">
        <v>14.2</v>
      </c>
      <c r="G705" t="s">
        <v>1889</v>
      </c>
      <c r="H705" t="s">
        <v>1891</v>
      </c>
      <c r="I705" t="s">
        <v>217</v>
      </c>
      <c r="J705" t="s">
        <v>160</v>
      </c>
      <c r="K705" t="s">
        <v>3037</v>
      </c>
      <c r="L705" t="s">
        <v>3329</v>
      </c>
    </row>
    <row r="706" spans="1:12" x14ac:dyDescent="0.55000000000000004">
      <c r="A706">
        <v>1317</v>
      </c>
      <c r="B706" t="s">
        <v>78</v>
      </c>
      <c r="C706">
        <v>17</v>
      </c>
      <c r="D706">
        <v>2147</v>
      </c>
      <c r="E706" t="s">
        <v>1539</v>
      </c>
      <c r="F706">
        <v>13.69</v>
      </c>
      <c r="G706" t="s">
        <v>1889</v>
      </c>
      <c r="H706" t="s">
        <v>1891</v>
      </c>
      <c r="I706" t="s">
        <v>217</v>
      </c>
      <c r="J706" t="s">
        <v>162</v>
      </c>
      <c r="K706" t="s">
        <v>3039</v>
      </c>
      <c r="L706" t="s">
        <v>3329</v>
      </c>
    </row>
    <row r="707" spans="1:12" x14ac:dyDescent="0.55000000000000004">
      <c r="A707">
        <v>1318</v>
      </c>
      <c r="B707" t="s">
        <v>78</v>
      </c>
      <c r="C707">
        <v>17</v>
      </c>
      <c r="D707">
        <v>2147</v>
      </c>
      <c r="E707" t="s">
        <v>1540</v>
      </c>
      <c r="F707">
        <v>15.54</v>
      </c>
      <c r="G707" t="s">
        <v>1889</v>
      </c>
      <c r="H707" t="s">
        <v>1891</v>
      </c>
      <c r="I707" t="s">
        <v>217</v>
      </c>
      <c r="J707" t="s">
        <v>163</v>
      </c>
      <c r="K707" t="s">
        <v>3040</v>
      </c>
      <c r="L707" t="s">
        <v>3329</v>
      </c>
    </row>
    <row r="708" spans="1:12" x14ac:dyDescent="0.55000000000000004">
      <c r="A708">
        <v>1325</v>
      </c>
      <c r="B708" t="s">
        <v>79</v>
      </c>
      <c r="C708">
        <v>25</v>
      </c>
      <c r="D708">
        <v>2120</v>
      </c>
      <c r="E708" t="s">
        <v>1547</v>
      </c>
      <c r="F708">
        <v>14.04</v>
      </c>
      <c r="G708" t="s">
        <v>1889</v>
      </c>
      <c r="H708" t="s">
        <v>1891</v>
      </c>
      <c r="I708" t="s">
        <v>217</v>
      </c>
      <c r="J708" t="s">
        <v>165</v>
      </c>
      <c r="K708" t="s">
        <v>3043</v>
      </c>
      <c r="L708" t="s">
        <v>3329</v>
      </c>
    </row>
    <row r="709" spans="1:12" x14ac:dyDescent="0.55000000000000004">
      <c r="A709">
        <v>1328</v>
      </c>
      <c r="B709" t="s">
        <v>79</v>
      </c>
      <c r="C709">
        <v>25</v>
      </c>
      <c r="D709">
        <v>2120</v>
      </c>
      <c r="E709" t="s">
        <v>1550</v>
      </c>
      <c r="F709">
        <v>15.08</v>
      </c>
      <c r="G709" t="s">
        <v>1889</v>
      </c>
      <c r="H709" t="s">
        <v>1891</v>
      </c>
      <c r="I709" t="s">
        <v>217</v>
      </c>
      <c r="J709" t="s">
        <v>167</v>
      </c>
      <c r="K709" t="s">
        <v>3046</v>
      </c>
      <c r="L709" t="s">
        <v>3329</v>
      </c>
    </row>
    <row r="710" spans="1:12" x14ac:dyDescent="0.55000000000000004">
      <c r="A710">
        <v>1330</v>
      </c>
      <c r="B710" t="s">
        <v>79</v>
      </c>
      <c r="C710">
        <v>25</v>
      </c>
      <c r="D710">
        <v>2120</v>
      </c>
      <c r="E710" t="s">
        <v>1552</v>
      </c>
      <c r="F710">
        <v>14.13</v>
      </c>
      <c r="G710" t="s">
        <v>1889</v>
      </c>
      <c r="H710" t="s">
        <v>1891</v>
      </c>
      <c r="I710" t="s">
        <v>217</v>
      </c>
      <c r="J710" t="s">
        <v>169</v>
      </c>
      <c r="K710" t="s">
        <v>3048</v>
      </c>
      <c r="L710" t="s">
        <v>3329</v>
      </c>
    </row>
    <row r="711" spans="1:12" x14ac:dyDescent="0.55000000000000004">
      <c r="A711">
        <v>1332</v>
      </c>
      <c r="B711" t="s">
        <v>79</v>
      </c>
      <c r="C711">
        <v>25</v>
      </c>
      <c r="D711">
        <v>2120</v>
      </c>
      <c r="E711" t="s">
        <v>1554</v>
      </c>
      <c r="F711">
        <v>15.36</v>
      </c>
      <c r="G711" t="s">
        <v>1889</v>
      </c>
      <c r="H711" t="s">
        <v>1891</v>
      </c>
      <c r="I711" t="s">
        <v>217</v>
      </c>
      <c r="J711" t="s">
        <v>171</v>
      </c>
      <c r="K711" t="s">
        <v>3050</v>
      </c>
      <c r="L711" t="s">
        <v>3329</v>
      </c>
    </row>
    <row r="712" spans="1:12" x14ac:dyDescent="0.55000000000000004">
      <c r="A712">
        <v>1334</v>
      </c>
      <c r="B712" t="s">
        <v>79</v>
      </c>
      <c r="C712">
        <v>25</v>
      </c>
      <c r="D712">
        <v>2120</v>
      </c>
      <c r="E712" t="s">
        <v>1556</v>
      </c>
      <c r="F712">
        <v>14.44</v>
      </c>
      <c r="G712" t="s">
        <v>1889</v>
      </c>
      <c r="H712" t="s">
        <v>1891</v>
      </c>
      <c r="I712" t="s">
        <v>217</v>
      </c>
      <c r="J712" t="s">
        <v>173</v>
      </c>
      <c r="K712" t="s">
        <v>3052</v>
      </c>
      <c r="L712" t="s">
        <v>3329</v>
      </c>
    </row>
    <row r="713" spans="1:12" x14ac:dyDescent="0.55000000000000004">
      <c r="A713">
        <v>1335</v>
      </c>
      <c r="B713" t="s">
        <v>79</v>
      </c>
      <c r="C713">
        <v>25</v>
      </c>
      <c r="D713">
        <v>2120</v>
      </c>
      <c r="E713" t="s">
        <v>1557</v>
      </c>
      <c r="F713">
        <v>13.67</v>
      </c>
      <c r="G713" t="s">
        <v>1889</v>
      </c>
      <c r="H713" t="s">
        <v>1891</v>
      </c>
      <c r="I713" t="s">
        <v>217</v>
      </c>
      <c r="J713" t="s">
        <v>174</v>
      </c>
      <c r="K713" t="s">
        <v>3053</v>
      </c>
      <c r="L713" t="s">
        <v>3329</v>
      </c>
    </row>
    <row r="714" spans="1:12" x14ac:dyDescent="0.55000000000000004">
      <c r="A714">
        <v>1350</v>
      </c>
      <c r="B714" t="s">
        <v>80</v>
      </c>
      <c r="C714">
        <v>25</v>
      </c>
      <c r="D714">
        <v>2136</v>
      </c>
      <c r="E714" t="s">
        <v>1572</v>
      </c>
      <c r="F714">
        <v>12.99</v>
      </c>
      <c r="G714" t="s">
        <v>1889</v>
      </c>
      <c r="H714" t="s">
        <v>1891</v>
      </c>
      <c r="I714" t="s">
        <v>217</v>
      </c>
      <c r="J714" t="s">
        <v>176</v>
      </c>
      <c r="K714" t="s">
        <v>3060</v>
      </c>
      <c r="L714" t="s">
        <v>3329</v>
      </c>
    </row>
    <row r="715" spans="1:12" x14ac:dyDescent="0.55000000000000004">
      <c r="A715">
        <v>1353</v>
      </c>
      <c r="B715" t="s">
        <v>80</v>
      </c>
      <c r="C715">
        <v>25</v>
      </c>
      <c r="D715">
        <v>2136</v>
      </c>
      <c r="E715" t="s">
        <v>1575</v>
      </c>
      <c r="F715">
        <v>12.76</v>
      </c>
      <c r="G715" t="s">
        <v>1889</v>
      </c>
      <c r="H715" t="s">
        <v>1891</v>
      </c>
      <c r="I715" t="s">
        <v>217</v>
      </c>
      <c r="J715" t="s">
        <v>178</v>
      </c>
      <c r="K715" t="s">
        <v>3063</v>
      </c>
      <c r="L715" t="s">
        <v>3329</v>
      </c>
    </row>
    <row r="716" spans="1:12" x14ac:dyDescent="0.55000000000000004">
      <c r="A716">
        <v>1355</v>
      </c>
      <c r="B716" t="s">
        <v>80</v>
      </c>
      <c r="C716">
        <v>25</v>
      </c>
      <c r="D716">
        <v>2136</v>
      </c>
      <c r="E716" t="s">
        <v>1577</v>
      </c>
      <c r="F716">
        <v>13.9</v>
      </c>
      <c r="G716" t="s">
        <v>1889</v>
      </c>
      <c r="H716" t="s">
        <v>1891</v>
      </c>
      <c r="I716" t="s">
        <v>217</v>
      </c>
      <c r="J716" t="s">
        <v>180</v>
      </c>
      <c r="K716" t="s">
        <v>3065</v>
      </c>
      <c r="L716" t="s">
        <v>3329</v>
      </c>
    </row>
    <row r="717" spans="1:12" x14ac:dyDescent="0.55000000000000004">
      <c r="A717">
        <v>1357</v>
      </c>
      <c r="B717" t="s">
        <v>80</v>
      </c>
      <c r="C717">
        <v>25</v>
      </c>
      <c r="D717">
        <v>2136</v>
      </c>
      <c r="E717" t="s">
        <v>1579</v>
      </c>
      <c r="F717">
        <v>13.01</v>
      </c>
      <c r="G717" t="s">
        <v>1889</v>
      </c>
      <c r="H717" t="s">
        <v>1891</v>
      </c>
      <c r="I717" t="s">
        <v>217</v>
      </c>
      <c r="J717" t="s">
        <v>182</v>
      </c>
      <c r="K717" t="s">
        <v>3067</v>
      </c>
      <c r="L717" t="s">
        <v>3329</v>
      </c>
    </row>
    <row r="718" spans="1:12" x14ac:dyDescent="0.55000000000000004">
      <c r="A718">
        <v>1359</v>
      </c>
      <c r="B718" t="s">
        <v>80</v>
      </c>
      <c r="C718">
        <v>25</v>
      </c>
      <c r="D718">
        <v>2136</v>
      </c>
      <c r="E718" t="s">
        <v>1581</v>
      </c>
      <c r="F718">
        <v>14.91</v>
      </c>
      <c r="G718" t="s">
        <v>1889</v>
      </c>
      <c r="H718" t="s">
        <v>1891</v>
      </c>
      <c r="I718" t="s">
        <v>217</v>
      </c>
      <c r="J718" t="s">
        <v>184</v>
      </c>
      <c r="K718" t="s">
        <v>3069</v>
      </c>
      <c r="L718" t="s">
        <v>3329</v>
      </c>
    </row>
    <row r="719" spans="1:12" x14ac:dyDescent="0.55000000000000004">
      <c r="A719">
        <v>1360</v>
      </c>
      <c r="B719" t="s">
        <v>80</v>
      </c>
      <c r="C719">
        <v>25</v>
      </c>
      <c r="D719">
        <v>2136</v>
      </c>
      <c r="E719" t="s">
        <v>1582</v>
      </c>
      <c r="F719">
        <v>14.34</v>
      </c>
      <c r="G719" t="s">
        <v>1889</v>
      </c>
      <c r="H719" t="s">
        <v>1891</v>
      </c>
      <c r="I719" t="s">
        <v>217</v>
      </c>
      <c r="J719" t="s">
        <v>185</v>
      </c>
      <c r="K719" t="s">
        <v>3070</v>
      </c>
      <c r="L719" t="s">
        <v>3329</v>
      </c>
    </row>
    <row r="720" spans="1:12" x14ac:dyDescent="0.55000000000000004">
      <c r="A720">
        <v>1375</v>
      </c>
      <c r="B720" t="s">
        <v>81</v>
      </c>
      <c r="C720">
        <v>7</v>
      </c>
      <c r="D720">
        <v>2151</v>
      </c>
      <c r="E720" t="s">
        <v>1597</v>
      </c>
      <c r="F720">
        <v>10.16</v>
      </c>
      <c r="G720" t="s">
        <v>1889</v>
      </c>
      <c r="H720" t="s">
        <v>1891</v>
      </c>
      <c r="I720" t="s">
        <v>217</v>
      </c>
      <c r="J720" t="s">
        <v>187</v>
      </c>
      <c r="K720" t="s">
        <v>3083</v>
      </c>
      <c r="L720" t="s">
        <v>3329</v>
      </c>
    </row>
    <row r="721" spans="1:12" x14ac:dyDescent="0.55000000000000004">
      <c r="A721">
        <v>1378</v>
      </c>
      <c r="B721" t="s">
        <v>81</v>
      </c>
      <c r="C721">
        <v>7</v>
      </c>
      <c r="D721">
        <v>2151</v>
      </c>
      <c r="E721" t="s">
        <v>1600</v>
      </c>
      <c r="F721">
        <v>15.83</v>
      </c>
      <c r="G721" t="s">
        <v>2113</v>
      </c>
      <c r="H721" t="s">
        <v>110</v>
      </c>
      <c r="I721" t="s">
        <v>217</v>
      </c>
      <c r="J721" t="s">
        <v>189</v>
      </c>
      <c r="L721" t="s">
        <v>3329</v>
      </c>
    </row>
    <row r="722" spans="1:12" x14ac:dyDescent="0.55000000000000004">
      <c r="A722">
        <v>1380</v>
      </c>
      <c r="B722" t="s">
        <v>81</v>
      </c>
      <c r="C722">
        <v>7</v>
      </c>
      <c r="D722">
        <v>2151</v>
      </c>
      <c r="E722" t="s">
        <v>1602</v>
      </c>
      <c r="F722">
        <v>20.079999999999998</v>
      </c>
      <c r="G722" t="s">
        <v>2113</v>
      </c>
      <c r="H722" t="s">
        <v>110</v>
      </c>
      <c r="I722" t="s">
        <v>217</v>
      </c>
      <c r="J722" t="s">
        <v>191</v>
      </c>
      <c r="L722" t="s">
        <v>3329</v>
      </c>
    </row>
    <row r="723" spans="1:12" x14ac:dyDescent="0.55000000000000004">
      <c r="A723">
        <v>1382</v>
      </c>
      <c r="B723" t="s">
        <v>82</v>
      </c>
      <c r="C723">
        <v>25</v>
      </c>
      <c r="D723">
        <v>2115</v>
      </c>
      <c r="E723" t="s">
        <v>1604</v>
      </c>
      <c r="F723">
        <v>14.61</v>
      </c>
      <c r="G723" t="s">
        <v>1889</v>
      </c>
      <c r="H723" t="s">
        <v>1891</v>
      </c>
      <c r="I723" t="s">
        <v>217</v>
      </c>
      <c r="J723" t="s">
        <v>193</v>
      </c>
      <c r="K723" t="s">
        <v>3086</v>
      </c>
      <c r="L723" t="s">
        <v>3329</v>
      </c>
    </row>
    <row r="724" spans="1:12" x14ac:dyDescent="0.55000000000000004">
      <c r="A724">
        <v>1384</v>
      </c>
      <c r="B724" t="s">
        <v>82</v>
      </c>
      <c r="C724">
        <v>25</v>
      </c>
      <c r="D724">
        <v>2115</v>
      </c>
      <c r="E724" t="s">
        <v>1606</v>
      </c>
      <c r="F724">
        <v>12.95</v>
      </c>
      <c r="G724" t="s">
        <v>1889</v>
      </c>
      <c r="H724" t="s">
        <v>1891</v>
      </c>
      <c r="I724" t="s">
        <v>217</v>
      </c>
      <c r="J724" t="s">
        <v>195</v>
      </c>
      <c r="K724" t="s">
        <v>3088</v>
      </c>
      <c r="L724" t="s">
        <v>3329</v>
      </c>
    </row>
    <row r="725" spans="1:12" x14ac:dyDescent="0.55000000000000004">
      <c r="A725">
        <v>1385</v>
      </c>
      <c r="B725" t="s">
        <v>82</v>
      </c>
      <c r="C725">
        <v>25</v>
      </c>
      <c r="D725">
        <v>2115</v>
      </c>
      <c r="E725" t="s">
        <v>1607</v>
      </c>
      <c r="F725">
        <v>12.86</v>
      </c>
      <c r="G725" t="s">
        <v>1889</v>
      </c>
      <c r="H725" t="s">
        <v>1891</v>
      </c>
      <c r="I725" t="s">
        <v>217</v>
      </c>
      <c r="J725" t="s">
        <v>196</v>
      </c>
      <c r="K725" t="s">
        <v>3089</v>
      </c>
      <c r="L725" t="s">
        <v>3329</v>
      </c>
    </row>
    <row r="726" spans="1:12" x14ac:dyDescent="0.55000000000000004">
      <c r="A726">
        <v>1387</v>
      </c>
      <c r="B726" t="s">
        <v>82</v>
      </c>
      <c r="C726">
        <v>25</v>
      </c>
      <c r="D726">
        <v>2115</v>
      </c>
      <c r="E726" t="s">
        <v>1609</v>
      </c>
      <c r="F726">
        <v>14.1</v>
      </c>
      <c r="G726" t="s">
        <v>1889</v>
      </c>
      <c r="H726" t="s">
        <v>1891</v>
      </c>
      <c r="I726" t="s">
        <v>217</v>
      </c>
      <c r="J726" t="s">
        <v>198</v>
      </c>
      <c r="K726" t="s">
        <v>3091</v>
      </c>
      <c r="L726" t="s">
        <v>3329</v>
      </c>
    </row>
    <row r="727" spans="1:12" x14ac:dyDescent="0.55000000000000004">
      <c r="A727">
        <v>1390</v>
      </c>
      <c r="B727" t="s">
        <v>82</v>
      </c>
      <c r="C727">
        <v>25</v>
      </c>
      <c r="D727">
        <v>2115</v>
      </c>
      <c r="E727" t="s">
        <v>1612</v>
      </c>
      <c r="F727">
        <v>11.51</v>
      </c>
      <c r="G727" t="s">
        <v>1889</v>
      </c>
      <c r="H727" t="s">
        <v>1891</v>
      </c>
      <c r="I727" t="s">
        <v>217</v>
      </c>
      <c r="J727" t="s">
        <v>200</v>
      </c>
      <c r="K727" t="s">
        <v>3094</v>
      </c>
      <c r="L727" t="s">
        <v>3329</v>
      </c>
    </row>
    <row r="728" spans="1:12" x14ac:dyDescent="0.55000000000000004">
      <c r="A728">
        <v>1392</v>
      </c>
      <c r="B728" t="s">
        <v>82</v>
      </c>
      <c r="C728">
        <v>25</v>
      </c>
      <c r="D728">
        <v>2115</v>
      </c>
      <c r="E728" t="s">
        <v>1614</v>
      </c>
      <c r="F728">
        <v>14.9</v>
      </c>
      <c r="G728" t="s">
        <v>1889</v>
      </c>
      <c r="H728" t="s">
        <v>1891</v>
      </c>
      <c r="I728" t="s">
        <v>217</v>
      </c>
      <c r="J728" t="s">
        <v>202</v>
      </c>
      <c r="K728" t="s">
        <v>3096</v>
      </c>
      <c r="L728" t="s">
        <v>3329</v>
      </c>
    </row>
    <row r="729" spans="1:12" x14ac:dyDescent="0.55000000000000004">
      <c r="A729">
        <v>1407</v>
      </c>
      <c r="B729" t="s">
        <v>83</v>
      </c>
      <c r="C729">
        <v>1</v>
      </c>
      <c r="D729">
        <v>2128</v>
      </c>
      <c r="E729" t="s">
        <v>1629</v>
      </c>
      <c r="F729">
        <v>15.41</v>
      </c>
      <c r="G729" t="s">
        <v>1889</v>
      </c>
      <c r="H729" t="s">
        <v>1891</v>
      </c>
      <c r="I729" t="s">
        <v>217</v>
      </c>
      <c r="J729" t="s">
        <v>204</v>
      </c>
      <c r="K729" t="s">
        <v>3109</v>
      </c>
      <c r="L729" t="s">
        <v>3329</v>
      </c>
    </row>
    <row r="730" spans="1:12" x14ac:dyDescent="0.55000000000000004">
      <c r="A730">
        <v>1409</v>
      </c>
      <c r="B730" t="s">
        <v>85</v>
      </c>
      <c r="C730">
        <v>20</v>
      </c>
      <c r="D730">
        <v>2118</v>
      </c>
      <c r="E730" t="s">
        <v>1631</v>
      </c>
      <c r="F730">
        <v>14.56</v>
      </c>
      <c r="G730" t="s">
        <v>1889</v>
      </c>
      <c r="H730" t="s">
        <v>1891</v>
      </c>
      <c r="I730" t="s">
        <v>217</v>
      </c>
      <c r="J730" t="s">
        <v>206</v>
      </c>
      <c r="K730" t="s">
        <v>3111</v>
      </c>
      <c r="L730" t="s">
        <v>3329</v>
      </c>
    </row>
    <row r="731" spans="1:12" x14ac:dyDescent="0.55000000000000004">
      <c r="A731">
        <v>1410</v>
      </c>
      <c r="B731" t="s">
        <v>85</v>
      </c>
      <c r="C731">
        <v>20</v>
      </c>
      <c r="D731">
        <v>2118</v>
      </c>
      <c r="E731" t="s">
        <v>1632</v>
      </c>
      <c r="F731">
        <v>14.6</v>
      </c>
      <c r="G731" t="s">
        <v>1889</v>
      </c>
      <c r="H731" t="s">
        <v>1891</v>
      </c>
      <c r="I731" t="s">
        <v>217</v>
      </c>
      <c r="J731" t="s">
        <v>207</v>
      </c>
      <c r="K731" t="s">
        <v>3112</v>
      </c>
      <c r="L731" t="s">
        <v>3329</v>
      </c>
    </row>
    <row r="732" spans="1:12" x14ac:dyDescent="0.55000000000000004">
      <c r="A732">
        <v>1412</v>
      </c>
      <c r="B732" t="s">
        <v>85</v>
      </c>
      <c r="C732">
        <v>20</v>
      </c>
      <c r="D732">
        <v>2118</v>
      </c>
      <c r="E732" t="s">
        <v>1634</v>
      </c>
      <c r="F732">
        <v>14.8</v>
      </c>
      <c r="G732" t="s">
        <v>1889</v>
      </c>
      <c r="H732" t="s">
        <v>1891</v>
      </c>
      <c r="I732" t="s">
        <v>217</v>
      </c>
      <c r="J732" t="s">
        <v>209</v>
      </c>
      <c r="K732" t="s">
        <v>3114</v>
      </c>
      <c r="L732" t="s">
        <v>3329</v>
      </c>
    </row>
    <row r="733" spans="1:12" x14ac:dyDescent="0.55000000000000004">
      <c r="A733">
        <v>1413</v>
      </c>
      <c r="B733" t="s">
        <v>85</v>
      </c>
      <c r="C733">
        <v>20</v>
      </c>
      <c r="D733">
        <v>2118</v>
      </c>
      <c r="E733" t="s">
        <v>1635</v>
      </c>
      <c r="F733">
        <v>13.2</v>
      </c>
      <c r="G733" t="s">
        <v>1889</v>
      </c>
      <c r="H733" t="s">
        <v>1891</v>
      </c>
      <c r="I733" t="s">
        <v>218</v>
      </c>
      <c r="J733" t="s">
        <v>114</v>
      </c>
      <c r="K733" t="s">
        <v>3136</v>
      </c>
      <c r="L733" t="s">
        <v>3329</v>
      </c>
    </row>
    <row r="734" spans="1:12" x14ac:dyDescent="0.55000000000000004">
      <c r="A734">
        <v>1414</v>
      </c>
      <c r="B734" t="s">
        <v>85</v>
      </c>
      <c r="C734">
        <v>20</v>
      </c>
      <c r="D734">
        <v>2118</v>
      </c>
      <c r="E734" t="s">
        <v>1636</v>
      </c>
      <c r="F734">
        <v>15.24</v>
      </c>
      <c r="G734" t="s">
        <v>1889</v>
      </c>
      <c r="H734" t="s">
        <v>1891</v>
      </c>
      <c r="I734" t="s">
        <v>218</v>
      </c>
      <c r="J734" t="s">
        <v>122</v>
      </c>
      <c r="K734" t="s">
        <v>3137</v>
      </c>
      <c r="L734" t="s">
        <v>3329</v>
      </c>
    </row>
    <row r="735" spans="1:12" x14ac:dyDescent="0.55000000000000004">
      <c r="A735">
        <v>1416</v>
      </c>
      <c r="B735" t="s">
        <v>85</v>
      </c>
      <c r="C735">
        <v>20</v>
      </c>
      <c r="D735">
        <v>2118</v>
      </c>
      <c r="E735" t="s">
        <v>1638</v>
      </c>
      <c r="F735">
        <v>14.91</v>
      </c>
      <c r="G735" t="s">
        <v>1889</v>
      </c>
      <c r="H735" t="s">
        <v>1891</v>
      </c>
      <c r="I735" t="s">
        <v>218</v>
      </c>
      <c r="J735" t="s">
        <v>124</v>
      </c>
      <c r="K735" t="s">
        <v>3139</v>
      </c>
      <c r="L735" t="s">
        <v>3329</v>
      </c>
    </row>
    <row r="736" spans="1:12" x14ac:dyDescent="0.55000000000000004">
      <c r="A736">
        <v>1429</v>
      </c>
      <c r="B736" t="s">
        <v>86</v>
      </c>
      <c r="C736">
        <v>2</v>
      </c>
      <c r="D736">
        <v>2122</v>
      </c>
      <c r="E736" t="s">
        <v>1651</v>
      </c>
      <c r="F736">
        <v>13.84</v>
      </c>
      <c r="G736" t="s">
        <v>1889</v>
      </c>
      <c r="H736" t="s">
        <v>1891</v>
      </c>
      <c r="I736" t="s">
        <v>218</v>
      </c>
      <c r="J736" t="s">
        <v>129</v>
      </c>
      <c r="K736" t="s">
        <v>3146</v>
      </c>
      <c r="L736" t="s">
        <v>3329</v>
      </c>
    </row>
    <row r="737" spans="1:12" x14ac:dyDescent="0.55000000000000004">
      <c r="A737">
        <v>1431</v>
      </c>
      <c r="B737" t="s">
        <v>87</v>
      </c>
      <c r="C737">
        <v>2</v>
      </c>
      <c r="D737">
        <v>2138</v>
      </c>
      <c r="E737" t="s">
        <v>1653</v>
      </c>
      <c r="F737">
        <v>14.72</v>
      </c>
      <c r="G737" t="s">
        <v>1889</v>
      </c>
      <c r="H737" t="s">
        <v>1891</v>
      </c>
      <c r="I737" t="s">
        <v>218</v>
      </c>
      <c r="J737" t="s">
        <v>131</v>
      </c>
      <c r="K737" t="s">
        <v>3147</v>
      </c>
      <c r="L737" t="s">
        <v>3329</v>
      </c>
    </row>
    <row r="738" spans="1:12" x14ac:dyDescent="0.55000000000000004">
      <c r="A738">
        <v>1435</v>
      </c>
      <c r="B738" t="s">
        <v>88</v>
      </c>
      <c r="C738">
        <v>6</v>
      </c>
      <c r="D738">
        <v>2150</v>
      </c>
      <c r="E738" t="s">
        <v>1657</v>
      </c>
      <c r="F738">
        <v>16.399999999999999</v>
      </c>
      <c r="G738" t="s">
        <v>1889</v>
      </c>
      <c r="H738" t="s">
        <v>1891</v>
      </c>
      <c r="I738" t="s">
        <v>218</v>
      </c>
      <c r="J738" t="s">
        <v>134</v>
      </c>
      <c r="K738" t="s">
        <v>3151</v>
      </c>
      <c r="L738" t="s">
        <v>3329</v>
      </c>
    </row>
    <row r="739" spans="1:12" x14ac:dyDescent="0.55000000000000004">
      <c r="A739">
        <v>1437</v>
      </c>
      <c r="B739" t="s">
        <v>88</v>
      </c>
      <c r="C739">
        <v>6</v>
      </c>
      <c r="D739">
        <v>2150</v>
      </c>
      <c r="E739" t="s">
        <v>1659</v>
      </c>
      <c r="F739">
        <v>16.260000000000002</v>
      </c>
      <c r="G739" t="s">
        <v>2113</v>
      </c>
      <c r="H739" t="s">
        <v>110</v>
      </c>
      <c r="I739" t="s">
        <v>218</v>
      </c>
      <c r="J739" t="s">
        <v>136</v>
      </c>
      <c r="L739" t="s">
        <v>3329</v>
      </c>
    </row>
    <row r="740" spans="1:12" x14ac:dyDescent="0.55000000000000004">
      <c r="A740">
        <v>1439</v>
      </c>
      <c r="B740" t="s">
        <v>89</v>
      </c>
      <c r="C740">
        <v>2</v>
      </c>
      <c r="D740">
        <v>2154</v>
      </c>
      <c r="E740" t="s">
        <v>1661</v>
      </c>
      <c r="F740">
        <v>16.16</v>
      </c>
      <c r="G740" t="s">
        <v>2113</v>
      </c>
      <c r="H740" t="s">
        <v>110</v>
      </c>
      <c r="I740" t="s">
        <v>218</v>
      </c>
      <c r="J740" t="s">
        <v>138</v>
      </c>
      <c r="L740" t="s">
        <v>3329</v>
      </c>
    </row>
    <row r="741" spans="1:12" x14ac:dyDescent="0.55000000000000004">
      <c r="A741">
        <v>1441</v>
      </c>
      <c r="B741" t="s">
        <v>90</v>
      </c>
      <c r="C741">
        <v>4</v>
      </c>
      <c r="D741">
        <v>2152</v>
      </c>
      <c r="E741" t="s">
        <v>1663</v>
      </c>
      <c r="F741">
        <v>15.15</v>
      </c>
      <c r="G741" t="s">
        <v>1889</v>
      </c>
      <c r="H741" t="s">
        <v>1891</v>
      </c>
      <c r="I741" t="s">
        <v>218</v>
      </c>
      <c r="J741" t="s">
        <v>140</v>
      </c>
      <c r="K741" t="s">
        <v>3154</v>
      </c>
      <c r="L741" t="s">
        <v>3329</v>
      </c>
    </row>
    <row r="742" spans="1:12" x14ac:dyDescent="0.55000000000000004">
      <c r="A742">
        <v>1442</v>
      </c>
      <c r="B742" t="s">
        <v>90</v>
      </c>
      <c r="C742">
        <v>4</v>
      </c>
      <c r="D742">
        <v>2152</v>
      </c>
      <c r="E742" t="s">
        <v>1664</v>
      </c>
      <c r="F742">
        <v>14.72</v>
      </c>
      <c r="G742" t="s">
        <v>1889</v>
      </c>
      <c r="H742" t="s">
        <v>1891</v>
      </c>
      <c r="I742" t="s">
        <v>218</v>
      </c>
      <c r="J742" t="s">
        <v>141</v>
      </c>
      <c r="K742" t="s">
        <v>3155</v>
      </c>
      <c r="L742" t="s">
        <v>3329</v>
      </c>
    </row>
    <row r="743" spans="1:12" x14ac:dyDescent="0.55000000000000004">
      <c r="A743">
        <v>1444</v>
      </c>
      <c r="B743" t="s">
        <v>90</v>
      </c>
      <c r="C743">
        <v>4</v>
      </c>
      <c r="D743">
        <v>2152</v>
      </c>
      <c r="E743" t="s">
        <v>1666</v>
      </c>
      <c r="F743">
        <v>16.059999999999999</v>
      </c>
      <c r="G743" t="s">
        <v>1889</v>
      </c>
      <c r="H743" t="s">
        <v>1891</v>
      </c>
      <c r="I743" t="s">
        <v>218</v>
      </c>
      <c r="J743" t="s">
        <v>143</v>
      </c>
      <c r="K743" t="s">
        <v>3157</v>
      </c>
      <c r="L743" t="s">
        <v>3329</v>
      </c>
    </row>
    <row r="744" spans="1:12" x14ac:dyDescent="0.55000000000000004">
      <c r="A744">
        <v>1447</v>
      </c>
      <c r="B744" t="s">
        <v>91</v>
      </c>
      <c r="C744">
        <v>25</v>
      </c>
      <c r="D744">
        <v>2116</v>
      </c>
      <c r="E744" t="s">
        <v>1669</v>
      </c>
      <c r="F744">
        <v>12.37</v>
      </c>
      <c r="G744" t="s">
        <v>1889</v>
      </c>
      <c r="H744" t="s">
        <v>1891</v>
      </c>
      <c r="I744" t="s">
        <v>218</v>
      </c>
      <c r="J744" t="s">
        <v>145</v>
      </c>
      <c r="K744" t="s">
        <v>3160</v>
      </c>
      <c r="L744" t="s">
        <v>3329</v>
      </c>
    </row>
    <row r="745" spans="1:12" x14ac:dyDescent="0.55000000000000004">
      <c r="A745">
        <v>1449</v>
      </c>
      <c r="B745" t="s">
        <v>91</v>
      </c>
      <c r="C745">
        <v>25</v>
      </c>
      <c r="D745">
        <v>2116</v>
      </c>
      <c r="E745" t="s">
        <v>1671</v>
      </c>
      <c r="F745">
        <v>13.26</v>
      </c>
      <c r="G745" t="s">
        <v>1889</v>
      </c>
      <c r="H745" t="s">
        <v>1891</v>
      </c>
      <c r="I745" t="s">
        <v>218</v>
      </c>
      <c r="J745" t="s">
        <v>147</v>
      </c>
      <c r="K745" t="s">
        <v>3162</v>
      </c>
      <c r="L745" t="s">
        <v>3329</v>
      </c>
    </row>
    <row r="746" spans="1:12" x14ac:dyDescent="0.55000000000000004">
      <c r="A746">
        <v>1451</v>
      </c>
      <c r="B746" t="s">
        <v>91</v>
      </c>
      <c r="C746">
        <v>25</v>
      </c>
      <c r="D746">
        <v>2116</v>
      </c>
      <c r="E746" t="s">
        <v>1673</v>
      </c>
      <c r="F746">
        <v>14.18</v>
      </c>
      <c r="G746" t="s">
        <v>1889</v>
      </c>
      <c r="H746" t="s">
        <v>1891</v>
      </c>
      <c r="I746" t="s">
        <v>218</v>
      </c>
      <c r="J746" t="s">
        <v>149</v>
      </c>
      <c r="K746" t="s">
        <v>3164</v>
      </c>
      <c r="L746" t="s">
        <v>3329</v>
      </c>
    </row>
    <row r="747" spans="1:12" x14ac:dyDescent="0.55000000000000004">
      <c r="A747">
        <v>1453</v>
      </c>
      <c r="B747" t="s">
        <v>91</v>
      </c>
      <c r="C747">
        <v>25</v>
      </c>
      <c r="D747">
        <v>2116</v>
      </c>
      <c r="E747" t="s">
        <v>1675</v>
      </c>
      <c r="F747">
        <v>13.4</v>
      </c>
      <c r="G747" t="s">
        <v>1889</v>
      </c>
      <c r="H747" t="s">
        <v>1891</v>
      </c>
      <c r="I747" t="s">
        <v>218</v>
      </c>
      <c r="J747" t="s">
        <v>151</v>
      </c>
      <c r="K747" t="s">
        <v>3166</v>
      </c>
      <c r="L747" t="s">
        <v>3329</v>
      </c>
    </row>
    <row r="748" spans="1:12" x14ac:dyDescent="0.55000000000000004">
      <c r="A748">
        <v>1454</v>
      </c>
      <c r="B748" t="s">
        <v>91</v>
      </c>
      <c r="C748">
        <v>25</v>
      </c>
      <c r="D748">
        <v>2116</v>
      </c>
      <c r="E748" t="s">
        <v>1676</v>
      </c>
      <c r="F748">
        <v>14.61</v>
      </c>
      <c r="G748" t="s">
        <v>1889</v>
      </c>
      <c r="H748" t="s">
        <v>1891</v>
      </c>
      <c r="I748" t="s">
        <v>218</v>
      </c>
      <c r="J748" t="s">
        <v>152</v>
      </c>
      <c r="K748" t="s">
        <v>3167</v>
      </c>
      <c r="L748" t="s">
        <v>3329</v>
      </c>
    </row>
    <row r="749" spans="1:12" x14ac:dyDescent="0.55000000000000004">
      <c r="A749">
        <v>1456</v>
      </c>
      <c r="B749" t="s">
        <v>91</v>
      </c>
      <c r="C749">
        <v>25</v>
      </c>
      <c r="D749">
        <v>2116</v>
      </c>
      <c r="E749" t="s">
        <v>1678</v>
      </c>
      <c r="F749">
        <v>14.64</v>
      </c>
      <c r="G749" t="s">
        <v>1889</v>
      </c>
      <c r="H749" t="s">
        <v>1891</v>
      </c>
      <c r="I749" t="s">
        <v>218</v>
      </c>
      <c r="J749" t="s">
        <v>154</v>
      </c>
      <c r="K749" t="s">
        <v>3169</v>
      </c>
      <c r="L749" t="s">
        <v>3329</v>
      </c>
    </row>
    <row r="750" spans="1:12" x14ac:dyDescent="0.55000000000000004">
      <c r="A750">
        <v>1472</v>
      </c>
      <c r="B750" t="s">
        <v>92</v>
      </c>
      <c r="C750">
        <v>8</v>
      </c>
      <c r="D750">
        <v>2141</v>
      </c>
      <c r="E750" t="s">
        <v>1694</v>
      </c>
      <c r="F750">
        <v>12.83</v>
      </c>
      <c r="G750" t="s">
        <v>1889</v>
      </c>
      <c r="H750" t="s">
        <v>1891</v>
      </c>
      <c r="I750" t="s">
        <v>218</v>
      </c>
      <c r="J750" t="s">
        <v>156</v>
      </c>
      <c r="K750" t="s">
        <v>3180</v>
      </c>
      <c r="L750" t="s">
        <v>3329</v>
      </c>
    </row>
    <row r="751" spans="1:12" x14ac:dyDescent="0.55000000000000004">
      <c r="A751">
        <v>1474</v>
      </c>
      <c r="B751" t="s">
        <v>92</v>
      </c>
      <c r="C751">
        <v>8</v>
      </c>
      <c r="D751">
        <v>2141</v>
      </c>
      <c r="E751" t="s">
        <v>1696</v>
      </c>
      <c r="F751">
        <v>13.95</v>
      </c>
      <c r="G751" t="s">
        <v>1889</v>
      </c>
      <c r="H751" t="s">
        <v>1891</v>
      </c>
      <c r="I751" t="s">
        <v>218</v>
      </c>
      <c r="J751" t="s">
        <v>158</v>
      </c>
      <c r="K751" t="s">
        <v>3182</v>
      </c>
      <c r="L751" t="s">
        <v>3329</v>
      </c>
    </row>
    <row r="752" spans="1:12" x14ac:dyDescent="0.55000000000000004">
      <c r="A752">
        <v>1476</v>
      </c>
      <c r="B752" t="s">
        <v>92</v>
      </c>
      <c r="C752">
        <v>8</v>
      </c>
      <c r="D752">
        <v>2141</v>
      </c>
      <c r="E752" t="s">
        <v>1698</v>
      </c>
      <c r="F752">
        <v>15.37</v>
      </c>
      <c r="G752" t="s">
        <v>1889</v>
      </c>
      <c r="H752" t="s">
        <v>1891</v>
      </c>
      <c r="I752" t="s">
        <v>218</v>
      </c>
      <c r="J752" t="s">
        <v>160</v>
      </c>
      <c r="K752" t="s">
        <v>3184</v>
      </c>
      <c r="L752" t="s">
        <v>3329</v>
      </c>
    </row>
    <row r="753" spans="1:12" x14ac:dyDescent="0.55000000000000004">
      <c r="A753">
        <v>1478</v>
      </c>
      <c r="B753" t="s">
        <v>93</v>
      </c>
      <c r="C753">
        <v>2</v>
      </c>
      <c r="D753">
        <v>2125</v>
      </c>
      <c r="E753" t="s">
        <v>1700</v>
      </c>
      <c r="F753">
        <v>13.54</v>
      </c>
      <c r="G753" t="s">
        <v>1889</v>
      </c>
      <c r="H753" t="s">
        <v>1891</v>
      </c>
      <c r="I753" t="s">
        <v>218</v>
      </c>
      <c r="J753" t="s">
        <v>162</v>
      </c>
      <c r="K753" t="s">
        <v>3186</v>
      </c>
      <c r="L753" t="s">
        <v>3329</v>
      </c>
    </row>
    <row r="754" spans="1:12" x14ac:dyDescent="0.55000000000000004">
      <c r="A754">
        <v>1479</v>
      </c>
      <c r="B754" t="s">
        <v>93</v>
      </c>
      <c r="C754">
        <v>2</v>
      </c>
      <c r="D754">
        <v>2125</v>
      </c>
      <c r="E754" t="s">
        <v>1701</v>
      </c>
      <c r="F754">
        <v>14.28</v>
      </c>
      <c r="G754" t="s">
        <v>1889</v>
      </c>
      <c r="H754" t="s">
        <v>1891</v>
      </c>
      <c r="I754" t="s">
        <v>218</v>
      </c>
      <c r="J754" t="s">
        <v>163</v>
      </c>
      <c r="K754" t="s">
        <v>3187</v>
      </c>
      <c r="L754" t="s">
        <v>3329</v>
      </c>
    </row>
    <row r="755" spans="1:12" x14ac:dyDescent="0.55000000000000004">
      <c r="A755">
        <v>1481</v>
      </c>
      <c r="B755" t="s">
        <v>94</v>
      </c>
      <c r="C755">
        <v>2</v>
      </c>
      <c r="D755">
        <v>2148</v>
      </c>
      <c r="E755" t="s">
        <v>1703</v>
      </c>
      <c r="F755">
        <v>12.34</v>
      </c>
      <c r="G755" t="s">
        <v>1889</v>
      </c>
      <c r="H755" t="s">
        <v>1891</v>
      </c>
      <c r="I755" t="s">
        <v>218</v>
      </c>
      <c r="J755" t="s">
        <v>165</v>
      </c>
      <c r="K755" t="s">
        <v>3189</v>
      </c>
      <c r="L755" t="s">
        <v>3329</v>
      </c>
    </row>
    <row r="756" spans="1:12" x14ac:dyDescent="0.55000000000000004">
      <c r="A756">
        <v>1484</v>
      </c>
      <c r="B756" t="s">
        <v>95</v>
      </c>
      <c r="C756">
        <v>4</v>
      </c>
      <c r="D756">
        <v>2039</v>
      </c>
      <c r="E756" t="s">
        <v>1706</v>
      </c>
      <c r="F756">
        <v>13.01</v>
      </c>
      <c r="G756" t="s">
        <v>1889</v>
      </c>
      <c r="H756" t="s">
        <v>1891</v>
      </c>
      <c r="I756" t="s">
        <v>218</v>
      </c>
      <c r="J756" t="s">
        <v>167</v>
      </c>
      <c r="K756" t="s">
        <v>3192</v>
      </c>
      <c r="L756" t="s">
        <v>3329</v>
      </c>
    </row>
    <row r="757" spans="1:12" x14ac:dyDescent="0.55000000000000004">
      <c r="A757">
        <v>1486</v>
      </c>
      <c r="B757" t="s">
        <v>96</v>
      </c>
      <c r="C757">
        <v>25</v>
      </c>
      <c r="D757">
        <v>2137</v>
      </c>
      <c r="E757" t="s">
        <v>1708</v>
      </c>
      <c r="F757">
        <v>14.03</v>
      </c>
      <c r="G757" t="s">
        <v>1889</v>
      </c>
      <c r="H757" t="s">
        <v>1891</v>
      </c>
      <c r="I757" t="s">
        <v>218</v>
      </c>
      <c r="J757" t="s">
        <v>169</v>
      </c>
      <c r="K757" t="s">
        <v>3194</v>
      </c>
      <c r="L757" t="s">
        <v>3329</v>
      </c>
    </row>
    <row r="758" spans="1:12" x14ac:dyDescent="0.55000000000000004">
      <c r="A758">
        <v>1488</v>
      </c>
      <c r="B758" t="s">
        <v>96</v>
      </c>
      <c r="C758">
        <v>25</v>
      </c>
      <c r="D758">
        <v>2137</v>
      </c>
      <c r="E758" t="s">
        <v>1710</v>
      </c>
      <c r="F758">
        <v>14.18</v>
      </c>
      <c r="G758" t="s">
        <v>1889</v>
      </c>
      <c r="H758" t="s">
        <v>1891</v>
      </c>
      <c r="I758" t="s">
        <v>218</v>
      </c>
      <c r="J758" t="s">
        <v>171</v>
      </c>
      <c r="K758" t="s">
        <v>3196</v>
      </c>
      <c r="L758" t="s">
        <v>3329</v>
      </c>
    </row>
    <row r="759" spans="1:12" x14ac:dyDescent="0.55000000000000004">
      <c r="A759">
        <v>1490</v>
      </c>
      <c r="B759" t="s">
        <v>96</v>
      </c>
      <c r="C759">
        <v>25</v>
      </c>
      <c r="D759">
        <v>2137</v>
      </c>
      <c r="E759" t="s">
        <v>1712</v>
      </c>
      <c r="F759">
        <v>12.26</v>
      </c>
      <c r="G759" t="s">
        <v>1889</v>
      </c>
      <c r="H759" t="s">
        <v>1891</v>
      </c>
      <c r="I759" t="s">
        <v>218</v>
      </c>
      <c r="J759" t="s">
        <v>173</v>
      </c>
      <c r="K759" t="s">
        <v>3198</v>
      </c>
      <c r="L759" t="s">
        <v>3329</v>
      </c>
    </row>
    <row r="760" spans="1:12" x14ac:dyDescent="0.55000000000000004">
      <c r="A760">
        <v>1491</v>
      </c>
      <c r="B760" t="s">
        <v>96</v>
      </c>
      <c r="C760">
        <v>25</v>
      </c>
      <c r="D760">
        <v>2137</v>
      </c>
      <c r="E760" t="s">
        <v>1713</v>
      </c>
      <c r="F760">
        <v>13.84</v>
      </c>
      <c r="G760" t="s">
        <v>1889</v>
      </c>
      <c r="H760" t="s">
        <v>1891</v>
      </c>
      <c r="I760" t="s">
        <v>218</v>
      </c>
      <c r="J760" t="s">
        <v>174</v>
      </c>
      <c r="K760" t="s">
        <v>3199</v>
      </c>
      <c r="L760" t="s">
        <v>3329</v>
      </c>
    </row>
    <row r="761" spans="1:12" x14ac:dyDescent="0.55000000000000004">
      <c r="A761">
        <v>1493</v>
      </c>
      <c r="B761" t="s">
        <v>96</v>
      </c>
      <c r="C761">
        <v>25</v>
      </c>
      <c r="D761">
        <v>2137</v>
      </c>
      <c r="E761" t="s">
        <v>1715</v>
      </c>
      <c r="F761">
        <v>13.1</v>
      </c>
      <c r="G761" t="s">
        <v>1889</v>
      </c>
      <c r="H761" t="s">
        <v>1891</v>
      </c>
      <c r="I761" t="s">
        <v>218</v>
      </c>
      <c r="J761" t="s">
        <v>176</v>
      </c>
      <c r="K761" t="s">
        <v>3201</v>
      </c>
      <c r="L761" t="s">
        <v>3329</v>
      </c>
    </row>
    <row r="762" spans="1:12" x14ac:dyDescent="0.55000000000000004">
      <c r="A762">
        <v>1496</v>
      </c>
      <c r="B762" t="s">
        <v>96</v>
      </c>
      <c r="C762">
        <v>25</v>
      </c>
      <c r="D762">
        <v>2137</v>
      </c>
      <c r="E762" t="s">
        <v>1718</v>
      </c>
      <c r="F762">
        <v>13.97</v>
      </c>
      <c r="G762" t="s">
        <v>1889</v>
      </c>
      <c r="H762" t="s">
        <v>1891</v>
      </c>
      <c r="I762" t="s">
        <v>218</v>
      </c>
      <c r="J762" t="s">
        <v>178</v>
      </c>
      <c r="K762" t="s">
        <v>3204</v>
      </c>
      <c r="L762" t="s">
        <v>3329</v>
      </c>
    </row>
    <row r="763" spans="1:12" x14ac:dyDescent="0.55000000000000004">
      <c r="A763">
        <v>1511</v>
      </c>
      <c r="B763" t="s">
        <v>97</v>
      </c>
      <c r="C763">
        <v>21</v>
      </c>
      <c r="D763">
        <v>2121</v>
      </c>
      <c r="E763" t="s">
        <v>1733</v>
      </c>
      <c r="F763">
        <v>13.47</v>
      </c>
      <c r="G763" t="s">
        <v>1889</v>
      </c>
      <c r="H763" t="s">
        <v>1891</v>
      </c>
      <c r="I763" t="s">
        <v>218</v>
      </c>
      <c r="J763" t="s">
        <v>180</v>
      </c>
      <c r="K763" t="s">
        <v>3213</v>
      </c>
      <c r="L763" t="s">
        <v>3329</v>
      </c>
    </row>
    <row r="764" spans="1:12" x14ac:dyDescent="0.55000000000000004">
      <c r="A764">
        <v>1513</v>
      </c>
      <c r="B764" t="s">
        <v>97</v>
      </c>
      <c r="C764">
        <v>21</v>
      </c>
      <c r="D764">
        <v>2121</v>
      </c>
      <c r="E764" t="s">
        <v>1735</v>
      </c>
      <c r="F764">
        <v>14.15</v>
      </c>
      <c r="G764" t="s">
        <v>1889</v>
      </c>
      <c r="H764" t="s">
        <v>1891</v>
      </c>
      <c r="I764" t="s">
        <v>218</v>
      </c>
      <c r="J764" t="s">
        <v>182</v>
      </c>
      <c r="K764" t="s">
        <v>3215</v>
      </c>
      <c r="L764" t="s">
        <v>3329</v>
      </c>
    </row>
    <row r="765" spans="1:12" x14ac:dyDescent="0.55000000000000004">
      <c r="A765">
        <v>1515</v>
      </c>
      <c r="B765" t="s">
        <v>97</v>
      </c>
      <c r="C765">
        <v>21</v>
      </c>
      <c r="D765">
        <v>2121</v>
      </c>
      <c r="E765" t="s">
        <v>1737</v>
      </c>
      <c r="F765">
        <v>14.53</v>
      </c>
      <c r="G765" t="s">
        <v>1889</v>
      </c>
      <c r="H765" t="s">
        <v>1891</v>
      </c>
      <c r="I765" t="s">
        <v>218</v>
      </c>
      <c r="J765" t="s">
        <v>184</v>
      </c>
      <c r="K765" t="s">
        <v>3217</v>
      </c>
      <c r="L765" t="s">
        <v>3329</v>
      </c>
    </row>
    <row r="766" spans="1:12" x14ac:dyDescent="0.55000000000000004">
      <c r="A766">
        <v>1516</v>
      </c>
      <c r="B766" t="s">
        <v>97</v>
      </c>
      <c r="C766">
        <v>21</v>
      </c>
      <c r="D766">
        <v>2121</v>
      </c>
      <c r="E766" t="s">
        <v>1738</v>
      </c>
      <c r="F766">
        <v>14.85</v>
      </c>
      <c r="G766" t="s">
        <v>1889</v>
      </c>
      <c r="H766" t="s">
        <v>1891</v>
      </c>
      <c r="I766" t="s">
        <v>218</v>
      </c>
      <c r="J766" t="s">
        <v>185</v>
      </c>
      <c r="K766" t="s">
        <v>3218</v>
      </c>
      <c r="L766" t="s">
        <v>3329</v>
      </c>
    </row>
    <row r="767" spans="1:12" x14ac:dyDescent="0.55000000000000004">
      <c r="A767">
        <v>1518</v>
      </c>
      <c r="B767" t="s">
        <v>97</v>
      </c>
      <c r="C767">
        <v>21</v>
      </c>
      <c r="D767">
        <v>2121</v>
      </c>
      <c r="E767" t="s">
        <v>1740</v>
      </c>
      <c r="F767">
        <v>14.98</v>
      </c>
      <c r="G767" t="s">
        <v>1889</v>
      </c>
      <c r="H767" t="s">
        <v>1891</v>
      </c>
      <c r="I767" t="s">
        <v>218</v>
      </c>
      <c r="J767" t="s">
        <v>187</v>
      </c>
      <c r="K767" t="s">
        <v>3220</v>
      </c>
      <c r="L767" t="s">
        <v>3329</v>
      </c>
    </row>
    <row r="768" spans="1:12" x14ac:dyDescent="0.55000000000000004">
      <c r="A768">
        <v>1521</v>
      </c>
      <c r="B768" t="s">
        <v>97</v>
      </c>
      <c r="C768">
        <v>21</v>
      </c>
      <c r="D768">
        <v>2121</v>
      </c>
      <c r="E768" t="s">
        <v>1743</v>
      </c>
      <c r="F768">
        <v>14.74</v>
      </c>
      <c r="G768" t="s">
        <v>1889</v>
      </c>
      <c r="H768" t="s">
        <v>1891</v>
      </c>
      <c r="I768" t="s">
        <v>218</v>
      </c>
      <c r="J768" t="s">
        <v>189</v>
      </c>
      <c r="K768" t="s">
        <v>3223</v>
      </c>
      <c r="L768" t="s">
        <v>3329</v>
      </c>
    </row>
    <row r="769" spans="1:12" x14ac:dyDescent="0.55000000000000004">
      <c r="A769">
        <v>1532</v>
      </c>
      <c r="B769" t="s">
        <v>98</v>
      </c>
      <c r="C769">
        <v>19</v>
      </c>
      <c r="D769">
        <v>2059</v>
      </c>
      <c r="E769" t="s">
        <v>1754</v>
      </c>
      <c r="F769">
        <v>14.93</v>
      </c>
      <c r="G769" t="s">
        <v>1889</v>
      </c>
      <c r="H769" t="s">
        <v>110</v>
      </c>
      <c r="I769" t="s">
        <v>218</v>
      </c>
      <c r="J769" t="s">
        <v>191</v>
      </c>
      <c r="K769" t="s">
        <v>3230</v>
      </c>
      <c r="L769" t="s">
        <v>3329</v>
      </c>
    </row>
    <row r="770" spans="1:12" x14ac:dyDescent="0.55000000000000004">
      <c r="A770">
        <v>1534</v>
      </c>
      <c r="B770" t="s">
        <v>98</v>
      </c>
      <c r="C770">
        <v>19</v>
      </c>
      <c r="D770">
        <v>2059</v>
      </c>
      <c r="E770" t="s">
        <v>1756</v>
      </c>
      <c r="F770">
        <v>14.05</v>
      </c>
      <c r="G770" t="s">
        <v>1889</v>
      </c>
      <c r="H770" t="s">
        <v>1891</v>
      </c>
      <c r="I770" t="s">
        <v>218</v>
      </c>
      <c r="J770" t="s">
        <v>193</v>
      </c>
      <c r="K770" t="s">
        <v>3232</v>
      </c>
      <c r="L770" t="s">
        <v>3329</v>
      </c>
    </row>
    <row r="771" spans="1:12" x14ac:dyDescent="0.55000000000000004">
      <c r="A771">
        <v>1536</v>
      </c>
      <c r="B771" t="s">
        <v>98</v>
      </c>
      <c r="C771">
        <v>19</v>
      </c>
      <c r="D771">
        <v>2059</v>
      </c>
      <c r="E771" t="s">
        <v>1758</v>
      </c>
      <c r="F771">
        <v>15.12</v>
      </c>
      <c r="G771" t="s">
        <v>1889</v>
      </c>
      <c r="H771" t="s">
        <v>1891</v>
      </c>
      <c r="I771" t="s">
        <v>218</v>
      </c>
      <c r="J771" t="s">
        <v>195</v>
      </c>
      <c r="K771" t="s">
        <v>3234</v>
      </c>
      <c r="L771" t="s">
        <v>3329</v>
      </c>
    </row>
    <row r="772" spans="1:12" x14ac:dyDescent="0.55000000000000004">
      <c r="A772">
        <v>1537</v>
      </c>
      <c r="B772" t="s">
        <v>98</v>
      </c>
      <c r="C772">
        <v>19</v>
      </c>
      <c r="D772">
        <v>2059</v>
      </c>
      <c r="E772" t="s">
        <v>1759</v>
      </c>
      <c r="F772">
        <v>12.08</v>
      </c>
      <c r="G772" t="s">
        <v>1889</v>
      </c>
      <c r="H772" t="s">
        <v>1891</v>
      </c>
      <c r="I772" t="s">
        <v>218</v>
      </c>
      <c r="J772" t="s">
        <v>196</v>
      </c>
      <c r="K772" t="s">
        <v>3235</v>
      </c>
      <c r="L772" t="s">
        <v>3329</v>
      </c>
    </row>
    <row r="773" spans="1:12" x14ac:dyDescent="0.55000000000000004">
      <c r="A773">
        <v>1539</v>
      </c>
      <c r="B773" t="s">
        <v>98</v>
      </c>
      <c r="C773">
        <v>19</v>
      </c>
      <c r="D773">
        <v>2059</v>
      </c>
      <c r="E773" t="s">
        <v>1761</v>
      </c>
      <c r="F773">
        <v>14.01</v>
      </c>
      <c r="G773" t="s">
        <v>1889</v>
      </c>
      <c r="H773" t="s">
        <v>1891</v>
      </c>
      <c r="I773" t="s">
        <v>218</v>
      </c>
      <c r="J773" t="s">
        <v>198</v>
      </c>
      <c r="K773" t="s">
        <v>3237</v>
      </c>
      <c r="L773" t="s">
        <v>3329</v>
      </c>
    </row>
    <row r="774" spans="1:12" x14ac:dyDescent="0.55000000000000004">
      <c r="A774">
        <v>1542</v>
      </c>
      <c r="B774" t="s">
        <v>98</v>
      </c>
      <c r="C774">
        <v>19</v>
      </c>
      <c r="D774">
        <v>2059</v>
      </c>
      <c r="E774" t="s">
        <v>1764</v>
      </c>
      <c r="F774">
        <v>12.91</v>
      </c>
      <c r="G774" t="s">
        <v>1889</v>
      </c>
      <c r="H774" t="s">
        <v>1891</v>
      </c>
      <c r="I774" t="s">
        <v>218</v>
      </c>
      <c r="J774" t="s">
        <v>200</v>
      </c>
      <c r="K774" t="s">
        <v>3240</v>
      </c>
      <c r="L774" t="s">
        <v>3329</v>
      </c>
    </row>
    <row r="775" spans="1:12" x14ac:dyDescent="0.55000000000000004">
      <c r="A775">
        <v>1551</v>
      </c>
      <c r="B775" t="s">
        <v>99</v>
      </c>
      <c r="C775">
        <v>23</v>
      </c>
      <c r="D775">
        <v>2153</v>
      </c>
      <c r="E775" t="s">
        <v>1773</v>
      </c>
      <c r="F775">
        <v>15.4</v>
      </c>
      <c r="G775" t="s">
        <v>1889</v>
      </c>
      <c r="H775" t="s">
        <v>1891</v>
      </c>
      <c r="I775" t="s">
        <v>218</v>
      </c>
      <c r="J775" t="s">
        <v>202</v>
      </c>
      <c r="K775" t="s">
        <v>3243</v>
      </c>
      <c r="L775" t="s">
        <v>3329</v>
      </c>
    </row>
    <row r="776" spans="1:12" x14ac:dyDescent="0.55000000000000004">
      <c r="A776">
        <v>1553</v>
      </c>
      <c r="B776" t="s">
        <v>99</v>
      </c>
      <c r="C776">
        <v>23</v>
      </c>
      <c r="D776">
        <v>2153</v>
      </c>
      <c r="E776" t="s">
        <v>1775</v>
      </c>
      <c r="F776">
        <v>14.66</v>
      </c>
      <c r="G776" t="s">
        <v>1889</v>
      </c>
      <c r="H776" t="s">
        <v>1891</v>
      </c>
      <c r="I776" t="s">
        <v>218</v>
      </c>
      <c r="J776" t="s">
        <v>204</v>
      </c>
      <c r="K776" t="s">
        <v>3245</v>
      </c>
      <c r="L776" t="s">
        <v>3329</v>
      </c>
    </row>
    <row r="777" spans="1:12" x14ac:dyDescent="0.55000000000000004">
      <c r="A777">
        <v>1555</v>
      </c>
      <c r="B777" t="s">
        <v>99</v>
      </c>
      <c r="C777">
        <v>23</v>
      </c>
      <c r="D777">
        <v>2153</v>
      </c>
      <c r="E777" t="s">
        <v>1777</v>
      </c>
      <c r="F777">
        <v>15.56</v>
      </c>
      <c r="G777" t="s">
        <v>1889</v>
      </c>
      <c r="H777" t="s">
        <v>1891</v>
      </c>
      <c r="I777" t="s">
        <v>218</v>
      </c>
      <c r="J777" t="s">
        <v>206</v>
      </c>
      <c r="K777" t="s">
        <v>3247</v>
      </c>
      <c r="L777" t="s">
        <v>3329</v>
      </c>
    </row>
    <row r="778" spans="1:12" x14ac:dyDescent="0.55000000000000004">
      <c r="A778">
        <v>1556</v>
      </c>
      <c r="B778" t="s">
        <v>99</v>
      </c>
      <c r="C778">
        <v>23</v>
      </c>
      <c r="D778">
        <v>2153</v>
      </c>
      <c r="E778" t="s">
        <v>1778</v>
      </c>
      <c r="F778">
        <v>15.27</v>
      </c>
      <c r="G778" t="s">
        <v>1889</v>
      </c>
      <c r="H778" t="s">
        <v>1891</v>
      </c>
      <c r="I778" t="s">
        <v>218</v>
      </c>
      <c r="J778" t="s">
        <v>207</v>
      </c>
      <c r="K778" t="s">
        <v>3248</v>
      </c>
      <c r="L778" t="s">
        <v>3329</v>
      </c>
    </row>
    <row r="779" spans="1:12" x14ac:dyDescent="0.55000000000000004">
      <c r="A779">
        <v>1558</v>
      </c>
      <c r="B779" t="s">
        <v>99</v>
      </c>
      <c r="C779">
        <v>23</v>
      </c>
      <c r="D779">
        <v>2153</v>
      </c>
      <c r="E779" t="s">
        <v>1780</v>
      </c>
      <c r="F779">
        <v>14.33</v>
      </c>
      <c r="G779" t="s">
        <v>1889</v>
      </c>
      <c r="H779" t="s">
        <v>1891</v>
      </c>
      <c r="I779" t="s">
        <v>218</v>
      </c>
      <c r="J779" t="s">
        <v>209</v>
      </c>
      <c r="K779" t="s">
        <v>3250</v>
      </c>
      <c r="L779" t="s">
        <v>3329</v>
      </c>
    </row>
    <row r="780" spans="1:12" x14ac:dyDescent="0.55000000000000004">
      <c r="A780">
        <v>1559</v>
      </c>
      <c r="B780" t="s">
        <v>99</v>
      </c>
      <c r="C780">
        <v>23</v>
      </c>
      <c r="D780">
        <v>2153</v>
      </c>
      <c r="E780" t="s">
        <v>1781</v>
      </c>
      <c r="F780">
        <v>14.52</v>
      </c>
      <c r="G780" t="s">
        <v>2113</v>
      </c>
      <c r="H780" t="s">
        <v>110</v>
      </c>
      <c r="I780" t="s">
        <v>219</v>
      </c>
      <c r="J780" t="s">
        <v>114</v>
      </c>
      <c r="L780" t="s">
        <v>3329</v>
      </c>
    </row>
    <row r="781" spans="1:12" x14ac:dyDescent="0.55000000000000004">
      <c r="A781">
        <v>1560</v>
      </c>
      <c r="B781" t="s">
        <v>99</v>
      </c>
      <c r="C781">
        <v>23</v>
      </c>
      <c r="D781">
        <v>2153</v>
      </c>
      <c r="E781" t="s">
        <v>1782</v>
      </c>
      <c r="F781">
        <v>15.38</v>
      </c>
      <c r="G781" t="s">
        <v>2113</v>
      </c>
      <c r="H781" t="s">
        <v>110</v>
      </c>
      <c r="I781" t="s">
        <v>219</v>
      </c>
      <c r="J781" t="s">
        <v>122</v>
      </c>
      <c r="L781" t="s">
        <v>3329</v>
      </c>
    </row>
    <row r="782" spans="1:12" x14ac:dyDescent="0.55000000000000004">
      <c r="A782">
        <v>1576</v>
      </c>
      <c r="B782" t="s">
        <v>100</v>
      </c>
      <c r="C782">
        <v>3</v>
      </c>
      <c r="D782">
        <v>2129</v>
      </c>
      <c r="E782" t="s">
        <v>1798</v>
      </c>
      <c r="F782">
        <v>14.25</v>
      </c>
      <c r="G782" t="s">
        <v>1889</v>
      </c>
      <c r="H782" t="s">
        <v>1891</v>
      </c>
      <c r="I782" t="s">
        <v>219</v>
      </c>
      <c r="J782" t="s">
        <v>127</v>
      </c>
      <c r="K782" t="s">
        <v>3258</v>
      </c>
      <c r="L782" t="s">
        <v>3329</v>
      </c>
    </row>
    <row r="783" spans="1:12" x14ac:dyDescent="0.55000000000000004">
      <c r="A783">
        <v>1578</v>
      </c>
      <c r="B783" t="s">
        <v>101</v>
      </c>
      <c r="C783">
        <v>4</v>
      </c>
      <c r="D783">
        <v>2145</v>
      </c>
      <c r="E783" t="s">
        <v>1800</v>
      </c>
      <c r="F783">
        <v>17.329999999999998</v>
      </c>
      <c r="G783" t="s">
        <v>2113</v>
      </c>
      <c r="H783" t="s">
        <v>110</v>
      </c>
      <c r="I783" t="s">
        <v>219</v>
      </c>
      <c r="J783" t="s">
        <v>129</v>
      </c>
      <c r="L783" t="s">
        <v>3329</v>
      </c>
    </row>
    <row r="784" spans="1:12" x14ac:dyDescent="0.55000000000000004">
      <c r="A784">
        <v>1580</v>
      </c>
      <c r="B784" t="s">
        <v>101</v>
      </c>
      <c r="C784">
        <v>4</v>
      </c>
      <c r="D784">
        <v>2145</v>
      </c>
      <c r="E784" t="s">
        <v>1802</v>
      </c>
      <c r="F784">
        <v>15.93</v>
      </c>
      <c r="G784" t="s">
        <v>2113</v>
      </c>
      <c r="H784" t="s">
        <v>110</v>
      </c>
      <c r="I784" t="s">
        <v>219</v>
      </c>
      <c r="J784" t="s">
        <v>131</v>
      </c>
      <c r="L784" t="s">
        <v>3329</v>
      </c>
    </row>
    <row r="785" spans="1:12" x14ac:dyDescent="0.55000000000000004">
      <c r="A785">
        <v>1584</v>
      </c>
      <c r="B785" t="s">
        <v>102</v>
      </c>
      <c r="C785">
        <v>4</v>
      </c>
      <c r="D785">
        <v>2165</v>
      </c>
      <c r="E785" t="s">
        <v>1806</v>
      </c>
      <c r="F785">
        <v>16.59</v>
      </c>
      <c r="G785" t="s">
        <v>2113</v>
      </c>
      <c r="H785" t="s">
        <v>110</v>
      </c>
      <c r="I785" t="s">
        <v>219</v>
      </c>
      <c r="J785" t="s">
        <v>134</v>
      </c>
      <c r="L785" t="s">
        <v>3329</v>
      </c>
    </row>
    <row r="786" spans="1:12" x14ac:dyDescent="0.55000000000000004">
      <c r="A786">
        <v>1586</v>
      </c>
      <c r="B786" t="s">
        <v>103</v>
      </c>
      <c r="C786">
        <v>2</v>
      </c>
      <c r="D786">
        <v>2126</v>
      </c>
      <c r="E786" t="s">
        <v>1808</v>
      </c>
      <c r="F786">
        <v>15.91</v>
      </c>
      <c r="G786" t="s">
        <v>1889</v>
      </c>
      <c r="H786" t="s">
        <v>1891</v>
      </c>
      <c r="I786" t="s">
        <v>219</v>
      </c>
      <c r="J786" t="s">
        <v>136</v>
      </c>
      <c r="K786" t="s">
        <v>3260</v>
      </c>
      <c r="L786" t="s">
        <v>3329</v>
      </c>
    </row>
    <row r="787" spans="1:12" x14ac:dyDescent="0.55000000000000004">
      <c r="A787">
        <v>1588</v>
      </c>
      <c r="B787" t="s">
        <v>104</v>
      </c>
      <c r="C787">
        <v>4</v>
      </c>
      <c r="D787">
        <v>2119</v>
      </c>
      <c r="E787" t="s">
        <v>1810</v>
      </c>
      <c r="F787">
        <v>17.2</v>
      </c>
      <c r="G787" t="s">
        <v>2113</v>
      </c>
      <c r="H787" t="s">
        <v>110</v>
      </c>
      <c r="I787" t="s">
        <v>219</v>
      </c>
      <c r="J787" t="s">
        <v>138</v>
      </c>
      <c r="L787" t="s">
        <v>3329</v>
      </c>
    </row>
    <row r="788" spans="1:12" x14ac:dyDescent="0.55000000000000004">
      <c r="A788">
        <v>1590</v>
      </c>
      <c r="B788" t="s">
        <v>104</v>
      </c>
      <c r="C788">
        <v>4</v>
      </c>
      <c r="D788">
        <v>2119</v>
      </c>
      <c r="E788" t="s">
        <v>1812</v>
      </c>
      <c r="F788">
        <v>15.52</v>
      </c>
      <c r="G788" t="s">
        <v>2113</v>
      </c>
      <c r="H788" t="s">
        <v>110</v>
      </c>
      <c r="I788" t="s">
        <v>219</v>
      </c>
      <c r="J788" t="s">
        <v>140</v>
      </c>
      <c r="L788" t="s">
        <v>3329</v>
      </c>
    </row>
    <row r="789" spans="1:12" x14ac:dyDescent="0.55000000000000004">
      <c r="A789">
        <v>1591</v>
      </c>
      <c r="B789" t="s">
        <v>105</v>
      </c>
      <c r="C789">
        <v>2</v>
      </c>
      <c r="D789">
        <v>2135</v>
      </c>
      <c r="E789" t="s">
        <v>1813</v>
      </c>
      <c r="F789">
        <v>15.43</v>
      </c>
      <c r="G789" t="s">
        <v>2113</v>
      </c>
      <c r="H789" t="s">
        <v>110</v>
      </c>
      <c r="I789" t="s">
        <v>219</v>
      </c>
      <c r="J789" t="s">
        <v>141</v>
      </c>
      <c r="L789" t="s">
        <v>3329</v>
      </c>
    </row>
    <row r="790" spans="1:12" x14ac:dyDescent="0.55000000000000004">
      <c r="A790">
        <v>1593</v>
      </c>
      <c r="B790" t="s">
        <v>106</v>
      </c>
      <c r="C790">
        <v>6</v>
      </c>
      <c r="D790">
        <v>2139</v>
      </c>
      <c r="E790" t="s">
        <v>1815</v>
      </c>
      <c r="F790">
        <v>15.64</v>
      </c>
      <c r="G790" t="s">
        <v>2113</v>
      </c>
      <c r="H790" t="s">
        <v>110</v>
      </c>
      <c r="I790" t="s">
        <v>219</v>
      </c>
      <c r="J790" t="s">
        <v>143</v>
      </c>
      <c r="L790" t="s">
        <v>3329</v>
      </c>
    </row>
    <row r="791" spans="1:12" x14ac:dyDescent="0.55000000000000004">
      <c r="A791">
        <v>1596</v>
      </c>
      <c r="B791" t="s">
        <v>106</v>
      </c>
      <c r="C791">
        <v>6</v>
      </c>
      <c r="D791">
        <v>2139</v>
      </c>
      <c r="E791" t="s">
        <v>1818</v>
      </c>
      <c r="F791">
        <v>13.68</v>
      </c>
      <c r="G791" t="s">
        <v>1889</v>
      </c>
      <c r="H791" t="s">
        <v>1891</v>
      </c>
      <c r="I791" t="s">
        <v>219</v>
      </c>
      <c r="J791" t="s">
        <v>145</v>
      </c>
      <c r="K791" t="s">
        <v>3264</v>
      </c>
      <c r="L791" t="s">
        <v>3329</v>
      </c>
    </row>
    <row r="792" spans="1:12" x14ac:dyDescent="0.55000000000000004">
      <c r="A792">
        <v>1598</v>
      </c>
      <c r="B792" t="s">
        <v>106</v>
      </c>
      <c r="C792">
        <v>6</v>
      </c>
      <c r="D792">
        <v>2139</v>
      </c>
      <c r="E792" t="s">
        <v>1820</v>
      </c>
      <c r="F792">
        <v>14.47</v>
      </c>
      <c r="G792" t="s">
        <v>1889</v>
      </c>
      <c r="H792" t="s">
        <v>1891</v>
      </c>
      <c r="I792" t="s">
        <v>219</v>
      </c>
      <c r="J792" t="s">
        <v>147</v>
      </c>
      <c r="K792" t="s">
        <v>3266</v>
      </c>
      <c r="L792" t="s">
        <v>3329</v>
      </c>
    </row>
    <row r="793" spans="1:12" x14ac:dyDescent="0.55000000000000004">
      <c r="A793">
        <v>1600</v>
      </c>
      <c r="B793" t="s">
        <v>108</v>
      </c>
      <c r="C793">
        <v>6</v>
      </c>
      <c r="D793">
        <v>2155</v>
      </c>
      <c r="E793" t="s">
        <v>1822</v>
      </c>
      <c r="F793">
        <v>15.54</v>
      </c>
      <c r="G793" t="s">
        <v>1889</v>
      </c>
      <c r="H793" t="s">
        <v>1891</v>
      </c>
      <c r="I793" t="s">
        <v>219</v>
      </c>
      <c r="J793" t="s">
        <v>149</v>
      </c>
      <c r="K793" t="s">
        <v>3267</v>
      </c>
      <c r="L793" t="s">
        <v>3329</v>
      </c>
    </row>
    <row r="794" spans="1:12" x14ac:dyDescent="0.55000000000000004">
      <c r="A794">
        <v>1602</v>
      </c>
      <c r="B794" t="s">
        <v>108</v>
      </c>
      <c r="C794">
        <v>6</v>
      </c>
      <c r="D794">
        <v>2155</v>
      </c>
      <c r="E794" t="s">
        <v>1824</v>
      </c>
      <c r="F794">
        <v>13.39</v>
      </c>
      <c r="G794" t="s">
        <v>1889</v>
      </c>
      <c r="H794" t="s">
        <v>1891</v>
      </c>
      <c r="I794" t="s">
        <v>219</v>
      </c>
      <c r="J794" t="s">
        <v>151</v>
      </c>
      <c r="K794" t="s">
        <v>3269</v>
      </c>
      <c r="L794" t="s">
        <v>3329</v>
      </c>
    </row>
    <row r="795" spans="1:12" x14ac:dyDescent="0.55000000000000004">
      <c r="A795">
        <v>1603</v>
      </c>
      <c r="B795" t="s">
        <v>108</v>
      </c>
      <c r="C795">
        <v>6</v>
      </c>
      <c r="D795">
        <v>2155</v>
      </c>
      <c r="E795" t="s">
        <v>1825</v>
      </c>
      <c r="F795">
        <v>11.32</v>
      </c>
      <c r="G795" t="s">
        <v>1889</v>
      </c>
      <c r="H795" t="s">
        <v>1891</v>
      </c>
      <c r="I795" t="s">
        <v>219</v>
      </c>
      <c r="J795" t="s">
        <v>152</v>
      </c>
      <c r="K795" t="s">
        <v>3270</v>
      </c>
      <c r="L795" t="s">
        <v>3329</v>
      </c>
    </row>
    <row r="796" spans="1:12" x14ac:dyDescent="0.55000000000000004">
      <c r="A796">
        <v>1605</v>
      </c>
      <c r="B796" t="s">
        <v>108</v>
      </c>
      <c r="C796">
        <v>6</v>
      </c>
      <c r="D796">
        <v>2155</v>
      </c>
      <c r="E796" t="s">
        <v>1827</v>
      </c>
      <c r="F796">
        <v>17.190000000000001</v>
      </c>
      <c r="G796" t="s">
        <v>2113</v>
      </c>
      <c r="H796" t="s">
        <v>110</v>
      </c>
      <c r="I796" t="s">
        <v>219</v>
      </c>
      <c r="J796" t="s">
        <v>154</v>
      </c>
      <c r="L796" t="s">
        <v>3329</v>
      </c>
    </row>
    <row r="797" spans="1:12" x14ac:dyDescent="0.55000000000000004">
      <c r="A797">
        <v>1608</v>
      </c>
      <c r="B797" t="s">
        <v>109</v>
      </c>
      <c r="C797">
        <v>12</v>
      </c>
      <c r="D797">
        <v>2127</v>
      </c>
      <c r="E797" t="s">
        <v>1830</v>
      </c>
      <c r="F797">
        <v>14.56</v>
      </c>
      <c r="G797" t="s">
        <v>1889</v>
      </c>
      <c r="H797" t="s">
        <v>1891</v>
      </c>
      <c r="I797" t="s">
        <v>219</v>
      </c>
      <c r="J797" t="s">
        <v>156</v>
      </c>
      <c r="K797" t="s">
        <v>3274</v>
      </c>
      <c r="L797" t="s">
        <v>3329</v>
      </c>
    </row>
    <row r="798" spans="1:12" x14ac:dyDescent="0.55000000000000004">
      <c r="A798">
        <v>1610</v>
      </c>
      <c r="B798" t="s">
        <v>109</v>
      </c>
      <c r="C798">
        <v>12</v>
      </c>
      <c r="D798">
        <v>2127</v>
      </c>
      <c r="E798" t="s">
        <v>1832</v>
      </c>
      <c r="F798">
        <v>16.559999999999999</v>
      </c>
      <c r="G798" t="s">
        <v>2113</v>
      </c>
      <c r="H798" t="s">
        <v>110</v>
      </c>
      <c r="I798" t="s">
        <v>219</v>
      </c>
      <c r="J798" t="s">
        <v>158</v>
      </c>
      <c r="L798" t="s">
        <v>3329</v>
      </c>
    </row>
    <row r="799" spans="1:12" x14ac:dyDescent="0.55000000000000004">
      <c r="A799">
        <v>1612</v>
      </c>
      <c r="B799" t="s">
        <v>109</v>
      </c>
      <c r="C799">
        <v>12</v>
      </c>
      <c r="D799">
        <v>2127</v>
      </c>
      <c r="E799" t="s">
        <v>1834</v>
      </c>
      <c r="F799">
        <v>16.16</v>
      </c>
      <c r="G799" t="s">
        <v>1889</v>
      </c>
      <c r="H799" t="s">
        <v>1891</v>
      </c>
      <c r="I799" t="s">
        <v>219</v>
      </c>
      <c r="J799" t="s">
        <v>160</v>
      </c>
      <c r="K799" t="s">
        <v>3294</v>
      </c>
      <c r="L799" t="s">
        <v>3329</v>
      </c>
    </row>
    <row r="800" spans="1:12" x14ac:dyDescent="0.55000000000000004">
      <c r="A800">
        <v>1614</v>
      </c>
      <c r="B800" t="s">
        <v>109</v>
      </c>
      <c r="C800">
        <v>12</v>
      </c>
      <c r="D800">
        <v>2127</v>
      </c>
      <c r="E800" t="s">
        <v>1836</v>
      </c>
      <c r="F800">
        <v>17.13</v>
      </c>
      <c r="G800" t="s">
        <v>1889</v>
      </c>
      <c r="H800" t="s">
        <v>1891</v>
      </c>
      <c r="I800" t="s">
        <v>219</v>
      </c>
      <c r="J800" t="s">
        <v>162</v>
      </c>
      <c r="K800" t="s">
        <v>3296</v>
      </c>
      <c r="L800" t="s">
        <v>3329</v>
      </c>
    </row>
    <row r="801" spans="1:12" x14ac:dyDescent="0.55000000000000004">
      <c r="A801">
        <v>1615</v>
      </c>
      <c r="B801" t="s">
        <v>109</v>
      </c>
      <c r="C801">
        <v>12</v>
      </c>
      <c r="D801">
        <v>2127</v>
      </c>
      <c r="E801" t="s">
        <v>1837</v>
      </c>
      <c r="F801">
        <v>19.37</v>
      </c>
      <c r="G801" t="s">
        <v>1889</v>
      </c>
      <c r="H801" t="s">
        <v>1891</v>
      </c>
      <c r="I801" t="s">
        <v>219</v>
      </c>
      <c r="J801" t="s">
        <v>163</v>
      </c>
      <c r="K801" t="s">
        <v>3297</v>
      </c>
      <c r="L801" t="s">
        <v>3329</v>
      </c>
    </row>
    <row r="802" spans="1:12" x14ac:dyDescent="0.55000000000000004">
      <c r="A802">
        <v>1617</v>
      </c>
      <c r="B802" t="s">
        <v>109</v>
      </c>
      <c r="C802">
        <v>12</v>
      </c>
      <c r="D802">
        <v>2127</v>
      </c>
      <c r="E802" t="s">
        <v>1839</v>
      </c>
      <c r="F802">
        <v>16.899999999999999</v>
      </c>
      <c r="G802" t="s">
        <v>1889</v>
      </c>
      <c r="H802" t="s">
        <v>1891</v>
      </c>
      <c r="I802" t="s">
        <v>219</v>
      </c>
      <c r="J802" t="s">
        <v>165</v>
      </c>
      <c r="K802" t="s">
        <v>3299</v>
      </c>
      <c r="L802" t="s">
        <v>3329</v>
      </c>
    </row>
    <row r="803" spans="1:12" x14ac:dyDescent="0.55000000000000004">
      <c r="A803">
        <v>1620</v>
      </c>
      <c r="B803" t="s">
        <v>1842</v>
      </c>
      <c r="C803">
        <v>10</v>
      </c>
      <c r="F803">
        <v>141</v>
      </c>
      <c r="G803" t="s">
        <v>1888</v>
      </c>
      <c r="H803" t="s">
        <v>110</v>
      </c>
      <c r="I803" t="s">
        <v>219</v>
      </c>
      <c r="J803" t="s">
        <v>167</v>
      </c>
      <c r="K803" t="s">
        <v>220</v>
      </c>
      <c r="L803" t="s">
        <v>3329</v>
      </c>
    </row>
    <row r="804" spans="1:12" x14ac:dyDescent="0.55000000000000004">
      <c r="A804">
        <v>1622</v>
      </c>
      <c r="B804" t="s">
        <v>1844</v>
      </c>
      <c r="C804">
        <v>10</v>
      </c>
      <c r="F804">
        <v>126</v>
      </c>
      <c r="G804" t="s">
        <v>1888</v>
      </c>
      <c r="H804" t="s">
        <v>110</v>
      </c>
      <c r="I804" t="s">
        <v>219</v>
      </c>
      <c r="J804" t="s">
        <v>169</v>
      </c>
      <c r="K804" t="s">
        <v>220</v>
      </c>
      <c r="L804" t="s">
        <v>3329</v>
      </c>
    </row>
    <row r="805" spans="1:12" x14ac:dyDescent="0.55000000000000004">
      <c r="A805">
        <v>1624</v>
      </c>
      <c r="B805" t="s">
        <v>1846</v>
      </c>
      <c r="C805">
        <v>10</v>
      </c>
      <c r="F805">
        <v>102</v>
      </c>
      <c r="G805" t="s">
        <v>1888</v>
      </c>
      <c r="H805" t="s">
        <v>110</v>
      </c>
      <c r="I805" t="s">
        <v>219</v>
      </c>
      <c r="J805" t="s">
        <v>171</v>
      </c>
      <c r="K805" t="s">
        <v>220</v>
      </c>
      <c r="L805" t="s">
        <v>3329</v>
      </c>
    </row>
    <row r="806" spans="1:12" x14ac:dyDescent="0.55000000000000004">
      <c r="A806">
        <v>1626</v>
      </c>
      <c r="B806" t="s">
        <v>1848</v>
      </c>
      <c r="C806">
        <v>10</v>
      </c>
      <c r="F806">
        <v>91</v>
      </c>
      <c r="G806" t="s">
        <v>1888</v>
      </c>
      <c r="H806" t="s">
        <v>110</v>
      </c>
      <c r="I806" t="s">
        <v>219</v>
      </c>
      <c r="J806" t="s">
        <v>173</v>
      </c>
      <c r="K806" t="s">
        <v>220</v>
      </c>
      <c r="L806" t="s">
        <v>3329</v>
      </c>
    </row>
    <row r="807" spans="1:12" x14ac:dyDescent="0.55000000000000004">
      <c r="A807">
        <v>1627</v>
      </c>
      <c r="B807" t="s">
        <v>1849</v>
      </c>
      <c r="C807">
        <v>10</v>
      </c>
      <c r="F807">
        <v>91</v>
      </c>
      <c r="G807" t="s">
        <v>1888</v>
      </c>
      <c r="H807" t="s">
        <v>110</v>
      </c>
      <c r="I807" t="s">
        <v>219</v>
      </c>
      <c r="J807" t="s">
        <v>174</v>
      </c>
      <c r="K807" t="s">
        <v>220</v>
      </c>
      <c r="L807" t="s">
        <v>3329</v>
      </c>
    </row>
    <row r="808" spans="1:12" x14ac:dyDescent="0.55000000000000004">
      <c r="A808">
        <v>1629</v>
      </c>
      <c r="B808" t="s">
        <v>1851</v>
      </c>
      <c r="C808">
        <v>19</v>
      </c>
      <c r="F808">
        <v>113</v>
      </c>
      <c r="G808" t="s">
        <v>1888</v>
      </c>
      <c r="H808" t="s">
        <v>110</v>
      </c>
      <c r="I808" t="s">
        <v>219</v>
      </c>
      <c r="J808" t="s">
        <v>176</v>
      </c>
      <c r="K808" t="s">
        <v>221</v>
      </c>
      <c r="L808" t="s">
        <v>3329</v>
      </c>
    </row>
    <row r="809" spans="1:12" x14ac:dyDescent="0.55000000000000004">
      <c r="A809">
        <v>1632</v>
      </c>
      <c r="B809" t="s">
        <v>1854</v>
      </c>
      <c r="C809">
        <v>19</v>
      </c>
      <c r="F809">
        <v>117</v>
      </c>
      <c r="G809" t="s">
        <v>1888</v>
      </c>
      <c r="H809" t="s">
        <v>110</v>
      </c>
      <c r="I809" t="s">
        <v>219</v>
      </c>
      <c r="J809" t="s">
        <v>178</v>
      </c>
      <c r="K809" t="s">
        <v>221</v>
      </c>
      <c r="L809" t="s">
        <v>3329</v>
      </c>
    </row>
    <row r="810" spans="1:12" x14ac:dyDescent="0.55000000000000004">
      <c r="A810">
        <v>1634</v>
      </c>
      <c r="B810" t="s">
        <v>1856</v>
      </c>
      <c r="C810">
        <v>19</v>
      </c>
      <c r="F810">
        <v>92</v>
      </c>
      <c r="G810" t="s">
        <v>1888</v>
      </c>
      <c r="H810" t="s">
        <v>110</v>
      </c>
      <c r="I810" t="s">
        <v>219</v>
      </c>
      <c r="J810" t="s">
        <v>180</v>
      </c>
      <c r="K810" t="s">
        <v>221</v>
      </c>
      <c r="L810" t="s">
        <v>3329</v>
      </c>
    </row>
    <row r="811" spans="1:12" x14ac:dyDescent="0.55000000000000004">
      <c r="A811">
        <v>1636</v>
      </c>
      <c r="B811" t="s">
        <v>1858</v>
      </c>
      <c r="C811">
        <v>19</v>
      </c>
      <c r="F811">
        <v>110</v>
      </c>
      <c r="G811" t="s">
        <v>1888</v>
      </c>
      <c r="H811" t="s">
        <v>110</v>
      </c>
      <c r="I811" t="s">
        <v>219</v>
      </c>
      <c r="J811" t="s">
        <v>182</v>
      </c>
      <c r="K811" t="s">
        <v>221</v>
      </c>
      <c r="L811" t="s">
        <v>3329</v>
      </c>
    </row>
    <row r="812" spans="1:12" x14ac:dyDescent="0.55000000000000004">
      <c r="A812">
        <v>1638</v>
      </c>
      <c r="B812" t="s">
        <v>1860</v>
      </c>
      <c r="C812">
        <v>19</v>
      </c>
      <c r="F812">
        <v>112</v>
      </c>
      <c r="G812" t="s">
        <v>1888</v>
      </c>
      <c r="H812" t="s">
        <v>110</v>
      </c>
      <c r="I812" t="s">
        <v>219</v>
      </c>
      <c r="J812" t="s">
        <v>184</v>
      </c>
      <c r="K812" t="s">
        <v>221</v>
      </c>
      <c r="L812" t="s">
        <v>3329</v>
      </c>
    </row>
    <row r="813" spans="1:12" x14ac:dyDescent="0.55000000000000004">
      <c r="A813">
        <v>1639</v>
      </c>
      <c r="B813" t="s">
        <v>1861</v>
      </c>
      <c r="C813">
        <v>19</v>
      </c>
      <c r="F813">
        <v>115</v>
      </c>
      <c r="G813" t="s">
        <v>1888</v>
      </c>
      <c r="H813" t="s">
        <v>110</v>
      </c>
      <c r="I813" t="s">
        <v>219</v>
      </c>
      <c r="J813" t="s">
        <v>185</v>
      </c>
      <c r="K813" t="s">
        <v>221</v>
      </c>
      <c r="L813" t="s">
        <v>3329</v>
      </c>
    </row>
    <row r="814" spans="1:12" x14ac:dyDescent="0.55000000000000004">
      <c r="A814">
        <v>1641</v>
      </c>
      <c r="B814" t="s">
        <v>1863</v>
      </c>
      <c r="C814">
        <v>19</v>
      </c>
      <c r="F814">
        <v>125</v>
      </c>
      <c r="G814" t="s">
        <v>1888</v>
      </c>
      <c r="H814" t="s">
        <v>110</v>
      </c>
      <c r="I814" t="s">
        <v>219</v>
      </c>
      <c r="J814" t="s">
        <v>187</v>
      </c>
      <c r="K814" t="s">
        <v>221</v>
      </c>
      <c r="L814" t="s">
        <v>3329</v>
      </c>
    </row>
    <row r="815" spans="1:12" x14ac:dyDescent="0.55000000000000004">
      <c r="A815">
        <v>1644</v>
      </c>
      <c r="B815" t="s">
        <v>1866</v>
      </c>
      <c r="C815">
        <v>19</v>
      </c>
      <c r="F815">
        <v>110</v>
      </c>
      <c r="G815" t="s">
        <v>1888</v>
      </c>
      <c r="H815" t="s">
        <v>110</v>
      </c>
      <c r="I815" t="s">
        <v>219</v>
      </c>
      <c r="J815" t="s">
        <v>189</v>
      </c>
      <c r="K815" t="s">
        <v>221</v>
      </c>
      <c r="L815" t="s">
        <v>3329</v>
      </c>
    </row>
    <row r="816" spans="1:12" x14ac:dyDescent="0.55000000000000004">
      <c r="A816">
        <v>1646</v>
      </c>
      <c r="B816" t="s">
        <v>1868</v>
      </c>
      <c r="C816">
        <v>19</v>
      </c>
      <c r="F816">
        <v>116</v>
      </c>
      <c r="G816" t="s">
        <v>1888</v>
      </c>
      <c r="H816" t="s">
        <v>110</v>
      </c>
      <c r="I816" t="s">
        <v>219</v>
      </c>
      <c r="J816" t="s">
        <v>191</v>
      </c>
      <c r="K816" t="s">
        <v>221</v>
      </c>
      <c r="L816" t="s">
        <v>3329</v>
      </c>
    </row>
    <row r="817" spans="1:12" x14ac:dyDescent="0.55000000000000004">
      <c r="A817">
        <v>1648</v>
      </c>
      <c r="B817" t="s">
        <v>1870</v>
      </c>
      <c r="C817">
        <v>19</v>
      </c>
      <c r="F817">
        <v>72</v>
      </c>
      <c r="G817" t="s">
        <v>1888</v>
      </c>
      <c r="H817" t="s">
        <v>110</v>
      </c>
      <c r="I817" t="s">
        <v>219</v>
      </c>
      <c r="J817" t="s">
        <v>193</v>
      </c>
      <c r="K817" t="s">
        <v>222</v>
      </c>
      <c r="L817" t="s">
        <v>3329</v>
      </c>
    </row>
    <row r="818" spans="1:12" x14ac:dyDescent="0.55000000000000004">
      <c r="A818">
        <v>1650</v>
      </c>
      <c r="B818" t="s">
        <v>1872</v>
      </c>
      <c r="C818">
        <v>19</v>
      </c>
      <c r="F818">
        <v>63</v>
      </c>
      <c r="G818" t="s">
        <v>1888</v>
      </c>
      <c r="H818" t="s">
        <v>110</v>
      </c>
      <c r="I818" t="s">
        <v>219</v>
      </c>
      <c r="J818" t="s">
        <v>195</v>
      </c>
      <c r="K818" t="s">
        <v>222</v>
      </c>
      <c r="L818" t="s">
        <v>3329</v>
      </c>
    </row>
    <row r="819" spans="1:12" x14ac:dyDescent="0.55000000000000004">
      <c r="A819">
        <v>1651</v>
      </c>
      <c r="B819" t="s">
        <v>1873</v>
      </c>
      <c r="C819">
        <v>19</v>
      </c>
      <c r="F819">
        <v>68</v>
      </c>
      <c r="G819" t="s">
        <v>1888</v>
      </c>
      <c r="H819" t="s">
        <v>110</v>
      </c>
      <c r="I819" t="s">
        <v>219</v>
      </c>
      <c r="J819" t="s">
        <v>196</v>
      </c>
      <c r="K819" t="s">
        <v>222</v>
      </c>
      <c r="L819" t="s">
        <v>3329</v>
      </c>
    </row>
    <row r="820" spans="1:12" x14ac:dyDescent="0.55000000000000004">
      <c r="A820">
        <v>1653</v>
      </c>
      <c r="B820" t="s">
        <v>1875</v>
      </c>
      <c r="C820">
        <v>19</v>
      </c>
      <c r="F820">
        <v>75</v>
      </c>
      <c r="G820" t="s">
        <v>1888</v>
      </c>
      <c r="H820" t="s">
        <v>110</v>
      </c>
      <c r="I820" t="s">
        <v>219</v>
      </c>
      <c r="J820" t="s">
        <v>198</v>
      </c>
      <c r="K820" t="s">
        <v>222</v>
      </c>
      <c r="L820" t="s">
        <v>3329</v>
      </c>
    </row>
    <row r="821" spans="1:12" x14ac:dyDescent="0.55000000000000004">
      <c r="A821">
        <v>1656</v>
      </c>
      <c r="B821" t="s">
        <v>1878</v>
      </c>
      <c r="C821">
        <v>19</v>
      </c>
      <c r="F821">
        <v>106</v>
      </c>
      <c r="G821" t="s">
        <v>1888</v>
      </c>
      <c r="H821" t="s">
        <v>110</v>
      </c>
      <c r="I821" t="s">
        <v>219</v>
      </c>
      <c r="J821" t="s">
        <v>200</v>
      </c>
      <c r="K821" t="s">
        <v>222</v>
      </c>
      <c r="L821" t="s">
        <v>3329</v>
      </c>
    </row>
    <row r="822" spans="1:12" x14ac:dyDescent="0.55000000000000004">
      <c r="A822">
        <v>1658</v>
      </c>
      <c r="B822" t="s">
        <v>1880</v>
      </c>
      <c r="C822">
        <v>19</v>
      </c>
      <c r="F822">
        <v>89</v>
      </c>
      <c r="G822" t="s">
        <v>1888</v>
      </c>
      <c r="H822" t="s">
        <v>110</v>
      </c>
      <c r="I822" t="s">
        <v>219</v>
      </c>
      <c r="J822" t="s">
        <v>202</v>
      </c>
      <c r="K822" t="s">
        <v>222</v>
      </c>
      <c r="L822" t="s">
        <v>3329</v>
      </c>
    </row>
    <row r="823" spans="1:12" x14ac:dyDescent="0.55000000000000004">
      <c r="A823">
        <v>1660</v>
      </c>
      <c r="B823" t="s">
        <v>1882</v>
      </c>
      <c r="C823">
        <v>19</v>
      </c>
      <c r="F823">
        <v>86</v>
      </c>
      <c r="G823" t="s">
        <v>1888</v>
      </c>
      <c r="H823" t="s">
        <v>110</v>
      </c>
      <c r="I823" t="s">
        <v>219</v>
      </c>
      <c r="J823" t="s">
        <v>204</v>
      </c>
      <c r="K823" t="s">
        <v>222</v>
      </c>
      <c r="L823" t="s">
        <v>3329</v>
      </c>
    </row>
    <row r="824" spans="1:12" x14ac:dyDescent="0.55000000000000004">
      <c r="A824">
        <v>1662</v>
      </c>
      <c r="B824" t="s">
        <v>1884</v>
      </c>
      <c r="C824">
        <v>19</v>
      </c>
      <c r="F824">
        <v>116</v>
      </c>
      <c r="G824" t="s">
        <v>1888</v>
      </c>
      <c r="H824" t="s">
        <v>110</v>
      </c>
      <c r="I824" t="s">
        <v>219</v>
      </c>
      <c r="J824" t="s">
        <v>206</v>
      </c>
      <c r="K824" t="s">
        <v>222</v>
      </c>
      <c r="L824" t="s">
        <v>3329</v>
      </c>
    </row>
    <row r="825" spans="1:12" x14ac:dyDescent="0.55000000000000004">
      <c r="A825">
        <v>1663</v>
      </c>
      <c r="B825" t="s">
        <v>1885</v>
      </c>
      <c r="C825">
        <v>19</v>
      </c>
      <c r="F825">
        <v>121</v>
      </c>
      <c r="G825" t="s">
        <v>1888</v>
      </c>
      <c r="H825" t="s">
        <v>110</v>
      </c>
      <c r="I825" t="s">
        <v>219</v>
      </c>
      <c r="J825" t="s">
        <v>207</v>
      </c>
      <c r="K825" t="s">
        <v>222</v>
      </c>
      <c r="L825" t="s">
        <v>3329</v>
      </c>
    </row>
    <row r="826" spans="1:12" x14ac:dyDescent="0.55000000000000004">
      <c r="A826">
        <v>1665</v>
      </c>
      <c r="B826" t="s">
        <v>1887</v>
      </c>
      <c r="C826">
        <v>19</v>
      </c>
      <c r="F826">
        <v>93</v>
      </c>
      <c r="G826" t="s">
        <v>1888</v>
      </c>
      <c r="H826" t="s">
        <v>110</v>
      </c>
      <c r="I826" t="s">
        <v>219</v>
      </c>
      <c r="J826" t="s">
        <v>209</v>
      </c>
      <c r="K826" t="s">
        <v>222</v>
      </c>
      <c r="L826" t="s">
        <v>3329</v>
      </c>
    </row>
    <row r="827" spans="1:12" x14ac:dyDescent="0.55000000000000004">
      <c r="A827">
        <v>1666</v>
      </c>
      <c r="B827" t="s">
        <v>3276</v>
      </c>
      <c r="C827">
        <v>15</v>
      </c>
      <c r="F827">
        <v>304</v>
      </c>
      <c r="G827" t="s">
        <v>1888</v>
      </c>
      <c r="H827" t="s">
        <v>110</v>
      </c>
      <c r="I827" t="s">
        <v>3292</v>
      </c>
      <c r="J827" t="s">
        <v>114</v>
      </c>
      <c r="K827" t="s">
        <v>3291</v>
      </c>
      <c r="L827" t="s">
        <v>3329</v>
      </c>
    </row>
    <row r="828" spans="1:12" x14ac:dyDescent="0.55000000000000004">
      <c r="A828">
        <v>1667</v>
      </c>
      <c r="B828" t="s">
        <v>3277</v>
      </c>
      <c r="C828">
        <v>15</v>
      </c>
      <c r="F828">
        <v>295</v>
      </c>
      <c r="G828" t="s">
        <v>1888</v>
      </c>
      <c r="H828" t="s">
        <v>110</v>
      </c>
      <c r="I828" t="s">
        <v>3292</v>
      </c>
      <c r="J828" t="s">
        <v>122</v>
      </c>
      <c r="K828" t="s">
        <v>3291</v>
      </c>
      <c r="L828" t="s">
        <v>3329</v>
      </c>
    </row>
    <row r="829" spans="1:12" x14ac:dyDescent="0.55000000000000004">
      <c r="A829">
        <v>1672</v>
      </c>
      <c r="B829" t="s">
        <v>3282</v>
      </c>
      <c r="C829">
        <v>15</v>
      </c>
      <c r="F829">
        <v>332</v>
      </c>
      <c r="G829" t="s">
        <v>1888</v>
      </c>
      <c r="H829" t="s">
        <v>110</v>
      </c>
      <c r="I829" t="s">
        <v>3292</v>
      </c>
      <c r="J829" t="s">
        <v>127</v>
      </c>
      <c r="K829" t="s">
        <v>3291</v>
      </c>
      <c r="L829" t="s">
        <v>3329</v>
      </c>
    </row>
    <row r="830" spans="1:12" x14ac:dyDescent="0.55000000000000004">
      <c r="A830">
        <v>1674</v>
      </c>
      <c r="B830" t="s">
        <v>3284</v>
      </c>
      <c r="C830">
        <v>15</v>
      </c>
      <c r="F830">
        <v>288</v>
      </c>
      <c r="G830" t="s">
        <v>1888</v>
      </c>
      <c r="H830" t="s">
        <v>110</v>
      </c>
      <c r="I830" t="s">
        <v>3292</v>
      </c>
      <c r="J830" t="s">
        <v>129</v>
      </c>
      <c r="K830" t="s">
        <v>3291</v>
      </c>
      <c r="L830" t="s">
        <v>3329</v>
      </c>
    </row>
    <row r="831" spans="1:12" x14ac:dyDescent="0.55000000000000004">
      <c r="A831">
        <v>1676</v>
      </c>
      <c r="B831" t="s">
        <v>3286</v>
      </c>
      <c r="C831">
        <v>15</v>
      </c>
      <c r="F831">
        <v>300</v>
      </c>
      <c r="G831" t="s">
        <v>1888</v>
      </c>
      <c r="H831" t="s">
        <v>110</v>
      </c>
      <c r="I831" t="s">
        <v>3292</v>
      </c>
      <c r="J831" t="s">
        <v>131</v>
      </c>
      <c r="K831" t="s">
        <v>3291</v>
      </c>
      <c r="L831" t="s">
        <v>3329</v>
      </c>
    </row>
    <row r="832" spans="1:12" x14ac:dyDescent="0.55000000000000004">
      <c r="A832">
        <v>1680</v>
      </c>
      <c r="B832" t="s">
        <v>3290</v>
      </c>
      <c r="C832">
        <v>15</v>
      </c>
      <c r="F832">
        <v>580</v>
      </c>
      <c r="G832" t="s">
        <v>1888</v>
      </c>
      <c r="H832" t="s">
        <v>110</v>
      </c>
      <c r="I832" t="s">
        <v>3292</v>
      </c>
      <c r="J832" t="s">
        <v>134</v>
      </c>
      <c r="K832" t="s">
        <v>3291</v>
      </c>
      <c r="L832" t="s">
        <v>3329</v>
      </c>
    </row>
    <row r="833" spans="1:12" x14ac:dyDescent="0.55000000000000004">
      <c r="A833">
        <v>3</v>
      </c>
      <c r="B833" t="s">
        <v>5</v>
      </c>
      <c r="C833">
        <v>25</v>
      </c>
      <c r="D833">
        <v>71</v>
      </c>
      <c r="E833" t="s">
        <v>225</v>
      </c>
      <c r="F833">
        <v>11.79</v>
      </c>
      <c r="G833" t="s">
        <v>1889</v>
      </c>
      <c r="H833" t="s">
        <v>1891</v>
      </c>
      <c r="I833" t="s">
        <v>210</v>
      </c>
      <c r="J833" t="s">
        <v>123</v>
      </c>
      <c r="K833" t="s">
        <v>1916</v>
      </c>
      <c r="L833" t="s">
        <v>3358</v>
      </c>
    </row>
    <row r="834" spans="1:12" x14ac:dyDescent="0.55000000000000004">
      <c r="A834">
        <v>29</v>
      </c>
      <c r="B834" t="s">
        <v>7</v>
      </c>
      <c r="C834">
        <v>25</v>
      </c>
      <c r="D834">
        <v>75</v>
      </c>
      <c r="E834" t="s">
        <v>251</v>
      </c>
      <c r="F834">
        <v>8.3800000000000008</v>
      </c>
      <c r="G834" t="s">
        <v>1889</v>
      </c>
      <c r="H834" t="s">
        <v>1891</v>
      </c>
      <c r="I834" t="s">
        <v>210</v>
      </c>
      <c r="J834" t="s">
        <v>135</v>
      </c>
      <c r="K834" t="s">
        <v>1920</v>
      </c>
      <c r="L834" t="s">
        <v>3358</v>
      </c>
    </row>
    <row r="835" spans="1:12" x14ac:dyDescent="0.55000000000000004">
      <c r="A835">
        <v>31</v>
      </c>
      <c r="B835" t="s">
        <v>7</v>
      </c>
      <c r="C835">
        <v>25</v>
      </c>
      <c r="D835">
        <v>75</v>
      </c>
      <c r="E835" t="s">
        <v>253</v>
      </c>
      <c r="F835">
        <v>11.63</v>
      </c>
      <c r="G835" t="s">
        <v>1889</v>
      </c>
      <c r="H835" t="s">
        <v>1891</v>
      </c>
      <c r="I835" t="s">
        <v>210</v>
      </c>
      <c r="J835" t="s">
        <v>137</v>
      </c>
      <c r="K835" t="s">
        <v>1922</v>
      </c>
      <c r="L835" t="s">
        <v>3358</v>
      </c>
    </row>
    <row r="836" spans="1:12" x14ac:dyDescent="0.55000000000000004">
      <c r="A836">
        <v>33</v>
      </c>
      <c r="B836" t="s">
        <v>7</v>
      </c>
      <c r="C836">
        <v>25</v>
      </c>
      <c r="D836">
        <v>75</v>
      </c>
      <c r="E836" t="s">
        <v>255</v>
      </c>
      <c r="F836">
        <v>10.73</v>
      </c>
      <c r="G836" t="s">
        <v>1889</v>
      </c>
      <c r="H836" t="s">
        <v>1891</v>
      </c>
      <c r="I836" t="s">
        <v>210</v>
      </c>
      <c r="J836" t="s">
        <v>139</v>
      </c>
      <c r="K836" t="s">
        <v>1924</v>
      </c>
      <c r="L836" t="s">
        <v>3358</v>
      </c>
    </row>
    <row r="837" spans="1:12" x14ac:dyDescent="0.55000000000000004">
      <c r="A837">
        <v>51</v>
      </c>
      <c r="B837" t="s">
        <v>8</v>
      </c>
      <c r="C837">
        <v>25</v>
      </c>
      <c r="D837">
        <v>87</v>
      </c>
      <c r="E837" t="s">
        <v>273</v>
      </c>
      <c r="F837">
        <v>10.92</v>
      </c>
      <c r="G837" t="s">
        <v>1889</v>
      </c>
      <c r="H837" t="s">
        <v>1891</v>
      </c>
      <c r="I837" t="s">
        <v>210</v>
      </c>
      <c r="J837" t="s">
        <v>116</v>
      </c>
      <c r="K837" t="s">
        <v>1942</v>
      </c>
      <c r="L837" t="s">
        <v>3358</v>
      </c>
    </row>
    <row r="838" spans="1:12" x14ac:dyDescent="0.55000000000000004">
      <c r="A838">
        <v>52</v>
      </c>
      <c r="B838" t="s">
        <v>8</v>
      </c>
      <c r="C838">
        <v>25</v>
      </c>
      <c r="D838">
        <v>87</v>
      </c>
      <c r="E838" t="s">
        <v>274</v>
      </c>
      <c r="F838">
        <v>10.16</v>
      </c>
      <c r="G838" t="s">
        <v>1889</v>
      </c>
      <c r="H838" t="s">
        <v>1891</v>
      </c>
      <c r="I838" t="s">
        <v>210</v>
      </c>
      <c r="J838" t="s">
        <v>144</v>
      </c>
      <c r="K838" t="s">
        <v>1943</v>
      </c>
      <c r="L838" t="s">
        <v>3358</v>
      </c>
    </row>
    <row r="839" spans="1:12" x14ac:dyDescent="0.55000000000000004">
      <c r="A839">
        <v>54</v>
      </c>
      <c r="B839" t="s">
        <v>8</v>
      </c>
      <c r="C839">
        <v>25</v>
      </c>
      <c r="D839">
        <v>87</v>
      </c>
      <c r="E839" t="s">
        <v>276</v>
      </c>
      <c r="F839">
        <v>10.96</v>
      </c>
      <c r="G839" t="s">
        <v>1889</v>
      </c>
      <c r="H839" t="s">
        <v>1891</v>
      </c>
      <c r="I839" t="s">
        <v>210</v>
      </c>
      <c r="J839" t="s">
        <v>146</v>
      </c>
      <c r="K839" t="s">
        <v>1945</v>
      </c>
      <c r="L839" t="s">
        <v>3358</v>
      </c>
    </row>
    <row r="840" spans="1:12" x14ac:dyDescent="0.55000000000000004">
      <c r="A840">
        <v>56</v>
      </c>
      <c r="B840" t="s">
        <v>8</v>
      </c>
      <c r="C840">
        <v>25</v>
      </c>
      <c r="D840">
        <v>87</v>
      </c>
      <c r="E840" t="s">
        <v>278</v>
      </c>
      <c r="F840">
        <v>13.05</v>
      </c>
      <c r="G840" t="s">
        <v>1889</v>
      </c>
      <c r="H840" t="s">
        <v>1891</v>
      </c>
      <c r="I840" t="s">
        <v>210</v>
      </c>
      <c r="J840" t="s">
        <v>148</v>
      </c>
      <c r="K840" t="s">
        <v>1947</v>
      </c>
      <c r="L840" t="s">
        <v>3358</v>
      </c>
    </row>
    <row r="841" spans="1:12" x14ac:dyDescent="0.55000000000000004">
      <c r="A841">
        <v>58</v>
      </c>
      <c r="B841" t="s">
        <v>8</v>
      </c>
      <c r="C841">
        <v>25</v>
      </c>
      <c r="D841">
        <v>87</v>
      </c>
      <c r="E841" t="s">
        <v>280</v>
      </c>
      <c r="F841">
        <v>11.35</v>
      </c>
      <c r="G841" t="s">
        <v>1889</v>
      </c>
      <c r="H841" t="s">
        <v>1891</v>
      </c>
      <c r="I841" t="s">
        <v>210</v>
      </c>
      <c r="J841" t="s">
        <v>150</v>
      </c>
      <c r="K841" t="s">
        <v>1949</v>
      </c>
      <c r="L841" t="s">
        <v>3358</v>
      </c>
    </row>
    <row r="842" spans="1:12" x14ac:dyDescent="0.55000000000000004">
      <c r="A842">
        <v>61</v>
      </c>
      <c r="B842" t="s">
        <v>8</v>
      </c>
      <c r="C842">
        <v>25</v>
      </c>
      <c r="D842">
        <v>87</v>
      </c>
      <c r="E842" t="s">
        <v>283</v>
      </c>
      <c r="F842">
        <v>14.5</v>
      </c>
      <c r="G842" t="s">
        <v>1889</v>
      </c>
      <c r="H842" t="s">
        <v>1891</v>
      </c>
      <c r="I842" t="s">
        <v>210</v>
      </c>
      <c r="J842" t="s">
        <v>153</v>
      </c>
      <c r="K842" t="s">
        <v>1952</v>
      </c>
      <c r="L842" t="s">
        <v>3358</v>
      </c>
    </row>
    <row r="843" spans="1:12" x14ac:dyDescent="0.55000000000000004">
      <c r="A843">
        <v>76</v>
      </c>
      <c r="B843" t="s">
        <v>9</v>
      </c>
      <c r="C843">
        <v>25</v>
      </c>
      <c r="D843">
        <v>86</v>
      </c>
      <c r="E843" t="s">
        <v>298</v>
      </c>
      <c r="F843">
        <v>11.08</v>
      </c>
      <c r="G843" t="s">
        <v>1889</v>
      </c>
      <c r="H843" t="s">
        <v>1891</v>
      </c>
      <c r="I843" t="s">
        <v>210</v>
      </c>
      <c r="J843" t="s">
        <v>117</v>
      </c>
      <c r="K843" t="s">
        <v>1966</v>
      </c>
      <c r="L843" t="s">
        <v>3358</v>
      </c>
    </row>
    <row r="844" spans="1:12" x14ac:dyDescent="0.55000000000000004">
      <c r="A844">
        <v>77</v>
      </c>
      <c r="B844" t="s">
        <v>9</v>
      </c>
      <c r="C844">
        <v>25</v>
      </c>
      <c r="D844">
        <v>86</v>
      </c>
      <c r="E844" t="s">
        <v>299</v>
      </c>
      <c r="F844">
        <v>11.76</v>
      </c>
      <c r="G844" t="s">
        <v>1889</v>
      </c>
      <c r="H844" t="s">
        <v>1891</v>
      </c>
      <c r="I844" t="s">
        <v>210</v>
      </c>
      <c r="J844" t="s">
        <v>155</v>
      </c>
      <c r="K844" t="s">
        <v>1967</v>
      </c>
      <c r="L844" t="s">
        <v>3358</v>
      </c>
    </row>
    <row r="845" spans="1:12" x14ac:dyDescent="0.55000000000000004">
      <c r="A845">
        <v>79</v>
      </c>
      <c r="B845" t="s">
        <v>9</v>
      </c>
      <c r="C845">
        <v>25</v>
      </c>
      <c r="D845">
        <v>86</v>
      </c>
      <c r="E845" t="s">
        <v>301</v>
      </c>
      <c r="F845">
        <v>10.039999999999999</v>
      </c>
      <c r="G845" t="s">
        <v>1889</v>
      </c>
      <c r="H845" t="s">
        <v>1891</v>
      </c>
      <c r="I845" t="s">
        <v>210</v>
      </c>
      <c r="J845" t="s">
        <v>157</v>
      </c>
      <c r="K845" t="s">
        <v>1969</v>
      </c>
      <c r="L845" t="s">
        <v>3358</v>
      </c>
    </row>
    <row r="846" spans="1:12" x14ac:dyDescent="0.55000000000000004">
      <c r="A846">
        <v>81</v>
      </c>
      <c r="B846" t="s">
        <v>9</v>
      </c>
      <c r="C846">
        <v>25</v>
      </c>
      <c r="D846">
        <v>86</v>
      </c>
      <c r="E846" t="s">
        <v>303</v>
      </c>
      <c r="F846">
        <v>11.42</v>
      </c>
      <c r="G846" t="s">
        <v>1889</v>
      </c>
      <c r="H846" t="s">
        <v>1891</v>
      </c>
      <c r="I846" t="s">
        <v>210</v>
      </c>
      <c r="J846" t="s">
        <v>159</v>
      </c>
      <c r="K846" t="s">
        <v>1971</v>
      </c>
      <c r="L846" t="s">
        <v>3358</v>
      </c>
    </row>
    <row r="847" spans="1:12" x14ac:dyDescent="0.55000000000000004">
      <c r="A847">
        <v>83</v>
      </c>
      <c r="B847" t="s">
        <v>9</v>
      </c>
      <c r="C847">
        <v>25</v>
      </c>
      <c r="D847">
        <v>86</v>
      </c>
      <c r="E847" t="s">
        <v>305</v>
      </c>
      <c r="F847">
        <v>12.16</v>
      </c>
      <c r="G847" t="s">
        <v>1889</v>
      </c>
      <c r="H847" t="s">
        <v>1891</v>
      </c>
      <c r="I847" t="s">
        <v>210</v>
      </c>
      <c r="J847" t="s">
        <v>161</v>
      </c>
      <c r="K847" t="s">
        <v>1973</v>
      </c>
      <c r="L847" t="s">
        <v>3358</v>
      </c>
    </row>
    <row r="848" spans="1:12" x14ac:dyDescent="0.55000000000000004">
      <c r="A848">
        <v>86</v>
      </c>
      <c r="B848" t="s">
        <v>9</v>
      </c>
      <c r="C848">
        <v>25</v>
      </c>
      <c r="D848">
        <v>86</v>
      </c>
      <c r="E848" t="s">
        <v>308</v>
      </c>
      <c r="F848">
        <v>11.43</v>
      </c>
      <c r="G848" t="s">
        <v>1889</v>
      </c>
      <c r="H848" t="s">
        <v>1891</v>
      </c>
      <c r="I848" t="s">
        <v>210</v>
      </c>
      <c r="J848" t="s">
        <v>164</v>
      </c>
      <c r="K848" t="s">
        <v>1976</v>
      </c>
      <c r="L848" t="s">
        <v>3358</v>
      </c>
    </row>
    <row r="849" spans="1:12" x14ac:dyDescent="0.55000000000000004">
      <c r="A849">
        <v>101</v>
      </c>
      <c r="B849" t="s">
        <v>10</v>
      </c>
      <c r="C849">
        <v>25</v>
      </c>
      <c r="D849">
        <v>2</v>
      </c>
      <c r="E849" t="s">
        <v>323</v>
      </c>
      <c r="F849">
        <v>11.06</v>
      </c>
      <c r="G849" t="s">
        <v>1889</v>
      </c>
      <c r="H849" t="s">
        <v>1891</v>
      </c>
      <c r="I849" t="s">
        <v>210</v>
      </c>
      <c r="J849" t="s">
        <v>118</v>
      </c>
      <c r="K849" t="s">
        <v>1991</v>
      </c>
      <c r="L849" t="s">
        <v>3358</v>
      </c>
    </row>
    <row r="850" spans="1:12" x14ac:dyDescent="0.55000000000000004">
      <c r="A850">
        <v>102</v>
      </c>
      <c r="B850" t="s">
        <v>10</v>
      </c>
      <c r="C850">
        <v>25</v>
      </c>
      <c r="D850">
        <v>2</v>
      </c>
      <c r="E850" t="s">
        <v>324</v>
      </c>
      <c r="F850">
        <v>11</v>
      </c>
      <c r="G850" t="s">
        <v>1889</v>
      </c>
      <c r="H850" t="s">
        <v>1891</v>
      </c>
      <c r="I850" t="s">
        <v>210</v>
      </c>
      <c r="J850" t="s">
        <v>166</v>
      </c>
      <c r="K850" t="s">
        <v>1992</v>
      </c>
      <c r="L850" t="s">
        <v>3358</v>
      </c>
    </row>
    <row r="851" spans="1:12" x14ac:dyDescent="0.55000000000000004">
      <c r="A851">
        <v>104</v>
      </c>
      <c r="B851" t="s">
        <v>10</v>
      </c>
      <c r="C851">
        <v>25</v>
      </c>
      <c r="D851">
        <v>2</v>
      </c>
      <c r="E851" t="s">
        <v>326</v>
      </c>
      <c r="F851">
        <v>9.24</v>
      </c>
      <c r="G851" t="s">
        <v>1889</v>
      </c>
      <c r="H851" t="s">
        <v>1891</v>
      </c>
      <c r="I851" t="s">
        <v>210</v>
      </c>
      <c r="J851" t="s">
        <v>168</v>
      </c>
      <c r="K851" t="s">
        <v>1994</v>
      </c>
      <c r="L851" t="s">
        <v>3358</v>
      </c>
    </row>
    <row r="852" spans="1:12" x14ac:dyDescent="0.55000000000000004">
      <c r="A852">
        <v>106</v>
      </c>
      <c r="B852" t="s">
        <v>10</v>
      </c>
      <c r="C852">
        <v>25</v>
      </c>
      <c r="D852">
        <v>2</v>
      </c>
      <c r="E852" t="s">
        <v>328</v>
      </c>
      <c r="F852">
        <v>10.61</v>
      </c>
      <c r="G852" t="s">
        <v>1889</v>
      </c>
      <c r="H852" t="s">
        <v>1891</v>
      </c>
      <c r="I852" t="s">
        <v>210</v>
      </c>
      <c r="J852" t="s">
        <v>170</v>
      </c>
      <c r="K852" t="s">
        <v>1996</v>
      </c>
      <c r="L852" t="s">
        <v>3358</v>
      </c>
    </row>
    <row r="853" spans="1:12" x14ac:dyDescent="0.55000000000000004">
      <c r="A853">
        <v>108</v>
      </c>
      <c r="B853" t="s">
        <v>10</v>
      </c>
      <c r="C853">
        <v>25</v>
      </c>
      <c r="D853">
        <v>2</v>
      </c>
      <c r="E853" t="s">
        <v>330</v>
      </c>
      <c r="F853">
        <v>11.2</v>
      </c>
      <c r="G853" t="s">
        <v>1889</v>
      </c>
      <c r="H853" t="s">
        <v>1891</v>
      </c>
      <c r="I853" t="s">
        <v>210</v>
      </c>
      <c r="J853" t="s">
        <v>172</v>
      </c>
      <c r="K853" t="s">
        <v>1998</v>
      </c>
      <c r="L853" t="s">
        <v>3358</v>
      </c>
    </row>
    <row r="854" spans="1:12" x14ac:dyDescent="0.55000000000000004">
      <c r="A854">
        <v>111</v>
      </c>
      <c r="B854" t="s">
        <v>10</v>
      </c>
      <c r="C854">
        <v>25</v>
      </c>
      <c r="D854">
        <v>2</v>
      </c>
      <c r="E854" t="s">
        <v>333</v>
      </c>
      <c r="F854">
        <v>11.54</v>
      </c>
      <c r="G854" t="s">
        <v>1889</v>
      </c>
      <c r="H854" t="s">
        <v>1891</v>
      </c>
      <c r="I854" t="s">
        <v>210</v>
      </c>
      <c r="J854" t="s">
        <v>175</v>
      </c>
      <c r="K854" t="s">
        <v>2001</v>
      </c>
      <c r="L854" t="s">
        <v>3358</v>
      </c>
    </row>
    <row r="855" spans="1:12" x14ac:dyDescent="0.55000000000000004">
      <c r="A855">
        <v>126</v>
      </c>
      <c r="B855" t="s">
        <v>11</v>
      </c>
      <c r="C855">
        <v>25</v>
      </c>
      <c r="D855">
        <v>24</v>
      </c>
      <c r="E855" t="s">
        <v>348</v>
      </c>
      <c r="F855">
        <v>13.45</v>
      </c>
      <c r="G855" t="s">
        <v>1889</v>
      </c>
      <c r="H855" t="s">
        <v>1891</v>
      </c>
      <c r="I855" t="s">
        <v>210</v>
      </c>
      <c r="J855" t="s">
        <v>119</v>
      </c>
      <c r="K855" t="s">
        <v>2016</v>
      </c>
      <c r="L855" t="s">
        <v>3358</v>
      </c>
    </row>
    <row r="856" spans="1:12" x14ac:dyDescent="0.55000000000000004">
      <c r="A856">
        <v>127</v>
      </c>
      <c r="B856" t="s">
        <v>11</v>
      </c>
      <c r="C856">
        <v>25</v>
      </c>
      <c r="D856">
        <v>24</v>
      </c>
      <c r="E856" t="s">
        <v>349</v>
      </c>
      <c r="F856">
        <v>10.7</v>
      </c>
      <c r="G856" t="s">
        <v>1889</v>
      </c>
      <c r="H856" t="s">
        <v>1891</v>
      </c>
      <c r="I856" t="s">
        <v>210</v>
      </c>
      <c r="J856" t="s">
        <v>177</v>
      </c>
      <c r="K856" t="s">
        <v>2017</v>
      </c>
      <c r="L856" t="s">
        <v>3358</v>
      </c>
    </row>
    <row r="857" spans="1:12" x14ac:dyDescent="0.55000000000000004">
      <c r="A857">
        <v>129</v>
      </c>
      <c r="B857" t="s">
        <v>11</v>
      </c>
      <c r="C857">
        <v>25</v>
      </c>
      <c r="D857">
        <v>24</v>
      </c>
      <c r="E857" t="s">
        <v>351</v>
      </c>
      <c r="F857">
        <v>11.36</v>
      </c>
      <c r="G857" t="s">
        <v>1889</v>
      </c>
      <c r="H857" t="s">
        <v>1891</v>
      </c>
      <c r="I857" t="s">
        <v>210</v>
      </c>
      <c r="J857" t="s">
        <v>179</v>
      </c>
      <c r="K857" t="s">
        <v>2019</v>
      </c>
      <c r="L857" t="s">
        <v>3358</v>
      </c>
    </row>
    <row r="858" spans="1:12" x14ac:dyDescent="0.55000000000000004">
      <c r="A858">
        <v>131</v>
      </c>
      <c r="B858" t="s">
        <v>11</v>
      </c>
      <c r="C858">
        <v>25</v>
      </c>
      <c r="D858">
        <v>24</v>
      </c>
      <c r="E858" t="s">
        <v>353</v>
      </c>
      <c r="F858">
        <v>10.54</v>
      </c>
      <c r="G858" t="s">
        <v>1889</v>
      </c>
      <c r="H858" t="s">
        <v>1891</v>
      </c>
      <c r="I858" t="s">
        <v>210</v>
      </c>
      <c r="J858" t="s">
        <v>181</v>
      </c>
      <c r="K858" t="s">
        <v>2021</v>
      </c>
      <c r="L858" t="s">
        <v>3358</v>
      </c>
    </row>
    <row r="859" spans="1:12" x14ac:dyDescent="0.55000000000000004">
      <c r="A859">
        <v>133</v>
      </c>
      <c r="B859" t="s">
        <v>11</v>
      </c>
      <c r="C859">
        <v>25</v>
      </c>
      <c r="D859">
        <v>24</v>
      </c>
      <c r="E859" t="s">
        <v>355</v>
      </c>
      <c r="F859">
        <v>12.22</v>
      </c>
      <c r="G859" t="s">
        <v>1889</v>
      </c>
      <c r="H859" t="s">
        <v>1891</v>
      </c>
      <c r="I859" t="s">
        <v>210</v>
      </c>
      <c r="J859" t="s">
        <v>183</v>
      </c>
      <c r="K859" t="s">
        <v>2023</v>
      </c>
      <c r="L859" t="s">
        <v>3358</v>
      </c>
    </row>
    <row r="860" spans="1:12" x14ac:dyDescent="0.55000000000000004">
      <c r="A860">
        <v>136</v>
      </c>
      <c r="B860" t="s">
        <v>11</v>
      </c>
      <c r="C860">
        <v>25</v>
      </c>
      <c r="D860">
        <v>24</v>
      </c>
      <c r="E860" t="s">
        <v>358</v>
      </c>
      <c r="F860">
        <v>10.84</v>
      </c>
      <c r="G860" t="s">
        <v>1889</v>
      </c>
      <c r="H860" t="s">
        <v>1891</v>
      </c>
      <c r="I860" t="s">
        <v>210</v>
      </c>
      <c r="J860" t="s">
        <v>186</v>
      </c>
      <c r="K860" t="s">
        <v>2026</v>
      </c>
      <c r="L860" t="s">
        <v>3358</v>
      </c>
    </row>
    <row r="861" spans="1:12" x14ac:dyDescent="0.55000000000000004">
      <c r="A861">
        <v>151</v>
      </c>
      <c r="B861" t="s">
        <v>12</v>
      </c>
      <c r="C861">
        <v>24</v>
      </c>
      <c r="D861">
        <v>52</v>
      </c>
      <c r="E861" t="s">
        <v>373</v>
      </c>
      <c r="F861">
        <v>10.24</v>
      </c>
      <c r="G861" t="s">
        <v>1889</v>
      </c>
      <c r="H861" t="s">
        <v>1891</v>
      </c>
      <c r="I861" t="s">
        <v>210</v>
      </c>
      <c r="J861" t="s">
        <v>120</v>
      </c>
      <c r="K861" t="s">
        <v>2040</v>
      </c>
      <c r="L861" t="s">
        <v>3358</v>
      </c>
    </row>
    <row r="862" spans="1:12" x14ac:dyDescent="0.55000000000000004">
      <c r="A862">
        <v>152</v>
      </c>
      <c r="B862" t="s">
        <v>12</v>
      </c>
      <c r="C862">
        <v>24</v>
      </c>
      <c r="D862">
        <v>52</v>
      </c>
      <c r="E862" t="s">
        <v>374</v>
      </c>
      <c r="F862">
        <v>12.82</v>
      </c>
      <c r="G862" t="s">
        <v>1889</v>
      </c>
      <c r="H862" t="s">
        <v>1891</v>
      </c>
      <c r="I862" t="s">
        <v>210</v>
      </c>
      <c r="J862" t="s">
        <v>188</v>
      </c>
      <c r="K862" t="s">
        <v>2041</v>
      </c>
      <c r="L862" t="s">
        <v>3358</v>
      </c>
    </row>
    <row r="863" spans="1:12" x14ac:dyDescent="0.55000000000000004">
      <c r="A863">
        <v>154</v>
      </c>
      <c r="B863" t="s">
        <v>12</v>
      </c>
      <c r="C863">
        <v>24</v>
      </c>
      <c r="D863">
        <v>52</v>
      </c>
      <c r="E863" t="s">
        <v>376</v>
      </c>
      <c r="F863">
        <v>14.05</v>
      </c>
      <c r="G863" t="s">
        <v>1889</v>
      </c>
      <c r="H863" t="s">
        <v>1891</v>
      </c>
      <c r="I863" t="s">
        <v>210</v>
      </c>
      <c r="J863" t="s">
        <v>190</v>
      </c>
      <c r="K863" t="s">
        <v>2043</v>
      </c>
      <c r="L863" t="s">
        <v>3358</v>
      </c>
    </row>
    <row r="864" spans="1:12" x14ac:dyDescent="0.55000000000000004">
      <c r="A864">
        <v>156</v>
      </c>
      <c r="B864" t="s">
        <v>12</v>
      </c>
      <c r="C864">
        <v>24</v>
      </c>
      <c r="D864">
        <v>52</v>
      </c>
      <c r="E864" t="s">
        <v>378</v>
      </c>
      <c r="F864">
        <v>12.29</v>
      </c>
      <c r="G864" t="s">
        <v>1889</v>
      </c>
      <c r="H864" t="s">
        <v>1891</v>
      </c>
      <c r="I864" t="s">
        <v>210</v>
      </c>
      <c r="J864" t="s">
        <v>192</v>
      </c>
      <c r="K864" t="s">
        <v>2045</v>
      </c>
      <c r="L864" t="s">
        <v>3358</v>
      </c>
    </row>
    <row r="865" spans="1:12" x14ac:dyDescent="0.55000000000000004">
      <c r="A865">
        <v>158</v>
      </c>
      <c r="B865" t="s">
        <v>12</v>
      </c>
      <c r="C865">
        <v>24</v>
      </c>
      <c r="D865">
        <v>52</v>
      </c>
      <c r="E865" t="s">
        <v>380</v>
      </c>
      <c r="F865">
        <v>12.69</v>
      </c>
      <c r="G865" t="s">
        <v>1889</v>
      </c>
      <c r="H865" t="s">
        <v>1891</v>
      </c>
      <c r="I865" t="s">
        <v>210</v>
      </c>
      <c r="J865" t="s">
        <v>194</v>
      </c>
      <c r="K865" t="s">
        <v>2047</v>
      </c>
      <c r="L865" t="s">
        <v>3358</v>
      </c>
    </row>
    <row r="866" spans="1:12" x14ac:dyDescent="0.55000000000000004">
      <c r="A866">
        <v>161</v>
      </c>
      <c r="B866" t="s">
        <v>12</v>
      </c>
      <c r="C866">
        <v>24</v>
      </c>
      <c r="D866">
        <v>52</v>
      </c>
      <c r="E866" t="s">
        <v>383</v>
      </c>
      <c r="F866">
        <v>12.15</v>
      </c>
      <c r="G866" t="s">
        <v>1889</v>
      </c>
      <c r="H866" t="s">
        <v>1891</v>
      </c>
      <c r="I866" t="s">
        <v>210</v>
      </c>
      <c r="J866" t="s">
        <v>197</v>
      </c>
      <c r="K866" t="s">
        <v>2050</v>
      </c>
      <c r="L866" t="s">
        <v>3358</v>
      </c>
    </row>
    <row r="867" spans="1:12" x14ac:dyDescent="0.55000000000000004">
      <c r="A867">
        <v>175</v>
      </c>
      <c r="B867" t="s">
        <v>13</v>
      </c>
      <c r="C867">
        <v>25</v>
      </c>
      <c r="D867">
        <v>44</v>
      </c>
      <c r="E867" t="s">
        <v>397</v>
      </c>
      <c r="F867">
        <v>11.49</v>
      </c>
      <c r="G867" t="s">
        <v>1889</v>
      </c>
      <c r="H867" t="s">
        <v>1891</v>
      </c>
      <c r="I867" t="s">
        <v>210</v>
      </c>
      <c r="J867" t="s">
        <v>121</v>
      </c>
      <c r="K867" t="s">
        <v>2063</v>
      </c>
      <c r="L867" t="s">
        <v>3358</v>
      </c>
    </row>
    <row r="868" spans="1:12" x14ac:dyDescent="0.55000000000000004">
      <c r="A868">
        <v>176</v>
      </c>
      <c r="B868" t="s">
        <v>13</v>
      </c>
      <c r="C868">
        <v>25</v>
      </c>
      <c r="D868">
        <v>44</v>
      </c>
      <c r="E868" t="s">
        <v>398</v>
      </c>
      <c r="F868">
        <v>12.72</v>
      </c>
      <c r="G868" t="s">
        <v>1889</v>
      </c>
      <c r="H868" t="s">
        <v>1891</v>
      </c>
      <c r="I868" t="s">
        <v>210</v>
      </c>
      <c r="J868" t="s">
        <v>199</v>
      </c>
      <c r="K868" t="s">
        <v>2066</v>
      </c>
      <c r="L868" t="s">
        <v>3358</v>
      </c>
    </row>
    <row r="869" spans="1:12" x14ac:dyDescent="0.55000000000000004">
      <c r="A869">
        <v>178</v>
      </c>
      <c r="B869" t="s">
        <v>13</v>
      </c>
      <c r="C869">
        <v>25</v>
      </c>
      <c r="D869">
        <v>44</v>
      </c>
      <c r="E869" t="s">
        <v>400</v>
      </c>
      <c r="F869">
        <v>13.26</v>
      </c>
      <c r="G869" t="s">
        <v>1889</v>
      </c>
      <c r="H869" t="s">
        <v>1891</v>
      </c>
      <c r="I869" t="s">
        <v>210</v>
      </c>
      <c r="J869" t="s">
        <v>201</v>
      </c>
      <c r="K869" t="s">
        <v>2068</v>
      </c>
      <c r="L869" t="s">
        <v>3358</v>
      </c>
    </row>
    <row r="870" spans="1:12" x14ac:dyDescent="0.55000000000000004">
      <c r="A870">
        <v>180</v>
      </c>
      <c r="B870" t="s">
        <v>13</v>
      </c>
      <c r="C870">
        <v>25</v>
      </c>
      <c r="D870">
        <v>44</v>
      </c>
      <c r="E870" t="s">
        <v>402</v>
      </c>
      <c r="F870">
        <v>12.01</v>
      </c>
      <c r="G870" t="s">
        <v>1889</v>
      </c>
      <c r="H870" t="s">
        <v>1891</v>
      </c>
      <c r="I870" t="s">
        <v>210</v>
      </c>
      <c r="J870" t="s">
        <v>203</v>
      </c>
      <c r="K870" t="s">
        <v>2070</v>
      </c>
      <c r="L870" t="s">
        <v>3358</v>
      </c>
    </row>
    <row r="871" spans="1:12" x14ac:dyDescent="0.55000000000000004">
      <c r="A871">
        <v>182</v>
      </c>
      <c r="B871" t="s">
        <v>13</v>
      </c>
      <c r="C871">
        <v>25</v>
      </c>
      <c r="D871">
        <v>44</v>
      </c>
      <c r="E871" t="s">
        <v>404</v>
      </c>
      <c r="F871">
        <v>12.57</v>
      </c>
      <c r="G871" t="s">
        <v>1889</v>
      </c>
      <c r="H871" t="s">
        <v>1891</v>
      </c>
      <c r="I871" t="s">
        <v>210</v>
      </c>
      <c r="J871" t="s">
        <v>205</v>
      </c>
      <c r="K871" t="s">
        <v>2072</v>
      </c>
      <c r="L871" t="s">
        <v>3358</v>
      </c>
    </row>
    <row r="872" spans="1:12" x14ac:dyDescent="0.55000000000000004">
      <c r="A872">
        <v>185</v>
      </c>
      <c r="B872" t="s">
        <v>13</v>
      </c>
      <c r="C872">
        <v>25</v>
      </c>
      <c r="D872">
        <v>44</v>
      </c>
      <c r="E872" t="s">
        <v>407</v>
      </c>
      <c r="F872">
        <v>11.42</v>
      </c>
      <c r="G872" t="s">
        <v>1889</v>
      </c>
      <c r="H872" t="s">
        <v>1891</v>
      </c>
      <c r="I872" t="s">
        <v>210</v>
      </c>
      <c r="J872" t="s">
        <v>208</v>
      </c>
      <c r="K872" t="s">
        <v>2064</v>
      </c>
      <c r="L872" t="s">
        <v>3358</v>
      </c>
    </row>
    <row r="873" spans="1:12" x14ac:dyDescent="0.55000000000000004">
      <c r="A873">
        <v>202</v>
      </c>
      <c r="B873" t="s">
        <v>14</v>
      </c>
      <c r="C873">
        <v>25</v>
      </c>
      <c r="D873">
        <v>45</v>
      </c>
      <c r="E873" t="s">
        <v>424</v>
      </c>
      <c r="F873">
        <v>20.61</v>
      </c>
      <c r="G873" t="s">
        <v>2113</v>
      </c>
      <c r="H873" t="s">
        <v>110</v>
      </c>
      <c r="I873" t="s">
        <v>211</v>
      </c>
      <c r="J873" t="s">
        <v>123</v>
      </c>
      <c r="L873" t="s">
        <v>3358</v>
      </c>
    </row>
    <row r="874" spans="1:12" x14ac:dyDescent="0.55000000000000004">
      <c r="A874">
        <v>228</v>
      </c>
      <c r="B874" t="s">
        <v>15</v>
      </c>
      <c r="C874">
        <v>25</v>
      </c>
      <c r="D874">
        <v>190</v>
      </c>
      <c r="E874" t="s">
        <v>450</v>
      </c>
      <c r="F874">
        <v>13.28</v>
      </c>
      <c r="G874" t="s">
        <v>1889</v>
      </c>
      <c r="H874" t="s">
        <v>1891</v>
      </c>
      <c r="I874" t="s">
        <v>211</v>
      </c>
      <c r="J874" t="s">
        <v>135</v>
      </c>
      <c r="K874" t="s">
        <v>2114</v>
      </c>
      <c r="L874" t="s">
        <v>3358</v>
      </c>
    </row>
    <row r="875" spans="1:12" x14ac:dyDescent="0.55000000000000004">
      <c r="A875">
        <v>230</v>
      </c>
      <c r="B875" t="s">
        <v>15</v>
      </c>
      <c r="C875">
        <v>25</v>
      </c>
      <c r="D875">
        <v>190</v>
      </c>
      <c r="E875" t="s">
        <v>452</v>
      </c>
      <c r="F875">
        <v>13.1</v>
      </c>
      <c r="G875" t="s">
        <v>1889</v>
      </c>
      <c r="H875" t="s">
        <v>1891</v>
      </c>
      <c r="I875" t="s">
        <v>211</v>
      </c>
      <c r="J875" t="s">
        <v>137</v>
      </c>
      <c r="K875" t="s">
        <v>2116</v>
      </c>
      <c r="L875" t="s">
        <v>3358</v>
      </c>
    </row>
    <row r="876" spans="1:12" x14ac:dyDescent="0.55000000000000004">
      <c r="A876">
        <v>232</v>
      </c>
      <c r="B876" t="s">
        <v>15</v>
      </c>
      <c r="C876">
        <v>25</v>
      </c>
      <c r="D876">
        <v>190</v>
      </c>
      <c r="E876" t="s">
        <v>454</v>
      </c>
      <c r="F876">
        <v>12.34</v>
      </c>
      <c r="G876" t="s">
        <v>1889</v>
      </c>
      <c r="H876" t="s">
        <v>1891</v>
      </c>
      <c r="I876" t="s">
        <v>211</v>
      </c>
      <c r="J876" t="s">
        <v>139</v>
      </c>
      <c r="K876" t="s">
        <v>2118</v>
      </c>
      <c r="L876" t="s">
        <v>3358</v>
      </c>
    </row>
    <row r="877" spans="1:12" x14ac:dyDescent="0.55000000000000004">
      <c r="A877">
        <v>250</v>
      </c>
      <c r="B877" t="s">
        <v>16</v>
      </c>
      <c r="C877">
        <v>10</v>
      </c>
      <c r="D877">
        <v>208</v>
      </c>
      <c r="E877" t="s">
        <v>472</v>
      </c>
      <c r="F877">
        <v>7.79</v>
      </c>
      <c r="G877" t="s">
        <v>1889</v>
      </c>
      <c r="H877" t="s">
        <v>1891</v>
      </c>
      <c r="I877" t="s">
        <v>211</v>
      </c>
      <c r="J877" t="s">
        <v>116</v>
      </c>
      <c r="K877" t="s">
        <v>2133</v>
      </c>
      <c r="L877" t="s">
        <v>3358</v>
      </c>
    </row>
    <row r="878" spans="1:12" x14ac:dyDescent="0.55000000000000004">
      <c r="A878">
        <v>251</v>
      </c>
      <c r="B878" t="s">
        <v>16</v>
      </c>
      <c r="C878">
        <v>10</v>
      </c>
      <c r="D878">
        <v>208</v>
      </c>
      <c r="E878" t="s">
        <v>473</v>
      </c>
      <c r="F878">
        <v>11.06</v>
      </c>
      <c r="G878" t="s">
        <v>1889</v>
      </c>
      <c r="H878" t="s">
        <v>1891</v>
      </c>
      <c r="I878" t="s">
        <v>211</v>
      </c>
      <c r="J878" t="s">
        <v>144</v>
      </c>
      <c r="K878" t="s">
        <v>2134</v>
      </c>
      <c r="L878" t="s">
        <v>3358</v>
      </c>
    </row>
    <row r="879" spans="1:12" x14ac:dyDescent="0.55000000000000004">
      <c r="A879">
        <v>253</v>
      </c>
      <c r="B879" t="s">
        <v>16</v>
      </c>
      <c r="C879">
        <v>10</v>
      </c>
      <c r="D879">
        <v>208</v>
      </c>
      <c r="E879" t="s">
        <v>475</v>
      </c>
      <c r="F879">
        <v>12.29</v>
      </c>
      <c r="G879" t="s">
        <v>1889</v>
      </c>
      <c r="H879" t="s">
        <v>1891</v>
      </c>
      <c r="I879" t="s">
        <v>211</v>
      </c>
      <c r="J879" t="s">
        <v>146</v>
      </c>
      <c r="K879" t="s">
        <v>2136</v>
      </c>
      <c r="L879" t="s">
        <v>3358</v>
      </c>
    </row>
    <row r="880" spans="1:12" x14ac:dyDescent="0.55000000000000004">
      <c r="A880">
        <v>255</v>
      </c>
      <c r="B880" t="s">
        <v>16</v>
      </c>
      <c r="C880">
        <v>10</v>
      </c>
      <c r="D880">
        <v>208</v>
      </c>
      <c r="E880" t="s">
        <v>477</v>
      </c>
      <c r="F880">
        <v>12.72</v>
      </c>
      <c r="G880" t="s">
        <v>1889</v>
      </c>
      <c r="H880" t="s">
        <v>1891</v>
      </c>
      <c r="I880" t="s">
        <v>211</v>
      </c>
      <c r="J880" t="s">
        <v>148</v>
      </c>
      <c r="K880" t="s">
        <v>2138</v>
      </c>
      <c r="L880" t="s">
        <v>3358</v>
      </c>
    </row>
    <row r="881" spans="1:12" x14ac:dyDescent="0.55000000000000004">
      <c r="A881">
        <v>257</v>
      </c>
      <c r="B881" t="s">
        <v>16</v>
      </c>
      <c r="C881">
        <v>10</v>
      </c>
      <c r="D881">
        <v>208</v>
      </c>
      <c r="E881" t="s">
        <v>479</v>
      </c>
      <c r="F881">
        <v>11.85</v>
      </c>
      <c r="G881" t="s">
        <v>1889</v>
      </c>
      <c r="H881" t="s">
        <v>1891</v>
      </c>
      <c r="I881" t="s">
        <v>211</v>
      </c>
      <c r="J881" t="s">
        <v>150</v>
      </c>
      <c r="K881" t="s">
        <v>2140</v>
      </c>
      <c r="L881" t="s">
        <v>3358</v>
      </c>
    </row>
    <row r="882" spans="1:12" x14ac:dyDescent="0.55000000000000004">
      <c r="A882">
        <v>260</v>
      </c>
      <c r="B882" t="s">
        <v>17</v>
      </c>
      <c r="C882">
        <v>25</v>
      </c>
      <c r="D882">
        <v>65</v>
      </c>
      <c r="E882" t="s">
        <v>482</v>
      </c>
      <c r="F882">
        <v>12.78</v>
      </c>
      <c r="G882" t="s">
        <v>1889</v>
      </c>
      <c r="H882" t="s">
        <v>1891</v>
      </c>
      <c r="I882" t="s">
        <v>211</v>
      </c>
      <c r="J882" t="s">
        <v>153</v>
      </c>
      <c r="K882" t="s">
        <v>2142</v>
      </c>
      <c r="L882" t="s">
        <v>3358</v>
      </c>
    </row>
    <row r="883" spans="1:12" x14ac:dyDescent="0.55000000000000004">
      <c r="A883">
        <v>262</v>
      </c>
      <c r="B883" t="s">
        <v>17</v>
      </c>
      <c r="C883">
        <v>25</v>
      </c>
      <c r="D883">
        <v>65</v>
      </c>
      <c r="E883" t="s">
        <v>484</v>
      </c>
      <c r="F883">
        <v>13.07</v>
      </c>
      <c r="G883" t="s">
        <v>1889</v>
      </c>
      <c r="H883" t="s">
        <v>1891</v>
      </c>
      <c r="I883" t="s">
        <v>211</v>
      </c>
      <c r="J883" t="s">
        <v>117</v>
      </c>
      <c r="K883" t="s">
        <v>2144</v>
      </c>
      <c r="L883" t="s">
        <v>3358</v>
      </c>
    </row>
    <row r="884" spans="1:12" x14ac:dyDescent="0.55000000000000004">
      <c r="A884">
        <v>263</v>
      </c>
      <c r="B884" t="s">
        <v>17</v>
      </c>
      <c r="C884">
        <v>25</v>
      </c>
      <c r="D884">
        <v>65</v>
      </c>
      <c r="E884" t="s">
        <v>485</v>
      </c>
      <c r="F884">
        <v>13.29</v>
      </c>
      <c r="G884" t="s">
        <v>1889</v>
      </c>
      <c r="H884" t="s">
        <v>1891</v>
      </c>
      <c r="I884" t="s">
        <v>211</v>
      </c>
      <c r="J884" t="s">
        <v>155</v>
      </c>
      <c r="K884" t="s">
        <v>2145</v>
      </c>
      <c r="L884" t="s">
        <v>3358</v>
      </c>
    </row>
    <row r="885" spans="1:12" x14ac:dyDescent="0.55000000000000004">
      <c r="A885">
        <v>265</v>
      </c>
      <c r="B885" t="s">
        <v>17</v>
      </c>
      <c r="C885">
        <v>25</v>
      </c>
      <c r="D885">
        <v>65</v>
      </c>
      <c r="E885" t="s">
        <v>487</v>
      </c>
      <c r="F885">
        <v>11.9</v>
      </c>
      <c r="G885" t="s">
        <v>1889</v>
      </c>
      <c r="H885" t="s">
        <v>1891</v>
      </c>
      <c r="I885" t="s">
        <v>211</v>
      </c>
      <c r="J885" t="s">
        <v>157</v>
      </c>
      <c r="K885" t="s">
        <v>2147</v>
      </c>
      <c r="L885" t="s">
        <v>3358</v>
      </c>
    </row>
    <row r="886" spans="1:12" x14ac:dyDescent="0.55000000000000004">
      <c r="A886">
        <v>267</v>
      </c>
      <c r="B886" t="s">
        <v>17</v>
      </c>
      <c r="C886">
        <v>25</v>
      </c>
      <c r="D886">
        <v>65</v>
      </c>
      <c r="E886" t="s">
        <v>489</v>
      </c>
      <c r="F886">
        <v>12.55</v>
      </c>
      <c r="G886" t="s">
        <v>1889</v>
      </c>
      <c r="H886" t="s">
        <v>1891</v>
      </c>
      <c r="I886" t="s">
        <v>211</v>
      </c>
      <c r="J886" t="s">
        <v>159</v>
      </c>
      <c r="K886" t="s">
        <v>2149</v>
      </c>
      <c r="L886" t="s">
        <v>3358</v>
      </c>
    </row>
    <row r="887" spans="1:12" x14ac:dyDescent="0.55000000000000004">
      <c r="A887">
        <v>269</v>
      </c>
      <c r="B887" t="s">
        <v>17</v>
      </c>
      <c r="C887">
        <v>25</v>
      </c>
      <c r="D887">
        <v>65</v>
      </c>
      <c r="E887" t="s">
        <v>491</v>
      </c>
      <c r="F887">
        <v>12.51</v>
      </c>
      <c r="G887" t="s">
        <v>1889</v>
      </c>
      <c r="H887" t="s">
        <v>1891</v>
      </c>
      <c r="I887" t="s">
        <v>211</v>
      </c>
      <c r="J887" t="s">
        <v>161</v>
      </c>
      <c r="K887" t="s">
        <v>2151</v>
      </c>
      <c r="L887" t="s">
        <v>3358</v>
      </c>
    </row>
    <row r="888" spans="1:12" x14ac:dyDescent="0.55000000000000004">
      <c r="A888">
        <v>285</v>
      </c>
      <c r="B888" t="s">
        <v>18</v>
      </c>
      <c r="C888">
        <v>25</v>
      </c>
      <c r="D888">
        <v>172</v>
      </c>
      <c r="E888" t="s">
        <v>507</v>
      </c>
      <c r="F888">
        <v>12.83</v>
      </c>
      <c r="G888" t="s">
        <v>1889</v>
      </c>
      <c r="H888" t="s">
        <v>1891</v>
      </c>
      <c r="I888" t="s">
        <v>211</v>
      </c>
      <c r="J888" t="s">
        <v>164</v>
      </c>
      <c r="K888" t="s">
        <v>2167</v>
      </c>
      <c r="L888" t="s">
        <v>3358</v>
      </c>
    </row>
    <row r="889" spans="1:12" x14ac:dyDescent="0.55000000000000004">
      <c r="A889">
        <v>287</v>
      </c>
      <c r="B889" t="s">
        <v>18</v>
      </c>
      <c r="C889">
        <v>25</v>
      </c>
      <c r="D889">
        <v>172</v>
      </c>
      <c r="E889" t="s">
        <v>509</v>
      </c>
      <c r="F889">
        <v>12.29</v>
      </c>
      <c r="G889" t="s">
        <v>1889</v>
      </c>
      <c r="H889" t="s">
        <v>1891</v>
      </c>
      <c r="I889" t="s">
        <v>211</v>
      </c>
      <c r="J889" t="s">
        <v>118</v>
      </c>
      <c r="K889" t="s">
        <v>2169</v>
      </c>
      <c r="L889" t="s">
        <v>3358</v>
      </c>
    </row>
    <row r="890" spans="1:12" x14ac:dyDescent="0.55000000000000004">
      <c r="A890">
        <v>288</v>
      </c>
      <c r="B890" t="s">
        <v>18</v>
      </c>
      <c r="C890">
        <v>25</v>
      </c>
      <c r="D890">
        <v>172</v>
      </c>
      <c r="E890" t="s">
        <v>510</v>
      </c>
      <c r="F890">
        <v>12.49</v>
      </c>
      <c r="G890" t="s">
        <v>1889</v>
      </c>
      <c r="H890" t="s">
        <v>1891</v>
      </c>
      <c r="I890" t="s">
        <v>211</v>
      </c>
      <c r="J890" t="s">
        <v>166</v>
      </c>
      <c r="K890" t="s">
        <v>2170</v>
      </c>
      <c r="L890" t="s">
        <v>3358</v>
      </c>
    </row>
    <row r="891" spans="1:12" x14ac:dyDescent="0.55000000000000004">
      <c r="A891">
        <v>290</v>
      </c>
      <c r="B891" t="s">
        <v>18</v>
      </c>
      <c r="C891">
        <v>25</v>
      </c>
      <c r="D891">
        <v>172</v>
      </c>
      <c r="E891" t="s">
        <v>512</v>
      </c>
      <c r="F891">
        <v>11.69</v>
      </c>
      <c r="G891" t="s">
        <v>1889</v>
      </c>
      <c r="H891" t="s">
        <v>1891</v>
      </c>
      <c r="I891" t="s">
        <v>211</v>
      </c>
      <c r="J891" t="s">
        <v>168</v>
      </c>
      <c r="K891" t="s">
        <v>2172</v>
      </c>
      <c r="L891" t="s">
        <v>3358</v>
      </c>
    </row>
    <row r="892" spans="1:12" x14ac:dyDescent="0.55000000000000004">
      <c r="A892">
        <v>292</v>
      </c>
      <c r="B892" t="s">
        <v>18</v>
      </c>
      <c r="C892">
        <v>25</v>
      </c>
      <c r="D892">
        <v>172</v>
      </c>
      <c r="E892" t="s">
        <v>514</v>
      </c>
      <c r="F892">
        <v>11.8</v>
      </c>
      <c r="G892" t="s">
        <v>1889</v>
      </c>
      <c r="H892" t="s">
        <v>1891</v>
      </c>
      <c r="I892" t="s">
        <v>211</v>
      </c>
      <c r="J892" t="s">
        <v>170</v>
      </c>
      <c r="K892" t="s">
        <v>2174</v>
      </c>
      <c r="L892" t="s">
        <v>3358</v>
      </c>
    </row>
    <row r="893" spans="1:12" x14ac:dyDescent="0.55000000000000004">
      <c r="A893">
        <v>294</v>
      </c>
      <c r="B893" t="s">
        <v>18</v>
      </c>
      <c r="C893">
        <v>25</v>
      </c>
      <c r="D893">
        <v>172</v>
      </c>
      <c r="E893" t="s">
        <v>516</v>
      </c>
      <c r="F893">
        <v>12.67</v>
      </c>
      <c r="G893" t="s">
        <v>1889</v>
      </c>
      <c r="H893" t="s">
        <v>1891</v>
      </c>
      <c r="I893" t="s">
        <v>211</v>
      </c>
      <c r="J893" t="s">
        <v>172</v>
      </c>
      <c r="K893" t="s">
        <v>2176</v>
      </c>
      <c r="L893" t="s">
        <v>3358</v>
      </c>
    </row>
    <row r="894" spans="1:12" x14ac:dyDescent="0.55000000000000004">
      <c r="A894">
        <v>310</v>
      </c>
      <c r="B894" t="s">
        <v>19</v>
      </c>
      <c r="C894">
        <v>25</v>
      </c>
      <c r="D894">
        <v>188</v>
      </c>
      <c r="E894" t="s">
        <v>532</v>
      </c>
      <c r="F894">
        <v>12.92</v>
      </c>
      <c r="G894" t="s">
        <v>1889</v>
      </c>
      <c r="H894" t="s">
        <v>1891</v>
      </c>
      <c r="I894" t="s">
        <v>211</v>
      </c>
      <c r="J894" t="s">
        <v>175</v>
      </c>
      <c r="K894" t="s">
        <v>2192</v>
      </c>
      <c r="L894" t="s">
        <v>3358</v>
      </c>
    </row>
    <row r="895" spans="1:12" x14ac:dyDescent="0.55000000000000004">
      <c r="A895">
        <v>312</v>
      </c>
      <c r="B895" t="s">
        <v>19</v>
      </c>
      <c r="C895">
        <v>25</v>
      </c>
      <c r="D895">
        <v>188</v>
      </c>
      <c r="E895" t="s">
        <v>534</v>
      </c>
      <c r="F895">
        <v>12.98</v>
      </c>
      <c r="G895" t="s">
        <v>1889</v>
      </c>
      <c r="H895" t="s">
        <v>1891</v>
      </c>
      <c r="I895" t="s">
        <v>211</v>
      </c>
      <c r="J895" t="s">
        <v>119</v>
      </c>
      <c r="K895" t="s">
        <v>2194</v>
      </c>
      <c r="L895" t="s">
        <v>3358</v>
      </c>
    </row>
    <row r="896" spans="1:12" x14ac:dyDescent="0.55000000000000004">
      <c r="A896">
        <v>313</v>
      </c>
      <c r="B896" t="s">
        <v>19</v>
      </c>
      <c r="C896">
        <v>25</v>
      </c>
      <c r="D896">
        <v>188</v>
      </c>
      <c r="E896" t="s">
        <v>535</v>
      </c>
      <c r="F896">
        <v>12.29</v>
      </c>
      <c r="G896" t="s">
        <v>1889</v>
      </c>
      <c r="H896" t="s">
        <v>1891</v>
      </c>
      <c r="I896" t="s">
        <v>211</v>
      </c>
      <c r="J896" t="s">
        <v>177</v>
      </c>
      <c r="K896" t="s">
        <v>2195</v>
      </c>
      <c r="L896" t="s">
        <v>3358</v>
      </c>
    </row>
    <row r="897" spans="1:12" x14ac:dyDescent="0.55000000000000004">
      <c r="A897">
        <v>315</v>
      </c>
      <c r="B897" t="s">
        <v>19</v>
      </c>
      <c r="C897">
        <v>25</v>
      </c>
      <c r="D897">
        <v>188</v>
      </c>
      <c r="E897" t="s">
        <v>537</v>
      </c>
      <c r="F897">
        <v>12.7</v>
      </c>
      <c r="G897" t="s">
        <v>1889</v>
      </c>
      <c r="H897" t="s">
        <v>1891</v>
      </c>
      <c r="I897" t="s">
        <v>211</v>
      </c>
      <c r="J897" t="s">
        <v>179</v>
      </c>
      <c r="K897" t="s">
        <v>2197</v>
      </c>
      <c r="L897" t="s">
        <v>3358</v>
      </c>
    </row>
    <row r="898" spans="1:12" x14ac:dyDescent="0.55000000000000004">
      <c r="A898">
        <v>317</v>
      </c>
      <c r="B898" t="s">
        <v>19</v>
      </c>
      <c r="C898">
        <v>25</v>
      </c>
      <c r="D898">
        <v>188</v>
      </c>
      <c r="E898" t="s">
        <v>539</v>
      </c>
      <c r="F898">
        <v>12.9</v>
      </c>
      <c r="G898" t="s">
        <v>1889</v>
      </c>
      <c r="H898" t="s">
        <v>1891</v>
      </c>
      <c r="I898" t="s">
        <v>211</v>
      </c>
      <c r="J898" t="s">
        <v>181</v>
      </c>
      <c r="K898" t="s">
        <v>2199</v>
      </c>
      <c r="L898" t="s">
        <v>3358</v>
      </c>
    </row>
    <row r="899" spans="1:12" x14ac:dyDescent="0.55000000000000004">
      <c r="A899">
        <v>319</v>
      </c>
      <c r="B899" t="s">
        <v>19</v>
      </c>
      <c r="C899">
        <v>25</v>
      </c>
      <c r="D899">
        <v>188</v>
      </c>
      <c r="E899" t="s">
        <v>541</v>
      </c>
      <c r="F899">
        <v>12.81</v>
      </c>
      <c r="G899" t="s">
        <v>1889</v>
      </c>
      <c r="H899" t="s">
        <v>1891</v>
      </c>
      <c r="I899" t="s">
        <v>211</v>
      </c>
      <c r="J899" t="s">
        <v>183</v>
      </c>
      <c r="K899" t="s">
        <v>2201</v>
      </c>
      <c r="L899" t="s">
        <v>3358</v>
      </c>
    </row>
    <row r="900" spans="1:12" x14ac:dyDescent="0.55000000000000004">
      <c r="A900">
        <v>335</v>
      </c>
      <c r="B900" t="s">
        <v>20</v>
      </c>
      <c r="C900">
        <v>25</v>
      </c>
      <c r="D900">
        <v>36</v>
      </c>
      <c r="E900" t="s">
        <v>557</v>
      </c>
      <c r="F900">
        <v>13.43</v>
      </c>
      <c r="G900" t="s">
        <v>1889</v>
      </c>
      <c r="H900" t="s">
        <v>1891</v>
      </c>
      <c r="I900" t="s">
        <v>211</v>
      </c>
      <c r="J900" t="s">
        <v>186</v>
      </c>
      <c r="K900" t="s">
        <v>2213</v>
      </c>
      <c r="L900" t="s">
        <v>3358</v>
      </c>
    </row>
    <row r="901" spans="1:12" x14ac:dyDescent="0.55000000000000004">
      <c r="A901">
        <v>337</v>
      </c>
      <c r="B901" t="s">
        <v>20</v>
      </c>
      <c r="C901">
        <v>25</v>
      </c>
      <c r="D901">
        <v>36</v>
      </c>
      <c r="E901" t="s">
        <v>559</v>
      </c>
      <c r="F901">
        <v>12.01</v>
      </c>
      <c r="G901" t="s">
        <v>1889</v>
      </c>
      <c r="H901" t="s">
        <v>1891</v>
      </c>
      <c r="I901" t="s">
        <v>211</v>
      </c>
      <c r="J901" t="s">
        <v>120</v>
      </c>
      <c r="K901" t="s">
        <v>2215</v>
      </c>
      <c r="L901" t="s">
        <v>3358</v>
      </c>
    </row>
    <row r="902" spans="1:12" x14ac:dyDescent="0.55000000000000004">
      <c r="A902">
        <v>338</v>
      </c>
      <c r="B902" t="s">
        <v>20</v>
      </c>
      <c r="C902">
        <v>25</v>
      </c>
      <c r="D902">
        <v>36</v>
      </c>
      <c r="E902" t="s">
        <v>560</v>
      </c>
      <c r="F902">
        <v>12.72</v>
      </c>
      <c r="G902" t="s">
        <v>1889</v>
      </c>
      <c r="H902" t="s">
        <v>1891</v>
      </c>
      <c r="I902" t="s">
        <v>211</v>
      </c>
      <c r="J902" t="s">
        <v>188</v>
      </c>
      <c r="K902" t="s">
        <v>2216</v>
      </c>
      <c r="L902" t="s">
        <v>3358</v>
      </c>
    </row>
    <row r="903" spans="1:12" x14ac:dyDescent="0.55000000000000004">
      <c r="A903">
        <v>340</v>
      </c>
      <c r="B903" t="s">
        <v>20</v>
      </c>
      <c r="C903">
        <v>25</v>
      </c>
      <c r="D903">
        <v>36</v>
      </c>
      <c r="E903" t="s">
        <v>562</v>
      </c>
      <c r="F903">
        <v>12.33</v>
      </c>
      <c r="G903" t="s">
        <v>1889</v>
      </c>
      <c r="H903" t="s">
        <v>1891</v>
      </c>
      <c r="I903" t="s">
        <v>211</v>
      </c>
      <c r="J903" t="s">
        <v>190</v>
      </c>
      <c r="K903" t="s">
        <v>2218</v>
      </c>
      <c r="L903" t="s">
        <v>3358</v>
      </c>
    </row>
    <row r="904" spans="1:12" x14ac:dyDescent="0.55000000000000004">
      <c r="A904">
        <v>342</v>
      </c>
      <c r="B904" t="s">
        <v>20</v>
      </c>
      <c r="C904">
        <v>25</v>
      </c>
      <c r="D904">
        <v>36</v>
      </c>
      <c r="E904" t="s">
        <v>564</v>
      </c>
      <c r="F904">
        <v>11.36</v>
      </c>
      <c r="G904" t="s">
        <v>1889</v>
      </c>
      <c r="H904" t="s">
        <v>1891</v>
      </c>
      <c r="I904" t="s">
        <v>211</v>
      </c>
      <c r="J904" t="s">
        <v>192</v>
      </c>
      <c r="K904" t="s">
        <v>2220</v>
      </c>
      <c r="L904" t="s">
        <v>3358</v>
      </c>
    </row>
    <row r="905" spans="1:12" x14ac:dyDescent="0.55000000000000004">
      <c r="A905">
        <v>344</v>
      </c>
      <c r="B905" t="s">
        <v>20</v>
      </c>
      <c r="C905">
        <v>25</v>
      </c>
      <c r="D905">
        <v>36</v>
      </c>
      <c r="E905" t="s">
        <v>566</v>
      </c>
      <c r="F905">
        <v>12.76</v>
      </c>
      <c r="G905" t="s">
        <v>1889</v>
      </c>
      <c r="H905" t="s">
        <v>1891</v>
      </c>
      <c r="I905" t="s">
        <v>211</v>
      </c>
      <c r="J905" t="s">
        <v>194</v>
      </c>
      <c r="K905" t="s">
        <v>2222</v>
      </c>
      <c r="L905" t="s">
        <v>3358</v>
      </c>
    </row>
    <row r="906" spans="1:12" x14ac:dyDescent="0.55000000000000004">
      <c r="A906">
        <v>360</v>
      </c>
      <c r="B906" t="s">
        <v>21</v>
      </c>
      <c r="C906">
        <v>25</v>
      </c>
      <c r="D906">
        <v>210</v>
      </c>
      <c r="E906" t="s">
        <v>582</v>
      </c>
      <c r="F906">
        <v>14.43</v>
      </c>
      <c r="G906" t="s">
        <v>1889</v>
      </c>
      <c r="H906" t="s">
        <v>1891</v>
      </c>
      <c r="I906" t="s">
        <v>211</v>
      </c>
      <c r="J906" t="s">
        <v>197</v>
      </c>
      <c r="K906" t="s">
        <v>2238</v>
      </c>
      <c r="L906" t="s">
        <v>3358</v>
      </c>
    </row>
    <row r="907" spans="1:12" x14ac:dyDescent="0.55000000000000004">
      <c r="A907">
        <v>362</v>
      </c>
      <c r="B907" t="s">
        <v>21</v>
      </c>
      <c r="C907">
        <v>25</v>
      </c>
      <c r="D907">
        <v>210</v>
      </c>
      <c r="E907" t="s">
        <v>584</v>
      </c>
      <c r="F907">
        <v>12.48</v>
      </c>
      <c r="G907" t="s">
        <v>1889</v>
      </c>
      <c r="H907" t="s">
        <v>1891</v>
      </c>
      <c r="I907" t="s">
        <v>211</v>
      </c>
      <c r="J907" t="s">
        <v>121</v>
      </c>
      <c r="K907" t="s">
        <v>2240</v>
      </c>
      <c r="L907" t="s">
        <v>3358</v>
      </c>
    </row>
    <row r="908" spans="1:12" x14ac:dyDescent="0.55000000000000004">
      <c r="A908">
        <v>363</v>
      </c>
      <c r="B908" t="s">
        <v>21</v>
      </c>
      <c r="C908">
        <v>25</v>
      </c>
      <c r="D908">
        <v>210</v>
      </c>
      <c r="E908" t="s">
        <v>585</v>
      </c>
      <c r="F908">
        <v>11.7</v>
      </c>
      <c r="G908" t="s">
        <v>1889</v>
      </c>
      <c r="H908" t="s">
        <v>1891</v>
      </c>
      <c r="I908" t="s">
        <v>211</v>
      </c>
      <c r="J908" t="s">
        <v>199</v>
      </c>
      <c r="K908" t="s">
        <v>2241</v>
      </c>
      <c r="L908" t="s">
        <v>3358</v>
      </c>
    </row>
    <row r="909" spans="1:12" x14ac:dyDescent="0.55000000000000004">
      <c r="A909">
        <v>365</v>
      </c>
      <c r="B909" t="s">
        <v>21</v>
      </c>
      <c r="C909">
        <v>25</v>
      </c>
      <c r="D909">
        <v>210</v>
      </c>
      <c r="E909" t="s">
        <v>587</v>
      </c>
      <c r="F909">
        <v>14.46</v>
      </c>
      <c r="G909" t="s">
        <v>1889</v>
      </c>
      <c r="H909" t="s">
        <v>1891</v>
      </c>
      <c r="I909" t="s">
        <v>211</v>
      </c>
      <c r="J909" t="s">
        <v>201</v>
      </c>
      <c r="K909" t="s">
        <v>2243</v>
      </c>
      <c r="L909" t="s">
        <v>3358</v>
      </c>
    </row>
    <row r="910" spans="1:12" x14ac:dyDescent="0.55000000000000004">
      <c r="A910">
        <v>367</v>
      </c>
      <c r="B910" t="s">
        <v>21</v>
      </c>
      <c r="C910">
        <v>25</v>
      </c>
      <c r="D910">
        <v>210</v>
      </c>
      <c r="E910" t="s">
        <v>589</v>
      </c>
      <c r="F910">
        <v>13.15</v>
      </c>
      <c r="G910" t="s">
        <v>1889</v>
      </c>
      <c r="H910" t="s">
        <v>1891</v>
      </c>
      <c r="I910" t="s">
        <v>211</v>
      </c>
      <c r="J910" t="s">
        <v>203</v>
      </c>
      <c r="K910" t="s">
        <v>2245</v>
      </c>
      <c r="L910" t="s">
        <v>3358</v>
      </c>
    </row>
    <row r="911" spans="1:12" x14ac:dyDescent="0.55000000000000004">
      <c r="A911">
        <v>369</v>
      </c>
      <c r="B911" t="s">
        <v>21</v>
      </c>
      <c r="C911">
        <v>25</v>
      </c>
      <c r="D911">
        <v>210</v>
      </c>
      <c r="E911" t="s">
        <v>591</v>
      </c>
      <c r="F911">
        <v>10.82</v>
      </c>
      <c r="G911" t="s">
        <v>1889</v>
      </c>
      <c r="H911" t="s">
        <v>1891</v>
      </c>
      <c r="I911" t="s">
        <v>211</v>
      </c>
      <c r="J911" t="s">
        <v>205</v>
      </c>
      <c r="K911" t="s">
        <v>2247</v>
      </c>
      <c r="L911" t="s">
        <v>3358</v>
      </c>
    </row>
    <row r="912" spans="1:12" x14ac:dyDescent="0.55000000000000004">
      <c r="A912">
        <v>385</v>
      </c>
      <c r="B912" t="s">
        <v>22</v>
      </c>
      <c r="C912">
        <v>25</v>
      </c>
      <c r="D912">
        <v>206</v>
      </c>
      <c r="E912" t="s">
        <v>607</v>
      </c>
      <c r="F912">
        <v>11.81</v>
      </c>
      <c r="G912" t="s">
        <v>1889</v>
      </c>
      <c r="H912" t="s">
        <v>1891</v>
      </c>
      <c r="I912" t="s">
        <v>211</v>
      </c>
      <c r="J912" t="s">
        <v>208</v>
      </c>
      <c r="K912" t="s">
        <v>2263</v>
      </c>
      <c r="L912" t="s">
        <v>3358</v>
      </c>
    </row>
    <row r="913" spans="1:12" x14ac:dyDescent="0.55000000000000004">
      <c r="A913">
        <v>411</v>
      </c>
      <c r="B913" t="s">
        <v>23</v>
      </c>
      <c r="C913">
        <v>10</v>
      </c>
      <c r="D913">
        <v>205</v>
      </c>
      <c r="E913" t="s">
        <v>633</v>
      </c>
      <c r="F913">
        <v>9.77</v>
      </c>
      <c r="G913" t="s">
        <v>1889</v>
      </c>
      <c r="H913" t="s">
        <v>1891</v>
      </c>
      <c r="I913" t="s">
        <v>212</v>
      </c>
      <c r="J913" t="s">
        <v>132</v>
      </c>
      <c r="K913" t="s">
        <v>2289</v>
      </c>
      <c r="L913" t="s">
        <v>3358</v>
      </c>
    </row>
    <row r="914" spans="1:12" x14ac:dyDescent="0.55000000000000004">
      <c r="A914">
        <v>413</v>
      </c>
      <c r="B914" t="s">
        <v>23</v>
      </c>
      <c r="C914">
        <v>10</v>
      </c>
      <c r="D914">
        <v>205</v>
      </c>
      <c r="E914" t="s">
        <v>635</v>
      </c>
      <c r="F914">
        <v>9.69</v>
      </c>
      <c r="G914" t="s">
        <v>1889</v>
      </c>
      <c r="H914" t="s">
        <v>1891</v>
      </c>
      <c r="I914" t="s">
        <v>212</v>
      </c>
      <c r="J914" t="s">
        <v>133</v>
      </c>
      <c r="K914" t="s">
        <v>2291</v>
      </c>
      <c r="L914" t="s">
        <v>3358</v>
      </c>
    </row>
    <row r="915" spans="1:12" x14ac:dyDescent="0.55000000000000004">
      <c r="A915">
        <v>422</v>
      </c>
      <c r="B915" t="s">
        <v>24</v>
      </c>
      <c r="C915">
        <v>25</v>
      </c>
      <c r="D915">
        <v>187</v>
      </c>
      <c r="E915" t="s">
        <v>644</v>
      </c>
      <c r="F915">
        <v>10.74</v>
      </c>
      <c r="G915" t="s">
        <v>1889</v>
      </c>
      <c r="H915" t="s">
        <v>1891</v>
      </c>
      <c r="I915" t="s">
        <v>212</v>
      </c>
      <c r="J915" t="s">
        <v>142</v>
      </c>
      <c r="K915" t="s">
        <v>2300</v>
      </c>
      <c r="L915" t="s">
        <v>3358</v>
      </c>
    </row>
    <row r="916" spans="1:12" x14ac:dyDescent="0.55000000000000004">
      <c r="A916">
        <v>598</v>
      </c>
      <c r="B916" t="s">
        <v>32</v>
      </c>
      <c r="C916">
        <v>25</v>
      </c>
      <c r="D916">
        <v>183</v>
      </c>
      <c r="E916" t="s">
        <v>820</v>
      </c>
      <c r="F916">
        <v>12.7</v>
      </c>
      <c r="G916" t="s">
        <v>1889</v>
      </c>
      <c r="H916" t="s">
        <v>1891</v>
      </c>
      <c r="I916" t="s">
        <v>213</v>
      </c>
      <c r="J916" t="s">
        <v>132</v>
      </c>
      <c r="K916" t="s">
        <v>2464</v>
      </c>
      <c r="L916" t="s">
        <v>3358</v>
      </c>
    </row>
    <row r="917" spans="1:12" x14ac:dyDescent="0.55000000000000004">
      <c r="A917">
        <v>599</v>
      </c>
      <c r="B917" t="s">
        <v>32</v>
      </c>
      <c r="C917">
        <v>25</v>
      </c>
      <c r="D917">
        <v>183</v>
      </c>
      <c r="E917" t="s">
        <v>821</v>
      </c>
      <c r="F917">
        <v>12.14</v>
      </c>
      <c r="G917" t="s">
        <v>1889</v>
      </c>
      <c r="H917" t="s">
        <v>1891</v>
      </c>
      <c r="I917" t="s">
        <v>213</v>
      </c>
      <c r="J917" t="s">
        <v>115</v>
      </c>
      <c r="K917" t="s">
        <v>2465</v>
      </c>
      <c r="L917" t="s">
        <v>3358</v>
      </c>
    </row>
    <row r="918" spans="1:12" x14ac:dyDescent="0.55000000000000004">
      <c r="A918">
        <v>600</v>
      </c>
      <c r="B918" t="s">
        <v>32</v>
      </c>
      <c r="C918">
        <v>25</v>
      </c>
      <c r="D918">
        <v>183</v>
      </c>
      <c r="E918" t="s">
        <v>822</v>
      </c>
      <c r="F918">
        <v>15.49</v>
      </c>
      <c r="G918" t="s">
        <v>1889</v>
      </c>
      <c r="H918" t="s">
        <v>1891</v>
      </c>
      <c r="I918" t="s">
        <v>213</v>
      </c>
      <c r="J918" t="s">
        <v>133</v>
      </c>
      <c r="K918" t="s">
        <v>2466</v>
      </c>
      <c r="L918" t="s">
        <v>3358</v>
      </c>
    </row>
    <row r="919" spans="1:12" x14ac:dyDescent="0.55000000000000004">
      <c r="A919">
        <v>622</v>
      </c>
      <c r="B919" t="s">
        <v>33</v>
      </c>
      <c r="C919">
        <v>5</v>
      </c>
      <c r="D919">
        <v>182</v>
      </c>
      <c r="E919" t="s">
        <v>844</v>
      </c>
      <c r="F919">
        <v>9.8000000000000007</v>
      </c>
      <c r="G919" t="s">
        <v>1889</v>
      </c>
      <c r="H919" t="s">
        <v>1891</v>
      </c>
      <c r="I919" t="s">
        <v>213</v>
      </c>
      <c r="J919" t="s">
        <v>142</v>
      </c>
      <c r="K919" t="s">
        <v>2488</v>
      </c>
      <c r="L919" t="s">
        <v>3358</v>
      </c>
    </row>
    <row r="920" spans="1:12" x14ac:dyDescent="0.55000000000000004">
      <c r="A920">
        <v>773</v>
      </c>
      <c r="B920" t="s">
        <v>43</v>
      </c>
      <c r="C920">
        <v>3</v>
      </c>
      <c r="D920">
        <v>178</v>
      </c>
      <c r="E920" t="s">
        <v>995</v>
      </c>
      <c r="F920">
        <v>14.44</v>
      </c>
      <c r="G920" t="s">
        <v>1889</v>
      </c>
      <c r="H920" t="s">
        <v>1891</v>
      </c>
      <c r="I920" t="s">
        <v>214</v>
      </c>
      <c r="J920" t="s">
        <v>130</v>
      </c>
      <c r="K920" t="s">
        <v>2637</v>
      </c>
      <c r="L920" t="s">
        <v>3358</v>
      </c>
    </row>
    <row r="921" spans="1:12" x14ac:dyDescent="0.55000000000000004">
      <c r="A921">
        <v>776</v>
      </c>
      <c r="B921" t="s">
        <v>44</v>
      </c>
      <c r="C921">
        <v>25</v>
      </c>
      <c r="D921">
        <v>177</v>
      </c>
      <c r="E921" t="s">
        <v>998</v>
      </c>
      <c r="F921">
        <v>12.85</v>
      </c>
      <c r="G921" t="s">
        <v>1889</v>
      </c>
      <c r="H921" t="s">
        <v>1891</v>
      </c>
      <c r="I921" t="s">
        <v>214</v>
      </c>
      <c r="J921" t="s">
        <v>115</v>
      </c>
      <c r="K921" t="s">
        <v>2640</v>
      </c>
      <c r="L921" t="s">
        <v>3358</v>
      </c>
    </row>
    <row r="922" spans="1:12" x14ac:dyDescent="0.55000000000000004">
      <c r="A922">
        <v>906</v>
      </c>
      <c r="B922" t="s">
        <v>55</v>
      </c>
      <c r="C922">
        <v>9</v>
      </c>
      <c r="D922">
        <v>451</v>
      </c>
      <c r="E922" t="s">
        <v>1128</v>
      </c>
      <c r="F922">
        <v>11.59</v>
      </c>
      <c r="G922" t="s">
        <v>1889</v>
      </c>
      <c r="H922" t="s">
        <v>1891</v>
      </c>
      <c r="I922" t="s">
        <v>215</v>
      </c>
      <c r="J922" t="s">
        <v>128</v>
      </c>
      <c r="K922" t="s">
        <v>2768</v>
      </c>
      <c r="L922" t="s">
        <v>3358</v>
      </c>
    </row>
    <row r="923" spans="1:12" x14ac:dyDescent="0.55000000000000004">
      <c r="A923">
        <v>908</v>
      </c>
      <c r="B923" t="s">
        <v>55</v>
      </c>
      <c r="C923">
        <v>9</v>
      </c>
      <c r="D923">
        <v>451</v>
      </c>
      <c r="E923" t="s">
        <v>1130</v>
      </c>
      <c r="F923">
        <v>11.08</v>
      </c>
      <c r="G923" t="s">
        <v>1889</v>
      </c>
      <c r="H923" t="s">
        <v>1891</v>
      </c>
      <c r="I923" t="s">
        <v>215</v>
      </c>
      <c r="J923" t="s">
        <v>130</v>
      </c>
      <c r="K923" t="s">
        <v>2770</v>
      </c>
      <c r="L923" t="s">
        <v>3358</v>
      </c>
    </row>
    <row r="924" spans="1:12" x14ac:dyDescent="0.55000000000000004">
      <c r="A924">
        <v>1067</v>
      </c>
      <c r="B924" t="s">
        <v>65</v>
      </c>
      <c r="C924">
        <v>25</v>
      </c>
      <c r="D924">
        <v>414</v>
      </c>
      <c r="E924" t="s">
        <v>1289</v>
      </c>
      <c r="F924">
        <v>17.66</v>
      </c>
      <c r="G924" t="s">
        <v>2113</v>
      </c>
      <c r="H924" t="s">
        <v>110</v>
      </c>
      <c r="I924" t="s">
        <v>216</v>
      </c>
      <c r="J924" t="s">
        <v>128</v>
      </c>
      <c r="L924" t="s">
        <v>3358</v>
      </c>
    </row>
    <row r="925" spans="1:12" x14ac:dyDescent="0.55000000000000004">
      <c r="A925">
        <v>1253</v>
      </c>
      <c r="B925" t="s">
        <v>75</v>
      </c>
      <c r="C925">
        <v>7</v>
      </c>
      <c r="D925">
        <v>2161</v>
      </c>
      <c r="E925" t="s">
        <v>1475</v>
      </c>
      <c r="F925">
        <v>14.6</v>
      </c>
      <c r="G925" t="s">
        <v>2113</v>
      </c>
      <c r="H925" t="s">
        <v>110</v>
      </c>
      <c r="I925" t="s">
        <v>217</v>
      </c>
      <c r="J925" t="s">
        <v>126</v>
      </c>
      <c r="L925" t="s">
        <v>3358</v>
      </c>
    </row>
    <row r="926" spans="1:12" x14ac:dyDescent="0.55000000000000004">
      <c r="A926">
        <v>1418</v>
      </c>
      <c r="B926" t="s">
        <v>85</v>
      </c>
      <c r="C926">
        <v>20</v>
      </c>
      <c r="D926">
        <v>2118</v>
      </c>
      <c r="E926" t="s">
        <v>1640</v>
      </c>
      <c r="F926">
        <v>16.2</v>
      </c>
      <c r="G926" t="s">
        <v>2113</v>
      </c>
      <c r="H926" t="s">
        <v>110</v>
      </c>
      <c r="I926" t="s">
        <v>218</v>
      </c>
      <c r="J926" t="s">
        <v>126</v>
      </c>
      <c r="L926" t="s">
        <v>3358</v>
      </c>
    </row>
    <row r="927" spans="1:12" x14ac:dyDescent="0.55000000000000004">
      <c r="A927">
        <v>1562</v>
      </c>
      <c r="B927" t="s">
        <v>99</v>
      </c>
      <c r="C927">
        <v>23</v>
      </c>
      <c r="D927">
        <v>2153</v>
      </c>
      <c r="E927" t="s">
        <v>1784</v>
      </c>
      <c r="F927">
        <v>14.98</v>
      </c>
      <c r="G927" t="s">
        <v>2113</v>
      </c>
      <c r="H927" t="s">
        <v>110</v>
      </c>
      <c r="I927" t="s">
        <v>219</v>
      </c>
      <c r="J927" t="s">
        <v>124</v>
      </c>
      <c r="L927" t="s">
        <v>3358</v>
      </c>
    </row>
    <row r="928" spans="1:12" x14ac:dyDescent="0.55000000000000004">
      <c r="A928">
        <v>1669</v>
      </c>
      <c r="B928" t="s">
        <v>3279</v>
      </c>
      <c r="C928">
        <v>15</v>
      </c>
      <c r="F928">
        <v>291</v>
      </c>
      <c r="G928" t="s">
        <v>1888</v>
      </c>
      <c r="H928" t="s">
        <v>110</v>
      </c>
      <c r="I928" t="s">
        <v>3292</v>
      </c>
      <c r="J928" t="s">
        <v>124</v>
      </c>
      <c r="K928" t="s">
        <v>3291</v>
      </c>
      <c r="L928" t="s">
        <v>3358</v>
      </c>
    </row>
    <row r="929" spans="1:12" x14ac:dyDescent="0.55000000000000004">
      <c r="A929">
        <v>7</v>
      </c>
      <c r="B929" t="s">
        <v>5</v>
      </c>
      <c r="C929">
        <v>25</v>
      </c>
      <c r="D929">
        <v>71</v>
      </c>
      <c r="E929" t="s">
        <v>229</v>
      </c>
      <c r="F929">
        <v>9</v>
      </c>
      <c r="G929" t="s">
        <v>1889</v>
      </c>
      <c r="H929" t="s">
        <v>1891</v>
      </c>
      <c r="I929" t="s">
        <v>210</v>
      </c>
      <c r="J929" t="s">
        <v>127</v>
      </c>
      <c r="K929" t="s">
        <v>1896</v>
      </c>
      <c r="L929" t="s">
        <v>3330</v>
      </c>
    </row>
    <row r="930" spans="1:12" x14ac:dyDescent="0.55000000000000004">
      <c r="A930">
        <v>391</v>
      </c>
      <c r="B930" t="s">
        <v>22</v>
      </c>
      <c r="C930">
        <v>25</v>
      </c>
      <c r="D930">
        <v>206</v>
      </c>
      <c r="E930" t="s">
        <v>613</v>
      </c>
      <c r="F930">
        <v>11.961</v>
      </c>
      <c r="G930" t="s">
        <v>1889</v>
      </c>
      <c r="H930" t="s">
        <v>1891</v>
      </c>
      <c r="I930" t="s">
        <v>212</v>
      </c>
      <c r="J930" t="s">
        <v>125</v>
      </c>
      <c r="K930" t="s">
        <v>2269</v>
      </c>
      <c r="L930" t="s">
        <v>3330</v>
      </c>
    </row>
    <row r="931" spans="1:12" x14ac:dyDescent="0.55000000000000004">
      <c r="A931">
        <v>766</v>
      </c>
      <c r="B931" t="s">
        <v>41</v>
      </c>
      <c r="C931">
        <v>6</v>
      </c>
      <c r="D931">
        <v>120</v>
      </c>
      <c r="E931" t="s">
        <v>988</v>
      </c>
      <c r="F931">
        <v>12.86</v>
      </c>
      <c r="G931" t="s">
        <v>1889</v>
      </c>
      <c r="H931" t="s">
        <v>1891</v>
      </c>
      <c r="I931" t="s">
        <v>214</v>
      </c>
      <c r="J931" t="s">
        <v>123</v>
      </c>
      <c r="K931" t="s">
        <v>2630</v>
      </c>
      <c r="L931" t="s">
        <v>3330</v>
      </c>
    </row>
    <row r="932" spans="1:12" x14ac:dyDescent="0.55000000000000004">
      <c r="A932">
        <v>779</v>
      </c>
      <c r="B932" t="s">
        <v>44</v>
      </c>
      <c r="C932">
        <v>25</v>
      </c>
      <c r="D932">
        <v>177</v>
      </c>
      <c r="E932" t="s">
        <v>1001</v>
      </c>
      <c r="F932">
        <v>12.01</v>
      </c>
      <c r="G932" t="s">
        <v>1889</v>
      </c>
      <c r="H932" t="s">
        <v>1891</v>
      </c>
      <c r="I932" t="s">
        <v>214</v>
      </c>
      <c r="J932" t="s">
        <v>135</v>
      </c>
      <c r="K932" t="s">
        <v>2643</v>
      </c>
      <c r="L932" t="s">
        <v>3330</v>
      </c>
    </row>
    <row r="933" spans="1:12" x14ac:dyDescent="0.55000000000000004">
      <c r="A933">
        <v>781</v>
      </c>
      <c r="B933" t="s">
        <v>44</v>
      </c>
      <c r="C933">
        <v>25</v>
      </c>
      <c r="D933">
        <v>177</v>
      </c>
      <c r="E933" t="s">
        <v>1003</v>
      </c>
      <c r="F933">
        <v>13.1</v>
      </c>
      <c r="G933" t="s">
        <v>1889</v>
      </c>
      <c r="H933" t="s">
        <v>1891</v>
      </c>
      <c r="I933" t="s">
        <v>214</v>
      </c>
      <c r="J933" t="s">
        <v>137</v>
      </c>
      <c r="K933" t="s">
        <v>2645</v>
      </c>
      <c r="L933" t="s">
        <v>3330</v>
      </c>
    </row>
    <row r="934" spans="1:12" x14ac:dyDescent="0.55000000000000004">
      <c r="A934">
        <v>783</v>
      </c>
      <c r="B934" t="s">
        <v>44</v>
      </c>
      <c r="C934">
        <v>25</v>
      </c>
      <c r="D934">
        <v>177</v>
      </c>
      <c r="E934" t="s">
        <v>1005</v>
      </c>
      <c r="F934">
        <v>12.15</v>
      </c>
      <c r="G934" t="s">
        <v>1889</v>
      </c>
      <c r="H934" t="s">
        <v>1891</v>
      </c>
      <c r="I934" t="s">
        <v>214</v>
      </c>
      <c r="J934" t="s">
        <v>139</v>
      </c>
      <c r="K934" t="s">
        <v>2647</v>
      </c>
      <c r="L934" t="s">
        <v>3330</v>
      </c>
    </row>
    <row r="935" spans="1:12" x14ac:dyDescent="0.55000000000000004">
      <c r="A935">
        <v>801</v>
      </c>
      <c r="B935" t="s">
        <v>45</v>
      </c>
      <c r="C935">
        <v>7</v>
      </c>
      <c r="D935">
        <v>176</v>
      </c>
      <c r="E935" t="s">
        <v>1023</v>
      </c>
      <c r="F935">
        <v>15.77</v>
      </c>
      <c r="G935" t="s">
        <v>1889</v>
      </c>
      <c r="H935" t="s">
        <v>1891</v>
      </c>
      <c r="I935" t="s">
        <v>214</v>
      </c>
      <c r="J935" t="s">
        <v>116</v>
      </c>
      <c r="K935" t="s">
        <v>2665</v>
      </c>
      <c r="L935" t="s">
        <v>3330</v>
      </c>
    </row>
    <row r="936" spans="1:12" x14ac:dyDescent="0.55000000000000004">
      <c r="A936">
        <v>802</v>
      </c>
      <c r="B936" t="s">
        <v>45</v>
      </c>
      <c r="C936">
        <v>7</v>
      </c>
      <c r="D936">
        <v>176</v>
      </c>
      <c r="E936" t="s">
        <v>1024</v>
      </c>
      <c r="F936">
        <v>12.12</v>
      </c>
      <c r="G936" t="s">
        <v>1889</v>
      </c>
      <c r="H936" t="s">
        <v>1891</v>
      </c>
      <c r="I936" t="s">
        <v>214</v>
      </c>
      <c r="J936" t="s">
        <v>144</v>
      </c>
      <c r="K936" t="s">
        <v>2666</v>
      </c>
      <c r="L936" t="s">
        <v>3330</v>
      </c>
    </row>
    <row r="937" spans="1:12" x14ac:dyDescent="0.55000000000000004">
      <c r="A937">
        <v>804</v>
      </c>
      <c r="B937" t="s">
        <v>45</v>
      </c>
      <c r="C937">
        <v>7</v>
      </c>
      <c r="D937">
        <v>176</v>
      </c>
      <c r="E937" t="s">
        <v>1026</v>
      </c>
      <c r="F937">
        <v>13.15</v>
      </c>
      <c r="G937" t="s">
        <v>1889</v>
      </c>
      <c r="H937" t="s">
        <v>1891</v>
      </c>
      <c r="I937" t="s">
        <v>214</v>
      </c>
      <c r="J937" t="s">
        <v>146</v>
      </c>
      <c r="K937" t="s">
        <v>2668</v>
      </c>
      <c r="L937" t="s">
        <v>3330</v>
      </c>
    </row>
    <row r="938" spans="1:12" x14ac:dyDescent="0.55000000000000004">
      <c r="A938">
        <v>806</v>
      </c>
      <c r="B938" t="s">
        <v>45</v>
      </c>
      <c r="C938">
        <v>7</v>
      </c>
      <c r="D938">
        <v>176</v>
      </c>
      <c r="E938" t="s">
        <v>1028</v>
      </c>
      <c r="F938">
        <v>17.600000000000001</v>
      </c>
      <c r="G938" t="s">
        <v>2113</v>
      </c>
      <c r="H938" t="s">
        <v>110</v>
      </c>
      <c r="I938" t="s">
        <v>214</v>
      </c>
      <c r="J938" t="s">
        <v>148</v>
      </c>
      <c r="L938" t="s">
        <v>3330</v>
      </c>
    </row>
    <row r="939" spans="1:12" x14ac:dyDescent="0.55000000000000004">
      <c r="A939">
        <v>808</v>
      </c>
      <c r="B939" t="s">
        <v>46</v>
      </c>
      <c r="C939">
        <v>17</v>
      </c>
      <c r="D939">
        <v>195</v>
      </c>
      <c r="E939" t="s">
        <v>1030</v>
      </c>
      <c r="F939">
        <v>12.79</v>
      </c>
      <c r="G939" t="s">
        <v>1889</v>
      </c>
      <c r="H939" t="s">
        <v>1891</v>
      </c>
      <c r="I939" t="s">
        <v>214</v>
      </c>
      <c r="J939" t="s">
        <v>150</v>
      </c>
      <c r="K939" t="s">
        <v>2671</v>
      </c>
      <c r="L939" t="s">
        <v>3330</v>
      </c>
    </row>
    <row r="940" spans="1:12" x14ac:dyDescent="0.55000000000000004">
      <c r="A940">
        <v>811</v>
      </c>
      <c r="B940" t="s">
        <v>46</v>
      </c>
      <c r="C940">
        <v>17</v>
      </c>
      <c r="D940">
        <v>195</v>
      </c>
      <c r="E940" t="s">
        <v>1033</v>
      </c>
      <c r="F940">
        <v>14.38</v>
      </c>
      <c r="G940" t="s">
        <v>1889</v>
      </c>
      <c r="H940" t="s">
        <v>1891</v>
      </c>
      <c r="I940" t="s">
        <v>214</v>
      </c>
      <c r="J940" t="s">
        <v>153</v>
      </c>
      <c r="K940" t="s">
        <v>2674</v>
      </c>
      <c r="L940" t="s">
        <v>3330</v>
      </c>
    </row>
    <row r="941" spans="1:12" x14ac:dyDescent="0.55000000000000004">
      <c r="A941">
        <v>813</v>
      </c>
      <c r="B941" t="s">
        <v>46</v>
      </c>
      <c r="C941">
        <v>17</v>
      </c>
      <c r="D941">
        <v>195</v>
      </c>
      <c r="E941" t="s">
        <v>1035</v>
      </c>
      <c r="F941">
        <v>14.5</v>
      </c>
      <c r="G941" t="s">
        <v>1889</v>
      </c>
      <c r="H941" t="s">
        <v>1891</v>
      </c>
      <c r="I941" t="s">
        <v>214</v>
      </c>
      <c r="J941" t="s">
        <v>117</v>
      </c>
      <c r="K941" t="s">
        <v>2676</v>
      </c>
      <c r="L941" t="s">
        <v>3330</v>
      </c>
    </row>
    <row r="942" spans="1:12" x14ac:dyDescent="0.55000000000000004">
      <c r="A942">
        <v>814</v>
      </c>
      <c r="B942" t="s">
        <v>46</v>
      </c>
      <c r="C942">
        <v>17</v>
      </c>
      <c r="D942">
        <v>195</v>
      </c>
      <c r="E942" t="s">
        <v>1036</v>
      </c>
      <c r="F942">
        <v>12.02</v>
      </c>
      <c r="G942" t="s">
        <v>1889</v>
      </c>
      <c r="H942" t="s">
        <v>1891</v>
      </c>
      <c r="I942" t="s">
        <v>214</v>
      </c>
      <c r="J942" t="s">
        <v>155</v>
      </c>
      <c r="K942" t="s">
        <v>2677</v>
      </c>
      <c r="L942" t="s">
        <v>3330</v>
      </c>
    </row>
    <row r="943" spans="1:12" x14ac:dyDescent="0.55000000000000004">
      <c r="A943">
        <v>816</v>
      </c>
      <c r="B943" t="s">
        <v>46</v>
      </c>
      <c r="C943">
        <v>17</v>
      </c>
      <c r="D943">
        <v>195</v>
      </c>
      <c r="E943" t="s">
        <v>1038</v>
      </c>
      <c r="F943">
        <v>12.47</v>
      </c>
      <c r="G943" t="s">
        <v>1889</v>
      </c>
      <c r="H943" t="s">
        <v>1891</v>
      </c>
      <c r="I943" t="s">
        <v>214</v>
      </c>
      <c r="J943" t="s">
        <v>157</v>
      </c>
      <c r="K943" t="s">
        <v>2679</v>
      </c>
      <c r="L943" t="s">
        <v>3330</v>
      </c>
    </row>
    <row r="944" spans="1:12" x14ac:dyDescent="0.55000000000000004">
      <c r="A944">
        <v>818</v>
      </c>
      <c r="B944" t="s">
        <v>46</v>
      </c>
      <c r="C944">
        <v>17</v>
      </c>
      <c r="D944">
        <v>195</v>
      </c>
      <c r="E944" t="s">
        <v>1040</v>
      </c>
      <c r="F944">
        <v>12.68</v>
      </c>
      <c r="G944" t="s">
        <v>1889</v>
      </c>
      <c r="H944" t="s">
        <v>1891</v>
      </c>
      <c r="I944" t="s">
        <v>214</v>
      </c>
      <c r="J944" t="s">
        <v>159</v>
      </c>
      <c r="K944" t="s">
        <v>2681</v>
      </c>
      <c r="L944" t="s">
        <v>3330</v>
      </c>
    </row>
    <row r="945" spans="1:12" x14ac:dyDescent="0.55000000000000004">
      <c r="A945">
        <v>825</v>
      </c>
      <c r="B945" t="s">
        <v>48</v>
      </c>
      <c r="C945">
        <v>1</v>
      </c>
      <c r="D945">
        <v>193</v>
      </c>
      <c r="E945" t="s">
        <v>1047</v>
      </c>
      <c r="F945">
        <v>12.81</v>
      </c>
      <c r="G945" t="s">
        <v>1889</v>
      </c>
      <c r="H945" t="s">
        <v>1891</v>
      </c>
      <c r="I945" t="s">
        <v>214</v>
      </c>
      <c r="J945" t="s">
        <v>161</v>
      </c>
      <c r="K945" t="s">
        <v>2687</v>
      </c>
      <c r="L945" t="s">
        <v>3330</v>
      </c>
    </row>
    <row r="946" spans="1:12" x14ac:dyDescent="0.55000000000000004">
      <c r="A946">
        <v>828</v>
      </c>
      <c r="B946" t="s">
        <v>49</v>
      </c>
      <c r="C946">
        <v>4</v>
      </c>
      <c r="D946">
        <v>174</v>
      </c>
      <c r="E946" t="s">
        <v>1050</v>
      </c>
      <c r="F946">
        <v>11.53</v>
      </c>
      <c r="G946" t="s">
        <v>1889</v>
      </c>
      <c r="H946" t="s">
        <v>1891</v>
      </c>
      <c r="I946" t="s">
        <v>214</v>
      </c>
      <c r="J946" t="s">
        <v>164</v>
      </c>
      <c r="K946" t="s">
        <v>2690</v>
      </c>
      <c r="L946" t="s">
        <v>3330</v>
      </c>
    </row>
    <row r="947" spans="1:12" x14ac:dyDescent="0.55000000000000004">
      <c r="A947">
        <v>830</v>
      </c>
      <c r="B947" t="s">
        <v>50</v>
      </c>
      <c r="C947">
        <v>15</v>
      </c>
      <c r="D947">
        <v>460</v>
      </c>
      <c r="E947" t="s">
        <v>1052</v>
      </c>
      <c r="F947">
        <v>13.28</v>
      </c>
      <c r="G947" t="s">
        <v>1889</v>
      </c>
      <c r="H947" t="s">
        <v>1891</v>
      </c>
      <c r="I947" t="s">
        <v>214</v>
      </c>
      <c r="J947" t="s">
        <v>118</v>
      </c>
      <c r="K947" t="s">
        <v>2692</v>
      </c>
      <c r="L947" t="s">
        <v>3330</v>
      </c>
    </row>
    <row r="948" spans="1:12" x14ac:dyDescent="0.55000000000000004">
      <c r="A948">
        <v>831</v>
      </c>
      <c r="B948" t="s">
        <v>50</v>
      </c>
      <c r="C948">
        <v>15</v>
      </c>
      <c r="D948">
        <v>460</v>
      </c>
      <c r="E948" t="s">
        <v>1053</v>
      </c>
      <c r="F948">
        <v>13.87</v>
      </c>
      <c r="G948" t="s">
        <v>1889</v>
      </c>
      <c r="H948" t="s">
        <v>1891</v>
      </c>
      <c r="I948" t="s">
        <v>214</v>
      </c>
      <c r="J948" t="s">
        <v>166</v>
      </c>
      <c r="K948" t="s">
        <v>2693</v>
      </c>
      <c r="L948" t="s">
        <v>3330</v>
      </c>
    </row>
    <row r="949" spans="1:12" x14ac:dyDescent="0.55000000000000004">
      <c r="A949">
        <v>833</v>
      </c>
      <c r="B949" t="s">
        <v>50</v>
      </c>
      <c r="C949">
        <v>15</v>
      </c>
      <c r="D949">
        <v>460</v>
      </c>
      <c r="E949" t="s">
        <v>1055</v>
      </c>
      <c r="F949">
        <v>14.63</v>
      </c>
      <c r="G949" t="s">
        <v>1889</v>
      </c>
      <c r="H949" t="s">
        <v>1891</v>
      </c>
      <c r="I949" t="s">
        <v>214</v>
      </c>
      <c r="J949" t="s">
        <v>168</v>
      </c>
      <c r="K949" t="s">
        <v>2695</v>
      </c>
      <c r="L949" t="s">
        <v>3330</v>
      </c>
    </row>
    <row r="950" spans="1:12" x14ac:dyDescent="0.55000000000000004">
      <c r="A950">
        <v>835</v>
      </c>
      <c r="B950" t="s">
        <v>50</v>
      </c>
      <c r="C950">
        <v>15</v>
      </c>
      <c r="D950">
        <v>460</v>
      </c>
      <c r="E950" t="s">
        <v>1057</v>
      </c>
      <c r="F950">
        <v>12.79</v>
      </c>
      <c r="G950" t="s">
        <v>1889</v>
      </c>
      <c r="H950" t="s">
        <v>1891</v>
      </c>
      <c r="I950" t="s">
        <v>214</v>
      </c>
      <c r="J950" t="s">
        <v>170</v>
      </c>
      <c r="K950" t="s">
        <v>2697</v>
      </c>
      <c r="L950" t="s">
        <v>3330</v>
      </c>
    </row>
    <row r="951" spans="1:12" x14ac:dyDescent="0.55000000000000004">
      <c r="A951">
        <v>837</v>
      </c>
      <c r="B951" t="s">
        <v>50</v>
      </c>
      <c r="C951">
        <v>15</v>
      </c>
      <c r="D951">
        <v>460</v>
      </c>
      <c r="E951" t="s">
        <v>1059</v>
      </c>
      <c r="F951">
        <v>12.03</v>
      </c>
      <c r="G951" t="s">
        <v>1889</v>
      </c>
      <c r="H951" t="s">
        <v>1891</v>
      </c>
      <c r="I951" t="s">
        <v>214</v>
      </c>
      <c r="J951" t="s">
        <v>172</v>
      </c>
      <c r="K951" t="s">
        <v>2699</v>
      </c>
      <c r="L951" t="s">
        <v>3330</v>
      </c>
    </row>
    <row r="952" spans="1:12" x14ac:dyDescent="0.55000000000000004">
      <c r="A952">
        <v>840</v>
      </c>
      <c r="B952" t="s">
        <v>50</v>
      </c>
      <c r="C952">
        <v>15</v>
      </c>
      <c r="D952">
        <v>460</v>
      </c>
      <c r="E952" t="s">
        <v>1062</v>
      </c>
      <c r="F952">
        <v>10.96</v>
      </c>
      <c r="G952" t="s">
        <v>1889</v>
      </c>
      <c r="H952" t="s">
        <v>1891</v>
      </c>
      <c r="I952" t="s">
        <v>214</v>
      </c>
      <c r="J952" t="s">
        <v>175</v>
      </c>
      <c r="K952" t="s">
        <v>2702</v>
      </c>
      <c r="L952" t="s">
        <v>3330</v>
      </c>
    </row>
    <row r="953" spans="1:12" x14ac:dyDescent="0.55000000000000004">
      <c r="A953">
        <v>845</v>
      </c>
      <c r="B953" t="s">
        <v>51</v>
      </c>
      <c r="C953">
        <v>6</v>
      </c>
      <c r="D953">
        <v>459</v>
      </c>
      <c r="E953" t="s">
        <v>1067</v>
      </c>
      <c r="F953">
        <v>13.38</v>
      </c>
      <c r="G953" t="s">
        <v>1889</v>
      </c>
      <c r="H953" t="s">
        <v>1891</v>
      </c>
      <c r="I953" t="s">
        <v>214</v>
      </c>
      <c r="J953" t="s">
        <v>119</v>
      </c>
      <c r="K953" t="s">
        <v>2707</v>
      </c>
      <c r="L953" t="s">
        <v>3330</v>
      </c>
    </row>
    <row r="954" spans="1:12" x14ac:dyDescent="0.55000000000000004">
      <c r="A954">
        <v>846</v>
      </c>
      <c r="B954" t="s">
        <v>51</v>
      </c>
      <c r="C954">
        <v>6</v>
      </c>
      <c r="D954">
        <v>459</v>
      </c>
      <c r="E954" t="s">
        <v>1068</v>
      </c>
      <c r="F954">
        <v>15.16</v>
      </c>
      <c r="G954" t="s">
        <v>1889</v>
      </c>
      <c r="H954" t="s">
        <v>1891</v>
      </c>
      <c r="I954" t="s">
        <v>214</v>
      </c>
      <c r="J954" t="s">
        <v>177</v>
      </c>
      <c r="K954" t="s">
        <v>2708</v>
      </c>
      <c r="L954" t="s">
        <v>3330</v>
      </c>
    </row>
    <row r="955" spans="1:12" x14ac:dyDescent="0.55000000000000004">
      <c r="A955">
        <v>848</v>
      </c>
      <c r="B955" t="s">
        <v>51</v>
      </c>
      <c r="C955">
        <v>6</v>
      </c>
      <c r="D955">
        <v>459</v>
      </c>
      <c r="E955" t="s">
        <v>1070</v>
      </c>
      <c r="F955">
        <v>12.63</v>
      </c>
      <c r="G955" t="s">
        <v>1889</v>
      </c>
      <c r="H955" t="s">
        <v>1891</v>
      </c>
      <c r="I955" t="s">
        <v>214</v>
      </c>
      <c r="J955" t="s">
        <v>179</v>
      </c>
      <c r="K955" t="s">
        <v>2710</v>
      </c>
      <c r="L955" t="s">
        <v>3330</v>
      </c>
    </row>
    <row r="956" spans="1:12" x14ac:dyDescent="0.55000000000000004">
      <c r="A956">
        <v>850</v>
      </c>
      <c r="B956" t="s">
        <v>51</v>
      </c>
      <c r="C956">
        <v>6</v>
      </c>
      <c r="D956">
        <v>459</v>
      </c>
      <c r="E956" t="s">
        <v>1072</v>
      </c>
      <c r="F956">
        <v>13.89</v>
      </c>
      <c r="G956" t="s">
        <v>1889</v>
      </c>
      <c r="H956" t="s">
        <v>1891</v>
      </c>
      <c r="I956" t="s">
        <v>214</v>
      </c>
      <c r="J956" t="s">
        <v>181</v>
      </c>
      <c r="K956" t="s">
        <v>2712</v>
      </c>
      <c r="L956" t="s">
        <v>3330</v>
      </c>
    </row>
    <row r="957" spans="1:12" x14ac:dyDescent="0.55000000000000004">
      <c r="A957">
        <v>852</v>
      </c>
      <c r="B957" t="s">
        <v>52</v>
      </c>
      <c r="C957">
        <v>17</v>
      </c>
      <c r="D957">
        <v>461</v>
      </c>
      <c r="E957" t="s">
        <v>1074</v>
      </c>
      <c r="F957">
        <v>13.5</v>
      </c>
      <c r="G957" t="s">
        <v>1889</v>
      </c>
      <c r="H957" t="s">
        <v>1891</v>
      </c>
      <c r="I957" t="s">
        <v>214</v>
      </c>
      <c r="J957" t="s">
        <v>183</v>
      </c>
      <c r="K957" t="s">
        <v>2714</v>
      </c>
      <c r="L957" t="s">
        <v>3330</v>
      </c>
    </row>
    <row r="958" spans="1:12" x14ac:dyDescent="0.55000000000000004">
      <c r="A958">
        <v>855</v>
      </c>
      <c r="B958" t="s">
        <v>52</v>
      </c>
      <c r="C958">
        <v>17</v>
      </c>
      <c r="D958">
        <v>461</v>
      </c>
      <c r="E958" t="s">
        <v>1077</v>
      </c>
      <c r="F958">
        <v>12.9</v>
      </c>
      <c r="G958" t="s">
        <v>1889</v>
      </c>
      <c r="H958" t="s">
        <v>1891</v>
      </c>
      <c r="I958" t="s">
        <v>214</v>
      </c>
      <c r="J958" t="s">
        <v>186</v>
      </c>
      <c r="K958" t="s">
        <v>2717</v>
      </c>
      <c r="L958" t="s">
        <v>3330</v>
      </c>
    </row>
    <row r="959" spans="1:12" x14ac:dyDescent="0.55000000000000004">
      <c r="A959">
        <v>857</v>
      </c>
      <c r="B959" t="s">
        <v>52</v>
      </c>
      <c r="C959">
        <v>17</v>
      </c>
      <c r="D959">
        <v>461</v>
      </c>
      <c r="E959" t="s">
        <v>1079</v>
      </c>
      <c r="F959">
        <v>10.78</v>
      </c>
      <c r="G959" t="s">
        <v>1889</v>
      </c>
      <c r="H959" t="s">
        <v>1891</v>
      </c>
      <c r="I959" t="s">
        <v>214</v>
      </c>
      <c r="J959" t="s">
        <v>120</v>
      </c>
      <c r="K959" t="s">
        <v>2719</v>
      </c>
      <c r="L959" t="s">
        <v>3330</v>
      </c>
    </row>
    <row r="960" spans="1:12" x14ac:dyDescent="0.55000000000000004">
      <c r="A960">
        <v>858</v>
      </c>
      <c r="B960" t="s">
        <v>52</v>
      </c>
      <c r="C960">
        <v>17</v>
      </c>
      <c r="D960">
        <v>461</v>
      </c>
      <c r="E960" t="s">
        <v>1080</v>
      </c>
      <c r="F960">
        <v>14.58</v>
      </c>
      <c r="G960" t="s">
        <v>1889</v>
      </c>
      <c r="H960" t="s">
        <v>1891</v>
      </c>
      <c r="I960" t="s">
        <v>214</v>
      </c>
      <c r="J960" t="s">
        <v>188</v>
      </c>
      <c r="K960" t="s">
        <v>2720</v>
      </c>
      <c r="L960" t="s">
        <v>3330</v>
      </c>
    </row>
    <row r="961" spans="1:12" x14ac:dyDescent="0.55000000000000004">
      <c r="A961">
        <v>860</v>
      </c>
      <c r="B961" t="s">
        <v>52</v>
      </c>
      <c r="C961">
        <v>17</v>
      </c>
      <c r="D961">
        <v>461</v>
      </c>
      <c r="E961" t="s">
        <v>1082</v>
      </c>
      <c r="F961">
        <v>13.41</v>
      </c>
      <c r="G961" t="s">
        <v>1889</v>
      </c>
      <c r="H961" t="s">
        <v>1891</v>
      </c>
      <c r="I961" t="s">
        <v>214</v>
      </c>
      <c r="J961" t="s">
        <v>190</v>
      </c>
      <c r="K961" t="s">
        <v>2722</v>
      </c>
      <c r="L961" t="s">
        <v>3330</v>
      </c>
    </row>
    <row r="962" spans="1:12" x14ac:dyDescent="0.55000000000000004">
      <c r="A962">
        <v>862</v>
      </c>
      <c r="B962" t="s">
        <v>52</v>
      </c>
      <c r="C962">
        <v>17</v>
      </c>
      <c r="D962">
        <v>461</v>
      </c>
      <c r="E962" t="s">
        <v>1084</v>
      </c>
      <c r="F962">
        <v>15.57</v>
      </c>
      <c r="G962" t="s">
        <v>1889</v>
      </c>
      <c r="H962" t="s">
        <v>1891</v>
      </c>
      <c r="I962" t="s">
        <v>214</v>
      </c>
      <c r="J962" t="s">
        <v>192</v>
      </c>
      <c r="K962" t="s">
        <v>2724</v>
      </c>
      <c r="L962" t="s">
        <v>3330</v>
      </c>
    </row>
    <row r="963" spans="1:12" x14ac:dyDescent="0.55000000000000004">
      <c r="A963">
        <v>869</v>
      </c>
      <c r="B963" t="s">
        <v>53</v>
      </c>
      <c r="C963">
        <v>8</v>
      </c>
      <c r="D963">
        <v>457</v>
      </c>
      <c r="E963" t="s">
        <v>1091</v>
      </c>
      <c r="F963">
        <v>12.2</v>
      </c>
      <c r="G963" t="s">
        <v>1889</v>
      </c>
      <c r="H963" t="s">
        <v>1891</v>
      </c>
      <c r="I963" t="s">
        <v>214</v>
      </c>
      <c r="J963" t="s">
        <v>194</v>
      </c>
      <c r="K963" t="s">
        <v>2731</v>
      </c>
      <c r="L963" t="s">
        <v>3330</v>
      </c>
    </row>
    <row r="964" spans="1:12" x14ac:dyDescent="0.55000000000000004">
      <c r="A964">
        <v>872</v>
      </c>
      <c r="B964" t="s">
        <v>53</v>
      </c>
      <c r="C964">
        <v>8</v>
      </c>
      <c r="D964">
        <v>457</v>
      </c>
      <c r="E964" t="s">
        <v>1094</v>
      </c>
      <c r="F964">
        <v>11.95</v>
      </c>
      <c r="G964" t="s">
        <v>1889</v>
      </c>
      <c r="H964" t="s">
        <v>1891</v>
      </c>
      <c r="I964" t="s">
        <v>214</v>
      </c>
      <c r="J964" t="s">
        <v>197</v>
      </c>
      <c r="K964" t="s">
        <v>2734</v>
      </c>
      <c r="L964" t="s">
        <v>3330</v>
      </c>
    </row>
    <row r="965" spans="1:12" x14ac:dyDescent="0.55000000000000004">
      <c r="A965">
        <v>874</v>
      </c>
      <c r="B965" t="s">
        <v>53</v>
      </c>
      <c r="C965">
        <v>8</v>
      </c>
      <c r="D965">
        <v>457</v>
      </c>
      <c r="E965" t="s">
        <v>1096</v>
      </c>
      <c r="F965">
        <v>12.72</v>
      </c>
      <c r="G965" t="s">
        <v>1889</v>
      </c>
      <c r="H965" t="s">
        <v>1891</v>
      </c>
      <c r="I965" t="s">
        <v>214</v>
      </c>
      <c r="J965" t="s">
        <v>121</v>
      </c>
      <c r="K965" t="s">
        <v>2736</v>
      </c>
      <c r="L965" t="s">
        <v>3330</v>
      </c>
    </row>
    <row r="966" spans="1:12" x14ac:dyDescent="0.55000000000000004">
      <c r="A966">
        <v>875</v>
      </c>
      <c r="B966" t="s">
        <v>53</v>
      </c>
      <c r="C966">
        <v>8</v>
      </c>
      <c r="D966">
        <v>457</v>
      </c>
      <c r="E966" t="s">
        <v>1097</v>
      </c>
      <c r="F966">
        <v>11.41</v>
      </c>
      <c r="G966" t="s">
        <v>1889</v>
      </c>
      <c r="H966" t="s">
        <v>1891</v>
      </c>
      <c r="I966" t="s">
        <v>214</v>
      </c>
      <c r="J966" t="s">
        <v>199</v>
      </c>
      <c r="K966" t="s">
        <v>2737</v>
      </c>
      <c r="L966" t="s">
        <v>3330</v>
      </c>
    </row>
    <row r="967" spans="1:12" x14ac:dyDescent="0.55000000000000004">
      <c r="A967">
        <v>877</v>
      </c>
      <c r="B967" t="s">
        <v>54</v>
      </c>
      <c r="C967">
        <v>25</v>
      </c>
      <c r="D967">
        <v>456</v>
      </c>
      <c r="E967" t="s">
        <v>1099</v>
      </c>
      <c r="F967">
        <v>12.21</v>
      </c>
      <c r="G967" t="s">
        <v>1889</v>
      </c>
      <c r="H967" t="s">
        <v>1891</v>
      </c>
      <c r="I967" t="s">
        <v>214</v>
      </c>
      <c r="J967" t="s">
        <v>201</v>
      </c>
      <c r="K967" t="s">
        <v>2739</v>
      </c>
      <c r="L967" t="s">
        <v>3330</v>
      </c>
    </row>
    <row r="968" spans="1:12" x14ac:dyDescent="0.55000000000000004">
      <c r="A968">
        <v>879</v>
      </c>
      <c r="B968" t="s">
        <v>54</v>
      </c>
      <c r="C968">
        <v>25</v>
      </c>
      <c r="D968">
        <v>456</v>
      </c>
      <c r="E968" t="s">
        <v>1101</v>
      </c>
      <c r="F968">
        <v>14.18</v>
      </c>
      <c r="G968" t="s">
        <v>1889</v>
      </c>
      <c r="H968" t="s">
        <v>1891</v>
      </c>
      <c r="I968" t="s">
        <v>214</v>
      </c>
      <c r="J968" t="s">
        <v>203</v>
      </c>
      <c r="K968" t="s">
        <v>2741</v>
      </c>
      <c r="L968" t="s">
        <v>3330</v>
      </c>
    </row>
    <row r="969" spans="1:12" x14ac:dyDescent="0.55000000000000004">
      <c r="A969">
        <v>881</v>
      </c>
      <c r="B969" t="s">
        <v>54</v>
      </c>
      <c r="C969">
        <v>25</v>
      </c>
      <c r="D969">
        <v>456</v>
      </c>
      <c r="E969" t="s">
        <v>1103</v>
      </c>
      <c r="F969">
        <v>13.23</v>
      </c>
      <c r="G969" t="s">
        <v>1889</v>
      </c>
      <c r="H969" t="s">
        <v>1891</v>
      </c>
      <c r="I969" t="s">
        <v>214</v>
      </c>
      <c r="J969" t="s">
        <v>205</v>
      </c>
      <c r="K969" t="s">
        <v>2743</v>
      </c>
      <c r="L969" t="s">
        <v>3330</v>
      </c>
    </row>
    <row r="970" spans="1:12" x14ac:dyDescent="0.55000000000000004">
      <c r="A970">
        <v>884</v>
      </c>
      <c r="B970" t="s">
        <v>54</v>
      </c>
      <c r="C970">
        <v>25</v>
      </c>
      <c r="D970">
        <v>456</v>
      </c>
      <c r="E970" t="s">
        <v>1106</v>
      </c>
      <c r="F970">
        <v>13.56</v>
      </c>
      <c r="G970" t="s">
        <v>1889</v>
      </c>
      <c r="H970" t="s">
        <v>1891</v>
      </c>
      <c r="I970" t="s">
        <v>214</v>
      </c>
      <c r="J970" t="s">
        <v>208</v>
      </c>
      <c r="K970" t="s">
        <v>2746</v>
      </c>
      <c r="L970" t="s">
        <v>3330</v>
      </c>
    </row>
    <row r="971" spans="1:12" x14ac:dyDescent="0.55000000000000004">
      <c r="A971">
        <v>1084</v>
      </c>
      <c r="B971" t="s">
        <v>66</v>
      </c>
      <c r="C971">
        <v>1</v>
      </c>
      <c r="D971">
        <v>406</v>
      </c>
      <c r="E971" t="s">
        <v>1306</v>
      </c>
      <c r="F971">
        <v>11.12</v>
      </c>
      <c r="G971" t="s">
        <v>1889</v>
      </c>
      <c r="H971" t="s">
        <v>1891</v>
      </c>
      <c r="I971" t="s">
        <v>216</v>
      </c>
      <c r="J971" t="s">
        <v>132</v>
      </c>
      <c r="K971" t="s">
        <v>2900</v>
      </c>
      <c r="L971" t="s">
        <v>3330</v>
      </c>
    </row>
    <row r="972" spans="1:12" x14ac:dyDescent="0.55000000000000004">
      <c r="A972">
        <v>1086</v>
      </c>
      <c r="B972" t="s">
        <v>67</v>
      </c>
      <c r="C972">
        <v>4</v>
      </c>
      <c r="D972">
        <v>405</v>
      </c>
      <c r="E972" t="s">
        <v>1308</v>
      </c>
      <c r="F972">
        <v>9.1300000000000008</v>
      </c>
      <c r="I972" t="s">
        <v>216</v>
      </c>
      <c r="J972" t="s">
        <v>133</v>
      </c>
      <c r="K972" t="s">
        <v>2902</v>
      </c>
      <c r="L972" t="s">
        <v>3330</v>
      </c>
    </row>
    <row r="973" spans="1:12" x14ac:dyDescent="0.55000000000000004">
      <c r="A973">
        <v>1095</v>
      </c>
      <c r="B973" t="s">
        <v>68</v>
      </c>
      <c r="C973">
        <v>25</v>
      </c>
      <c r="D973">
        <v>401</v>
      </c>
      <c r="E973" t="s">
        <v>1317</v>
      </c>
      <c r="F973">
        <v>9.9600000000000009</v>
      </c>
      <c r="G973" t="s">
        <v>1889</v>
      </c>
      <c r="H973" t="s">
        <v>1891</v>
      </c>
      <c r="I973" t="s">
        <v>216</v>
      </c>
      <c r="J973" t="s">
        <v>142</v>
      </c>
      <c r="K973" t="s">
        <v>2904</v>
      </c>
      <c r="L973" t="s">
        <v>3330</v>
      </c>
    </row>
    <row r="974" spans="1:12" x14ac:dyDescent="0.55000000000000004">
      <c r="A974">
        <v>1260</v>
      </c>
      <c r="B974" t="s">
        <v>76</v>
      </c>
      <c r="C974">
        <v>25</v>
      </c>
      <c r="D974">
        <v>2133</v>
      </c>
      <c r="E974" t="s">
        <v>1482</v>
      </c>
      <c r="F974">
        <v>14.75</v>
      </c>
      <c r="G974" t="s">
        <v>1889</v>
      </c>
      <c r="H974" t="s">
        <v>1891</v>
      </c>
      <c r="I974" t="s">
        <v>217</v>
      </c>
      <c r="J974" t="s">
        <v>115</v>
      </c>
      <c r="K974" t="s">
        <v>2990</v>
      </c>
      <c r="L974" t="s">
        <v>3330</v>
      </c>
    </row>
    <row r="975" spans="1:12" x14ac:dyDescent="0.55000000000000004">
      <c r="A975">
        <v>1430</v>
      </c>
      <c r="B975" t="s">
        <v>86</v>
      </c>
      <c r="C975">
        <v>2</v>
      </c>
      <c r="D975">
        <v>2122</v>
      </c>
      <c r="E975" t="s">
        <v>1652</v>
      </c>
      <c r="F975">
        <v>15.4</v>
      </c>
      <c r="G975" t="s">
        <v>2113</v>
      </c>
      <c r="H975" t="s">
        <v>110</v>
      </c>
      <c r="I975" t="s">
        <v>218</v>
      </c>
      <c r="J975" t="s">
        <v>130</v>
      </c>
      <c r="L975" t="s">
        <v>3330</v>
      </c>
    </row>
    <row r="976" spans="1:12" x14ac:dyDescent="0.55000000000000004">
      <c r="A976">
        <v>1577</v>
      </c>
      <c r="B976" t="s">
        <v>101</v>
      </c>
      <c r="C976">
        <v>4</v>
      </c>
      <c r="D976">
        <v>2145</v>
      </c>
      <c r="E976" t="s">
        <v>1799</v>
      </c>
      <c r="F976">
        <v>15.44</v>
      </c>
      <c r="G976" t="s">
        <v>1889</v>
      </c>
      <c r="H976" t="s">
        <v>1891</v>
      </c>
      <c r="I976" t="s">
        <v>219</v>
      </c>
      <c r="J976" t="s">
        <v>128</v>
      </c>
      <c r="K976" t="s">
        <v>3259</v>
      </c>
      <c r="L976" t="s">
        <v>3330</v>
      </c>
    </row>
    <row r="977" spans="1:11" x14ac:dyDescent="0.55000000000000004">
      <c r="A977">
        <v>13</v>
      </c>
      <c r="B977" t="s">
        <v>5</v>
      </c>
      <c r="C977">
        <v>25</v>
      </c>
      <c r="D977">
        <v>71</v>
      </c>
      <c r="E977" t="s">
        <v>235</v>
      </c>
      <c r="F977">
        <v>13.18</v>
      </c>
      <c r="G977" t="s">
        <v>1889</v>
      </c>
      <c r="H977" t="s">
        <v>1891</v>
      </c>
      <c r="K977" t="s">
        <v>1902</v>
      </c>
    </row>
    <row r="978" spans="1:11" x14ac:dyDescent="0.55000000000000004">
      <c r="A978">
        <v>14</v>
      </c>
      <c r="B978" t="s">
        <v>5</v>
      </c>
      <c r="C978">
        <v>25</v>
      </c>
      <c r="D978">
        <v>71</v>
      </c>
      <c r="E978" t="s">
        <v>236</v>
      </c>
      <c r="F978">
        <v>11.28</v>
      </c>
      <c r="G978" t="s">
        <v>1889</v>
      </c>
      <c r="H978" t="s">
        <v>1891</v>
      </c>
      <c r="K978" t="s">
        <v>1903</v>
      </c>
    </row>
    <row r="979" spans="1:11" x14ac:dyDescent="0.55000000000000004">
      <c r="A979">
        <v>15</v>
      </c>
      <c r="B979" t="s">
        <v>5</v>
      </c>
      <c r="C979">
        <v>25</v>
      </c>
      <c r="D979">
        <v>71</v>
      </c>
      <c r="E979" t="s">
        <v>237</v>
      </c>
      <c r="F979">
        <v>11.6</v>
      </c>
      <c r="G979" t="s">
        <v>1889</v>
      </c>
      <c r="H979" t="s">
        <v>1891</v>
      </c>
      <c r="K979" t="s">
        <v>1904</v>
      </c>
    </row>
    <row r="980" spans="1:11" x14ac:dyDescent="0.55000000000000004">
      <c r="A980">
        <v>16</v>
      </c>
      <c r="B980" t="s">
        <v>5</v>
      </c>
      <c r="C980">
        <v>25</v>
      </c>
      <c r="D980">
        <v>71</v>
      </c>
      <c r="E980" t="s">
        <v>238</v>
      </c>
      <c r="F980">
        <v>9.5</v>
      </c>
      <c r="G980" t="s">
        <v>1889</v>
      </c>
      <c r="H980" t="s">
        <v>1891</v>
      </c>
      <c r="K980" t="s">
        <v>1905</v>
      </c>
    </row>
    <row r="981" spans="1:11" x14ac:dyDescent="0.55000000000000004">
      <c r="A981">
        <v>17</v>
      </c>
      <c r="B981" t="s">
        <v>5</v>
      </c>
      <c r="C981">
        <v>25</v>
      </c>
      <c r="D981">
        <v>71</v>
      </c>
      <c r="E981" t="s">
        <v>239</v>
      </c>
      <c r="F981">
        <v>11.25</v>
      </c>
      <c r="G981" t="s">
        <v>1889</v>
      </c>
      <c r="H981" t="s">
        <v>1891</v>
      </c>
      <c r="K981" t="s">
        <v>1906</v>
      </c>
    </row>
    <row r="982" spans="1:11" x14ac:dyDescent="0.55000000000000004">
      <c r="A982">
        <v>18</v>
      </c>
      <c r="B982" t="s">
        <v>5</v>
      </c>
      <c r="C982">
        <v>25</v>
      </c>
      <c r="D982">
        <v>71</v>
      </c>
      <c r="E982" t="s">
        <v>240</v>
      </c>
      <c r="F982">
        <v>12.48</v>
      </c>
      <c r="G982" t="s">
        <v>1889</v>
      </c>
      <c r="H982" t="s">
        <v>1891</v>
      </c>
      <c r="K982" t="s">
        <v>1907</v>
      </c>
    </row>
    <row r="983" spans="1:11" x14ac:dyDescent="0.55000000000000004">
      <c r="A983">
        <v>19</v>
      </c>
      <c r="B983" t="s">
        <v>5</v>
      </c>
      <c r="C983">
        <v>25</v>
      </c>
      <c r="D983">
        <v>71</v>
      </c>
      <c r="E983" t="s">
        <v>241</v>
      </c>
      <c r="F983">
        <v>12.01</v>
      </c>
      <c r="G983" t="s">
        <v>1889</v>
      </c>
      <c r="H983" t="s">
        <v>1891</v>
      </c>
      <c r="K983" t="s">
        <v>1908</v>
      </c>
    </row>
    <row r="984" spans="1:11" x14ac:dyDescent="0.55000000000000004">
      <c r="A984">
        <v>20</v>
      </c>
      <c r="B984" t="s">
        <v>5</v>
      </c>
      <c r="C984">
        <v>25</v>
      </c>
      <c r="D984">
        <v>71</v>
      </c>
      <c r="E984" t="s">
        <v>242</v>
      </c>
      <c r="F984">
        <v>10.27</v>
      </c>
      <c r="G984" t="s">
        <v>1889</v>
      </c>
      <c r="H984" t="s">
        <v>1891</v>
      </c>
      <c r="K984" t="s">
        <v>1909</v>
      </c>
    </row>
    <row r="985" spans="1:11" x14ac:dyDescent="0.55000000000000004">
      <c r="A985">
        <v>21</v>
      </c>
      <c r="B985" t="s">
        <v>5</v>
      </c>
      <c r="C985">
        <v>25</v>
      </c>
      <c r="D985">
        <v>71</v>
      </c>
      <c r="E985" t="s">
        <v>243</v>
      </c>
      <c r="F985">
        <v>12.26</v>
      </c>
      <c r="G985" t="s">
        <v>1889</v>
      </c>
      <c r="H985" t="s">
        <v>1891</v>
      </c>
      <c r="K985" t="s">
        <v>1910</v>
      </c>
    </row>
    <row r="986" spans="1:11" x14ac:dyDescent="0.55000000000000004">
      <c r="A986">
        <v>22</v>
      </c>
      <c r="B986" t="s">
        <v>5</v>
      </c>
      <c r="C986">
        <v>25</v>
      </c>
      <c r="D986">
        <v>71</v>
      </c>
      <c r="E986" t="s">
        <v>244</v>
      </c>
      <c r="F986">
        <v>12.32</v>
      </c>
      <c r="G986" t="s">
        <v>1889</v>
      </c>
      <c r="H986" t="s">
        <v>1891</v>
      </c>
      <c r="K986" t="s">
        <v>1911</v>
      </c>
    </row>
    <row r="987" spans="1:11" x14ac:dyDescent="0.55000000000000004">
      <c r="A987">
        <v>23</v>
      </c>
      <c r="B987" t="s">
        <v>5</v>
      </c>
      <c r="C987">
        <v>25</v>
      </c>
      <c r="D987">
        <v>71</v>
      </c>
      <c r="E987" t="s">
        <v>245</v>
      </c>
      <c r="F987">
        <v>10.98</v>
      </c>
      <c r="G987" t="s">
        <v>1889</v>
      </c>
      <c r="H987" t="s">
        <v>1891</v>
      </c>
      <c r="K987" t="s">
        <v>1912</v>
      </c>
    </row>
    <row r="988" spans="1:11" x14ac:dyDescent="0.55000000000000004">
      <c r="A988">
        <v>24</v>
      </c>
      <c r="B988" t="s">
        <v>5</v>
      </c>
      <c r="C988">
        <v>25</v>
      </c>
      <c r="D988">
        <v>71</v>
      </c>
      <c r="E988" t="s">
        <v>246</v>
      </c>
      <c r="F988">
        <v>10.92</v>
      </c>
      <c r="G988" t="s">
        <v>1889</v>
      </c>
      <c r="H988" t="s">
        <v>1891</v>
      </c>
      <c r="K988" t="s">
        <v>1913</v>
      </c>
    </row>
    <row r="989" spans="1:11" x14ac:dyDescent="0.55000000000000004">
      <c r="A989">
        <v>25</v>
      </c>
      <c r="B989" t="s">
        <v>5</v>
      </c>
      <c r="C989">
        <v>25</v>
      </c>
      <c r="D989">
        <v>71</v>
      </c>
      <c r="E989" t="s">
        <v>247</v>
      </c>
      <c r="F989">
        <v>11.49</v>
      </c>
      <c r="G989" t="s">
        <v>1889</v>
      </c>
      <c r="H989" t="s">
        <v>1891</v>
      </c>
      <c r="K989" t="s">
        <v>1914</v>
      </c>
    </row>
    <row r="990" spans="1:11" x14ac:dyDescent="0.55000000000000004">
      <c r="A990">
        <v>38</v>
      </c>
      <c r="B990" t="s">
        <v>7</v>
      </c>
      <c r="C990">
        <v>25</v>
      </c>
      <c r="D990">
        <v>75</v>
      </c>
      <c r="E990" t="s">
        <v>260</v>
      </c>
      <c r="F990">
        <v>10.57</v>
      </c>
      <c r="G990" t="s">
        <v>1889</v>
      </c>
      <c r="H990" t="s">
        <v>1891</v>
      </c>
      <c r="K990" t="s">
        <v>1929</v>
      </c>
    </row>
    <row r="991" spans="1:11" x14ac:dyDescent="0.55000000000000004">
      <c r="A991">
        <v>39</v>
      </c>
      <c r="B991" t="s">
        <v>7</v>
      </c>
      <c r="C991">
        <v>25</v>
      </c>
      <c r="D991">
        <v>75</v>
      </c>
      <c r="E991" t="s">
        <v>261</v>
      </c>
      <c r="F991">
        <v>10.81</v>
      </c>
      <c r="G991" t="s">
        <v>1889</v>
      </c>
      <c r="H991" t="s">
        <v>1891</v>
      </c>
      <c r="K991" t="s">
        <v>1930</v>
      </c>
    </row>
    <row r="992" spans="1:11" x14ac:dyDescent="0.55000000000000004">
      <c r="A992">
        <v>40</v>
      </c>
      <c r="B992" t="s">
        <v>7</v>
      </c>
      <c r="C992">
        <v>25</v>
      </c>
      <c r="D992">
        <v>75</v>
      </c>
      <c r="E992" t="s">
        <v>262</v>
      </c>
      <c r="F992">
        <v>10.1</v>
      </c>
      <c r="G992" t="s">
        <v>1889</v>
      </c>
      <c r="H992" t="s">
        <v>1891</v>
      </c>
      <c r="K992" t="s">
        <v>1931</v>
      </c>
    </row>
    <row r="993" spans="1:11" x14ac:dyDescent="0.55000000000000004">
      <c r="A993">
        <v>41</v>
      </c>
      <c r="B993" t="s">
        <v>7</v>
      </c>
      <c r="C993">
        <v>25</v>
      </c>
      <c r="D993">
        <v>75</v>
      </c>
      <c r="E993" t="s">
        <v>263</v>
      </c>
      <c r="F993">
        <v>9.86</v>
      </c>
      <c r="G993" t="s">
        <v>1889</v>
      </c>
      <c r="H993" t="s">
        <v>1891</v>
      </c>
      <c r="K993" t="s">
        <v>1932</v>
      </c>
    </row>
    <row r="994" spans="1:11" x14ac:dyDescent="0.55000000000000004">
      <c r="A994">
        <v>42</v>
      </c>
      <c r="B994" t="s">
        <v>7</v>
      </c>
      <c r="C994">
        <v>25</v>
      </c>
      <c r="D994">
        <v>75</v>
      </c>
      <c r="E994" t="s">
        <v>264</v>
      </c>
      <c r="F994">
        <v>10.25</v>
      </c>
      <c r="G994" t="s">
        <v>1889</v>
      </c>
      <c r="H994" t="s">
        <v>1891</v>
      </c>
      <c r="K994" t="s">
        <v>1933</v>
      </c>
    </row>
    <row r="995" spans="1:11" x14ac:dyDescent="0.55000000000000004">
      <c r="A995">
        <v>43</v>
      </c>
      <c r="B995" t="s">
        <v>7</v>
      </c>
      <c r="C995">
        <v>25</v>
      </c>
      <c r="D995">
        <v>75</v>
      </c>
      <c r="E995" t="s">
        <v>265</v>
      </c>
      <c r="F995">
        <v>10.76</v>
      </c>
      <c r="G995" t="s">
        <v>1889</v>
      </c>
      <c r="H995" t="s">
        <v>1891</v>
      </c>
      <c r="K995" t="s">
        <v>1934</v>
      </c>
    </row>
    <row r="996" spans="1:11" x14ac:dyDescent="0.55000000000000004">
      <c r="A996">
        <v>44</v>
      </c>
      <c r="B996" t="s">
        <v>7</v>
      </c>
      <c r="C996">
        <v>25</v>
      </c>
      <c r="D996">
        <v>75</v>
      </c>
      <c r="E996" t="s">
        <v>266</v>
      </c>
      <c r="F996">
        <v>9.34</v>
      </c>
      <c r="G996" t="s">
        <v>1889</v>
      </c>
      <c r="H996" t="s">
        <v>1891</v>
      </c>
      <c r="K996" t="s">
        <v>1935</v>
      </c>
    </row>
    <row r="997" spans="1:11" x14ac:dyDescent="0.55000000000000004">
      <c r="A997">
        <v>45</v>
      </c>
      <c r="B997" t="s">
        <v>7</v>
      </c>
      <c r="C997">
        <v>25</v>
      </c>
      <c r="D997">
        <v>75</v>
      </c>
      <c r="E997" t="s">
        <v>267</v>
      </c>
      <c r="F997">
        <v>8.56</v>
      </c>
      <c r="G997" t="s">
        <v>1889</v>
      </c>
      <c r="H997" t="s">
        <v>1891</v>
      </c>
      <c r="K997" t="s">
        <v>1936</v>
      </c>
    </row>
    <row r="998" spans="1:11" x14ac:dyDescent="0.55000000000000004">
      <c r="A998">
        <v>46</v>
      </c>
      <c r="B998" t="s">
        <v>7</v>
      </c>
      <c r="C998">
        <v>25</v>
      </c>
      <c r="D998">
        <v>75</v>
      </c>
      <c r="E998" t="s">
        <v>268</v>
      </c>
      <c r="F998">
        <v>8.75</v>
      </c>
      <c r="G998" t="s">
        <v>1889</v>
      </c>
      <c r="H998" t="s">
        <v>1891</v>
      </c>
      <c r="K998" t="s">
        <v>1937</v>
      </c>
    </row>
    <row r="999" spans="1:11" x14ac:dyDescent="0.55000000000000004">
      <c r="A999">
        <v>47</v>
      </c>
      <c r="B999" t="s">
        <v>7</v>
      </c>
      <c r="C999">
        <v>25</v>
      </c>
      <c r="D999">
        <v>75</v>
      </c>
      <c r="E999" t="s">
        <v>269</v>
      </c>
      <c r="F999">
        <v>10.96</v>
      </c>
      <c r="G999" t="s">
        <v>1889</v>
      </c>
      <c r="H999" t="s">
        <v>1891</v>
      </c>
      <c r="K999" t="s">
        <v>1938</v>
      </c>
    </row>
    <row r="1000" spans="1:11" x14ac:dyDescent="0.55000000000000004">
      <c r="A1000">
        <v>48</v>
      </c>
      <c r="B1000" t="s">
        <v>7</v>
      </c>
      <c r="C1000">
        <v>25</v>
      </c>
      <c r="D1000">
        <v>75</v>
      </c>
      <c r="E1000" t="s">
        <v>270</v>
      </c>
      <c r="F1000">
        <v>10.86</v>
      </c>
      <c r="G1000" t="s">
        <v>1889</v>
      </c>
      <c r="H1000" t="s">
        <v>1891</v>
      </c>
      <c r="K1000" t="s">
        <v>1939</v>
      </c>
    </row>
    <row r="1001" spans="1:11" x14ac:dyDescent="0.55000000000000004">
      <c r="A1001">
        <v>49</v>
      </c>
      <c r="B1001" t="s">
        <v>7</v>
      </c>
      <c r="C1001">
        <v>25</v>
      </c>
      <c r="D1001">
        <v>75</v>
      </c>
      <c r="E1001" t="s">
        <v>271</v>
      </c>
      <c r="F1001">
        <v>9.74</v>
      </c>
      <c r="G1001" t="s">
        <v>1889</v>
      </c>
      <c r="H1001" t="s">
        <v>1891</v>
      </c>
      <c r="K1001" t="s">
        <v>1940</v>
      </c>
    </row>
    <row r="1002" spans="1:11" x14ac:dyDescent="0.55000000000000004">
      <c r="A1002">
        <v>50</v>
      </c>
      <c r="B1002" t="s">
        <v>7</v>
      </c>
      <c r="C1002">
        <v>25</v>
      </c>
      <c r="D1002">
        <v>75</v>
      </c>
      <c r="E1002" t="s">
        <v>272</v>
      </c>
      <c r="G1002" t="s">
        <v>1941</v>
      </c>
      <c r="H1002" t="s">
        <v>1941</v>
      </c>
    </row>
    <row r="1003" spans="1:11" x14ac:dyDescent="0.55000000000000004">
      <c r="A1003">
        <v>63</v>
      </c>
      <c r="B1003" t="s">
        <v>8</v>
      </c>
      <c r="C1003">
        <v>25</v>
      </c>
      <c r="D1003">
        <v>87</v>
      </c>
      <c r="E1003" t="s">
        <v>285</v>
      </c>
      <c r="F1003">
        <v>9.8000000000000007</v>
      </c>
      <c r="G1003" t="s">
        <v>1889</v>
      </c>
      <c r="H1003" t="s">
        <v>1891</v>
      </c>
      <c r="K1003" t="s">
        <v>1954</v>
      </c>
    </row>
    <row r="1004" spans="1:11" x14ac:dyDescent="0.55000000000000004">
      <c r="A1004">
        <v>64</v>
      </c>
      <c r="B1004" t="s">
        <v>8</v>
      </c>
      <c r="C1004">
        <v>25</v>
      </c>
      <c r="D1004">
        <v>87</v>
      </c>
      <c r="E1004" t="s">
        <v>286</v>
      </c>
      <c r="F1004">
        <v>11.55</v>
      </c>
      <c r="G1004" t="s">
        <v>1889</v>
      </c>
      <c r="H1004" t="s">
        <v>1891</v>
      </c>
      <c r="K1004" t="s">
        <v>1955</v>
      </c>
    </row>
    <row r="1005" spans="1:11" x14ac:dyDescent="0.55000000000000004">
      <c r="A1005">
        <v>65</v>
      </c>
      <c r="B1005" t="s">
        <v>8</v>
      </c>
      <c r="C1005">
        <v>25</v>
      </c>
      <c r="D1005">
        <v>87</v>
      </c>
      <c r="E1005" t="s">
        <v>287</v>
      </c>
      <c r="F1005">
        <v>9.8699999999999992</v>
      </c>
      <c r="G1005" t="s">
        <v>1889</v>
      </c>
      <c r="H1005" t="s">
        <v>1891</v>
      </c>
      <c r="K1005" t="s">
        <v>1956</v>
      </c>
    </row>
    <row r="1006" spans="1:11" x14ac:dyDescent="0.55000000000000004">
      <c r="A1006">
        <v>66</v>
      </c>
      <c r="B1006" t="s">
        <v>8</v>
      </c>
      <c r="C1006">
        <v>25</v>
      </c>
      <c r="D1006">
        <v>87</v>
      </c>
      <c r="E1006" t="s">
        <v>288</v>
      </c>
      <c r="F1006">
        <v>10.27</v>
      </c>
      <c r="G1006" t="s">
        <v>1889</v>
      </c>
      <c r="H1006" t="s">
        <v>1891</v>
      </c>
      <c r="K1006" t="s">
        <v>1957</v>
      </c>
    </row>
    <row r="1007" spans="1:11" x14ac:dyDescent="0.55000000000000004">
      <c r="A1007">
        <v>67</v>
      </c>
      <c r="B1007" t="s">
        <v>8</v>
      </c>
      <c r="C1007">
        <v>25</v>
      </c>
      <c r="D1007">
        <v>87</v>
      </c>
      <c r="E1007" t="s">
        <v>289</v>
      </c>
      <c r="F1007">
        <v>11.66</v>
      </c>
      <c r="G1007" t="s">
        <v>1889</v>
      </c>
      <c r="H1007" t="s">
        <v>1891</v>
      </c>
      <c r="K1007" t="s">
        <v>1958</v>
      </c>
    </row>
    <row r="1008" spans="1:11" x14ac:dyDescent="0.55000000000000004">
      <c r="A1008">
        <v>68</v>
      </c>
      <c r="B1008" t="s">
        <v>8</v>
      </c>
      <c r="C1008">
        <v>25</v>
      </c>
      <c r="D1008">
        <v>87</v>
      </c>
      <c r="E1008" t="s">
        <v>290</v>
      </c>
      <c r="F1008">
        <v>9.2899999999999991</v>
      </c>
      <c r="G1008" t="s">
        <v>1889</v>
      </c>
      <c r="H1008" t="s">
        <v>1891</v>
      </c>
      <c r="K1008" t="s">
        <v>1959</v>
      </c>
    </row>
    <row r="1009" spans="1:11" x14ac:dyDescent="0.55000000000000004">
      <c r="A1009">
        <v>69</v>
      </c>
      <c r="B1009" t="s">
        <v>8</v>
      </c>
      <c r="C1009">
        <v>25</v>
      </c>
      <c r="D1009">
        <v>87</v>
      </c>
      <c r="E1009" t="s">
        <v>291</v>
      </c>
      <c r="F1009">
        <v>11.03</v>
      </c>
      <c r="G1009" t="s">
        <v>1889</v>
      </c>
      <c r="H1009" t="s">
        <v>1891</v>
      </c>
      <c r="K1009" t="s">
        <v>1960</v>
      </c>
    </row>
    <row r="1010" spans="1:11" x14ac:dyDescent="0.55000000000000004">
      <c r="A1010">
        <v>70</v>
      </c>
      <c r="B1010" t="s">
        <v>8</v>
      </c>
      <c r="C1010">
        <v>25</v>
      </c>
      <c r="D1010">
        <v>87</v>
      </c>
      <c r="E1010" t="s">
        <v>292</v>
      </c>
      <c r="F1010">
        <v>12.05</v>
      </c>
      <c r="G1010" t="s">
        <v>1889</v>
      </c>
      <c r="H1010" t="s">
        <v>1891</v>
      </c>
      <c r="K1010" t="s">
        <v>1961</v>
      </c>
    </row>
    <row r="1011" spans="1:11" x14ac:dyDescent="0.55000000000000004">
      <c r="A1011">
        <v>71</v>
      </c>
      <c r="B1011" t="s">
        <v>8</v>
      </c>
      <c r="C1011">
        <v>25</v>
      </c>
      <c r="D1011">
        <v>87</v>
      </c>
      <c r="E1011" t="s">
        <v>293</v>
      </c>
      <c r="F1011">
        <v>9.3800000000000008</v>
      </c>
      <c r="G1011" t="s">
        <v>1889</v>
      </c>
      <c r="H1011" t="s">
        <v>1891</v>
      </c>
      <c r="K1011" t="s">
        <v>1962</v>
      </c>
    </row>
    <row r="1012" spans="1:11" x14ac:dyDescent="0.55000000000000004">
      <c r="A1012">
        <v>72</v>
      </c>
      <c r="B1012" t="s">
        <v>8</v>
      </c>
      <c r="C1012">
        <v>25</v>
      </c>
      <c r="D1012">
        <v>87</v>
      </c>
      <c r="E1012" t="s">
        <v>294</v>
      </c>
      <c r="F1012">
        <v>11.14</v>
      </c>
      <c r="G1012" t="s">
        <v>1889</v>
      </c>
      <c r="H1012" t="s">
        <v>1891</v>
      </c>
      <c r="K1012" t="s">
        <v>1963</v>
      </c>
    </row>
    <row r="1013" spans="1:11" x14ac:dyDescent="0.55000000000000004">
      <c r="A1013">
        <v>73</v>
      </c>
      <c r="B1013" t="s">
        <v>8</v>
      </c>
      <c r="C1013">
        <v>25</v>
      </c>
      <c r="D1013">
        <v>87</v>
      </c>
      <c r="E1013" t="s">
        <v>295</v>
      </c>
      <c r="F1013">
        <v>10.71</v>
      </c>
      <c r="G1013" t="s">
        <v>1889</v>
      </c>
      <c r="H1013" t="s">
        <v>1891</v>
      </c>
      <c r="K1013" t="s">
        <v>1964</v>
      </c>
    </row>
    <row r="1014" spans="1:11" x14ac:dyDescent="0.55000000000000004">
      <c r="A1014">
        <v>74</v>
      </c>
      <c r="B1014" t="s">
        <v>8</v>
      </c>
      <c r="C1014">
        <v>25</v>
      </c>
      <c r="D1014">
        <v>87</v>
      </c>
      <c r="E1014" t="s">
        <v>296</v>
      </c>
      <c r="F1014">
        <v>9.0500000000000007</v>
      </c>
      <c r="G1014" t="s">
        <v>1889</v>
      </c>
      <c r="H1014" t="s">
        <v>1891</v>
      </c>
      <c r="K1014" t="s">
        <v>1965</v>
      </c>
    </row>
    <row r="1015" spans="1:11" x14ac:dyDescent="0.55000000000000004">
      <c r="A1015">
        <v>75</v>
      </c>
      <c r="B1015" t="s">
        <v>8</v>
      </c>
      <c r="C1015">
        <v>25</v>
      </c>
      <c r="D1015">
        <v>87</v>
      </c>
      <c r="E1015" t="s">
        <v>297</v>
      </c>
      <c r="G1015" t="s">
        <v>1941</v>
      </c>
      <c r="H1015" t="s">
        <v>1941</v>
      </c>
    </row>
    <row r="1016" spans="1:11" x14ac:dyDescent="0.55000000000000004">
      <c r="A1016">
        <v>88</v>
      </c>
      <c r="B1016" t="s">
        <v>9</v>
      </c>
      <c r="C1016">
        <v>25</v>
      </c>
      <c r="D1016">
        <v>86</v>
      </c>
      <c r="E1016" t="s">
        <v>310</v>
      </c>
      <c r="F1016">
        <v>10.43</v>
      </c>
      <c r="G1016" t="s">
        <v>1889</v>
      </c>
      <c r="H1016" t="s">
        <v>1891</v>
      </c>
      <c r="K1016" t="s">
        <v>1978</v>
      </c>
    </row>
    <row r="1017" spans="1:11" x14ac:dyDescent="0.55000000000000004">
      <c r="A1017">
        <v>89</v>
      </c>
      <c r="B1017" t="s">
        <v>9</v>
      </c>
      <c r="C1017">
        <v>25</v>
      </c>
      <c r="D1017">
        <v>86</v>
      </c>
      <c r="E1017" t="s">
        <v>311</v>
      </c>
      <c r="F1017">
        <v>12.63</v>
      </c>
      <c r="G1017" t="s">
        <v>1889</v>
      </c>
      <c r="H1017" t="s">
        <v>1891</v>
      </c>
      <c r="K1017" t="s">
        <v>1979</v>
      </c>
    </row>
    <row r="1018" spans="1:11" x14ac:dyDescent="0.55000000000000004">
      <c r="A1018">
        <v>90</v>
      </c>
      <c r="B1018" t="s">
        <v>9</v>
      </c>
      <c r="C1018">
        <v>25</v>
      </c>
      <c r="D1018">
        <v>86</v>
      </c>
      <c r="E1018" t="s">
        <v>312</v>
      </c>
      <c r="F1018">
        <v>11.08</v>
      </c>
      <c r="G1018" t="s">
        <v>1889</v>
      </c>
      <c r="H1018" t="s">
        <v>1891</v>
      </c>
      <c r="K1018" t="s">
        <v>1980</v>
      </c>
    </row>
    <row r="1019" spans="1:11" x14ac:dyDescent="0.55000000000000004">
      <c r="A1019">
        <v>91</v>
      </c>
      <c r="B1019" t="s">
        <v>9</v>
      </c>
      <c r="C1019">
        <v>25</v>
      </c>
      <c r="D1019">
        <v>86</v>
      </c>
      <c r="E1019" t="s">
        <v>313</v>
      </c>
      <c r="F1019">
        <v>11.17</v>
      </c>
      <c r="G1019" t="s">
        <v>1889</v>
      </c>
      <c r="H1019" t="s">
        <v>1891</v>
      </c>
      <c r="K1019" t="s">
        <v>1981</v>
      </c>
    </row>
    <row r="1020" spans="1:11" x14ac:dyDescent="0.55000000000000004">
      <c r="A1020">
        <v>92</v>
      </c>
      <c r="B1020" t="s">
        <v>9</v>
      </c>
      <c r="C1020">
        <v>25</v>
      </c>
      <c r="D1020">
        <v>86</v>
      </c>
      <c r="E1020" t="s">
        <v>314</v>
      </c>
      <c r="F1020">
        <v>11.94</v>
      </c>
      <c r="G1020" t="s">
        <v>1889</v>
      </c>
      <c r="H1020" t="s">
        <v>1891</v>
      </c>
      <c r="K1020" t="s">
        <v>1982</v>
      </c>
    </row>
    <row r="1021" spans="1:11" x14ac:dyDescent="0.55000000000000004">
      <c r="A1021">
        <v>93</v>
      </c>
      <c r="B1021" t="s">
        <v>9</v>
      </c>
      <c r="C1021">
        <v>25</v>
      </c>
      <c r="D1021">
        <v>86</v>
      </c>
      <c r="E1021" t="s">
        <v>315</v>
      </c>
      <c r="F1021">
        <v>11.18</v>
      </c>
      <c r="G1021" t="s">
        <v>1889</v>
      </c>
      <c r="H1021" t="s">
        <v>1891</v>
      </c>
      <c r="K1021" t="s">
        <v>1983</v>
      </c>
    </row>
    <row r="1022" spans="1:11" x14ac:dyDescent="0.55000000000000004">
      <c r="A1022">
        <v>94</v>
      </c>
      <c r="B1022" t="s">
        <v>9</v>
      </c>
      <c r="C1022">
        <v>25</v>
      </c>
      <c r="D1022">
        <v>86</v>
      </c>
      <c r="E1022" t="s">
        <v>316</v>
      </c>
      <c r="F1022">
        <v>13.85</v>
      </c>
      <c r="G1022" t="s">
        <v>1889</v>
      </c>
      <c r="H1022" t="s">
        <v>1891</v>
      </c>
      <c r="K1022" t="s">
        <v>1984</v>
      </c>
    </row>
    <row r="1023" spans="1:11" x14ac:dyDescent="0.55000000000000004">
      <c r="A1023">
        <v>95</v>
      </c>
      <c r="B1023" t="s">
        <v>9</v>
      </c>
      <c r="C1023">
        <v>25</v>
      </c>
      <c r="D1023">
        <v>86</v>
      </c>
      <c r="E1023" t="s">
        <v>317</v>
      </c>
      <c r="F1023">
        <v>14.56</v>
      </c>
      <c r="G1023" t="s">
        <v>1889</v>
      </c>
      <c r="H1023" t="s">
        <v>1891</v>
      </c>
      <c r="K1023" t="s">
        <v>1985</v>
      </c>
    </row>
    <row r="1024" spans="1:11" x14ac:dyDescent="0.55000000000000004">
      <c r="A1024">
        <v>96</v>
      </c>
      <c r="B1024" t="s">
        <v>9</v>
      </c>
      <c r="C1024">
        <v>25</v>
      </c>
      <c r="D1024">
        <v>86</v>
      </c>
      <c r="E1024" t="s">
        <v>318</v>
      </c>
      <c r="F1024">
        <v>11.36</v>
      </c>
      <c r="G1024" t="s">
        <v>1889</v>
      </c>
      <c r="H1024" t="s">
        <v>1891</v>
      </c>
      <c r="K1024" t="s">
        <v>1986</v>
      </c>
    </row>
    <row r="1025" spans="1:11" x14ac:dyDescent="0.55000000000000004">
      <c r="A1025">
        <v>97</v>
      </c>
      <c r="B1025" t="s">
        <v>9</v>
      </c>
      <c r="C1025">
        <v>25</v>
      </c>
      <c r="D1025">
        <v>86</v>
      </c>
      <c r="E1025" t="s">
        <v>319</v>
      </c>
      <c r="F1025">
        <v>10.56</v>
      </c>
      <c r="G1025" t="s">
        <v>1889</v>
      </c>
      <c r="H1025" t="s">
        <v>1891</v>
      </c>
      <c r="K1025" t="s">
        <v>1987</v>
      </c>
    </row>
    <row r="1026" spans="1:11" x14ac:dyDescent="0.55000000000000004">
      <c r="A1026">
        <v>98</v>
      </c>
      <c r="B1026" t="s">
        <v>9</v>
      </c>
      <c r="C1026">
        <v>25</v>
      </c>
      <c r="D1026">
        <v>86</v>
      </c>
      <c r="E1026" t="s">
        <v>320</v>
      </c>
      <c r="F1026">
        <v>10.89</v>
      </c>
      <c r="G1026" t="s">
        <v>1889</v>
      </c>
      <c r="H1026" t="s">
        <v>1891</v>
      </c>
      <c r="K1026" t="s">
        <v>1988</v>
      </c>
    </row>
    <row r="1027" spans="1:11" x14ac:dyDescent="0.55000000000000004">
      <c r="A1027">
        <v>99</v>
      </c>
      <c r="B1027" t="s">
        <v>9</v>
      </c>
      <c r="C1027">
        <v>25</v>
      </c>
      <c r="D1027">
        <v>86</v>
      </c>
      <c r="E1027" t="s">
        <v>321</v>
      </c>
      <c r="F1027">
        <v>11.76</v>
      </c>
      <c r="G1027" t="s">
        <v>1889</v>
      </c>
      <c r="H1027" t="s">
        <v>1891</v>
      </c>
      <c r="K1027" t="s">
        <v>1989</v>
      </c>
    </row>
    <row r="1028" spans="1:11" x14ac:dyDescent="0.55000000000000004">
      <c r="A1028">
        <v>100</v>
      </c>
      <c r="B1028" t="s">
        <v>9</v>
      </c>
      <c r="C1028">
        <v>25</v>
      </c>
      <c r="D1028">
        <v>86</v>
      </c>
      <c r="E1028" t="s">
        <v>322</v>
      </c>
      <c r="F1028">
        <v>10.49</v>
      </c>
      <c r="G1028" t="s">
        <v>1889</v>
      </c>
      <c r="H1028" t="s">
        <v>1891</v>
      </c>
      <c r="K1028" t="s">
        <v>1990</v>
      </c>
    </row>
    <row r="1029" spans="1:11" x14ac:dyDescent="0.55000000000000004">
      <c r="A1029">
        <v>113</v>
      </c>
      <c r="B1029" t="s">
        <v>10</v>
      </c>
      <c r="C1029">
        <v>25</v>
      </c>
      <c r="D1029">
        <v>2</v>
      </c>
      <c r="E1029" t="s">
        <v>335</v>
      </c>
      <c r="F1029">
        <v>12.21</v>
      </c>
      <c r="G1029" t="s">
        <v>1889</v>
      </c>
      <c r="H1029" t="s">
        <v>1891</v>
      </c>
      <c r="K1029" t="s">
        <v>2003</v>
      </c>
    </row>
    <row r="1030" spans="1:11" x14ac:dyDescent="0.55000000000000004">
      <c r="A1030">
        <v>114</v>
      </c>
      <c r="B1030" t="s">
        <v>10</v>
      </c>
      <c r="C1030">
        <v>25</v>
      </c>
      <c r="D1030">
        <v>2</v>
      </c>
      <c r="E1030" t="s">
        <v>336</v>
      </c>
      <c r="F1030">
        <v>10.32</v>
      </c>
      <c r="G1030" t="s">
        <v>1889</v>
      </c>
      <c r="H1030" t="s">
        <v>1891</v>
      </c>
      <c r="K1030" t="s">
        <v>2004</v>
      </c>
    </row>
    <row r="1031" spans="1:11" x14ac:dyDescent="0.55000000000000004">
      <c r="A1031">
        <v>115</v>
      </c>
      <c r="B1031" t="s">
        <v>10</v>
      </c>
      <c r="C1031">
        <v>25</v>
      </c>
      <c r="D1031">
        <v>2</v>
      </c>
      <c r="E1031" t="s">
        <v>337</v>
      </c>
      <c r="F1031">
        <v>11</v>
      </c>
      <c r="G1031" t="s">
        <v>1889</v>
      </c>
      <c r="H1031" t="s">
        <v>1891</v>
      </c>
      <c r="K1031" t="s">
        <v>2005</v>
      </c>
    </row>
    <row r="1032" spans="1:11" x14ac:dyDescent="0.55000000000000004">
      <c r="A1032">
        <v>116</v>
      </c>
      <c r="B1032" t="s">
        <v>10</v>
      </c>
      <c r="C1032">
        <v>25</v>
      </c>
      <c r="D1032">
        <v>2</v>
      </c>
      <c r="E1032" t="s">
        <v>338</v>
      </c>
      <c r="F1032">
        <v>12.19</v>
      </c>
      <c r="G1032" t="s">
        <v>1889</v>
      </c>
      <c r="H1032" t="s">
        <v>1891</v>
      </c>
      <c r="K1032" t="s">
        <v>2006</v>
      </c>
    </row>
    <row r="1033" spans="1:11" x14ac:dyDescent="0.55000000000000004">
      <c r="A1033">
        <v>117</v>
      </c>
      <c r="B1033" t="s">
        <v>10</v>
      </c>
      <c r="C1033">
        <v>25</v>
      </c>
      <c r="D1033">
        <v>2</v>
      </c>
      <c r="E1033" t="s">
        <v>339</v>
      </c>
      <c r="F1033">
        <v>11.13</v>
      </c>
      <c r="G1033" t="s">
        <v>1889</v>
      </c>
      <c r="H1033" t="s">
        <v>1891</v>
      </c>
      <c r="K1033" t="s">
        <v>2007</v>
      </c>
    </row>
    <row r="1034" spans="1:11" x14ac:dyDescent="0.55000000000000004">
      <c r="A1034">
        <v>118</v>
      </c>
      <c r="B1034" t="s">
        <v>10</v>
      </c>
      <c r="C1034">
        <v>25</v>
      </c>
      <c r="D1034">
        <v>2</v>
      </c>
      <c r="E1034" t="s">
        <v>340</v>
      </c>
      <c r="F1034">
        <v>10.86</v>
      </c>
      <c r="G1034" t="s">
        <v>1889</v>
      </c>
      <c r="H1034" t="s">
        <v>1891</v>
      </c>
      <c r="K1034" t="s">
        <v>2008</v>
      </c>
    </row>
    <row r="1035" spans="1:11" x14ac:dyDescent="0.55000000000000004">
      <c r="A1035">
        <v>119</v>
      </c>
      <c r="B1035" t="s">
        <v>10</v>
      </c>
      <c r="C1035">
        <v>25</v>
      </c>
      <c r="D1035">
        <v>2</v>
      </c>
      <c r="E1035" t="s">
        <v>341</v>
      </c>
      <c r="F1035">
        <v>12.19</v>
      </c>
      <c r="G1035" t="s">
        <v>1889</v>
      </c>
      <c r="H1035" t="s">
        <v>1891</v>
      </c>
      <c r="K1035" t="s">
        <v>2009</v>
      </c>
    </row>
    <row r="1036" spans="1:11" x14ac:dyDescent="0.55000000000000004">
      <c r="A1036">
        <v>120</v>
      </c>
      <c r="B1036" t="s">
        <v>10</v>
      </c>
      <c r="C1036">
        <v>25</v>
      </c>
      <c r="D1036">
        <v>2</v>
      </c>
      <c r="E1036" t="s">
        <v>342</v>
      </c>
      <c r="F1036">
        <v>12.2</v>
      </c>
      <c r="G1036" t="s">
        <v>1889</v>
      </c>
      <c r="H1036" t="s">
        <v>1891</v>
      </c>
      <c r="K1036" t="s">
        <v>2010</v>
      </c>
    </row>
    <row r="1037" spans="1:11" x14ac:dyDescent="0.55000000000000004">
      <c r="A1037">
        <v>121</v>
      </c>
      <c r="B1037" t="s">
        <v>10</v>
      </c>
      <c r="C1037">
        <v>25</v>
      </c>
      <c r="D1037">
        <v>2</v>
      </c>
      <c r="E1037" t="s">
        <v>343</v>
      </c>
      <c r="F1037">
        <v>11.24</v>
      </c>
      <c r="G1037" t="s">
        <v>1889</v>
      </c>
      <c r="H1037" t="s">
        <v>1891</v>
      </c>
      <c r="K1037" t="s">
        <v>2011</v>
      </c>
    </row>
    <row r="1038" spans="1:11" x14ac:dyDescent="0.55000000000000004">
      <c r="A1038">
        <v>122</v>
      </c>
      <c r="B1038" t="s">
        <v>10</v>
      </c>
      <c r="C1038">
        <v>25</v>
      </c>
      <c r="D1038">
        <v>2</v>
      </c>
      <c r="E1038" t="s">
        <v>344</v>
      </c>
      <c r="F1038">
        <v>12.67</v>
      </c>
      <c r="G1038" t="s">
        <v>1889</v>
      </c>
      <c r="H1038" t="s">
        <v>1891</v>
      </c>
      <c r="K1038" t="s">
        <v>2012</v>
      </c>
    </row>
    <row r="1039" spans="1:11" x14ac:dyDescent="0.55000000000000004">
      <c r="A1039">
        <v>123</v>
      </c>
      <c r="B1039" t="s">
        <v>10</v>
      </c>
      <c r="C1039">
        <v>25</v>
      </c>
      <c r="D1039">
        <v>2</v>
      </c>
      <c r="E1039" t="s">
        <v>345</v>
      </c>
      <c r="F1039">
        <v>10.9</v>
      </c>
      <c r="G1039" t="s">
        <v>1889</v>
      </c>
      <c r="H1039" t="s">
        <v>1891</v>
      </c>
      <c r="K1039" t="s">
        <v>2013</v>
      </c>
    </row>
    <row r="1040" spans="1:11" x14ac:dyDescent="0.55000000000000004">
      <c r="A1040">
        <v>124</v>
      </c>
      <c r="B1040" t="s">
        <v>10</v>
      </c>
      <c r="C1040">
        <v>25</v>
      </c>
      <c r="D1040">
        <v>2</v>
      </c>
      <c r="E1040" t="s">
        <v>346</v>
      </c>
      <c r="F1040">
        <v>12.86</v>
      </c>
      <c r="G1040" t="s">
        <v>1889</v>
      </c>
      <c r="H1040" t="s">
        <v>1891</v>
      </c>
      <c r="K1040" t="s">
        <v>2014</v>
      </c>
    </row>
    <row r="1041" spans="1:11" x14ac:dyDescent="0.55000000000000004">
      <c r="A1041">
        <v>125</v>
      </c>
      <c r="B1041" t="s">
        <v>10</v>
      </c>
      <c r="C1041">
        <v>25</v>
      </c>
      <c r="D1041">
        <v>2</v>
      </c>
      <c r="E1041" t="s">
        <v>347</v>
      </c>
      <c r="F1041">
        <v>10.39</v>
      </c>
      <c r="G1041" t="s">
        <v>1889</v>
      </c>
      <c r="H1041" t="s">
        <v>1891</v>
      </c>
      <c r="K1041" t="s">
        <v>2015</v>
      </c>
    </row>
    <row r="1042" spans="1:11" x14ac:dyDescent="0.55000000000000004">
      <c r="A1042">
        <v>138</v>
      </c>
      <c r="B1042" t="s">
        <v>11</v>
      </c>
      <c r="C1042">
        <v>25</v>
      </c>
      <c r="D1042">
        <v>24</v>
      </c>
      <c r="E1042" t="s">
        <v>360</v>
      </c>
      <c r="F1042">
        <v>10.9</v>
      </c>
      <c r="G1042" t="s">
        <v>1889</v>
      </c>
      <c r="H1042" t="s">
        <v>1891</v>
      </c>
      <c r="K1042" t="s">
        <v>2028</v>
      </c>
    </row>
    <row r="1043" spans="1:11" x14ac:dyDescent="0.55000000000000004">
      <c r="A1043">
        <v>139</v>
      </c>
      <c r="B1043" t="s">
        <v>11</v>
      </c>
      <c r="C1043">
        <v>25</v>
      </c>
      <c r="D1043">
        <v>24</v>
      </c>
      <c r="E1043" t="s">
        <v>361</v>
      </c>
      <c r="F1043">
        <v>12.58</v>
      </c>
      <c r="G1043" t="s">
        <v>1889</v>
      </c>
      <c r="H1043" t="s">
        <v>1891</v>
      </c>
      <c r="K1043" t="s">
        <v>2029</v>
      </c>
    </row>
    <row r="1044" spans="1:11" x14ac:dyDescent="0.55000000000000004">
      <c r="A1044">
        <v>140</v>
      </c>
      <c r="B1044" t="s">
        <v>11</v>
      </c>
      <c r="C1044">
        <v>25</v>
      </c>
      <c r="D1044">
        <v>24</v>
      </c>
      <c r="E1044" t="s">
        <v>362</v>
      </c>
      <c r="F1044">
        <v>10.15</v>
      </c>
      <c r="G1044" t="s">
        <v>1889</v>
      </c>
      <c r="H1044" t="s">
        <v>1891</v>
      </c>
      <c r="K1044" t="s">
        <v>2030</v>
      </c>
    </row>
    <row r="1045" spans="1:11" x14ac:dyDescent="0.55000000000000004">
      <c r="A1045">
        <v>141</v>
      </c>
      <c r="B1045" t="s">
        <v>11</v>
      </c>
      <c r="C1045">
        <v>25</v>
      </c>
      <c r="D1045">
        <v>24</v>
      </c>
      <c r="E1045" t="s">
        <v>363</v>
      </c>
      <c r="F1045">
        <v>10.57</v>
      </c>
      <c r="G1045" t="s">
        <v>1889</v>
      </c>
      <c r="H1045" t="s">
        <v>1891</v>
      </c>
      <c r="K1045" t="s">
        <v>2031</v>
      </c>
    </row>
    <row r="1046" spans="1:11" x14ac:dyDescent="0.55000000000000004">
      <c r="A1046">
        <v>142</v>
      </c>
      <c r="B1046" t="s">
        <v>11</v>
      </c>
      <c r="C1046">
        <v>25</v>
      </c>
      <c r="D1046">
        <v>24</v>
      </c>
      <c r="E1046" t="s">
        <v>364</v>
      </c>
      <c r="F1046">
        <v>11.93</v>
      </c>
      <c r="G1046" t="s">
        <v>1889</v>
      </c>
      <c r="H1046" t="s">
        <v>1891</v>
      </c>
      <c r="K1046" t="s">
        <v>2032</v>
      </c>
    </row>
    <row r="1047" spans="1:11" x14ac:dyDescent="0.55000000000000004">
      <c r="A1047">
        <v>143</v>
      </c>
      <c r="B1047" t="s">
        <v>11</v>
      </c>
      <c r="C1047">
        <v>25</v>
      </c>
      <c r="D1047">
        <v>24</v>
      </c>
      <c r="E1047" t="s">
        <v>365</v>
      </c>
      <c r="F1047">
        <v>12.4</v>
      </c>
      <c r="G1047" t="s">
        <v>1889</v>
      </c>
      <c r="H1047" t="s">
        <v>1891</v>
      </c>
      <c r="K1047" t="s">
        <v>2033</v>
      </c>
    </row>
    <row r="1048" spans="1:11" x14ac:dyDescent="0.55000000000000004">
      <c r="A1048">
        <v>144</v>
      </c>
      <c r="B1048" t="s">
        <v>11</v>
      </c>
      <c r="C1048">
        <v>25</v>
      </c>
      <c r="D1048">
        <v>24</v>
      </c>
      <c r="E1048" t="s">
        <v>366</v>
      </c>
      <c r="F1048">
        <v>12.49</v>
      </c>
      <c r="G1048" t="s">
        <v>1889</v>
      </c>
      <c r="H1048" t="s">
        <v>1891</v>
      </c>
      <c r="K1048" t="s">
        <v>2034</v>
      </c>
    </row>
    <row r="1049" spans="1:11" x14ac:dyDescent="0.55000000000000004">
      <c r="A1049">
        <v>145</v>
      </c>
      <c r="B1049" t="s">
        <v>11</v>
      </c>
      <c r="C1049">
        <v>25</v>
      </c>
      <c r="D1049">
        <v>24</v>
      </c>
      <c r="E1049" t="s">
        <v>367</v>
      </c>
      <c r="F1049">
        <v>12.02</v>
      </c>
      <c r="G1049" t="s">
        <v>1889</v>
      </c>
      <c r="H1049" t="s">
        <v>1891</v>
      </c>
      <c r="K1049" t="s">
        <v>2035</v>
      </c>
    </row>
    <row r="1050" spans="1:11" x14ac:dyDescent="0.55000000000000004">
      <c r="A1050">
        <v>146</v>
      </c>
      <c r="B1050" t="s">
        <v>11</v>
      </c>
      <c r="C1050">
        <v>25</v>
      </c>
      <c r="D1050">
        <v>24</v>
      </c>
      <c r="E1050" t="s">
        <v>368</v>
      </c>
      <c r="F1050">
        <v>10.97</v>
      </c>
      <c r="G1050" t="s">
        <v>1889</v>
      </c>
      <c r="H1050" t="s">
        <v>1891</v>
      </c>
      <c r="K1050" t="s">
        <v>2036</v>
      </c>
    </row>
    <row r="1051" spans="1:11" x14ac:dyDescent="0.55000000000000004">
      <c r="A1051">
        <v>147</v>
      </c>
      <c r="B1051" t="s">
        <v>11</v>
      </c>
      <c r="C1051">
        <v>25</v>
      </c>
      <c r="D1051">
        <v>24</v>
      </c>
      <c r="E1051" t="s">
        <v>369</v>
      </c>
      <c r="F1051">
        <v>12.32</v>
      </c>
      <c r="G1051" t="s">
        <v>1889</v>
      </c>
      <c r="H1051" t="s">
        <v>1891</v>
      </c>
      <c r="K1051" t="s">
        <v>2037</v>
      </c>
    </row>
    <row r="1052" spans="1:11" x14ac:dyDescent="0.55000000000000004">
      <c r="A1052">
        <v>148</v>
      </c>
      <c r="B1052" t="s">
        <v>11</v>
      </c>
      <c r="C1052">
        <v>25</v>
      </c>
      <c r="D1052">
        <v>24</v>
      </c>
      <c r="E1052" t="s">
        <v>370</v>
      </c>
      <c r="F1052">
        <v>11.39</v>
      </c>
      <c r="G1052" t="s">
        <v>1889</v>
      </c>
      <c r="H1052" t="s">
        <v>1891</v>
      </c>
      <c r="K1052" t="s">
        <v>2038</v>
      </c>
    </row>
    <row r="1053" spans="1:11" x14ac:dyDescent="0.55000000000000004">
      <c r="A1053">
        <v>149</v>
      </c>
      <c r="B1053" t="s">
        <v>11</v>
      </c>
      <c r="C1053">
        <v>25</v>
      </c>
      <c r="D1053">
        <v>24</v>
      </c>
      <c r="E1053" t="s">
        <v>371</v>
      </c>
      <c r="F1053">
        <v>10.35</v>
      </c>
      <c r="G1053" t="s">
        <v>1889</v>
      </c>
      <c r="H1053" t="s">
        <v>1891</v>
      </c>
      <c r="K1053" t="s">
        <v>2039</v>
      </c>
    </row>
    <row r="1054" spans="1:11" x14ac:dyDescent="0.55000000000000004">
      <c r="A1054">
        <v>150</v>
      </c>
      <c r="B1054" t="s">
        <v>11</v>
      </c>
      <c r="C1054">
        <v>25</v>
      </c>
      <c r="D1054">
        <v>24</v>
      </c>
      <c r="E1054" t="s">
        <v>372</v>
      </c>
      <c r="G1054" t="s">
        <v>1941</v>
      </c>
      <c r="H1054" t="s">
        <v>1941</v>
      </c>
    </row>
    <row r="1055" spans="1:11" x14ac:dyDescent="0.55000000000000004">
      <c r="A1055">
        <v>163</v>
      </c>
      <c r="B1055" t="s">
        <v>12</v>
      </c>
      <c r="C1055">
        <v>24</v>
      </c>
      <c r="D1055">
        <v>52</v>
      </c>
      <c r="E1055" t="s">
        <v>385</v>
      </c>
      <c r="F1055">
        <v>10.85</v>
      </c>
      <c r="G1055" t="s">
        <v>1889</v>
      </c>
      <c r="H1055" t="s">
        <v>1891</v>
      </c>
      <c r="K1055" t="s">
        <v>2052</v>
      </c>
    </row>
    <row r="1056" spans="1:11" x14ac:dyDescent="0.55000000000000004">
      <c r="A1056">
        <v>164</v>
      </c>
      <c r="B1056" t="s">
        <v>12</v>
      </c>
      <c r="C1056">
        <v>24</v>
      </c>
      <c r="D1056">
        <v>52</v>
      </c>
      <c r="E1056" t="s">
        <v>386</v>
      </c>
      <c r="F1056">
        <v>12.46</v>
      </c>
      <c r="G1056" t="s">
        <v>1889</v>
      </c>
      <c r="H1056" t="s">
        <v>1891</v>
      </c>
      <c r="K1056" t="s">
        <v>2053</v>
      </c>
    </row>
    <row r="1057" spans="1:11" x14ac:dyDescent="0.55000000000000004">
      <c r="A1057">
        <v>165</v>
      </c>
      <c r="B1057" t="s">
        <v>12</v>
      </c>
      <c r="C1057">
        <v>24</v>
      </c>
      <c r="D1057">
        <v>52</v>
      </c>
      <c r="E1057" t="s">
        <v>387</v>
      </c>
      <c r="F1057">
        <v>12.73</v>
      </c>
      <c r="G1057" t="s">
        <v>1889</v>
      </c>
      <c r="H1057" t="s">
        <v>1891</v>
      </c>
      <c r="K1057" t="s">
        <v>2054</v>
      </c>
    </row>
    <row r="1058" spans="1:11" x14ac:dyDescent="0.55000000000000004">
      <c r="A1058">
        <v>166</v>
      </c>
      <c r="B1058" t="s">
        <v>12</v>
      </c>
      <c r="C1058">
        <v>24</v>
      </c>
      <c r="D1058">
        <v>52</v>
      </c>
      <c r="E1058" t="s">
        <v>388</v>
      </c>
      <c r="F1058">
        <v>13.38</v>
      </c>
      <c r="G1058" t="s">
        <v>1889</v>
      </c>
      <c r="H1058" t="s">
        <v>1891</v>
      </c>
      <c r="K1058" t="s">
        <v>2055</v>
      </c>
    </row>
    <row r="1059" spans="1:11" x14ac:dyDescent="0.55000000000000004">
      <c r="A1059">
        <v>167</v>
      </c>
      <c r="B1059" t="s">
        <v>12</v>
      </c>
      <c r="C1059">
        <v>24</v>
      </c>
      <c r="D1059">
        <v>52</v>
      </c>
      <c r="E1059" t="s">
        <v>389</v>
      </c>
      <c r="F1059">
        <v>14.08</v>
      </c>
      <c r="G1059" t="s">
        <v>1889</v>
      </c>
      <c r="H1059" t="s">
        <v>1891</v>
      </c>
      <c r="K1059" t="s">
        <v>2056</v>
      </c>
    </row>
    <row r="1060" spans="1:11" x14ac:dyDescent="0.55000000000000004">
      <c r="A1060">
        <v>168</v>
      </c>
      <c r="B1060" t="s">
        <v>12</v>
      </c>
      <c r="C1060">
        <v>24</v>
      </c>
      <c r="D1060">
        <v>52</v>
      </c>
      <c r="E1060" t="s">
        <v>390</v>
      </c>
      <c r="F1060">
        <v>12.65</v>
      </c>
      <c r="G1060" t="s">
        <v>1889</v>
      </c>
      <c r="H1060" t="s">
        <v>1891</v>
      </c>
      <c r="K1060" t="s">
        <v>2057</v>
      </c>
    </row>
    <row r="1061" spans="1:11" x14ac:dyDescent="0.55000000000000004">
      <c r="A1061">
        <v>169</v>
      </c>
      <c r="B1061" t="s">
        <v>12</v>
      </c>
      <c r="C1061">
        <v>24</v>
      </c>
      <c r="D1061">
        <v>52</v>
      </c>
      <c r="E1061" t="s">
        <v>391</v>
      </c>
      <c r="F1061">
        <v>12.95</v>
      </c>
      <c r="G1061" t="s">
        <v>1889</v>
      </c>
      <c r="H1061" t="s">
        <v>1891</v>
      </c>
      <c r="K1061" t="s">
        <v>2058</v>
      </c>
    </row>
    <row r="1062" spans="1:11" x14ac:dyDescent="0.55000000000000004">
      <c r="A1062">
        <v>170</v>
      </c>
      <c r="B1062" t="s">
        <v>12</v>
      </c>
      <c r="C1062">
        <v>24</v>
      </c>
      <c r="D1062">
        <v>52</v>
      </c>
      <c r="E1062" t="s">
        <v>392</v>
      </c>
      <c r="F1062">
        <v>12.04</v>
      </c>
      <c r="G1062" t="s">
        <v>1889</v>
      </c>
      <c r="H1062" t="s">
        <v>1891</v>
      </c>
      <c r="K1062" t="s">
        <v>2059</v>
      </c>
    </row>
    <row r="1063" spans="1:11" x14ac:dyDescent="0.55000000000000004">
      <c r="A1063">
        <v>171</v>
      </c>
      <c r="B1063" t="s">
        <v>12</v>
      </c>
      <c r="C1063">
        <v>24</v>
      </c>
      <c r="D1063">
        <v>52</v>
      </c>
      <c r="E1063" t="s">
        <v>393</v>
      </c>
      <c r="F1063">
        <v>10.94</v>
      </c>
      <c r="G1063" t="s">
        <v>1889</v>
      </c>
      <c r="H1063" t="s">
        <v>1891</v>
      </c>
      <c r="K1063" t="s">
        <v>2060</v>
      </c>
    </row>
    <row r="1064" spans="1:11" x14ac:dyDescent="0.55000000000000004">
      <c r="A1064">
        <v>172</v>
      </c>
      <c r="B1064" t="s">
        <v>12</v>
      </c>
      <c r="C1064">
        <v>24</v>
      </c>
      <c r="D1064">
        <v>52</v>
      </c>
      <c r="E1064" t="s">
        <v>394</v>
      </c>
      <c r="F1064">
        <v>10.51</v>
      </c>
      <c r="G1064" t="s">
        <v>1889</v>
      </c>
      <c r="H1064" t="s">
        <v>1891</v>
      </c>
      <c r="K1064" t="s">
        <v>2061</v>
      </c>
    </row>
    <row r="1065" spans="1:11" x14ac:dyDescent="0.55000000000000004">
      <c r="A1065">
        <v>173</v>
      </c>
      <c r="B1065" t="s">
        <v>12</v>
      </c>
      <c r="C1065">
        <v>24</v>
      </c>
      <c r="D1065">
        <v>52</v>
      </c>
      <c r="E1065" t="s">
        <v>395</v>
      </c>
      <c r="F1065">
        <v>12.75</v>
      </c>
      <c r="G1065" t="s">
        <v>1889</v>
      </c>
      <c r="H1065" t="s">
        <v>1891</v>
      </c>
      <c r="K1065" t="s">
        <v>2062</v>
      </c>
    </row>
    <row r="1066" spans="1:11" x14ac:dyDescent="0.55000000000000004">
      <c r="A1066">
        <v>174</v>
      </c>
      <c r="B1066" t="s">
        <v>12</v>
      </c>
      <c r="C1066">
        <v>24</v>
      </c>
      <c r="D1066">
        <v>52</v>
      </c>
      <c r="E1066" t="s">
        <v>396</v>
      </c>
      <c r="G1066" t="s">
        <v>1941</v>
      </c>
      <c r="H1066" t="s">
        <v>1941</v>
      </c>
    </row>
    <row r="1067" spans="1:11" x14ac:dyDescent="0.55000000000000004">
      <c r="A1067">
        <v>187</v>
      </c>
      <c r="B1067" t="s">
        <v>13</v>
      </c>
      <c r="C1067">
        <v>25</v>
      </c>
      <c r="D1067">
        <v>44</v>
      </c>
      <c r="E1067" t="s">
        <v>409</v>
      </c>
      <c r="F1067">
        <v>11.3</v>
      </c>
      <c r="G1067" t="s">
        <v>1889</v>
      </c>
      <c r="H1067" t="s">
        <v>1891</v>
      </c>
      <c r="K1067" t="s">
        <v>2076</v>
      </c>
    </row>
    <row r="1068" spans="1:11" x14ac:dyDescent="0.55000000000000004">
      <c r="A1068">
        <v>188</v>
      </c>
      <c r="B1068" t="s">
        <v>13</v>
      </c>
      <c r="C1068">
        <v>25</v>
      </c>
      <c r="D1068">
        <v>44</v>
      </c>
      <c r="E1068" t="s">
        <v>410</v>
      </c>
      <c r="F1068">
        <v>12.01</v>
      </c>
      <c r="G1068" t="s">
        <v>1889</v>
      </c>
      <c r="H1068" t="s">
        <v>1891</v>
      </c>
      <c r="K1068" t="s">
        <v>2077</v>
      </c>
    </row>
    <row r="1069" spans="1:11" x14ac:dyDescent="0.55000000000000004">
      <c r="A1069">
        <v>189</v>
      </c>
      <c r="B1069" t="s">
        <v>13</v>
      </c>
      <c r="C1069">
        <v>25</v>
      </c>
      <c r="D1069">
        <v>44</v>
      </c>
      <c r="E1069" t="s">
        <v>411</v>
      </c>
      <c r="F1069">
        <v>12.11</v>
      </c>
      <c r="G1069" t="s">
        <v>1889</v>
      </c>
      <c r="H1069" t="s">
        <v>1891</v>
      </c>
      <c r="K1069" t="s">
        <v>2078</v>
      </c>
    </row>
    <row r="1070" spans="1:11" x14ac:dyDescent="0.55000000000000004">
      <c r="A1070">
        <v>190</v>
      </c>
      <c r="B1070" t="s">
        <v>13</v>
      </c>
      <c r="C1070">
        <v>25</v>
      </c>
      <c r="D1070">
        <v>44</v>
      </c>
      <c r="E1070" t="s">
        <v>412</v>
      </c>
      <c r="F1070">
        <v>11.69</v>
      </c>
      <c r="G1070" t="s">
        <v>1889</v>
      </c>
      <c r="H1070" t="s">
        <v>1891</v>
      </c>
      <c r="K1070" t="s">
        <v>2079</v>
      </c>
    </row>
    <row r="1071" spans="1:11" x14ac:dyDescent="0.55000000000000004">
      <c r="A1071">
        <v>191</v>
      </c>
      <c r="B1071" t="s">
        <v>13</v>
      </c>
      <c r="C1071">
        <v>25</v>
      </c>
      <c r="D1071">
        <v>44</v>
      </c>
      <c r="E1071" t="s">
        <v>413</v>
      </c>
      <c r="F1071">
        <v>11.23</v>
      </c>
      <c r="G1071" t="s">
        <v>1889</v>
      </c>
      <c r="H1071" t="s">
        <v>1891</v>
      </c>
      <c r="K1071" t="s">
        <v>2080</v>
      </c>
    </row>
    <row r="1072" spans="1:11" x14ac:dyDescent="0.55000000000000004">
      <c r="A1072">
        <v>192</v>
      </c>
      <c r="B1072" t="s">
        <v>13</v>
      </c>
      <c r="C1072">
        <v>25</v>
      </c>
      <c r="D1072">
        <v>44</v>
      </c>
      <c r="E1072" t="s">
        <v>414</v>
      </c>
      <c r="F1072">
        <v>12.48</v>
      </c>
      <c r="G1072" t="s">
        <v>1889</v>
      </c>
      <c r="H1072" t="s">
        <v>1891</v>
      </c>
      <c r="K1072" t="s">
        <v>2081</v>
      </c>
    </row>
    <row r="1073" spans="1:11" x14ac:dyDescent="0.55000000000000004">
      <c r="A1073">
        <v>193</v>
      </c>
      <c r="B1073" t="s">
        <v>13</v>
      </c>
      <c r="C1073">
        <v>25</v>
      </c>
      <c r="D1073">
        <v>44</v>
      </c>
      <c r="E1073" t="s">
        <v>415</v>
      </c>
      <c r="F1073">
        <v>11.32</v>
      </c>
      <c r="G1073" t="s">
        <v>1889</v>
      </c>
      <c r="H1073" t="s">
        <v>1891</v>
      </c>
      <c r="K1073" t="s">
        <v>2082</v>
      </c>
    </row>
    <row r="1074" spans="1:11" x14ac:dyDescent="0.55000000000000004">
      <c r="A1074">
        <v>194</v>
      </c>
      <c r="B1074" t="s">
        <v>13</v>
      </c>
      <c r="C1074">
        <v>25</v>
      </c>
      <c r="D1074">
        <v>44</v>
      </c>
      <c r="E1074" t="s">
        <v>416</v>
      </c>
      <c r="F1074">
        <v>13.29</v>
      </c>
      <c r="G1074" t="s">
        <v>1889</v>
      </c>
      <c r="H1074" t="s">
        <v>1891</v>
      </c>
      <c r="K1074" t="s">
        <v>2083</v>
      </c>
    </row>
    <row r="1075" spans="1:11" x14ac:dyDescent="0.55000000000000004">
      <c r="A1075">
        <v>195</v>
      </c>
      <c r="B1075" t="s">
        <v>13</v>
      </c>
      <c r="C1075">
        <v>25</v>
      </c>
      <c r="D1075">
        <v>44</v>
      </c>
      <c r="E1075" t="s">
        <v>417</v>
      </c>
      <c r="F1075">
        <v>11.45</v>
      </c>
      <c r="G1075" t="s">
        <v>1889</v>
      </c>
      <c r="H1075" t="s">
        <v>1891</v>
      </c>
      <c r="K1075" t="s">
        <v>2065</v>
      </c>
    </row>
    <row r="1076" spans="1:11" x14ac:dyDescent="0.55000000000000004">
      <c r="A1076">
        <v>196</v>
      </c>
      <c r="B1076" t="s">
        <v>13</v>
      </c>
      <c r="C1076">
        <v>25</v>
      </c>
      <c r="D1076">
        <v>44</v>
      </c>
      <c r="E1076" t="s">
        <v>418</v>
      </c>
      <c r="F1076">
        <v>10.75</v>
      </c>
      <c r="G1076" t="s">
        <v>1889</v>
      </c>
      <c r="H1076" t="s">
        <v>1891</v>
      </c>
      <c r="K1076" t="s">
        <v>2084</v>
      </c>
    </row>
    <row r="1077" spans="1:11" x14ac:dyDescent="0.55000000000000004">
      <c r="A1077">
        <v>197</v>
      </c>
      <c r="B1077" t="s">
        <v>13</v>
      </c>
      <c r="C1077">
        <v>25</v>
      </c>
      <c r="D1077">
        <v>44</v>
      </c>
      <c r="E1077" t="s">
        <v>419</v>
      </c>
      <c r="F1077">
        <v>11.14</v>
      </c>
      <c r="G1077" t="s">
        <v>1889</v>
      </c>
      <c r="H1077" t="s">
        <v>1891</v>
      </c>
      <c r="K1077" t="s">
        <v>2085</v>
      </c>
    </row>
    <row r="1078" spans="1:11" x14ac:dyDescent="0.55000000000000004">
      <c r="A1078">
        <v>198</v>
      </c>
      <c r="B1078" t="s">
        <v>13</v>
      </c>
      <c r="C1078">
        <v>25</v>
      </c>
      <c r="D1078">
        <v>44</v>
      </c>
      <c r="E1078" t="s">
        <v>420</v>
      </c>
      <c r="F1078">
        <v>13.24</v>
      </c>
      <c r="G1078" t="s">
        <v>1889</v>
      </c>
      <c r="H1078" t="s">
        <v>1891</v>
      </c>
      <c r="K1078" t="s">
        <v>2086</v>
      </c>
    </row>
    <row r="1079" spans="1:11" x14ac:dyDescent="0.55000000000000004">
      <c r="A1079">
        <v>199</v>
      </c>
      <c r="B1079" t="s">
        <v>13</v>
      </c>
      <c r="C1079">
        <v>25</v>
      </c>
      <c r="D1079">
        <v>44</v>
      </c>
      <c r="E1079" t="s">
        <v>421</v>
      </c>
      <c r="F1079">
        <v>11.68</v>
      </c>
      <c r="G1079" t="s">
        <v>1889</v>
      </c>
      <c r="H1079" t="s">
        <v>1891</v>
      </c>
      <c r="K1079" t="s">
        <v>2087</v>
      </c>
    </row>
    <row r="1080" spans="1:11" x14ac:dyDescent="0.55000000000000004">
      <c r="A1080">
        <v>212</v>
      </c>
      <c r="B1080" t="s">
        <v>14</v>
      </c>
      <c r="C1080">
        <v>25</v>
      </c>
      <c r="D1080">
        <v>45</v>
      </c>
      <c r="E1080" t="s">
        <v>434</v>
      </c>
      <c r="F1080">
        <v>12.83</v>
      </c>
      <c r="G1080" t="s">
        <v>1889</v>
      </c>
      <c r="H1080" t="s">
        <v>1891</v>
      </c>
      <c r="K1080" t="s">
        <v>2097</v>
      </c>
    </row>
    <row r="1081" spans="1:11" x14ac:dyDescent="0.55000000000000004">
      <c r="A1081">
        <v>213</v>
      </c>
      <c r="B1081" t="s">
        <v>14</v>
      </c>
      <c r="C1081">
        <v>25</v>
      </c>
      <c r="D1081">
        <v>45</v>
      </c>
      <c r="E1081" t="s">
        <v>435</v>
      </c>
      <c r="F1081">
        <v>12.28</v>
      </c>
      <c r="G1081" t="s">
        <v>1889</v>
      </c>
      <c r="H1081" t="s">
        <v>1891</v>
      </c>
      <c r="K1081" t="s">
        <v>2098</v>
      </c>
    </row>
    <row r="1082" spans="1:11" x14ac:dyDescent="0.55000000000000004">
      <c r="A1082">
        <v>214</v>
      </c>
      <c r="B1082" t="s">
        <v>14</v>
      </c>
      <c r="C1082">
        <v>25</v>
      </c>
      <c r="D1082">
        <v>45</v>
      </c>
      <c r="E1082" t="s">
        <v>436</v>
      </c>
      <c r="F1082">
        <v>12.7</v>
      </c>
      <c r="G1082" t="s">
        <v>1889</v>
      </c>
      <c r="H1082" t="s">
        <v>1891</v>
      </c>
      <c r="K1082" t="s">
        <v>2099</v>
      </c>
    </row>
    <row r="1083" spans="1:11" x14ac:dyDescent="0.55000000000000004">
      <c r="A1083">
        <v>215</v>
      </c>
      <c r="B1083" t="s">
        <v>14</v>
      </c>
      <c r="C1083">
        <v>25</v>
      </c>
      <c r="D1083">
        <v>45</v>
      </c>
      <c r="E1083" t="s">
        <v>437</v>
      </c>
      <c r="F1083">
        <v>13.46</v>
      </c>
      <c r="G1083" t="s">
        <v>1889</v>
      </c>
      <c r="H1083" t="s">
        <v>1891</v>
      </c>
      <c r="K1083" t="s">
        <v>2100</v>
      </c>
    </row>
    <row r="1084" spans="1:11" x14ac:dyDescent="0.55000000000000004">
      <c r="A1084">
        <v>216</v>
      </c>
      <c r="B1084" t="s">
        <v>14</v>
      </c>
      <c r="C1084">
        <v>25</v>
      </c>
      <c r="D1084">
        <v>45</v>
      </c>
      <c r="E1084" t="s">
        <v>438</v>
      </c>
      <c r="F1084">
        <v>12.46</v>
      </c>
      <c r="G1084" t="s">
        <v>1889</v>
      </c>
      <c r="H1084" t="s">
        <v>1891</v>
      </c>
      <c r="K1084" t="s">
        <v>2101</v>
      </c>
    </row>
    <row r="1085" spans="1:11" x14ac:dyDescent="0.55000000000000004">
      <c r="A1085">
        <v>217</v>
      </c>
      <c r="B1085" t="s">
        <v>14</v>
      </c>
      <c r="C1085">
        <v>25</v>
      </c>
      <c r="D1085">
        <v>45</v>
      </c>
      <c r="E1085" t="s">
        <v>439</v>
      </c>
      <c r="F1085">
        <v>11.79</v>
      </c>
      <c r="G1085" t="s">
        <v>1889</v>
      </c>
      <c r="H1085" t="s">
        <v>1891</v>
      </c>
      <c r="K1085" t="s">
        <v>2102</v>
      </c>
    </row>
    <row r="1086" spans="1:11" x14ac:dyDescent="0.55000000000000004">
      <c r="A1086">
        <v>218</v>
      </c>
      <c r="B1086" t="s">
        <v>14</v>
      </c>
      <c r="C1086">
        <v>25</v>
      </c>
      <c r="D1086">
        <v>45</v>
      </c>
      <c r="E1086" t="s">
        <v>440</v>
      </c>
      <c r="F1086">
        <v>12.83</v>
      </c>
      <c r="G1086" t="s">
        <v>1889</v>
      </c>
      <c r="H1086" t="s">
        <v>1891</v>
      </c>
      <c r="K1086" t="s">
        <v>2103</v>
      </c>
    </row>
    <row r="1087" spans="1:11" x14ac:dyDescent="0.55000000000000004">
      <c r="A1087">
        <v>219</v>
      </c>
      <c r="B1087" t="s">
        <v>14</v>
      </c>
      <c r="C1087">
        <v>25</v>
      </c>
      <c r="D1087">
        <v>45</v>
      </c>
      <c r="E1087" t="s">
        <v>441</v>
      </c>
      <c r="F1087">
        <v>11.03</v>
      </c>
      <c r="G1087" t="s">
        <v>1889</v>
      </c>
      <c r="H1087" t="s">
        <v>1891</v>
      </c>
      <c r="K1087" t="s">
        <v>2104</v>
      </c>
    </row>
    <row r="1088" spans="1:11" x14ac:dyDescent="0.55000000000000004">
      <c r="A1088">
        <v>220</v>
      </c>
      <c r="B1088" t="s">
        <v>14</v>
      </c>
      <c r="C1088">
        <v>25</v>
      </c>
      <c r="D1088">
        <v>45</v>
      </c>
      <c r="E1088" t="s">
        <v>442</v>
      </c>
      <c r="F1088">
        <v>12.58</v>
      </c>
      <c r="G1088" t="s">
        <v>1889</v>
      </c>
      <c r="H1088" t="s">
        <v>1891</v>
      </c>
      <c r="K1088" t="s">
        <v>2105</v>
      </c>
    </row>
    <row r="1089" spans="1:11" x14ac:dyDescent="0.55000000000000004">
      <c r="A1089">
        <v>221</v>
      </c>
      <c r="B1089" t="s">
        <v>14</v>
      </c>
      <c r="C1089">
        <v>25</v>
      </c>
      <c r="D1089">
        <v>45</v>
      </c>
      <c r="E1089" t="s">
        <v>443</v>
      </c>
      <c r="F1089">
        <v>13.27</v>
      </c>
      <c r="G1089" t="s">
        <v>1889</v>
      </c>
      <c r="H1089" t="s">
        <v>1891</v>
      </c>
      <c r="K1089" t="s">
        <v>2106</v>
      </c>
    </row>
    <row r="1090" spans="1:11" x14ac:dyDescent="0.55000000000000004">
      <c r="A1090">
        <v>222</v>
      </c>
      <c r="B1090" t="s">
        <v>14</v>
      </c>
      <c r="C1090">
        <v>25</v>
      </c>
      <c r="D1090">
        <v>45</v>
      </c>
      <c r="E1090" t="s">
        <v>444</v>
      </c>
      <c r="F1090">
        <v>10.050000000000001</v>
      </c>
      <c r="G1090" t="s">
        <v>1889</v>
      </c>
      <c r="H1090" t="s">
        <v>1891</v>
      </c>
      <c r="K1090" t="s">
        <v>2107</v>
      </c>
    </row>
    <row r="1091" spans="1:11" x14ac:dyDescent="0.55000000000000004">
      <c r="A1091">
        <v>223</v>
      </c>
      <c r="B1091" t="s">
        <v>14</v>
      </c>
      <c r="C1091">
        <v>25</v>
      </c>
      <c r="D1091">
        <v>45</v>
      </c>
      <c r="E1091" t="s">
        <v>445</v>
      </c>
      <c r="F1091">
        <v>10.86</v>
      </c>
      <c r="G1091" t="s">
        <v>1889</v>
      </c>
      <c r="H1091" t="s">
        <v>1891</v>
      </c>
      <c r="K1091" t="s">
        <v>2108</v>
      </c>
    </row>
    <row r="1092" spans="1:11" x14ac:dyDescent="0.55000000000000004">
      <c r="A1092">
        <v>224</v>
      </c>
      <c r="B1092" t="s">
        <v>14</v>
      </c>
      <c r="C1092">
        <v>25</v>
      </c>
      <c r="D1092">
        <v>45</v>
      </c>
      <c r="E1092" t="s">
        <v>446</v>
      </c>
      <c r="F1092">
        <v>12.62</v>
      </c>
      <c r="G1092" t="s">
        <v>1889</v>
      </c>
      <c r="H1092" t="s">
        <v>1891</v>
      </c>
      <c r="K1092" t="s">
        <v>2109</v>
      </c>
    </row>
    <row r="1093" spans="1:11" x14ac:dyDescent="0.55000000000000004">
      <c r="A1093">
        <v>237</v>
      </c>
      <c r="B1093" t="s">
        <v>15</v>
      </c>
      <c r="C1093">
        <v>25</v>
      </c>
      <c r="D1093">
        <v>190</v>
      </c>
      <c r="E1093" t="s">
        <v>459</v>
      </c>
      <c r="F1093">
        <v>13.13</v>
      </c>
      <c r="G1093" t="s">
        <v>1889</v>
      </c>
      <c r="H1093" t="s">
        <v>1891</v>
      </c>
      <c r="K1093" t="s">
        <v>2123</v>
      </c>
    </row>
    <row r="1094" spans="1:11" x14ac:dyDescent="0.55000000000000004">
      <c r="A1094">
        <v>238</v>
      </c>
      <c r="B1094" t="s">
        <v>15</v>
      </c>
      <c r="C1094">
        <v>25</v>
      </c>
      <c r="D1094">
        <v>190</v>
      </c>
      <c r="E1094" t="s">
        <v>460</v>
      </c>
      <c r="F1094">
        <v>12.48</v>
      </c>
      <c r="G1094" t="s">
        <v>1889</v>
      </c>
      <c r="H1094" t="s">
        <v>1891</v>
      </c>
      <c r="K1094" t="s">
        <v>2124</v>
      </c>
    </row>
    <row r="1095" spans="1:11" x14ac:dyDescent="0.55000000000000004">
      <c r="A1095">
        <v>239</v>
      </c>
      <c r="B1095" t="s">
        <v>15</v>
      </c>
      <c r="C1095">
        <v>25</v>
      </c>
      <c r="D1095">
        <v>190</v>
      </c>
      <c r="E1095" t="s">
        <v>461</v>
      </c>
      <c r="F1095">
        <v>12.7</v>
      </c>
      <c r="G1095" t="s">
        <v>1889</v>
      </c>
      <c r="H1095" t="s">
        <v>1891</v>
      </c>
      <c r="K1095" t="s">
        <v>2125</v>
      </c>
    </row>
    <row r="1096" spans="1:11" x14ac:dyDescent="0.55000000000000004">
      <c r="A1096">
        <v>240</v>
      </c>
      <c r="B1096" t="s">
        <v>15</v>
      </c>
      <c r="C1096">
        <v>25</v>
      </c>
      <c r="D1096">
        <v>190</v>
      </c>
      <c r="E1096" t="s">
        <v>462</v>
      </c>
      <c r="F1096">
        <v>12.65</v>
      </c>
      <c r="G1096" t="s">
        <v>1889</v>
      </c>
      <c r="H1096" t="s">
        <v>1891</v>
      </c>
      <c r="K1096" t="s">
        <v>2126</v>
      </c>
    </row>
    <row r="1097" spans="1:11" x14ac:dyDescent="0.55000000000000004">
      <c r="A1097">
        <v>241</v>
      </c>
      <c r="B1097" t="s">
        <v>15</v>
      </c>
      <c r="C1097">
        <v>25</v>
      </c>
      <c r="D1097">
        <v>190</v>
      </c>
      <c r="E1097" t="s">
        <v>463</v>
      </c>
      <c r="F1097">
        <v>12.17</v>
      </c>
      <c r="G1097" t="s">
        <v>1889</v>
      </c>
      <c r="H1097" t="s">
        <v>1891</v>
      </c>
      <c r="K1097" t="s">
        <v>2127</v>
      </c>
    </row>
    <row r="1098" spans="1:11" x14ac:dyDescent="0.55000000000000004">
      <c r="A1098">
        <v>242</v>
      </c>
      <c r="B1098" t="s">
        <v>15</v>
      </c>
      <c r="C1098">
        <v>25</v>
      </c>
      <c r="D1098">
        <v>190</v>
      </c>
      <c r="E1098" t="s">
        <v>464</v>
      </c>
      <c r="F1098">
        <v>9.52</v>
      </c>
      <c r="G1098" t="s">
        <v>1889</v>
      </c>
      <c r="H1098" t="s">
        <v>1891</v>
      </c>
      <c r="K1098" t="s">
        <v>2128</v>
      </c>
    </row>
    <row r="1099" spans="1:11" x14ac:dyDescent="0.55000000000000004">
      <c r="A1099">
        <v>243</v>
      </c>
      <c r="B1099" t="s">
        <v>15</v>
      </c>
      <c r="C1099">
        <v>25</v>
      </c>
      <c r="D1099">
        <v>190</v>
      </c>
      <c r="E1099" t="s">
        <v>465</v>
      </c>
      <c r="F1099">
        <v>12.63</v>
      </c>
      <c r="G1099" t="s">
        <v>1889</v>
      </c>
      <c r="H1099" t="s">
        <v>1891</v>
      </c>
      <c r="K1099" t="s">
        <v>2129</v>
      </c>
    </row>
    <row r="1100" spans="1:11" x14ac:dyDescent="0.55000000000000004">
      <c r="A1100">
        <v>244</v>
      </c>
      <c r="B1100" t="s">
        <v>15</v>
      </c>
      <c r="C1100">
        <v>25</v>
      </c>
      <c r="D1100">
        <v>190</v>
      </c>
      <c r="E1100" t="s">
        <v>466</v>
      </c>
      <c r="F1100">
        <v>13.62</v>
      </c>
      <c r="G1100" t="s">
        <v>1889</v>
      </c>
      <c r="H1100" t="s">
        <v>1891</v>
      </c>
      <c r="K1100" t="s">
        <v>2130</v>
      </c>
    </row>
    <row r="1101" spans="1:11" x14ac:dyDescent="0.55000000000000004">
      <c r="A1101">
        <v>245</v>
      </c>
      <c r="B1101" t="s">
        <v>15</v>
      </c>
      <c r="C1101">
        <v>25</v>
      </c>
      <c r="D1101">
        <v>190</v>
      </c>
      <c r="E1101" t="s">
        <v>467</v>
      </c>
      <c r="F1101">
        <v>12.88</v>
      </c>
      <c r="G1101" t="s">
        <v>1889</v>
      </c>
      <c r="H1101" t="s">
        <v>1891</v>
      </c>
      <c r="K1101" t="s">
        <v>2131</v>
      </c>
    </row>
    <row r="1102" spans="1:11" x14ac:dyDescent="0.55000000000000004">
      <c r="A1102">
        <v>246</v>
      </c>
      <c r="B1102" t="s">
        <v>15</v>
      </c>
      <c r="C1102">
        <v>25</v>
      </c>
      <c r="D1102">
        <v>190</v>
      </c>
      <c r="E1102" t="s">
        <v>468</v>
      </c>
      <c r="F1102">
        <v>12.1</v>
      </c>
      <c r="G1102" t="s">
        <v>1889</v>
      </c>
      <c r="H1102" t="s">
        <v>1891</v>
      </c>
      <c r="K1102" t="s">
        <v>2132</v>
      </c>
    </row>
    <row r="1103" spans="1:11" x14ac:dyDescent="0.55000000000000004">
      <c r="A1103">
        <v>247</v>
      </c>
      <c r="B1103" t="s">
        <v>15</v>
      </c>
      <c r="C1103">
        <v>25</v>
      </c>
      <c r="D1103">
        <v>190</v>
      </c>
      <c r="E1103" t="s">
        <v>469</v>
      </c>
      <c r="G1103" t="s">
        <v>1941</v>
      </c>
      <c r="H1103" t="s">
        <v>1941</v>
      </c>
    </row>
    <row r="1104" spans="1:11" x14ac:dyDescent="0.55000000000000004">
      <c r="A1104">
        <v>248</v>
      </c>
      <c r="B1104" t="s">
        <v>15</v>
      </c>
      <c r="C1104">
        <v>25</v>
      </c>
      <c r="D1104">
        <v>190</v>
      </c>
      <c r="E1104" t="s">
        <v>470</v>
      </c>
      <c r="G1104" t="s">
        <v>1941</v>
      </c>
      <c r="H1104" t="s">
        <v>1941</v>
      </c>
    </row>
    <row r="1105" spans="1:11" x14ac:dyDescent="0.55000000000000004">
      <c r="A1105">
        <v>249</v>
      </c>
      <c r="B1105" t="s">
        <v>15</v>
      </c>
      <c r="C1105">
        <v>25</v>
      </c>
      <c r="D1105">
        <v>190</v>
      </c>
      <c r="E1105" t="s">
        <v>471</v>
      </c>
      <c r="G1105" t="s">
        <v>1941</v>
      </c>
      <c r="H1105" t="s">
        <v>1941</v>
      </c>
    </row>
    <row r="1106" spans="1:11" x14ac:dyDescent="0.55000000000000004">
      <c r="A1106">
        <v>272</v>
      </c>
      <c r="B1106" t="s">
        <v>17</v>
      </c>
      <c r="C1106">
        <v>25</v>
      </c>
      <c r="D1106">
        <v>65</v>
      </c>
      <c r="E1106" t="s">
        <v>494</v>
      </c>
      <c r="F1106">
        <v>10.15</v>
      </c>
      <c r="G1106" t="s">
        <v>1889</v>
      </c>
      <c r="H1106" t="s">
        <v>1891</v>
      </c>
      <c r="K1106" t="s">
        <v>2154</v>
      </c>
    </row>
    <row r="1107" spans="1:11" x14ac:dyDescent="0.55000000000000004">
      <c r="A1107">
        <v>273</v>
      </c>
      <c r="B1107" t="s">
        <v>17</v>
      </c>
      <c r="C1107">
        <v>25</v>
      </c>
      <c r="D1107">
        <v>65</v>
      </c>
      <c r="E1107" t="s">
        <v>495</v>
      </c>
      <c r="F1107">
        <v>14.02</v>
      </c>
      <c r="G1107" t="s">
        <v>1889</v>
      </c>
      <c r="H1107" t="s">
        <v>1891</v>
      </c>
      <c r="K1107" t="s">
        <v>2155</v>
      </c>
    </row>
    <row r="1108" spans="1:11" x14ac:dyDescent="0.55000000000000004">
      <c r="A1108">
        <v>274</v>
      </c>
      <c r="B1108" t="s">
        <v>17</v>
      </c>
      <c r="C1108">
        <v>25</v>
      </c>
      <c r="D1108">
        <v>65</v>
      </c>
      <c r="E1108" t="s">
        <v>496</v>
      </c>
      <c r="F1108">
        <v>13.67</v>
      </c>
      <c r="G1108" t="s">
        <v>1889</v>
      </c>
      <c r="H1108" t="s">
        <v>1891</v>
      </c>
      <c r="K1108" t="s">
        <v>2156</v>
      </c>
    </row>
    <row r="1109" spans="1:11" x14ac:dyDescent="0.55000000000000004">
      <c r="A1109">
        <v>275</v>
      </c>
      <c r="B1109" t="s">
        <v>17</v>
      </c>
      <c r="C1109">
        <v>25</v>
      </c>
      <c r="D1109">
        <v>65</v>
      </c>
      <c r="E1109" t="s">
        <v>497</v>
      </c>
      <c r="F1109">
        <v>11.96</v>
      </c>
      <c r="G1109" t="s">
        <v>1889</v>
      </c>
      <c r="H1109" t="s">
        <v>1891</v>
      </c>
      <c r="K1109" t="s">
        <v>2157</v>
      </c>
    </row>
    <row r="1110" spans="1:11" x14ac:dyDescent="0.55000000000000004">
      <c r="A1110">
        <v>276</v>
      </c>
      <c r="B1110" t="s">
        <v>17</v>
      </c>
      <c r="C1110">
        <v>25</v>
      </c>
      <c r="D1110">
        <v>65</v>
      </c>
      <c r="E1110" t="s">
        <v>498</v>
      </c>
      <c r="F1110">
        <v>12.43</v>
      </c>
      <c r="G1110" t="s">
        <v>1889</v>
      </c>
      <c r="H1110" t="s">
        <v>1891</v>
      </c>
      <c r="K1110" t="s">
        <v>2158</v>
      </c>
    </row>
    <row r="1111" spans="1:11" x14ac:dyDescent="0.55000000000000004">
      <c r="A1111">
        <v>277</v>
      </c>
      <c r="B1111" t="s">
        <v>17</v>
      </c>
      <c r="C1111">
        <v>25</v>
      </c>
      <c r="D1111">
        <v>65</v>
      </c>
      <c r="E1111" t="s">
        <v>499</v>
      </c>
      <c r="F1111">
        <v>12.35</v>
      </c>
      <c r="G1111" t="s">
        <v>1889</v>
      </c>
      <c r="H1111" t="s">
        <v>1891</v>
      </c>
      <c r="K1111" t="s">
        <v>2159</v>
      </c>
    </row>
    <row r="1112" spans="1:11" x14ac:dyDescent="0.55000000000000004">
      <c r="A1112">
        <v>278</v>
      </c>
      <c r="B1112" t="s">
        <v>17</v>
      </c>
      <c r="C1112">
        <v>25</v>
      </c>
      <c r="D1112">
        <v>65</v>
      </c>
      <c r="E1112" t="s">
        <v>500</v>
      </c>
      <c r="F1112">
        <v>12.89</v>
      </c>
      <c r="G1112" t="s">
        <v>1889</v>
      </c>
      <c r="H1112" t="s">
        <v>1891</v>
      </c>
      <c r="K1112" t="s">
        <v>2160</v>
      </c>
    </row>
    <row r="1113" spans="1:11" x14ac:dyDescent="0.55000000000000004">
      <c r="A1113">
        <v>279</v>
      </c>
      <c r="B1113" t="s">
        <v>17</v>
      </c>
      <c r="C1113">
        <v>25</v>
      </c>
      <c r="D1113">
        <v>65</v>
      </c>
      <c r="E1113" t="s">
        <v>501</v>
      </c>
      <c r="F1113">
        <v>11.9</v>
      </c>
      <c r="G1113" t="s">
        <v>1889</v>
      </c>
      <c r="H1113" t="s">
        <v>1891</v>
      </c>
      <c r="K1113" t="s">
        <v>2161</v>
      </c>
    </row>
    <row r="1114" spans="1:11" x14ac:dyDescent="0.55000000000000004">
      <c r="A1114">
        <v>280</v>
      </c>
      <c r="B1114" t="s">
        <v>17</v>
      </c>
      <c r="C1114">
        <v>25</v>
      </c>
      <c r="D1114">
        <v>65</v>
      </c>
      <c r="E1114" t="s">
        <v>502</v>
      </c>
      <c r="F1114">
        <v>13.46</v>
      </c>
      <c r="G1114" t="s">
        <v>1889</v>
      </c>
      <c r="H1114" t="s">
        <v>1891</v>
      </c>
      <c r="K1114" t="s">
        <v>2162</v>
      </c>
    </row>
    <row r="1115" spans="1:11" x14ac:dyDescent="0.55000000000000004">
      <c r="A1115">
        <v>281</v>
      </c>
      <c r="B1115" t="s">
        <v>17</v>
      </c>
      <c r="C1115">
        <v>25</v>
      </c>
      <c r="D1115">
        <v>65</v>
      </c>
      <c r="E1115" t="s">
        <v>503</v>
      </c>
      <c r="F1115">
        <v>12.98</v>
      </c>
      <c r="G1115" t="s">
        <v>1889</v>
      </c>
      <c r="H1115" t="s">
        <v>1891</v>
      </c>
      <c r="K1115" t="s">
        <v>2163</v>
      </c>
    </row>
    <row r="1116" spans="1:11" x14ac:dyDescent="0.55000000000000004">
      <c r="A1116">
        <v>282</v>
      </c>
      <c r="B1116" t="s">
        <v>17</v>
      </c>
      <c r="C1116">
        <v>25</v>
      </c>
      <c r="D1116">
        <v>65</v>
      </c>
      <c r="E1116" t="s">
        <v>504</v>
      </c>
      <c r="F1116">
        <v>11.58</v>
      </c>
      <c r="G1116" t="s">
        <v>1889</v>
      </c>
      <c r="H1116" t="s">
        <v>1891</v>
      </c>
      <c r="K1116" t="s">
        <v>2164</v>
      </c>
    </row>
    <row r="1117" spans="1:11" x14ac:dyDescent="0.55000000000000004">
      <c r="A1117">
        <v>283</v>
      </c>
      <c r="B1117" t="s">
        <v>17</v>
      </c>
      <c r="C1117">
        <v>25</v>
      </c>
      <c r="D1117">
        <v>65</v>
      </c>
      <c r="E1117" t="s">
        <v>505</v>
      </c>
      <c r="F1117">
        <v>13.47</v>
      </c>
      <c r="G1117" t="s">
        <v>1889</v>
      </c>
      <c r="H1117" t="s">
        <v>1891</v>
      </c>
      <c r="K1117" t="s">
        <v>2165</v>
      </c>
    </row>
    <row r="1118" spans="1:11" x14ac:dyDescent="0.55000000000000004">
      <c r="A1118">
        <v>284</v>
      </c>
      <c r="B1118" t="s">
        <v>17</v>
      </c>
      <c r="C1118">
        <v>25</v>
      </c>
      <c r="D1118">
        <v>65</v>
      </c>
      <c r="E1118" t="s">
        <v>506</v>
      </c>
      <c r="F1118">
        <v>11.86</v>
      </c>
      <c r="G1118" t="s">
        <v>1889</v>
      </c>
      <c r="H1118" t="s">
        <v>1891</v>
      </c>
      <c r="K1118" t="s">
        <v>2166</v>
      </c>
    </row>
    <row r="1119" spans="1:11" x14ac:dyDescent="0.55000000000000004">
      <c r="A1119">
        <v>297</v>
      </c>
      <c r="B1119" t="s">
        <v>18</v>
      </c>
      <c r="C1119">
        <v>25</v>
      </c>
      <c r="D1119">
        <v>172</v>
      </c>
      <c r="E1119" t="s">
        <v>519</v>
      </c>
      <c r="F1119">
        <v>13</v>
      </c>
      <c r="G1119" t="s">
        <v>1889</v>
      </c>
      <c r="H1119" t="s">
        <v>1891</v>
      </c>
      <c r="K1119" t="s">
        <v>2179</v>
      </c>
    </row>
    <row r="1120" spans="1:11" x14ac:dyDescent="0.55000000000000004">
      <c r="A1120">
        <v>298</v>
      </c>
      <c r="B1120" t="s">
        <v>18</v>
      </c>
      <c r="C1120">
        <v>25</v>
      </c>
      <c r="D1120">
        <v>172</v>
      </c>
      <c r="E1120" t="s">
        <v>520</v>
      </c>
      <c r="F1120">
        <v>13.99</v>
      </c>
      <c r="G1120" t="s">
        <v>1889</v>
      </c>
      <c r="H1120" t="s">
        <v>1891</v>
      </c>
      <c r="K1120" t="s">
        <v>2180</v>
      </c>
    </row>
    <row r="1121" spans="1:11" x14ac:dyDescent="0.55000000000000004">
      <c r="A1121">
        <v>299</v>
      </c>
      <c r="B1121" t="s">
        <v>18</v>
      </c>
      <c r="C1121">
        <v>25</v>
      </c>
      <c r="D1121">
        <v>172</v>
      </c>
      <c r="E1121" t="s">
        <v>521</v>
      </c>
      <c r="F1121">
        <v>12.8</v>
      </c>
      <c r="G1121" t="s">
        <v>1889</v>
      </c>
      <c r="H1121" t="s">
        <v>1891</v>
      </c>
      <c r="K1121" t="s">
        <v>2181</v>
      </c>
    </row>
    <row r="1122" spans="1:11" x14ac:dyDescent="0.55000000000000004">
      <c r="A1122">
        <v>300</v>
      </c>
      <c r="B1122" t="s">
        <v>18</v>
      </c>
      <c r="C1122">
        <v>25</v>
      </c>
      <c r="D1122">
        <v>172</v>
      </c>
      <c r="E1122" t="s">
        <v>522</v>
      </c>
      <c r="F1122">
        <v>13.42</v>
      </c>
      <c r="G1122" t="s">
        <v>1889</v>
      </c>
      <c r="H1122" t="s">
        <v>1891</v>
      </c>
      <c r="K1122" t="s">
        <v>2182</v>
      </c>
    </row>
    <row r="1123" spans="1:11" x14ac:dyDescent="0.55000000000000004">
      <c r="A1123">
        <v>301</v>
      </c>
      <c r="B1123" t="s">
        <v>18</v>
      </c>
      <c r="C1123">
        <v>25</v>
      </c>
      <c r="D1123">
        <v>172</v>
      </c>
      <c r="E1123" t="s">
        <v>523</v>
      </c>
      <c r="F1123">
        <v>13.7</v>
      </c>
      <c r="G1123" t="s">
        <v>1889</v>
      </c>
      <c r="H1123" t="s">
        <v>1891</v>
      </c>
      <c r="K1123" t="s">
        <v>2183</v>
      </c>
    </row>
    <row r="1124" spans="1:11" x14ac:dyDescent="0.55000000000000004">
      <c r="A1124">
        <v>302</v>
      </c>
      <c r="B1124" t="s">
        <v>18</v>
      </c>
      <c r="C1124">
        <v>25</v>
      </c>
      <c r="D1124">
        <v>172</v>
      </c>
      <c r="E1124" t="s">
        <v>524</v>
      </c>
      <c r="F1124">
        <v>13.46</v>
      </c>
      <c r="G1124" t="s">
        <v>1889</v>
      </c>
      <c r="H1124" t="s">
        <v>1891</v>
      </c>
      <c r="K1124" t="s">
        <v>2184</v>
      </c>
    </row>
    <row r="1125" spans="1:11" x14ac:dyDescent="0.55000000000000004">
      <c r="A1125">
        <v>303</v>
      </c>
      <c r="B1125" t="s">
        <v>18</v>
      </c>
      <c r="C1125">
        <v>25</v>
      </c>
      <c r="D1125">
        <v>172</v>
      </c>
      <c r="E1125" t="s">
        <v>525</v>
      </c>
      <c r="F1125">
        <v>12.78</v>
      </c>
      <c r="G1125" t="s">
        <v>1889</v>
      </c>
      <c r="H1125" t="s">
        <v>1891</v>
      </c>
      <c r="K1125" t="s">
        <v>2185</v>
      </c>
    </row>
    <row r="1126" spans="1:11" x14ac:dyDescent="0.55000000000000004">
      <c r="A1126">
        <v>304</v>
      </c>
      <c r="B1126" t="s">
        <v>18</v>
      </c>
      <c r="C1126">
        <v>25</v>
      </c>
      <c r="D1126">
        <v>172</v>
      </c>
      <c r="E1126" t="s">
        <v>526</v>
      </c>
      <c r="F1126">
        <v>13.5</v>
      </c>
      <c r="G1126" t="s">
        <v>1889</v>
      </c>
      <c r="H1126" t="s">
        <v>1891</v>
      </c>
      <c r="K1126" t="s">
        <v>2186</v>
      </c>
    </row>
    <row r="1127" spans="1:11" x14ac:dyDescent="0.55000000000000004">
      <c r="A1127">
        <v>305</v>
      </c>
      <c r="B1127" t="s">
        <v>18</v>
      </c>
      <c r="C1127">
        <v>25</v>
      </c>
      <c r="D1127">
        <v>172</v>
      </c>
      <c r="E1127" t="s">
        <v>527</v>
      </c>
      <c r="F1127">
        <v>13.4</v>
      </c>
      <c r="G1127" t="s">
        <v>1889</v>
      </c>
      <c r="H1127" t="s">
        <v>1891</v>
      </c>
      <c r="K1127" t="s">
        <v>2187</v>
      </c>
    </row>
    <row r="1128" spans="1:11" x14ac:dyDescent="0.55000000000000004">
      <c r="A1128">
        <v>306</v>
      </c>
      <c r="B1128" t="s">
        <v>18</v>
      </c>
      <c r="C1128">
        <v>25</v>
      </c>
      <c r="D1128">
        <v>172</v>
      </c>
      <c r="E1128" t="s">
        <v>528</v>
      </c>
      <c r="F1128">
        <v>12.04</v>
      </c>
      <c r="G1128" t="s">
        <v>1889</v>
      </c>
      <c r="H1128" t="s">
        <v>1891</v>
      </c>
      <c r="K1128" t="s">
        <v>2188</v>
      </c>
    </row>
    <row r="1129" spans="1:11" x14ac:dyDescent="0.55000000000000004">
      <c r="A1129">
        <v>307</v>
      </c>
      <c r="B1129" t="s">
        <v>18</v>
      </c>
      <c r="C1129">
        <v>25</v>
      </c>
      <c r="D1129">
        <v>172</v>
      </c>
      <c r="E1129" t="s">
        <v>529</v>
      </c>
      <c r="F1129">
        <v>13.22</v>
      </c>
      <c r="G1129" t="s">
        <v>1889</v>
      </c>
      <c r="H1129" t="s">
        <v>1891</v>
      </c>
      <c r="K1129" t="s">
        <v>2189</v>
      </c>
    </row>
    <row r="1130" spans="1:11" x14ac:dyDescent="0.55000000000000004">
      <c r="A1130">
        <v>308</v>
      </c>
      <c r="B1130" t="s">
        <v>18</v>
      </c>
      <c r="C1130">
        <v>25</v>
      </c>
      <c r="D1130">
        <v>172</v>
      </c>
      <c r="E1130" t="s">
        <v>530</v>
      </c>
      <c r="F1130">
        <v>12.33</v>
      </c>
      <c r="G1130" t="s">
        <v>1889</v>
      </c>
      <c r="H1130" t="s">
        <v>1891</v>
      </c>
      <c r="K1130" t="s">
        <v>2190</v>
      </c>
    </row>
    <row r="1131" spans="1:11" x14ac:dyDescent="0.55000000000000004">
      <c r="A1131">
        <v>309</v>
      </c>
      <c r="B1131" t="s">
        <v>18</v>
      </c>
      <c r="C1131">
        <v>25</v>
      </c>
      <c r="D1131">
        <v>172</v>
      </c>
      <c r="E1131" t="s">
        <v>531</v>
      </c>
      <c r="F1131">
        <v>13.43</v>
      </c>
      <c r="G1131" t="s">
        <v>1889</v>
      </c>
      <c r="H1131" t="s">
        <v>1891</v>
      </c>
      <c r="K1131" t="s">
        <v>2191</v>
      </c>
    </row>
    <row r="1132" spans="1:11" x14ac:dyDescent="0.55000000000000004">
      <c r="A1132">
        <v>322</v>
      </c>
      <c r="B1132" t="s">
        <v>19</v>
      </c>
      <c r="C1132">
        <v>25</v>
      </c>
      <c r="D1132">
        <v>188</v>
      </c>
      <c r="E1132" t="s">
        <v>544</v>
      </c>
      <c r="F1132">
        <v>12.29</v>
      </c>
      <c r="G1132" t="s">
        <v>1889</v>
      </c>
      <c r="H1132" t="s">
        <v>1891</v>
      </c>
      <c r="K1132" t="s">
        <v>2204</v>
      </c>
    </row>
    <row r="1133" spans="1:11" x14ac:dyDescent="0.55000000000000004">
      <c r="A1133">
        <v>323</v>
      </c>
      <c r="B1133" t="s">
        <v>19</v>
      </c>
      <c r="C1133">
        <v>25</v>
      </c>
      <c r="D1133">
        <v>188</v>
      </c>
      <c r="E1133" t="s">
        <v>545</v>
      </c>
      <c r="F1133">
        <v>13.37</v>
      </c>
      <c r="G1133" t="s">
        <v>1889</v>
      </c>
      <c r="H1133" t="s">
        <v>1891</v>
      </c>
      <c r="K1133" t="s">
        <v>2205</v>
      </c>
    </row>
    <row r="1134" spans="1:11" x14ac:dyDescent="0.55000000000000004">
      <c r="A1134">
        <v>324</v>
      </c>
      <c r="B1134" t="s">
        <v>19</v>
      </c>
      <c r="C1134">
        <v>25</v>
      </c>
      <c r="D1134">
        <v>188</v>
      </c>
      <c r="E1134" t="s">
        <v>546</v>
      </c>
      <c r="F1134">
        <v>11.53</v>
      </c>
      <c r="G1134" t="s">
        <v>1889</v>
      </c>
      <c r="H1134" t="s">
        <v>1891</v>
      </c>
      <c r="K1134" t="s">
        <v>2206</v>
      </c>
    </row>
    <row r="1135" spans="1:11" x14ac:dyDescent="0.55000000000000004">
      <c r="A1135">
        <v>325</v>
      </c>
      <c r="B1135" t="s">
        <v>19</v>
      </c>
      <c r="C1135">
        <v>25</v>
      </c>
      <c r="D1135">
        <v>188</v>
      </c>
      <c r="E1135" t="s">
        <v>547</v>
      </c>
      <c r="F1135">
        <v>13.64</v>
      </c>
      <c r="G1135" t="s">
        <v>1889</v>
      </c>
      <c r="H1135" t="s">
        <v>1891</v>
      </c>
      <c r="K1135" t="s">
        <v>2207</v>
      </c>
    </row>
    <row r="1136" spans="1:11" x14ac:dyDescent="0.55000000000000004">
      <c r="A1136">
        <v>326</v>
      </c>
      <c r="B1136" t="s">
        <v>19</v>
      </c>
      <c r="C1136">
        <v>25</v>
      </c>
      <c r="D1136">
        <v>188</v>
      </c>
      <c r="E1136" t="s">
        <v>548</v>
      </c>
      <c r="F1136">
        <v>13.03</v>
      </c>
      <c r="G1136" t="s">
        <v>1889</v>
      </c>
      <c r="H1136" t="s">
        <v>1891</v>
      </c>
      <c r="K1136" t="s">
        <v>2208</v>
      </c>
    </row>
    <row r="1137" spans="1:11" x14ac:dyDescent="0.55000000000000004">
      <c r="A1137">
        <v>327</v>
      </c>
      <c r="B1137" t="s">
        <v>19</v>
      </c>
      <c r="C1137">
        <v>25</v>
      </c>
      <c r="D1137">
        <v>188</v>
      </c>
      <c r="E1137" t="s">
        <v>549</v>
      </c>
      <c r="F1137">
        <v>12.21</v>
      </c>
      <c r="G1137" t="s">
        <v>1889</v>
      </c>
      <c r="H1137" t="s">
        <v>1891</v>
      </c>
      <c r="K1137" t="s">
        <v>2209</v>
      </c>
    </row>
    <row r="1138" spans="1:11" x14ac:dyDescent="0.55000000000000004">
      <c r="A1138">
        <v>328</v>
      </c>
      <c r="B1138" t="s">
        <v>19</v>
      </c>
      <c r="C1138">
        <v>25</v>
      </c>
      <c r="D1138">
        <v>188</v>
      </c>
      <c r="E1138" t="s">
        <v>550</v>
      </c>
      <c r="F1138">
        <v>11.04</v>
      </c>
      <c r="G1138" t="s">
        <v>1889</v>
      </c>
      <c r="H1138" t="s">
        <v>1891</v>
      </c>
      <c r="K1138" t="s">
        <v>2210</v>
      </c>
    </row>
    <row r="1139" spans="1:11" x14ac:dyDescent="0.55000000000000004">
      <c r="A1139">
        <v>329</v>
      </c>
      <c r="B1139" t="s">
        <v>19</v>
      </c>
      <c r="C1139">
        <v>25</v>
      </c>
      <c r="D1139">
        <v>188</v>
      </c>
      <c r="E1139" t="s">
        <v>551</v>
      </c>
      <c r="F1139">
        <v>11.88</v>
      </c>
      <c r="G1139" t="s">
        <v>1889</v>
      </c>
      <c r="H1139" t="s">
        <v>1891</v>
      </c>
      <c r="K1139" t="s">
        <v>2211</v>
      </c>
    </row>
    <row r="1140" spans="1:11" x14ac:dyDescent="0.55000000000000004">
      <c r="A1140">
        <v>330</v>
      </c>
      <c r="B1140" t="s">
        <v>19</v>
      </c>
      <c r="C1140">
        <v>25</v>
      </c>
      <c r="D1140">
        <v>188</v>
      </c>
      <c r="E1140" t="s">
        <v>552</v>
      </c>
      <c r="F1140">
        <v>10.25</v>
      </c>
      <c r="G1140" t="s">
        <v>1889</v>
      </c>
      <c r="H1140" t="s">
        <v>1891</v>
      </c>
      <c r="K1140" t="s">
        <v>2212</v>
      </c>
    </row>
    <row r="1141" spans="1:11" x14ac:dyDescent="0.55000000000000004">
      <c r="A1141">
        <v>331</v>
      </c>
      <c r="B1141" t="s">
        <v>19</v>
      </c>
      <c r="C1141">
        <v>25</v>
      </c>
      <c r="D1141">
        <v>188</v>
      </c>
      <c r="E1141" t="s">
        <v>553</v>
      </c>
      <c r="G1141" t="s">
        <v>1941</v>
      </c>
      <c r="H1141" t="s">
        <v>1941</v>
      </c>
    </row>
    <row r="1142" spans="1:11" x14ac:dyDescent="0.55000000000000004">
      <c r="A1142">
        <v>332</v>
      </c>
      <c r="B1142" t="s">
        <v>19</v>
      </c>
      <c r="C1142">
        <v>25</v>
      </c>
      <c r="D1142">
        <v>188</v>
      </c>
      <c r="E1142" t="s">
        <v>554</v>
      </c>
      <c r="G1142" t="s">
        <v>1941</v>
      </c>
      <c r="H1142" t="s">
        <v>1941</v>
      </c>
    </row>
    <row r="1143" spans="1:11" x14ac:dyDescent="0.55000000000000004">
      <c r="A1143">
        <v>333</v>
      </c>
      <c r="B1143" t="s">
        <v>19</v>
      </c>
      <c r="C1143">
        <v>25</v>
      </c>
      <c r="D1143">
        <v>188</v>
      </c>
      <c r="E1143" t="s">
        <v>555</v>
      </c>
      <c r="G1143" t="s">
        <v>1941</v>
      </c>
      <c r="H1143" t="s">
        <v>1941</v>
      </c>
    </row>
    <row r="1144" spans="1:11" x14ac:dyDescent="0.55000000000000004">
      <c r="A1144">
        <v>334</v>
      </c>
      <c r="B1144" t="s">
        <v>19</v>
      </c>
      <c r="C1144">
        <v>25</v>
      </c>
      <c r="D1144">
        <v>188</v>
      </c>
      <c r="E1144" t="s">
        <v>556</v>
      </c>
      <c r="G1144" t="s">
        <v>1941</v>
      </c>
      <c r="H1144" t="s">
        <v>1941</v>
      </c>
    </row>
    <row r="1145" spans="1:11" x14ac:dyDescent="0.55000000000000004">
      <c r="A1145">
        <v>347</v>
      </c>
      <c r="B1145" t="s">
        <v>20</v>
      </c>
      <c r="C1145">
        <v>25</v>
      </c>
      <c r="D1145">
        <v>36</v>
      </c>
      <c r="E1145" t="s">
        <v>569</v>
      </c>
      <c r="F1145">
        <v>13.15</v>
      </c>
      <c r="G1145" t="s">
        <v>1889</v>
      </c>
      <c r="H1145" t="s">
        <v>1891</v>
      </c>
      <c r="K1145" t="s">
        <v>2225</v>
      </c>
    </row>
    <row r="1146" spans="1:11" x14ac:dyDescent="0.55000000000000004">
      <c r="A1146">
        <v>348</v>
      </c>
      <c r="B1146" t="s">
        <v>20</v>
      </c>
      <c r="C1146">
        <v>25</v>
      </c>
      <c r="D1146">
        <v>36</v>
      </c>
      <c r="E1146" t="s">
        <v>570</v>
      </c>
      <c r="F1146">
        <v>12.74</v>
      </c>
      <c r="G1146" t="s">
        <v>1889</v>
      </c>
      <c r="H1146" t="s">
        <v>1891</v>
      </c>
      <c r="K1146" t="s">
        <v>2226</v>
      </c>
    </row>
    <row r="1147" spans="1:11" x14ac:dyDescent="0.55000000000000004">
      <c r="A1147">
        <v>349</v>
      </c>
      <c r="B1147" t="s">
        <v>20</v>
      </c>
      <c r="C1147">
        <v>25</v>
      </c>
      <c r="D1147">
        <v>36</v>
      </c>
      <c r="E1147" t="s">
        <v>571</v>
      </c>
      <c r="F1147">
        <v>13.63</v>
      </c>
      <c r="G1147" t="s">
        <v>1889</v>
      </c>
      <c r="H1147" t="s">
        <v>1891</v>
      </c>
      <c r="K1147" t="s">
        <v>2227</v>
      </c>
    </row>
    <row r="1148" spans="1:11" x14ac:dyDescent="0.55000000000000004">
      <c r="A1148">
        <v>350</v>
      </c>
      <c r="B1148" t="s">
        <v>20</v>
      </c>
      <c r="C1148">
        <v>25</v>
      </c>
      <c r="D1148">
        <v>36</v>
      </c>
      <c r="E1148" t="s">
        <v>572</v>
      </c>
      <c r="F1148">
        <v>12.48</v>
      </c>
      <c r="G1148" t="s">
        <v>1889</v>
      </c>
      <c r="H1148" t="s">
        <v>1891</v>
      </c>
      <c r="K1148" t="s">
        <v>2228</v>
      </c>
    </row>
    <row r="1149" spans="1:11" x14ac:dyDescent="0.55000000000000004">
      <c r="A1149">
        <v>351</v>
      </c>
      <c r="B1149" t="s">
        <v>20</v>
      </c>
      <c r="C1149">
        <v>25</v>
      </c>
      <c r="D1149">
        <v>36</v>
      </c>
      <c r="E1149" t="s">
        <v>573</v>
      </c>
      <c r="F1149">
        <v>13.21</v>
      </c>
      <c r="G1149" t="s">
        <v>1889</v>
      </c>
      <c r="H1149" t="s">
        <v>1891</v>
      </c>
      <c r="K1149" t="s">
        <v>2229</v>
      </c>
    </row>
    <row r="1150" spans="1:11" x14ac:dyDescent="0.55000000000000004">
      <c r="A1150">
        <v>352</v>
      </c>
      <c r="B1150" t="s">
        <v>20</v>
      </c>
      <c r="C1150">
        <v>25</v>
      </c>
      <c r="D1150">
        <v>36</v>
      </c>
      <c r="E1150" t="s">
        <v>574</v>
      </c>
      <c r="F1150">
        <v>12.78</v>
      </c>
      <c r="G1150" t="s">
        <v>1889</v>
      </c>
      <c r="H1150" t="s">
        <v>1891</v>
      </c>
      <c r="K1150" t="s">
        <v>2230</v>
      </c>
    </row>
    <row r="1151" spans="1:11" x14ac:dyDescent="0.55000000000000004">
      <c r="A1151">
        <v>353</v>
      </c>
      <c r="B1151" t="s">
        <v>20</v>
      </c>
      <c r="C1151">
        <v>25</v>
      </c>
      <c r="D1151">
        <v>36</v>
      </c>
      <c r="E1151" t="s">
        <v>575</v>
      </c>
      <c r="F1151">
        <v>10.19</v>
      </c>
      <c r="G1151" t="s">
        <v>1889</v>
      </c>
      <c r="H1151" t="s">
        <v>1891</v>
      </c>
      <c r="K1151" t="s">
        <v>2231</v>
      </c>
    </row>
    <row r="1152" spans="1:11" x14ac:dyDescent="0.55000000000000004">
      <c r="A1152">
        <v>354</v>
      </c>
      <c r="B1152" t="s">
        <v>20</v>
      </c>
      <c r="C1152">
        <v>25</v>
      </c>
      <c r="D1152">
        <v>36</v>
      </c>
      <c r="E1152" t="s">
        <v>576</v>
      </c>
      <c r="F1152">
        <v>12.24</v>
      </c>
      <c r="G1152" t="s">
        <v>1889</v>
      </c>
      <c r="H1152" t="s">
        <v>1891</v>
      </c>
      <c r="K1152" t="s">
        <v>2232</v>
      </c>
    </row>
    <row r="1153" spans="1:11" x14ac:dyDescent="0.55000000000000004">
      <c r="A1153">
        <v>355</v>
      </c>
      <c r="B1153" t="s">
        <v>20</v>
      </c>
      <c r="C1153">
        <v>25</v>
      </c>
      <c r="D1153">
        <v>36</v>
      </c>
      <c r="E1153" t="s">
        <v>577</v>
      </c>
      <c r="F1153">
        <v>11.16</v>
      </c>
      <c r="G1153" t="s">
        <v>1889</v>
      </c>
      <c r="H1153" t="s">
        <v>1891</v>
      </c>
      <c r="K1153" t="s">
        <v>2233</v>
      </c>
    </row>
    <row r="1154" spans="1:11" x14ac:dyDescent="0.55000000000000004">
      <c r="A1154">
        <v>356</v>
      </c>
      <c r="B1154" t="s">
        <v>20</v>
      </c>
      <c r="C1154">
        <v>25</v>
      </c>
      <c r="D1154">
        <v>36</v>
      </c>
      <c r="E1154" t="s">
        <v>578</v>
      </c>
      <c r="F1154">
        <v>12.24</v>
      </c>
      <c r="G1154" t="s">
        <v>1889</v>
      </c>
      <c r="H1154" t="s">
        <v>1891</v>
      </c>
      <c r="K1154" t="s">
        <v>2234</v>
      </c>
    </row>
    <row r="1155" spans="1:11" x14ac:dyDescent="0.55000000000000004">
      <c r="A1155">
        <v>357</v>
      </c>
      <c r="B1155" t="s">
        <v>20</v>
      </c>
      <c r="C1155">
        <v>25</v>
      </c>
      <c r="D1155">
        <v>36</v>
      </c>
      <c r="E1155" t="s">
        <v>579</v>
      </c>
      <c r="F1155">
        <v>13.25</v>
      </c>
      <c r="G1155" t="s">
        <v>1889</v>
      </c>
      <c r="H1155" t="s">
        <v>1891</v>
      </c>
      <c r="K1155" t="s">
        <v>2235</v>
      </c>
    </row>
    <row r="1156" spans="1:11" x14ac:dyDescent="0.55000000000000004">
      <c r="A1156">
        <v>358</v>
      </c>
      <c r="B1156" t="s">
        <v>20</v>
      </c>
      <c r="C1156">
        <v>25</v>
      </c>
      <c r="D1156">
        <v>36</v>
      </c>
      <c r="E1156" t="s">
        <v>580</v>
      </c>
      <c r="F1156">
        <v>13.26</v>
      </c>
      <c r="G1156" t="s">
        <v>1889</v>
      </c>
      <c r="H1156" t="s">
        <v>1891</v>
      </c>
      <c r="K1156" t="s">
        <v>2236</v>
      </c>
    </row>
    <row r="1157" spans="1:11" x14ac:dyDescent="0.55000000000000004">
      <c r="A1157">
        <v>359</v>
      </c>
      <c r="B1157" t="s">
        <v>20</v>
      </c>
      <c r="C1157">
        <v>25</v>
      </c>
      <c r="D1157">
        <v>36</v>
      </c>
      <c r="E1157" t="s">
        <v>581</v>
      </c>
      <c r="F1157">
        <v>12.9</v>
      </c>
      <c r="G1157" t="s">
        <v>1889</v>
      </c>
      <c r="H1157" t="s">
        <v>1891</v>
      </c>
      <c r="K1157" t="s">
        <v>2237</v>
      </c>
    </row>
    <row r="1158" spans="1:11" x14ac:dyDescent="0.55000000000000004">
      <c r="A1158">
        <v>372</v>
      </c>
      <c r="B1158" t="s">
        <v>21</v>
      </c>
      <c r="C1158">
        <v>25</v>
      </c>
      <c r="E1158" t="s">
        <v>594</v>
      </c>
      <c r="F1158">
        <v>11.55</v>
      </c>
      <c r="G1158" t="s">
        <v>1889</v>
      </c>
      <c r="H1158" t="s">
        <v>1891</v>
      </c>
      <c r="K1158" t="s">
        <v>2250</v>
      </c>
    </row>
    <row r="1159" spans="1:11" x14ac:dyDescent="0.55000000000000004">
      <c r="A1159">
        <v>373</v>
      </c>
      <c r="B1159" t="s">
        <v>21</v>
      </c>
      <c r="C1159">
        <v>25</v>
      </c>
      <c r="D1159">
        <v>210</v>
      </c>
      <c r="E1159" t="s">
        <v>595</v>
      </c>
      <c r="F1159">
        <v>13.01</v>
      </c>
      <c r="G1159" t="s">
        <v>1889</v>
      </c>
      <c r="H1159" t="s">
        <v>1891</v>
      </c>
      <c r="K1159" t="s">
        <v>2251</v>
      </c>
    </row>
    <row r="1160" spans="1:11" x14ac:dyDescent="0.55000000000000004">
      <c r="A1160">
        <v>374</v>
      </c>
      <c r="B1160" t="s">
        <v>21</v>
      </c>
      <c r="C1160">
        <v>25</v>
      </c>
      <c r="D1160">
        <v>210</v>
      </c>
      <c r="E1160" t="s">
        <v>596</v>
      </c>
      <c r="F1160">
        <v>12.11</v>
      </c>
      <c r="G1160" t="s">
        <v>1889</v>
      </c>
      <c r="H1160" t="s">
        <v>1891</v>
      </c>
      <c r="K1160" t="s">
        <v>2252</v>
      </c>
    </row>
    <row r="1161" spans="1:11" x14ac:dyDescent="0.55000000000000004">
      <c r="A1161">
        <v>375</v>
      </c>
      <c r="B1161" t="s">
        <v>21</v>
      </c>
      <c r="C1161">
        <v>25</v>
      </c>
      <c r="D1161">
        <v>210</v>
      </c>
      <c r="E1161" t="s">
        <v>597</v>
      </c>
      <c r="F1161">
        <v>13.14</v>
      </c>
      <c r="G1161" t="s">
        <v>1889</v>
      </c>
      <c r="H1161" t="s">
        <v>1891</v>
      </c>
      <c r="K1161" t="s">
        <v>2253</v>
      </c>
    </row>
    <row r="1162" spans="1:11" x14ac:dyDescent="0.55000000000000004">
      <c r="A1162">
        <v>376</v>
      </c>
      <c r="B1162" t="s">
        <v>21</v>
      </c>
      <c r="C1162">
        <v>25</v>
      </c>
      <c r="D1162">
        <v>210</v>
      </c>
      <c r="E1162" t="s">
        <v>598</v>
      </c>
      <c r="F1162">
        <v>13.63</v>
      </c>
      <c r="G1162" t="s">
        <v>1889</v>
      </c>
      <c r="H1162" t="s">
        <v>1891</v>
      </c>
      <c r="K1162" t="s">
        <v>2254</v>
      </c>
    </row>
    <row r="1163" spans="1:11" x14ac:dyDescent="0.55000000000000004">
      <c r="A1163">
        <v>377</v>
      </c>
      <c r="B1163" t="s">
        <v>21</v>
      </c>
      <c r="C1163">
        <v>25</v>
      </c>
      <c r="D1163">
        <v>210</v>
      </c>
      <c r="E1163" t="s">
        <v>599</v>
      </c>
      <c r="F1163">
        <v>13.24</v>
      </c>
      <c r="G1163" t="s">
        <v>1889</v>
      </c>
      <c r="H1163" t="s">
        <v>1891</v>
      </c>
      <c r="K1163" t="s">
        <v>2255</v>
      </c>
    </row>
    <row r="1164" spans="1:11" x14ac:dyDescent="0.55000000000000004">
      <c r="A1164">
        <v>378</v>
      </c>
      <c r="B1164" t="s">
        <v>21</v>
      </c>
      <c r="C1164">
        <v>25</v>
      </c>
      <c r="D1164">
        <v>210</v>
      </c>
      <c r="E1164" t="s">
        <v>600</v>
      </c>
      <c r="F1164">
        <v>11.06</v>
      </c>
      <c r="G1164" t="s">
        <v>1889</v>
      </c>
      <c r="H1164" t="s">
        <v>1891</v>
      </c>
      <c r="K1164" t="s">
        <v>2256</v>
      </c>
    </row>
    <row r="1165" spans="1:11" x14ac:dyDescent="0.55000000000000004">
      <c r="A1165">
        <v>379</v>
      </c>
      <c r="B1165" t="s">
        <v>21</v>
      </c>
      <c r="C1165">
        <v>25</v>
      </c>
      <c r="D1165">
        <v>210</v>
      </c>
      <c r="E1165" t="s">
        <v>601</v>
      </c>
      <c r="F1165">
        <v>12.26</v>
      </c>
      <c r="G1165" t="s">
        <v>1889</v>
      </c>
      <c r="H1165" t="s">
        <v>1891</v>
      </c>
      <c r="K1165" t="s">
        <v>2257</v>
      </c>
    </row>
    <row r="1166" spans="1:11" x14ac:dyDescent="0.55000000000000004">
      <c r="A1166">
        <v>380</v>
      </c>
      <c r="B1166" t="s">
        <v>21</v>
      </c>
      <c r="C1166">
        <v>25</v>
      </c>
      <c r="D1166">
        <v>210</v>
      </c>
      <c r="E1166" t="s">
        <v>602</v>
      </c>
      <c r="F1166">
        <v>12.21</v>
      </c>
      <c r="G1166" t="s">
        <v>1889</v>
      </c>
      <c r="H1166" t="s">
        <v>1891</v>
      </c>
      <c r="K1166" t="s">
        <v>2258</v>
      </c>
    </row>
    <row r="1167" spans="1:11" x14ac:dyDescent="0.55000000000000004">
      <c r="A1167">
        <v>381</v>
      </c>
      <c r="B1167" t="s">
        <v>21</v>
      </c>
      <c r="C1167">
        <v>25</v>
      </c>
      <c r="D1167">
        <v>210</v>
      </c>
      <c r="E1167" t="s">
        <v>603</v>
      </c>
      <c r="F1167">
        <v>13.6</v>
      </c>
      <c r="G1167" t="s">
        <v>1889</v>
      </c>
      <c r="H1167" t="s">
        <v>1891</v>
      </c>
      <c r="K1167" t="s">
        <v>2259</v>
      </c>
    </row>
    <row r="1168" spans="1:11" x14ac:dyDescent="0.55000000000000004">
      <c r="A1168">
        <v>382</v>
      </c>
      <c r="B1168" t="s">
        <v>21</v>
      </c>
      <c r="C1168">
        <v>25</v>
      </c>
      <c r="D1168">
        <v>210</v>
      </c>
      <c r="E1168" t="s">
        <v>604</v>
      </c>
      <c r="F1168">
        <v>12.51</v>
      </c>
      <c r="G1168" t="s">
        <v>1889</v>
      </c>
      <c r="H1168" t="s">
        <v>1891</v>
      </c>
      <c r="K1168" t="s">
        <v>2260</v>
      </c>
    </row>
    <row r="1169" spans="1:11" x14ac:dyDescent="0.55000000000000004">
      <c r="A1169">
        <v>383</v>
      </c>
      <c r="B1169" t="s">
        <v>21</v>
      </c>
      <c r="C1169">
        <v>25</v>
      </c>
      <c r="D1169">
        <v>210</v>
      </c>
      <c r="E1169" t="s">
        <v>605</v>
      </c>
      <c r="F1169">
        <v>11.75</v>
      </c>
      <c r="G1169" t="s">
        <v>1889</v>
      </c>
      <c r="H1169" t="s">
        <v>1891</v>
      </c>
      <c r="K1169" t="s">
        <v>2261</v>
      </c>
    </row>
    <row r="1170" spans="1:11" x14ac:dyDescent="0.55000000000000004">
      <c r="A1170">
        <v>384</v>
      </c>
      <c r="B1170" t="s">
        <v>21</v>
      </c>
      <c r="C1170">
        <v>25</v>
      </c>
      <c r="D1170">
        <v>210</v>
      </c>
      <c r="E1170" t="s">
        <v>606</v>
      </c>
      <c r="F1170">
        <v>10.61</v>
      </c>
      <c r="G1170" t="s">
        <v>1889</v>
      </c>
      <c r="H1170" t="s">
        <v>1891</v>
      </c>
      <c r="K1170" t="s">
        <v>2262</v>
      </c>
    </row>
    <row r="1171" spans="1:11" x14ac:dyDescent="0.55000000000000004">
      <c r="A1171">
        <v>397</v>
      </c>
      <c r="B1171" t="s">
        <v>22</v>
      </c>
      <c r="C1171">
        <v>25</v>
      </c>
      <c r="D1171">
        <v>206</v>
      </c>
      <c r="E1171" t="s">
        <v>619</v>
      </c>
      <c r="F1171">
        <v>10.38</v>
      </c>
      <c r="G1171" t="s">
        <v>1889</v>
      </c>
      <c r="H1171" t="s">
        <v>1891</v>
      </c>
      <c r="K1171" t="s">
        <v>2275</v>
      </c>
    </row>
    <row r="1172" spans="1:11" x14ac:dyDescent="0.55000000000000004">
      <c r="A1172">
        <v>398</v>
      </c>
      <c r="B1172" t="s">
        <v>22</v>
      </c>
      <c r="C1172">
        <v>25</v>
      </c>
      <c r="D1172">
        <v>206</v>
      </c>
      <c r="E1172" t="s">
        <v>620</v>
      </c>
      <c r="F1172">
        <v>11.65</v>
      </c>
      <c r="G1172" t="s">
        <v>1889</v>
      </c>
      <c r="H1172" t="s">
        <v>1891</v>
      </c>
      <c r="K1172" t="s">
        <v>2276</v>
      </c>
    </row>
    <row r="1173" spans="1:11" x14ac:dyDescent="0.55000000000000004">
      <c r="A1173">
        <v>399</v>
      </c>
      <c r="B1173" t="s">
        <v>22</v>
      </c>
      <c r="C1173">
        <v>25</v>
      </c>
      <c r="D1173">
        <v>206</v>
      </c>
      <c r="E1173" t="s">
        <v>621</v>
      </c>
      <c r="F1173">
        <v>11.97</v>
      </c>
      <c r="G1173" t="s">
        <v>1889</v>
      </c>
      <c r="H1173" t="s">
        <v>1891</v>
      </c>
      <c r="K1173" t="s">
        <v>2277</v>
      </c>
    </row>
    <row r="1174" spans="1:11" x14ac:dyDescent="0.55000000000000004">
      <c r="A1174">
        <v>400</v>
      </c>
      <c r="B1174" t="s">
        <v>22</v>
      </c>
      <c r="C1174">
        <v>25</v>
      </c>
      <c r="D1174">
        <v>206</v>
      </c>
      <c r="E1174" t="s">
        <v>622</v>
      </c>
      <c r="F1174">
        <v>11.1</v>
      </c>
      <c r="G1174" t="s">
        <v>1889</v>
      </c>
      <c r="H1174" t="s">
        <v>1891</v>
      </c>
      <c r="K1174" t="s">
        <v>2278</v>
      </c>
    </row>
    <row r="1175" spans="1:11" x14ac:dyDescent="0.55000000000000004">
      <c r="A1175">
        <v>401</v>
      </c>
      <c r="B1175" t="s">
        <v>22</v>
      </c>
      <c r="C1175">
        <v>25</v>
      </c>
      <c r="D1175">
        <v>206</v>
      </c>
      <c r="E1175" t="s">
        <v>623</v>
      </c>
      <c r="F1175">
        <v>10.81</v>
      </c>
      <c r="G1175" t="s">
        <v>1889</v>
      </c>
      <c r="H1175" t="s">
        <v>1891</v>
      </c>
      <c r="K1175" t="s">
        <v>2279</v>
      </c>
    </row>
    <row r="1176" spans="1:11" x14ac:dyDescent="0.55000000000000004">
      <c r="A1176">
        <v>402</v>
      </c>
      <c r="B1176" t="s">
        <v>22</v>
      </c>
      <c r="C1176">
        <v>25</v>
      </c>
      <c r="D1176">
        <v>206</v>
      </c>
      <c r="E1176" t="s">
        <v>624</v>
      </c>
      <c r="F1176">
        <v>11.28</v>
      </c>
      <c r="G1176" t="s">
        <v>1889</v>
      </c>
      <c r="H1176" t="s">
        <v>1891</v>
      </c>
      <c r="K1176" t="s">
        <v>2280</v>
      </c>
    </row>
    <row r="1177" spans="1:11" x14ac:dyDescent="0.55000000000000004">
      <c r="A1177">
        <v>403</v>
      </c>
      <c r="B1177" t="s">
        <v>22</v>
      </c>
      <c r="C1177">
        <v>25</v>
      </c>
      <c r="D1177">
        <v>206</v>
      </c>
      <c r="E1177" t="s">
        <v>625</v>
      </c>
      <c r="F1177">
        <v>12.81</v>
      </c>
      <c r="G1177" t="s">
        <v>1889</v>
      </c>
      <c r="H1177" t="s">
        <v>1891</v>
      </c>
      <c r="K1177" t="s">
        <v>2281</v>
      </c>
    </row>
    <row r="1178" spans="1:11" x14ac:dyDescent="0.55000000000000004">
      <c r="A1178">
        <v>404</v>
      </c>
      <c r="B1178" t="s">
        <v>22</v>
      </c>
      <c r="C1178">
        <v>25</v>
      </c>
      <c r="D1178">
        <v>206</v>
      </c>
      <c r="E1178" t="s">
        <v>626</v>
      </c>
      <c r="F1178">
        <v>12.11</v>
      </c>
      <c r="G1178" t="s">
        <v>1889</v>
      </c>
      <c r="H1178" t="s">
        <v>1891</v>
      </c>
      <c r="K1178" t="s">
        <v>2282</v>
      </c>
    </row>
    <row r="1179" spans="1:11" x14ac:dyDescent="0.55000000000000004">
      <c r="A1179">
        <v>405</v>
      </c>
      <c r="B1179" t="s">
        <v>22</v>
      </c>
      <c r="C1179">
        <v>25</v>
      </c>
      <c r="D1179">
        <v>206</v>
      </c>
      <c r="E1179" t="s">
        <v>627</v>
      </c>
      <c r="F1179">
        <v>11.57</v>
      </c>
      <c r="G1179" t="s">
        <v>1889</v>
      </c>
      <c r="H1179" t="s">
        <v>1891</v>
      </c>
      <c r="K1179" t="s">
        <v>2283</v>
      </c>
    </row>
    <row r="1180" spans="1:11" x14ac:dyDescent="0.55000000000000004">
      <c r="A1180">
        <v>406</v>
      </c>
      <c r="B1180" t="s">
        <v>22</v>
      </c>
      <c r="C1180">
        <v>25</v>
      </c>
      <c r="D1180">
        <v>206</v>
      </c>
      <c r="E1180" t="s">
        <v>628</v>
      </c>
      <c r="F1180">
        <v>12.79</v>
      </c>
      <c r="G1180" t="s">
        <v>1889</v>
      </c>
      <c r="H1180" t="s">
        <v>1891</v>
      </c>
      <c r="K1180" t="s">
        <v>2284</v>
      </c>
    </row>
    <row r="1181" spans="1:11" x14ac:dyDescent="0.55000000000000004">
      <c r="A1181">
        <v>407</v>
      </c>
      <c r="B1181" t="s">
        <v>22</v>
      </c>
      <c r="C1181">
        <v>25</v>
      </c>
      <c r="D1181">
        <v>206</v>
      </c>
      <c r="E1181" t="s">
        <v>629</v>
      </c>
      <c r="F1181">
        <v>13.05</v>
      </c>
      <c r="G1181" t="s">
        <v>1889</v>
      </c>
      <c r="H1181" t="s">
        <v>1891</v>
      </c>
      <c r="K1181" t="s">
        <v>2285</v>
      </c>
    </row>
    <row r="1182" spans="1:11" x14ac:dyDescent="0.55000000000000004">
      <c r="A1182">
        <v>408</v>
      </c>
      <c r="B1182" t="s">
        <v>22</v>
      </c>
      <c r="C1182">
        <v>25</v>
      </c>
      <c r="D1182">
        <v>206</v>
      </c>
      <c r="E1182" t="s">
        <v>630</v>
      </c>
      <c r="F1182">
        <v>11.87</v>
      </c>
      <c r="G1182" t="s">
        <v>1889</v>
      </c>
      <c r="H1182" t="s">
        <v>1891</v>
      </c>
      <c r="K1182" t="s">
        <v>2286</v>
      </c>
    </row>
    <row r="1183" spans="1:11" x14ac:dyDescent="0.55000000000000004">
      <c r="A1183">
        <v>409</v>
      </c>
      <c r="B1183" t="s">
        <v>22</v>
      </c>
      <c r="C1183">
        <v>25</v>
      </c>
      <c r="D1183">
        <v>206</v>
      </c>
      <c r="E1183" t="s">
        <v>631</v>
      </c>
      <c r="F1183">
        <v>11.35</v>
      </c>
      <c r="G1183" t="s">
        <v>1889</v>
      </c>
      <c r="H1183" t="s">
        <v>1891</v>
      </c>
      <c r="K1183" t="s">
        <v>2287</v>
      </c>
    </row>
    <row r="1184" spans="1:11" x14ac:dyDescent="0.55000000000000004">
      <c r="A1184">
        <v>432</v>
      </c>
      <c r="B1184" t="s">
        <v>24</v>
      </c>
      <c r="C1184">
        <v>25</v>
      </c>
      <c r="D1184">
        <v>187</v>
      </c>
      <c r="E1184" t="s">
        <v>654</v>
      </c>
      <c r="F1184">
        <v>13.2</v>
      </c>
      <c r="G1184" t="s">
        <v>1889</v>
      </c>
      <c r="H1184" t="s">
        <v>1891</v>
      </c>
      <c r="K1184" t="s">
        <v>2310</v>
      </c>
    </row>
    <row r="1185" spans="1:11" x14ac:dyDescent="0.55000000000000004">
      <c r="A1185">
        <v>433</v>
      </c>
      <c r="B1185" t="s">
        <v>24</v>
      </c>
      <c r="C1185">
        <v>25</v>
      </c>
      <c r="D1185">
        <v>187</v>
      </c>
      <c r="E1185" t="s">
        <v>655</v>
      </c>
      <c r="F1185">
        <v>14.5</v>
      </c>
      <c r="G1185" t="s">
        <v>1889</v>
      </c>
      <c r="H1185" t="s">
        <v>1891</v>
      </c>
      <c r="K1185" t="s">
        <v>2311</v>
      </c>
    </row>
    <row r="1186" spans="1:11" x14ac:dyDescent="0.55000000000000004">
      <c r="A1186">
        <v>434</v>
      </c>
      <c r="B1186" t="s">
        <v>24</v>
      </c>
      <c r="C1186">
        <v>25</v>
      </c>
      <c r="D1186">
        <v>187</v>
      </c>
      <c r="E1186" t="s">
        <v>656</v>
      </c>
      <c r="F1186">
        <v>11.5</v>
      </c>
      <c r="G1186" t="s">
        <v>1889</v>
      </c>
      <c r="H1186" t="s">
        <v>1891</v>
      </c>
      <c r="K1186" t="s">
        <v>2312</v>
      </c>
    </row>
    <row r="1187" spans="1:11" x14ac:dyDescent="0.55000000000000004">
      <c r="A1187">
        <v>435</v>
      </c>
      <c r="B1187" t="s">
        <v>24</v>
      </c>
      <c r="C1187">
        <v>25</v>
      </c>
      <c r="D1187">
        <v>187</v>
      </c>
      <c r="E1187" t="s">
        <v>657</v>
      </c>
      <c r="F1187">
        <v>12.31</v>
      </c>
      <c r="G1187" t="s">
        <v>1889</v>
      </c>
      <c r="H1187" t="s">
        <v>1891</v>
      </c>
      <c r="K1187" t="s">
        <v>2313</v>
      </c>
    </row>
    <row r="1188" spans="1:11" x14ac:dyDescent="0.55000000000000004">
      <c r="A1188">
        <v>436</v>
      </c>
      <c r="B1188" t="s">
        <v>24</v>
      </c>
      <c r="C1188">
        <v>25</v>
      </c>
      <c r="D1188">
        <v>187</v>
      </c>
      <c r="E1188" t="s">
        <v>658</v>
      </c>
      <c r="F1188">
        <v>12.09</v>
      </c>
      <c r="G1188" t="s">
        <v>1889</v>
      </c>
      <c r="H1188" t="s">
        <v>1891</v>
      </c>
      <c r="K1188" t="s">
        <v>2314</v>
      </c>
    </row>
    <row r="1189" spans="1:11" x14ac:dyDescent="0.55000000000000004">
      <c r="A1189">
        <v>437</v>
      </c>
      <c r="B1189" t="s">
        <v>24</v>
      </c>
      <c r="C1189">
        <v>25</v>
      </c>
      <c r="D1189">
        <v>187</v>
      </c>
      <c r="E1189" t="s">
        <v>659</v>
      </c>
      <c r="F1189">
        <v>13.64</v>
      </c>
      <c r="G1189" t="s">
        <v>1889</v>
      </c>
      <c r="H1189" t="s">
        <v>1891</v>
      </c>
      <c r="K1189" t="s">
        <v>2315</v>
      </c>
    </row>
    <row r="1190" spans="1:11" x14ac:dyDescent="0.55000000000000004">
      <c r="A1190">
        <v>438</v>
      </c>
      <c r="B1190" t="s">
        <v>24</v>
      </c>
      <c r="C1190">
        <v>25</v>
      </c>
      <c r="D1190">
        <v>187</v>
      </c>
      <c r="E1190" t="s">
        <v>660</v>
      </c>
      <c r="F1190">
        <v>12.46</v>
      </c>
      <c r="G1190" t="s">
        <v>1889</v>
      </c>
      <c r="H1190" t="s">
        <v>1891</v>
      </c>
      <c r="K1190" t="s">
        <v>2316</v>
      </c>
    </row>
    <row r="1191" spans="1:11" x14ac:dyDescent="0.55000000000000004">
      <c r="A1191">
        <v>439</v>
      </c>
      <c r="B1191" t="s">
        <v>24</v>
      </c>
      <c r="C1191">
        <v>25</v>
      </c>
      <c r="D1191">
        <v>187</v>
      </c>
      <c r="E1191" t="s">
        <v>661</v>
      </c>
      <c r="F1191">
        <v>13.79</v>
      </c>
      <c r="G1191" t="s">
        <v>1889</v>
      </c>
      <c r="H1191" t="s">
        <v>1891</v>
      </c>
      <c r="K1191" t="s">
        <v>2317</v>
      </c>
    </row>
    <row r="1192" spans="1:11" x14ac:dyDescent="0.55000000000000004">
      <c r="A1192">
        <v>440</v>
      </c>
      <c r="B1192" t="s">
        <v>24</v>
      </c>
      <c r="C1192">
        <v>25</v>
      </c>
      <c r="D1192">
        <v>187</v>
      </c>
      <c r="E1192" t="s">
        <v>662</v>
      </c>
      <c r="F1192">
        <v>9.6</v>
      </c>
      <c r="G1192" t="s">
        <v>1889</v>
      </c>
      <c r="H1192" t="s">
        <v>1891</v>
      </c>
      <c r="K1192" t="s">
        <v>2318</v>
      </c>
    </row>
    <row r="1193" spans="1:11" x14ac:dyDescent="0.55000000000000004">
      <c r="A1193">
        <v>441</v>
      </c>
      <c r="B1193" t="s">
        <v>24</v>
      </c>
      <c r="C1193">
        <v>25</v>
      </c>
      <c r="D1193">
        <v>187</v>
      </c>
      <c r="E1193" t="s">
        <v>663</v>
      </c>
      <c r="F1193">
        <v>12.1</v>
      </c>
      <c r="G1193" t="s">
        <v>1889</v>
      </c>
      <c r="H1193" t="s">
        <v>1891</v>
      </c>
      <c r="K1193" t="s">
        <v>2319</v>
      </c>
    </row>
    <row r="1194" spans="1:11" x14ac:dyDescent="0.55000000000000004">
      <c r="A1194">
        <v>442</v>
      </c>
      <c r="B1194" t="s">
        <v>24</v>
      </c>
      <c r="C1194">
        <v>25</v>
      </c>
      <c r="D1194">
        <v>187</v>
      </c>
      <c r="E1194" t="s">
        <v>664</v>
      </c>
      <c r="F1194">
        <v>13.53</v>
      </c>
      <c r="G1194" t="s">
        <v>1889</v>
      </c>
      <c r="H1194" t="s">
        <v>1891</v>
      </c>
      <c r="K1194" t="s">
        <v>2320</v>
      </c>
    </row>
    <row r="1195" spans="1:11" x14ac:dyDescent="0.55000000000000004">
      <c r="A1195">
        <v>443</v>
      </c>
      <c r="B1195" t="s">
        <v>24</v>
      </c>
      <c r="C1195">
        <v>25</v>
      </c>
      <c r="D1195">
        <v>187</v>
      </c>
      <c r="E1195" t="s">
        <v>665</v>
      </c>
      <c r="F1195">
        <v>12.3</v>
      </c>
      <c r="G1195" t="s">
        <v>1889</v>
      </c>
      <c r="H1195" t="s">
        <v>1891</v>
      </c>
      <c r="K1195" t="s">
        <v>2321</v>
      </c>
    </row>
    <row r="1196" spans="1:11" x14ac:dyDescent="0.55000000000000004">
      <c r="A1196">
        <v>444</v>
      </c>
      <c r="B1196" t="s">
        <v>24</v>
      </c>
      <c r="C1196">
        <v>25</v>
      </c>
      <c r="D1196">
        <v>187</v>
      </c>
      <c r="E1196" t="s">
        <v>666</v>
      </c>
      <c r="F1196">
        <v>20.05</v>
      </c>
      <c r="G1196" t="s">
        <v>2113</v>
      </c>
      <c r="H1196" t="s">
        <v>110</v>
      </c>
    </row>
    <row r="1197" spans="1:11" x14ac:dyDescent="0.55000000000000004">
      <c r="A1197">
        <v>457</v>
      </c>
      <c r="B1197" t="s">
        <v>25</v>
      </c>
      <c r="C1197">
        <v>25</v>
      </c>
      <c r="D1197">
        <v>151</v>
      </c>
      <c r="E1197" t="s">
        <v>679</v>
      </c>
      <c r="F1197">
        <v>10.54</v>
      </c>
      <c r="G1197" t="s">
        <v>1889</v>
      </c>
      <c r="H1197" t="s">
        <v>1891</v>
      </c>
      <c r="K1197" t="s">
        <v>2334</v>
      </c>
    </row>
    <row r="1198" spans="1:11" x14ac:dyDescent="0.55000000000000004">
      <c r="A1198">
        <v>458</v>
      </c>
      <c r="B1198" t="s">
        <v>25</v>
      </c>
      <c r="C1198">
        <v>25</v>
      </c>
      <c r="D1198">
        <v>151</v>
      </c>
      <c r="E1198" t="s">
        <v>680</v>
      </c>
      <c r="F1198">
        <v>12.63</v>
      </c>
      <c r="G1198" t="s">
        <v>1889</v>
      </c>
      <c r="H1198" t="s">
        <v>1891</v>
      </c>
      <c r="K1198" t="s">
        <v>2335</v>
      </c>
    </row>
    <row r="1199" spans="1:11" x14ac:dyDescent="0.55000000000000004">
      <c r="A1199">
        <v>459</v>
      </c>
      <c r="B1199" t="s">
        <v>25</v>
      </c>
      <c r="C1199">
        <v>25</v>
      </c>
      <c r="D1199">
        <v>151</v>
      </c>
      <c r="E1199" t="s">
        <v>681</v>
      </c>
      <c r="F1199">
        <v>12.29</v>
      </c>
      <c r="G1199" t="s">
        <v>1889</v>
      </c>
      <c r="H1199" t="s">
        <v>1891</v>
      </c>
      <c r="K1199" t="s">
        <v>2336</v>
      </c>
    </row>
    <row r="1200" spans="1:11" x14ac:dyDescent="0.55000000000000004">
      <c r="A1200">
        <v>460</v>
      </c>
      <c r="B1200" t="s">
        <v>25</v>
      </c>
      <c r="C1200">
        <v>25</v>
      </c>
      <c r="D1200">
        <v>151</v>
      </c>
      <c r="E1200" t="s">
        <v>682</v>
      </c>
      <c r="F1200">
        <v>15.01</v>
      </c>
      <c r="G1200" t="s">
        <v>1889</v>
      </c>
      <c r="H1200" t="s">
        <v>1891</v>
      </c>
      <c r="K1200" t="s">
        <v>2337</v>
      </c>
    </row>
    <row r="1201" spans="1:11" x14ac:dyDescent="0.55000000000000004">
      <c r="A1201">
        <v>461</v>
      </c>
      <c r="B1201" t="s">
        <v>25</v>
      </c>
      <c r="C1201">
        <v>25</v>
      </c>
      <c r="D1201">
        <v>151</v>
      </c>
      <c r="E1201" t="s">
        <v>683</v>
      </c>
      <c r="F1201">
        <v>10.73</v>
      </c>
      <c r="G1201" t="s">
        <v>1889</v>
      </c>
      <c r="H1201" t="s">
        <v>1891</v>
      </c>
      <c r="K1201" t="s">
        <v>2338</v>
      </c>
    </row>
    <row r="1202" spans="1:11" x14ac:dyDescent="0.55000000000000004">
      <c r="A1202">
        <v>462</v>
      </c>
      <c r="B1202" t="s">
        <v>25</v>
      </c>
      <c r="C1202">
        <v>25</v>
      </c>
      <c r="D1202">
        <v>151</v>
      </c>
      <c r="E1202" t="s">
        <v>684</v>
      </c>
      <c r="F1202">
        <v>11.75</v>
      </c>
      <c r="G1202" t="s">
        <v>1889</v>
      </c>
      <c r="H1202" t="s">
        <v>1891</v>
      </c>
      <c r="K1202" t="s">
        <v>2339</v>
      </c>
    </row>
    <row r="1203" spans="1:11" x14ac:dyDescent="0.55000000000000004">
      <c r="A1203">
        <v>463</v>
      </c>
      <c r="B1203" t="s">
        <v>25</v>
      </c>
      <c r="C1203">
        <v>25</v>
      </c>
      <c r="D1203">
        <v>151</v>
      </c>
      <c r="E1203" t="s">
        <v>685</v>
      </c>
      <c r="F1203">
        <v>11.7</v>
      </c>
      <c r="G1203" t="s">
        <v>1889</v>
      </c>
      <c r="H1203" t="s">
        <v>1891</v>
      </c>
      <c r="K1203" t="s">
        <v>2340</v>
      </c>
    </row>
    <row r="1204" spans="1:11" x14ac:dyDescent="0.55000000000000004">
      <c r="A1204">
        <v>464</v>
      </c>
      <c r="B1204" t="s">
        <v>25</v>
      </c>
      <c r="C1204">
        <v>25</v>
      </c>
      <c r="D1204">
        <v>151</v>
      </c>
      <c r="E1204" t="s">
        <v>686</v>
      </c>
      <c r="F1204">
        <v>11.57</v>
      </c>
      <c r="G1204" t="s">
        <v>1889</v>
      </c>
      <c r="H1204" t="s">
        <v>1891</v>
      </c>
      <c r="K1204" t="s">
        <v>2341</v>
      </c>
    </row>
    <row r="1205" spans="1:11" x14ac:dyDescent="0.55000000000000004">
      <c r="A1205">
        <v>465</v>
      </c>
      <c r="B1205" t="s">
        <v>25</v>
      </c>
      <c r="C1205">
        <v>25</v>
      </c>
      <c r="D1205">
        <v>151</v>
      </c>
      <c r="E1205" t="s">
        <v>687</v>
      </c>
      <c r="F1205">
        <v>10.46</v>
      </c>
      <c r="G1205" t="s">
        <v>1889</v>
      </c>
      <c r="H1205" t="s">
        <v>1891</v>
      </c>
      <c r="K1205" t="s">
        <v>2342</v>
      </c>
    </row>
    <row r="1206" spans="1:11" x14ac:dyDescent="0.55000000000000004">
      <c r="A1206">
        <v>466</v>
      </c>
      <c r="B1206" t="s">
        <v>25</v>
      </c>
      <c r="C1206">
        <v>25</v>
      </c>
      <c r="D1206">
        <v>151</v>
      </c>
      <c r="E1206" t="s">
        <v>688</v>
      </c>
      <c r="F1206">
        <v>12.69</v>
      </c>
      <c r="G1206" t="s">
        <v>1889</v>
      </c>
      <c r="H1206" t="s">
        <v>1891</v>
      </c>
      <c r="K1206" t="s">
        <v>2343</v>
      </c>
    </row>
    <row r="1207" spans="1:11" x14ac:dyDescent="0.55000000000000004">
      <c r="A1207">
        <v>467</v>
      </c>
      <c r="B1207" t="s">
        <v>25</v>
      </c>
      <c r="C1207">
        <v>25</v>
      </c>
      <c r="D1207">
        <v>151</v>
      </c>
      <c r="E1207" t="s">
        <v>689</v>
      </c>
      <c r="F1207">
        <v>11.68</v>
      </c>
      <c r="G1207" t="s">
        <v>1889</v>
      </c>
      <c r="H1207" t="s">
        <v>1891</v>
      </c>
      <c r="K1207" t="s">
        <v>2344</v>
      </c>
    </row>
    <row r="1208" spans="1:11" x14ac:dyDescent="0.55000000000000004">
      <c r="A1208">
        <v>468</v>
      </c>
      <c r="B1208" t="s">
        <v>25</v>
      </c>
      <c r="C1208">
        <v>25</v>
      </c>
      <c r="D1208">
        <v>151</v>
      </c>
      <c r="E1208" t="s">
        <v>690</v>
      </c>
      <c r="F1208">
        <v>14.59</v>
      </c>
      <c r="G1208" t="s">
        <v>1889</v>
      </c>
      <c r="H1208" t="s">
        <v>1891</v>
      </c>
      <c r="K1208" t="s">
        <v>2345</v>
      </c>
    </row>
    <row r="1209" spans="1:11" x14ac:dyDescent="0.55000000000000004">
      <c r="A1209">
        <v>469</v>
      </c>
      <c r="B1209" t="s">
        <v>25</v>
      </c>
      <c r="C1209">
        <v>25</v>
      </c>
      <c r="D1209">
        <v>151</v>
      </c>
      <c r="E1209" t="s">
        <v>691</v>
      </c>
      <c r="F1209">
        <v>11.31</v>
      </c>
      <c r="G1209" t="s">
        <v>1889</v>
      </c>
      <c r="H1209" t="s">
        <v>1891</v>
      </c>
      <c r="K1209" t="s">
        <v>2346</v>
      </c>
    </row>
    <row r="1210" spans="1:11" x14ac:dyDescent="0.55000000000000004">
      <c r="A1210">
        <v>482</v>
      </c>
      <c r="B1210" t="s">
        <v>26</v>
      </c>
      <c r="C1210">
        <v>25</v>
      </c>
      <c r="D1210">
        <v>76</v>
      </c>
      <c r="E1210" t="s">
        <v>704</v>
      </c>
      <c r="F1210">
        <v>12.56</v>
      </c>
      <c r="G1210" t="s">
        <v>1889</v>
      </c>
      <c r="H1210" t="s">
        <v>1891</v>
      </c>
      <c r="K1210" t="s">
        <v>2359</v>
      </c>
    </row>
    <row r="1211" spans="1:11" x14ac:dyDescent="0.55000000000000004">
      <c r="A1211">
        <v>483</v>
      </c>
      <c r="B1211" t="s">
        <v>26</v>
      </c>
      <c r="C1211">
        <v>25</v>
      </c>
      <c r="D1211">
        <v>76</v>
      </c>
      <c r="E1211" t="s">
        <v>705</v>
      </c>
      <c r="F1211">
        <v>13.1</v>
      </c>
      <c r="G1211" t="s">
        <v>1889</v>
      </c>
      <c r="H1211" t="s">
        <v>1891</v>
      </c>
      <c r="K1211" t="s">
        <v>2360</v>
      </c>
    </row>
    <row r="1212" spans="1:11" x14ac:dyDescent="0.55000000000000004">
      <c r="A1212">
        <v>484</v>
      </c>
      <c r="B1212" t="s">
        <v>26</v>
      </c>
      <c r="C1212">
        <v>25</v>
      </c>
      <c r="D1212">
        <v>76</v>
      </c>
      <c r="E1212" t="s">
        <v>706</v>
      </c>
      <c r="F1212">
        <v>9.36</v>
      </c>
      <c r="G1212" t="s">
        <v>1889</v>
      </c>
      <c r="H1212" t="s">
        <v>1891</v>
      </c>
      <c r="K1212" t="s">
        <v>2361</v>
      </c>
    </row>
    <row r="1213" spans="1:11" x14ac:dyDescent="0.55000000000000004">
      <c r="A1213">
        <v>485</v>
      </c>
      <c r="B1213" t="s">
        <v>26</v>
      </c>
      <c r="C1213">
        <v>25</v>
      </c>
      <c r="D1213">
        <v>76</v>
      </c>
      <c r="E1213" t="s">
        <v>707</v>
      </c>
      <c r="F1213">
        <v>11.2</v>
      </c>
      <c r="G1213" t="s">
        <v>1889</v>
      </c>
      <c r="H1213" t="s">
        <v>1891</v>
      </c>
      <c r="K1213" t="s">
        <v>2362</v>
      </c>
    </row>
    <row r="1214" spans="1:11" x14ac:dyDescent="0.55000000000000004">
      <c r="A1214">
        <v>486</v>
      </c>
      <c r="B1214" t="s">
        <v>26</v>
      </c>
      <c r="C1214">
        <v>25</v>
      </c>
      <c r="D1214">
        <v>76</v>
      </c>
      <c r="E1214" t="s">
        <v>708</v>
      </c>
      <c r="F1214">
        <v>13.92</v>
      </c>
      <c r="G1214" t="s">
        <v>1889</v>
      </c>
      <c r="H1214" t="s">
        <v>1891</v>
      </c>
      <c r="K1214" t="s">
        <v>2363</v>
      </c>
    </row>
    <row r="1215" spans="1:11" x14ac:dyDescent="0.55000000000000004">
      <c r="A1215">
        <v>487</v>
      </c>
      <c r="B1215" t="s">
        <v>26</v>
      </c>
      <c r="C1215">
        <v>25</v>
      </c>
      <c r="D1215">
        <v>76</v>
      </c>
      <c r="E1215" t="s">
        <v>709</v>
      </c>
      <c r="F1215">
        <v>14.4</v>
      </c>
      <c r="G1215" t="s">
        <v>1889</v>
      </c>
      <c r="H1215" t="s">
        <v>1891</v>
      </c>
      <c r="K1215" t="s">
        <v>2364</v>
      </c>
    </row>
    <row r="1216" spans="1:11" x14ac:dyDescent="0.55000000000000004">
      <c r="A1216">
        <v>488</v>
      </c>
      <c r="B1216" t="s">
        <v>26</v>
      </c>
      <c r="C1216">
        <v>25</v>
      </c>
      <c r="D1216">
        <v>76</v>
      </c>
      <c r="E1216" t="s">
        <v>710</v>
      </c>
      <c r="F1216">
        <v>10.68</v>
      </c>
      <c r="G1216" t="s">
        <v>1889</v>
      </c>
      <c r="H1216" t="s">
        <v>1891</v>
      </c>
      <c r="K1216" t="s">
        <v>2365</v>
      </c>
    </row>
    <row r="1217" spans="1:11" x14ac:dyDescent="0.55000000000000004">
      <c r="A1217">
        <v>489</v>
      </c>
      <c r="B1217" t="s">
        <v>26</v>
      </c>
      <c r="C1217">
        <v>25</v>
      </c>
      <c r="D1217">
        <v>76</v>
      </c>
      <c r="E1217" t="s">
        <v>711</v>
      </c>
      <c r="F1217">
        <v>10.16</v>
      </c>
      <c r="G1217" t="s">
        <v>1889</v>
      </c>
      <c r="H1217" t="s">
        <v>1891</v>
      </c>
      <c r="K1217" t="s">
        <v>2366</v>
      </c>
    </row>
    <row r="1218" spans="1:11" x14ac:dyDescent="0.55000000000000004">
      <c r="A1218">
        <v>490</v>
      </c>
      <c r="B1218" t="s">
        <v>26</v>
      </c>
      <c r="C1218">
        <v>25</v>
      </c>
      <c r="D1218">
        <v>76</v>
      </c>
      <c r="E1218" t="s">
        <v>712</v>
      </c>
      <c r="F1218">
        <v>9.98</v>
      </c>
      <c r="G1218" t="s">
        <v>1889</v>
      </c>
      <c r="H1218" t="s">
        <v>1891</v>
      </c>
      <c r="K1218" t="s">
        <v>2367</v>
      </c>
    </row>
    <row r="1219" spans="1:11" x14ac:dyDescent="0.55000000000000004">
      <c r="A1219">
        <v>491</v>
      </c>
      <c r="B1219" t="s">
        <v>26</v>
      </c>
      <c r="C1219">
        <v>25</v>
      </c>
      <c r="D1219">
        <v>76</v>
      </c>
      <c r="E1219" t="s">
        <v>713</v>
      </c>
      <c r="F1219">
        <v>11.76</v>
      </c>
      <c r="G1219" t="s">
        <v>1889</v>
      </c>
      <c r="H1219" t="s">
        <v>1891</v>
      </c>
      <c r="K1219" t="s">
        <v>2368</v>
      </c>
    </row>
    <row r="1220" spans="1:11" x14ac:dyDescent="0.55000000000000004">
      <c r="A1220">
        <v>492</v>
      </c>
      <c r="B1220" t="s">
        <v>26</v>
      </c>
      <c r="C1220">
        <v>25</v>
      </c>
      <c r="D1220">
        <v>76</v>
      </c>
      <c r="E1220" t="s">
        <v>714</v>
      </c>
      <c r="F1220">
        <v>10.54</v>
      </c>
      <c r="G1220" t="s">
        <v>1889</v>
      </c>
      <c r="H1220" t="s">
        <v>1891</v>
      </c>
      <c r="K1220" t="s">
        <v>2369</v>
      </c>
    </row>
    <row r="1221" spans="1:11" x14ac:dyDescent="0.55000000000000004">
      <c r="A1221">
        <v>493</v>
      </c>
      <c r="B1221" t="s">
        <v>26</v>
      </c>
      <c r="C1221">
        <v>25</v>
      </c>
      <c r="D1221">
        <v>76</v>
      </c>
      <c r="E1221" t="s">
        <v>715</v>
      </c>
      <c r="F1221">
        <v>11.21</v>
      </c>
      <c r="G1221" t="s">
        <v>1889</v>
      </c>
      <c r="H1221" t="s">
        <v>1891</v>
      </c>
      <c r="K1221" t="s">
        <v>2370</v>
      </c>
    </row>
    <row r="1222" spans="1:11" x14ac:dyDescent="0.55000000000000004">
      <c r="A1222">
        <v>494</v>
      </c>
      <c r="B1222" t="s">
        <v>26</v>
      </c>
      <c r="C1222">
        <v>25</v>
      </c>
      <c r="D1222">
        <v>76</v>
      </c>
      <c r="E1222" t="s">
        <v>716</v>
      </c>
      <c r="F1222">
        <v>14.02</v>
      </c>
      <c r="G1222" t="s">
        <v>1889</v>
      </c>
      <c r="H1222" t="s">
        <v>1891</v>
      </c>
      <c r="K1222" t="s">
        <v>2371</v>
      </c>
    </row>
    <row r="1223" spans="1:11" x14ac:dyDescent="0.55000000000000004">
      <c r="A1223">
        <v>507</v>
      </c>
      <c r="B1223" t="s">
        <v>27</v>
      </c>
      <c r="C1223">
        <v>25</v>
      </c>
      <c r="D1223">
        <v>139</v>
      </c>
      <c r="E1223" t="s">
        <v>729</v>
      </c>
      <c r="F1223">
        <v>11.64</v>
      </c>
      <c r="G1223" t="s">
        <v>1889</v>
      </c>
      <c r="H1223" t="s">
        <v>1891</v>
      </c>
      <c r="K1223" t="s">
        <v>2384</v>
      </c>
    </row>
    <row r="1224" spans="1:11" x14ac:dyDescent="0.55000000000000004">
      <c r="A1224">
        <v>508</v>
      </c>
      <c r="B1224" t="s">
        <v>27</v>
      </c>
      <c r="C1224">
        <v>25</v>
      </c>
      <c r="D1224">
        <v>139</v>
      </c>
      <c r="E1224" t="s">
        <v>730</v>
      </c>
      <c r="F1224">
        <v>10.89</v>
      </c>
      <c r="G1224" t="s">
        <v>1889</v>
      </c>
      <c r="H1224" t="s">
        <v>1891</v>
      </c>
      <c r="K1224" t="s">
        <v>2385</v>
      </c>
    </row>
    <row r="1225" spans="1:11" x14ac:dyDescent="0.55000000000000004">
      <c r="A1225">
        <v>509</v>
      </c>
      <c r="B1225" t="s">
        <v>27</v>
      </c>
      <c r="C1225">
        <v>25</v>
      </c>
      <c r="D1225">
        <v>139</v>
      </c>
      <c r="E1225" t="s">
        <v>731</v>
      </c>
      <c r="F1225">
        <v>11.84</v>
      </c>
      <c r="G1225" t="s">
        <v>1889</v>
      </c>
      <c r="H1225" t="s">
        <v>1891</v>
      </c>
      <c r="K1225" t="s">
        <v>2386</v>
      </c>
    </row>
    <row r="1226" spans="1:11" x14ac:dyDescent="0.55000000000000004">
      <c r="A1226">
        <v>510</v>
      </c>
      <c r="B1226" t="s">
        <v>27</v>
      </c>
      <c r="C1226">
        <v>25</v>
      </c>
      <c r="D1226">
        <v>139</v>
      </c>
      <c r="E1226" t="s">
        <v>732</v>
      </c>
      <c r="G1226" t="s">
        <v>1941</v>
      </c>
      <c r="H1226" t="s">
        <v>1941</v>
      </c>
    </row>
    <row r="1227" spans="1:11" x14ac:dyDescent="0.55000000000000004">
      <c r="A1227">
        <v>511</v>
      </c>
      <c r="B1227" t="s">
        <v>27</v>
      </c>
      <c r="C1227">
        <v>25</v>
      </c>
      <c r="D1227">
        <v>139</v>
      </c>
      <c r="E1227" t="s">
        <v>733</v>
      </c>
      <c r="G1227" t="s">
        <v>1941</v>
      </c>
      <c r="H1227" t="s">
        <v>1941</v>
      </c>
    </row>
    <row r="1228" spans="1:11" x14ac:dyDescent="0.55000000000000004">
      <c r="A1228">
        <v>512</v>
      </c>
      <c r="B1228" t="s">
        <v>27</v>
      </c>
      <c r="C1228">
        <v>25</v>
      </c>
      <c r="D1228">
        <v>139</v>
      </c>
      <c r="E1228" t="s">
        <v>734</v>
      </c>
      <c r="G1228" t="s">
        <v>1941</v>
      </c>
      <c r="H1228" t="s">
        <v>1941</v>
      </c>
    </row>
    <row r="1229" spans="1:11" x14ac:dyDescent="0.55000000000000004">
      <c r="A1229">
        <v>513</v>
      </c>
      <c r="B1229" t="s">
        <v>27</v>
      </c>
      <c r="C1229">
        <v>25</v>
      </c>
      <c r="D1229">
        <v>139</v>
      </c>
      <c r="E1229" t="s">
        <v>735</v>
      </c>
      <c r="G1229" t="s">
        <v>1941</v>
      </c>
      <c r="H1229" t="s">
        <v>1941</v>
      </c>
    </row>
    <row r="1230" spans="1:11" x14ac:dyDescent="0.55000000000000004">
      <c r="A1230">
        <v>514</v>
      </c>
      <c r="B1230" t="s">
        <v>27</v>
      </c>
      <c r="C1230">
        <v>25</v>
      </c>
      <c r="D1230">
        <v>139</v>
      </c>
      <c r="E1230" t="s">
        <v>736</v>
      </c>
      <c r="G1230" t="s">
        <v>1941</v>
      </c>
      <c r="H1230" t="s">
        <v>1941</v>
      </c>
    </row>
    <row r="1231" spans="1:11" x14ac:dyDescent="0.55000000000000004">
      <c r="A1231">
        <v>515</v>
      </c>
      <c r="B1231" t="s">
        <v>27</v>
      </c>
      <c r="C1231">
        <v>25</v>
      </c>
      <c r="D1231">
        <v>139</v>
      </c>
      <c r="E1231" t="s">
        <v>737</v>
      </c>
      <c r="G1231" t="s">
        <v>1941</v>
      </c>
      <c r="H1231" t="s">
        <v>1941</v>
      </c>
    </row>
    <row r="1232" spans="1:11" x14ac:dyDescent="0.55000000000000004">
      <c r="A1232">
        <v>516</v>
      </c>
      <c r="B1232" t="s">
        <v>27</v>
      </c>
      <c r="C1232">
        <v>25</v>
      </c>
      <c r="D1232">
        <v>139</v>
      </c>
      <c r="E1232" t="s">
        <v>738</v>
      </c>
      <c r="G1232" t="s">
        <v>1941</v>
      </c>
      <c r="H1232" t="s">
        <v>1941</v>
      </c>
    </row>
    <row r="1233" spans="1:11" x14ac:dyDescent="0.55000000000000004">
      <c r="A1233">
        <v>517</v>
      </c>
      <c r="B1233" t="s">
        <v>27</v>
      </c>
      <c r="C1233">
        <v>25</v>
      </c>
      <c r="D1233">
        <v>139</v>
      </c>
      <c r="E1233" t="s">
        <v>739</v>
      </c>
      <c r="G1233" t="s">
        <v>1941</v>
      </c>
      <c r="H1233" t="s">
        <v>1941</v>
      </c>
    </row>
    <row r="1234" spans="1:11" x14ac:dyDescent="0.55000000000000004">
      <c r="A1234">
        <v>518</v>
      </c>
      <c r="B1234" t="s">
        <v>27</v>
      </c>
      <c r="C1234">
        <v>25</v>
      </c>
      <c r="D1234">
        <v>139</v>
      </c>
      <c r="E1234" t="s">
        <v>740</v>
      </c>
      <c r="G1234" t="s">
        <v>1941</v>
      </c>
      <c r="H1234" t="s">
        <v>1941</v>
      </c>
    </row>
    <row r="1235" spans="1:11" x14ac:dyDescent="0.55000000000000004">
      <c r="A1235">
        <v>519</v>
      </c>
      <c r="B1235" t="s">
        <v>27</v>
      </c>
      <c r="C1235">
        <v>25</v>
      </c>
      <c r="D1235">
        <v>139</v>
      </c>
      <c r="E1235" t="s">
        <v>741</v>
      </c>
      <c r="G1235" t="s">
        <v>1941</v>
      </c>
      <c r="H1235" t="s">
        <v>1941</v>
      </c>
    </row>
    <row r="1236" spans="1:11" x14ac:dyDescent="0.55000000000000004">
      <c r="A1236">
        <v>532</v>
      </c>
      <c r="B1236" t="s">
        <v>29</v>
      </c>
      <c r="C1236">
        <v>25</v>
      </c>
      <c r="D1236">
        <v>184</v>
      </c>
      <c r="E1236" t="s">
        <v>754</v>
      </c>
      <c r="F1236">
        <v>12.05</v>
      </c>
      <c r="G1236" t="s">
        <v>1889</v>
      </c>
      <c r="H1236" t="s">
        <v>1891</v>
      </c>
      <c r="K1236" t="s">
        <v>2399</v>
      </c>
    </row>
    <row r="1237" spans="1:11" x14ac:dyDescent="0.55000000000000004">
      <c r="A1237">
        <v>533</v>
      </c>
      <c r="B1237" t="s">
        <v>29</v>
      </c>
      <c r="C1237">
        <v>25</v>
      </c>
      <c r="D1237">
        <v>184</v>
      </c>
      <c r="E1237" t="s">
        <v>755</v>
      </c>
      <c r="F1237">
        <v>14.46</v>
      </c>
      <c r="G1237" t="s">
        <v>1889</v>
      </c>
      <c r="H1237" t="s">
        <v>1891</v>
      </c>
      <c r="K1237" t="s">
        <v>2400</v>
      </c>
    </row>
    <row r="1238" spans="1:11" x14ac:dyDescent="0.55000000000000004">
      <c r="A1238">
        <v>534</v>
      </c>
      <c r="B1238" t="s">
        <v>29</v>
      </c>
      <c r="C1238">
        <v>25</v>
      </c>
      <c r="D1238">
        <v>184</v>
      </c>
      <c r="E1238" t="s">
        <v>756</v>
      </c>
      <c r="F1238">
        <v>13.28</v>
      </c>
      <c r="G1238" t="s">
        <v>1889</v>
      </c>
      <c r="H1238" t="s">
        <v>1891</v>
      </c>
      <c r="K1238" t="s">
        <v>2401</v>
      </c>
    </row>
    <row r="1239" spans="1:11" x14ac:dyDescent="0.55000000000000004">
      <c r="A1239">
        <v>535</v>
      </c>
      <c r="B1239" t="s">
        <v>29</v>
      </c>
      <c r="C1239">
        <v>25</v>
      </c>
      <c r="D1239">
        <v>184</v>
      </c>
      <c r="E1239" t="s">
        <v>757</v>
      </c>
      <c r="F1239">
        <v>9.27</v>
      </c>
      <c r="G1239" t="s">
        <v>1889</v>
      </c>
      <c r="H1239" t="s">
        <v>1891</v>
      </c>
      <c r="K1239" t="s">
        <v>2402</v>
      </c>
    </row>
    <row r="1240" spans="1:11" x14ac:dyDescent="0.55000000000000004">
      <c r="A1240">
        <v>536</v>
      </c>
      <c r="B1240" t="s">
        <v>29</v>
      </c>
      <c r="C1240">
        <v>25</v>
      </c>
      <c r="D1240">
        <v>184</v>
      </c>
      <c r="E1240" t="s">
        <v>758</v>
      </c>
      <c r="F1240">
        <v>12.57</v>
      </c>
      <c r="G1240" t="s">
        <v>1889</v>
      </c>
      <c r="H1240" t="s">
        <v>1891</v>
      </c>
      <c r="K1240" t="s">
        <v>2403</v>
      </c>
    </row>
    <row r="1241" spans="1:11" x14ac:dyDescent="0.55000000000000004">
      <c r="A1241">
        <v>537</v>
      </c>
      <c r="B1241" t="s">
        <v>29</v>
      </c>
      <c r="C1241">
        <v>25</v>
      </c>
      <c r="D1241">
        <v>184</v>
      </c>
      <c r="E1241" t="s">
        <v>759</v>
      </c>
      <c r="F1241">
        <v>13.45</v>
      </c>
      <c r="G1241" t="s">
        <v>1889</v>
      </c>
      <c r="H1241" t="s">
        <v>1891</v>
      </c>
      <c r="K1241" t="s">
        <v>2404</v>
      </c>
    </row>
    <row r="1242" spans="1:11" x14ac:dyDescent="0.55000000000000004">
      <c r="A1242">
        <v>538</v>
      </c>
      <c r="B1242" t="s">
        <v>29</v>
      </c>
      <c r="C1242">
        <v>25</v>
      </c>
      <c r="D1242">
        <v>184</v>
      </c>
      <c r="E1242" t="s">
        <v>760</v>
      </c>
      <c r="F1242">
        <v>12.54</v>
      </c>
      <c r="G1242" t="s">
        <v>1889</v>
      </c>
      <c r="H1242" t="s">
        <v>1891</v>
      </c>
      <c r="K1242" t="s">
        <v>2405</v>
      </c>
    </row>
    <row r="1243" spans="1:11" x14ac:dyDescent="0.55000000000000004">
      <c r="A1243">
        <v>539</v>
      </c>
      <c r="B1243" t="s">
        <v>29</v>
      </c>
      <c r="C1243">
        <v>25</v>
      </c>
      <c r="D1243">
        <v>184</v>
      </c>
      <c r="E1243" t="s">
        <v>761</v>
      </c>
      <c r="F1243">
        <v>15.03</v>
      </c>
      <c r="G1243" t="s">
        <v>1889</v>
      </c>
      <c r="H1243" t="s">
        <v>1891</v>
      </c>
      <c r="K1243" t="s">
        <v>2406</v>
      </c>
    </row>
    <row r="1244" spans="1:11" x14ac:dyDescent="0.55000000000000004">
      <c r="A1244">
        <v>540</v>
      </c>
      <c r="B1244" t="s">
        <v>29</v>
      </c>
      <c r="C1244">
        <v>25</v>
      </c>
      <c r="D1244">
        <v>184</v>
      </c>
      <c r="E1244" t="s">
        <v>762</v>
      </c>
      <c r="F1244">
        <v>14.52</v>
      </c>
      <c r="G1244" t="s">
        <v>1889</v>
      </c>
      <c r="H1244" t="s">
        <v>1891</v>
      </c>
      <c r="K1244" t="s">
        <v>2407</v>
      </c>
    </row>
    <row r="1245" spans="1:11" x14ac:dyDescent="0.55000000000000004">
      <c r="A1245">
        <v>541</v>
      </c>
      <c r="B1245" t="s">
        <v>29</v>
      </c>
      <c r="C1245">
        <v>25</v>
      </c>
      <c r="D1245">
        <v>184</v>
      </c>
      <c r="E1245" t="s">
        <v>763</v>
      </c>
      <c r="F1245">
        <v>13.12</v>
      </c>
      <c r="G1245" t="s">
        <v>1889</v>
      </c>
      <c r="H1245" t="s">
        <v>1891</v>
      </c>
      <c r="K1245" t="s">
        <v>2408</v>
      </c>
    </row>
    <row r="1246" spans="1:11" x14ac:dyDescent="0.55000000000000004">
      <c r="A1246">
        <v>542</v>
      </c>
      <c r="B1246" t="s">
        <v>29</v>
      </c>
      <c r="C1246">
        <v>25</v>
      </c>
      <c r="D1246">
        <v>184</v>
      </c>
      <c r="E1246" t="s">
        <v>764</v>
      </c>
      <c r="F1246">
        <v>12.44</v>
      </c>
      <c r="G1246" t="s">
        <v>1889</v>
      </c>
      <c r="H1246" t="s">
        <v>1891</v>
      </c>
      <c r="K1246" t="s">
        <v>2409</v>
      </c>
    </row>
    <row r="1247" spans="1:11" x14ac:dyDescent="0.55000000000000004">
      <c r="A1247">
        <v>543</v>
      </c>
      <c r="B1247" t="s">
        <v>29</v>
      </c>
      <c r="C1247">
        <v>25</v>
      </c>
      <c r="D1247">
        <v>184</v>
      </c>
      <c r="E1247" t="s">
        <v>765</v>
      </c>
      <c r="F1247">
        <v>11.38</v>
      </c>
      <c r="G1247" t="s">
        <v>1889</v>
      </c>
      <c r="H1247" t="s">
        <v>1891</v>
      </c>
      <c r="K1247" t="s">
        <v>2410</v>
      </c>
    </row>
    <row r="1248" spans="1:11" x14ac:dyDescent="0.55000000000000004">
      <c r="A1248">
        <v>544</v>
      </c>
      <c r="B1248" t="s">
        <v>29</v>
      </c>
      <c r="C1248">
        <v>25</v>
      </c>
      <c r="D1248">
        <v>184</v>
      </c>
      <c r="E1248" t="s">
        <v>766</v>
      </c>
      <c r="F1248">
        <v>12.64</v>
      </c>
      <c r="G1248" t="s">
        <v>1889</v>
      </c>
      <c r="H1248" t="s">
        <v>1891</v>
      </c>
      <c r="K1248" t="s">
        <v>2411</v>
      </c>
    </row>
    <row r="1249" spans="1:11" x14ac:dyDescent="0.55000000000000004">
      <c r="A1249">
        <v>557</v>
      </c>
      <c r="B1249" t="s">
        <v>30</v>
      </c>
      <c r="C1249">
        <v>25</v>
      </c>
      <c r="D1249">
        <v>192</v>
      </c>
      <c r="E1249" t="s">
        <v>779</v>
      </c>
      <c r="F1249">
        <v>10.02</v>
      </c>
      <c r="G1249" t="s">
        <v>1889</v>
      </c>
      <c r="H1249" t="s">
        <v>1891</v>
      </c>
      <c r="K1249" t="s">
        <v>2424</v>
      </c>
    </row>
    <row r="1250" spans="1:11" x14ac:dyDescent="0.55000000000000004">
      <c r="A1250">
        <v>558</v>
      </c>
      <c r="B1250" t="s">
        <v>30</v>
      </c>
      <c r="C1250">
        <v>25</v>
      </c>
      <c r="D1250">
        <v>192</v>
      </c>
      <c r="E1250" t="s">
        <v>780</v>
      </c>
      <c r="F1250">
        <v>10.95</v>
      </c>
      <c r="G1250" t="s">
        <v>1889</v>
      </c>
      <c r="H1250" t="s">
        <v>1891</v>
      </c>
      <c r="K1250" t="s">
        <v>2425</v>
      </c>
    </row>
    <row r="1251" spans="1:11" x14ac:dyDescent="0.55000000000000004">
      <c r="A1251">
        <v>559</v>
      </c>
      <c r="B1251" t="s">
        <v>30</v>
      </c>
      <c r="C1251">
        <v>25</v>
      </c>
      <c r="D1251">
        <v>192</v>
      </c>
      <c r="E1251" t="s">
        <v>781</v>
      </c>
      <c r="F1251">
        <v>11.34</v>
      </c>
      <c r="G1251" t="s">
        <v>1889</v>
      </c>
      <c r="H1251" t="s">
        <v>1891</v>
      </c>
      <c r="K1251" t="s">
        <v>2426</v>
      </c>
    </row>
    <row r="1252" spans="1:11" x14ac:dyDescent="0.55000000000000004">
      <c r="A1252">
        <v>560</v>
      </c>
      <c r="B1252" t="s">
        <v>30</v>
      </c>
      <c r="C1252">
        <v>25</v>
      </c>
      <c r="D1252">
        <v>192</v>
      </c>
      <c r="E1252" t="s">
        <v>782</v>
      </c>
      <c r="F1252">
        <v>11.7</v>
      </c>
      <c r="G1252" t="s">
        <v>1889</v>
      </c>
      <c r="H1252" t="s">
        <v>1891</v>
      </c>
      <c r="K1252" t="s">
        <v>2427</v>
      </c>
    </row>
    <row r="1253" spans="1:11" x14ac:dyDescent="0.55000000000000004">
      <c r="A1253">
        <v>561</v>
      </c>
      <c r="B1253" t="s">
        <v>30</v>
      </c>
      <c r="C1253">
        <v>25</v>
      </c>
      <c r="D1253">
        <v>192</v>
      </c>
      <c r="E1253" t="s">
        <v>783</v>
      </c>
      <c r="F1253">
        <v>11.91</v>
      </c>
      <c r="G1253" t="s">
        <v>1889</v>
      </c>
      <c r="H1253" t="s">
        <v>1891</v>
      </c>
      <c r="K1253" t="s">
        <v>2428</v>
      </c>
    </row>
    <row r="1254" spans="1:11" x14ac:dyDescent="0.55000000000000004">
      <c r="A1254">
        <v>562</v>
      </c>
      <c r="B1254" t="s">
        <v>30</v>
      </c>
      <c r="C1254">
        <v>25</v>
      </c>
      <c r="D1254">
        <v>192</v>
      </c>
      <c r="E1254" t="s">
        <v>784</v>
      </c>
      <c r="F1254">
        <v>11.76</v>
      </c>
      <c r="G1254" t="s">
        <v>1889</v>
      </c>
      <c r="H1254" t="s">
        <v>1891</v>
      </c>
      <c r="K1254" t="s">
        <v>2429</v>
      </c>
    </row>
    <row r="1255" spans="1:11" x14ac:dyDescent="0.55000000000000004">
      <c r="A1255">
        <v>563</v>
      </c>
      <c r="B1255" t="s">
        <v>30</v>
      </c>
      <c r="C1255">
        <v>25</v>
      </c>
      <c r="D1255">
        <v>192</v>
      </c>
      <c r="E1255" t="s">
        <v>785</v>
      </c>
      <c r="F1255">
        <v>12.72</v>
      </c>
      <c r="G1255" t="s">
        <v>1889</v>
      </c>
      <c r="H1255" t="s">
        <v>1891</v>
      </c>
      <c r="K1255" t="s">
        <v>2430</v>
      </c>
    </row>
    <row r="1256" spans="1:11" x14ac:dyDescent="0.55000000000000004">
      <c r="A1256">
        <v>564</v>
      </c>
      <c r="B1256" t="s">
        <v>30</v>
      </c>
      <c r="C1256">
        <v>25</v>
      </c>
      <c r="D1256">
        <v>192</v>
      </c>
      <c r="E1256" t="s">
        <v>786</v>
      </c>
      <c r="F1256">
        <v>14.75</v>
      </c>
      <c r="G1256" t="s">
        <v>1889</v>
      </c>
      <c r="H1256" t="s">
        <v>1891</v>
      </c>
      <c r="K1256" t="s">
        <v>2431</v>
      </c>
    </row>
    <row r="1257" spans="1:11" x14ac:dyDescent="0.55000000000000004">
      <c r="A1257">
        <v>565</v>
      </c>
      <c r="B1257" t="s">
        <v>30</v>
      </c>
      <c r="C1257">
        <v>25</v>
      </c>
      <c r="D1257">
        <v>192</v>
      </c>
      <c r="E1257" t="s">
        <v>787</v>
      </c>
      <c r="F1257">
        <v>11.3</v>
      </c>
      <c r="G1257" t="s">
        <v>1889</v>
      </c>
      <c r="H1257" t="s">
        <v>1891</v>
      </c>
      <c r="K1257" t="s">
        <v>2432</v>
      </c>
    </row>
    <row r="1258" spans="1:11" x14ac:dyDescent="0.55000000000000004">
      <c r="A1258">
        <v>566</v>
      </c>
      <c r="B1258" t="s">
        <v>30</v>
      </c>
      <c r="C1258">
        <v>25</v>
      </c>
      <c r="D1258">
        <v>192</v>
      </c>
      <c r="E1258" t="s">
        <v>788</v>
      </c>
      <c r="F1258">
        <v>11.04</v>
      </c>
      <c r="G1258" t="s">
        <v>1889</v>
      </c>
      <c r="H1258" t="s">
        <v>1891</v>
      </c>
      <c r="K1258" t="s">
        <v>2433</v>
      </c>
    </row>
    <row r="1259" spans="1:11" x14ac:dyDescent="0.55000000000000004">
      <c r="A1259">
        <v>567</v>
      </c>
      <c r="B1259" t="s">
        <v>30</v>
      </c>
      <c r="C1259">
        <v>25</v>
      </c>
      <c r="D1259">
        <v>192</v>
      </c>
      <c r="E1259" t="s">
        <v>789</v>
      </c>
      <c r="F1259">
        <v>12.12</v>
      </c>
      <c r="G1259" t="s">
        <v>1889</v>
      </c>
      <c r="H1259" t="s">
        <v>1891</v>
      </c>
      <c r="K1259" t="s">
        <v>2434</v>
      </c>
    </row>
    <row r="1260" spans="1:11" x14ac:dyDescent="0.55000000000000004">
      <c r="A1260">
        <v>568</v>
      </c>
      <c r="B1260" t="s">
        <v>30</v>
      </c>
      <c r="C1260">
        <v>25</v>
      </c>
      <c r="D1260">
        <v>192</v>
      </c>
      <c r="E1260" t="s">
        <v>790</v>
      </c>
      <c r="F1260">
        <v>11.39</v>
      </c>
      <c r="G1260" t="s">
        <v>1889</v>
      </c>
      <c r="H1260" t="s">
        <v>1891</v>
      </c>
      <c r="K1260" t="s">
        <v>2435</v>
      </c>
    </row>
    <row r="1261" spans="1:11" x14ac:dyDescent="0.55000000000000004">
      <c r="A1261">
        <v>569</v>
      </c>
      <c r="B1261" t="s">
        <v>30</v>
      </c>
      <c r="C1261">
        <v>25</v>
      </c>
      <c r="D1261">
        <v>192</v>
      </c>
      <c r="E1261" t="s">
        <v>791</v>
      </c>
      <c r="F1261">
        <v>19.649999999999999</v>
      </c>
      <c r="G1261" t="s">
        <v>2113</v>
      </c>
      <c r="H1261" t="s">
        <v>110</v>
      </c>
    </row>
    <row r="1262" spans="1:11" x14ac:dyDescent="0.55000000000000004">
      <c r="A1262">
        <v>582</v>
      </c>
      <c r="B1262" t="s">
        <v>31</v>
      </c>
      <c r="C1262">
        <v>25</v>
      </c>
      <c r="D1262">
        <v>57</v>
      </c>
      <c r="E1262" t="s">
        <v>804</v>
      </c>
      <c r="F1262">
        <v>10.94</v>
      </c>
      <c r="G1262" t="s">
        <v>1889</v>
      </c>
      <c r="H1262" t="s">
        <v>1891</v>
      </c>
      <c r="K1262" t="s">
        <v>2448</v>
      </c>
    </row>
    <row r="1263" spans="1:11" x14ac:dyDescent="0.55000000000000004">
      <c r="A1263">
        <v>583</v>
      </c>
      <c r="B1263" t="s">
        <v>31</v>
      </c>
      <c r="C1263">
        <v>25</v>
      </c>
      <c r="D1263">
        <v>57</v>
      </c>
      <c r="E1263" t="s">
        <v>805</v>
      </c>
      <c r="F1263">
        <v>10.65</v>
      </c>
      <c r="G1263" t="s">
        <v>1889</v>
      </c>
      <c r="H1263" t="s">
        <v>1891</v>
      </c>
      <c r="K1263" t="s">
        <v>2449</v>
      </c>
    </row>
    <row r="1264" spans="1:11" x14ac:dyDescent="0.55000000000000004">
      <c r="A1264">
        <v>584</v>
      </c>
      <c r="B1264" t="s">
        <v>31</v>
      </c>
      <c r="C1264">
        <v>25</v>
      </c>
      <c r="D1264">
        <v>57</v>
      </c>
      <c r="E1264" t="s">
        <v>806</v>
      </c>
      <c r="F1264">
        <v>9.76</v>
      </c>
      <c r="G1264" t="s">
        <v>1889</v>
      </c>
      <c r="H1264" t="s">
        <v>1891</v>
      </c>
      <c r="K1264" t="s">
        <v>2450</v>
      </c>
    </row>
    <row r="1265" spans="1:11" x14ac:dyDescent="0.55000000000000004">
      <c r="A1265">
        <v>585</v>
      </c>
      <c r="B1265" t="s">
        <v>31</v>
      </c>
      <c r="C1265">
        <v>25</v>
      </c>
      <c r="D1265">
        <v>57</v>
      </c>
      <c r="E1265" t="s">
        <v>807</v>
      </c>
      <c r="F1265">
        <v>9.86</v>
      </c>
      <c r="G1265" t="s">
        <v>1889</v>
      </c>
      <c r="H1265" t="s">
        <v>1891</v>
      </c>
      <c r="K1265" t="s">
        <v>2451</v>
      </c>
    </row>
    <row r="1266" spans="1:11" x14ac:dyDescent="0.55000000000000004">
      <c r="A1266">
        <v>586</v>
      </c>
      <c r="B1266" t="s">
        <v>31</v>
      </c>
      <c r="C1266">
        <v>25</v>
      </c>
      <c r="D1266">
        <v>57</v>
      </c>
      <c r="E1266" t="s">
        <v>808</v>
      </c>
      <c r="F1266">
        <v>10.86</v>
      </c>
      <c r="G1266" t="s">
        <v>1889</v>
      </c>
      <c r="H1266" t="s">
        <v>1891</v>
      </c>
      <c r="K1266" t="s">
        <v>2452</v>
      </c>
    </row>
    <row r="1267" spans="1:11" x14ac:dyDescent="0.55000000000000004">
      <c r="A1267">
        <v>587</v>
      </c>
      <c r="B1267" t="s">
        <v>31</v>
      </c>
      <c r="C1267">
        <v>25</v>
      </c>
      <c r="D1267">
        <v>57</v>
      </c>
      <c r="E1267" t="s">
        <v>809</v>
      </c>
      <c r="F1267">
        <v>11.15</v>
      </c>
      <c r="G1267" t="s">
        <v>1889</v>
      </c>
      <c r="H1267" t="s">
        <v>1891</v>
      </c>
      <c r="K1267" t="s">
        <v>2453</v>
      </c>
    </row>
    <row r="1268" spans="1:11" x14ac:dyDescent="0.55000000000000004">
      <c r="A1268">
        <v>588</v>
      </c>
      <c r="B1268" t="s">
        <v>31</v>
      </c>
      <c r="C1268">
        <v>25</v>
      </c>
      <c r="D1268">
        <v>57</v>
      </c>
      <c r="E1268" t="s">
        <v>810</v>
      </c>
      <c r="F1268">
        <v>10.220000000000001</v>
      </c>
      <c r="G1268" t="s">
        <v>1889</v>
      </c>
      <c r="H1268" t="s">
        <v>1891</v>
      </c>
      <c r="K1268" t="s">
        <v>2454</v>
      </c>
    </row>
    <row r="1269" spans="1:11" x14ac:dyDescent="0.55000000000000004">
      <c r="A1269">
        <v>589</v>
      </c>
      <c r="B1269" t="s">
        <v>31</v>
      </c>
      <c r="C1269">
        <v>25</v>
      </c>
      <c r="D1269">
        <v>57</v>
      </c>
      <c r="E1269" t="s">
        <v>811</v>
      </c>
      <c r="F1269">
        <v>11.68</v>
      </c>
      <c r="G1269" t="s">
        <v>1889</v>
      </c>
      <c r="H1269" t="s">
        <v>1891</v>
      </c>
      <c r="K1269" t="s">
        <v>2455</v>
      </c>
    </row>
    <row r="1270" spans="1:11" x14ac:dyDescent="0.55000000000000004">
      <c r="A1270">
        <v>590</v>
      </c>
      <c r="B1270" t="s">
        <v>31</v>
      </c>
      <c r="C1270">
        <v>25</v>
      </c>
      <c r="D1270">
        <v>57</v>
      </c>
      <c r="E1270" t="s">
        <v>812</v>
      </c>
      <c r="F1270">
        <v>10.78</v>
      </c>
      <c r="G1270" t="s">
        <v>1889</v>
      </c>
      <c r="H1270" t="s">
        <v>1891</v>
      </c>
      <c r="K1270" t="s">
        <v>2456</v>
      </c>
    </row>
    <row r="1271" spans="1:11" x14ac:dyDescent="0.55000000000000004">
      <c r="A1271">
        <v>591</v>
      </c>
      <c r="B1271" t="s">
        <v>31</v>
      </c>
      <c r="C1271">
        <v>25</v>
      </c>
      <c r="D1271">
        <v>57</v>
      </c>
      <c r="E1271" t="s">
        <v>813</v>
      </c>
      <c r="F1271">
        <v>13.07</v>
      </c>
      <c r="G1271" t="s">
        <v>1889</v>
      </c>
      <c r="H1271" t="s">
        <v>1891</v>
      </c>
      <c r="K1271" t="s">
        <v>2457</v>
      </c>
    </row>
    <row r="1272" spans="1:11" x14ac:dyDescent="0.55000000000000004">
      <c r="A1272">
        <v>592</v>
      </c>
      <c r="B1272" t="s">
        <v>31</v>
      </c>
      <c r="C1272">
        <v>25</v>
      </c>
      <c r="D1272">
        <v>57</v>
      </c>
      <c r="E1272" t="s">
        <v>814</v>
      </c>
      <c r="F1272">
        <v>10.210000000000001</v>
      </c>
      <c r="G1272" t="s">
        <v>1889</v>
      </c>
      <c r="H1272" t="s">
        <v>1891</v>
      </c>
      <c r="K1272" t="s">
        <v>2458</v>
      </c>
    </row>
    <row r="1273" spans="1:11" x14ac:dyDescent="0.55000000000000004">
      <c r="A1273">
        <v>593</v>
      </c>
      <c r="B1273" t="s">
        <v>31</v>
      </c>
      <c r="C1273">
        <v>25</v>
      </c>
      <c r="D1273">
        <v>57</v>
      </c>
      <c r="E1273" t="s">
        <v>815</v>
      </c>
      <c r="F1273">
        <v>12.38</v>
      </c>
      <c r="G1273" t="s">
        <v>1889</v>
      </c>
      <c r="H1273" t="s">
        <v>1891</v>
      </c>
      <c r="K1273" t="s">
        <v>2459</v>
      </c>
    </row>
    <row r="1274" spans="1:11" x14ac:dyDescent="0.55000000000000004">
      <c r="A1274">
        <v>594</v>
      </c>
      <c r="B1274" t="s">
        <v>31</v>
      </c>
      <c r="C1274">
        <v>25</v>
      </c>
      <c r="D1274">
        <v>57</v>
      </c>
      <c r="E1274" t="s">
        <v>816</v>
      </c>
      <c r="F1274">
        <v>10.26</v>
      </c>
      <c r="G1274" t="s">
        <v>1889</v>
      </c>
      <c r="H1274" t="s">
        <v>1891</v>
      </c>
      <c r="K1274" t="s">
        <v>2460</v>
      </c>
    </row>
    <row r="1275" spans="1:11" x14ac:dyDescent="0.55000000000000004">
      <c r="A1275">
        <v>607</v>
      </c>
      <c r="B1275" t="s">
        <v>32</v>
      </c>
      <c r="C1275">
        <v>25</v>
      </c>
      <c r="D1275">
        <v>183</v>
      </c>
      <c r="E1275" t="s">
        <v>829</v>
      </c>
      <c r="F1275">
        <v>12.34</v>
      </c>
      <c r="G1275" t="s">
        <v>1889</v>
      </c>
      <c r="H1275" t="s">
        <v>1891</v>
      </c>
      <c r="K1275" t="s">
        <v>2473</v>
      </c>
    </row>
    <row r="1276" spans="1:11" x14ac:dyDescent="0.55000000000000004">
      <c r="A1276">
        <v>608</v>
      </c>
      <c r="B1276" t="s">
        <v>32</v>
      </c>
      <c r="C1276">
        <v>25</v>
      </c>
      <c r="D1276">
        <v>183</v>
      </c>
      <c r="E1276" t="s">
        <v>830</v>
      </c>
      <c r="F1276">
        <v>13.23</v>
      </c>
      <c r="G1276" t="s">
        <v>1889</v>
      </c>
      <c r="H1276" t="s">
        <v>1891</v>
      </c>
      <c r="K1276" t="s">
        <v>2474</v>
      </c>
    </row>
    <row r="1277" spans="1:11" x14ac:dyDescent="0.55000000000000004">
      <c r="A1277">
        <v>609</v>
      </c>
      <c r="B1277" t="s">
        <v>32</v>
      </c>
      <c r="C1277">
        <v>25</v>
      </c>
      <c r="D1277">
        <v>183</v>
      </c>
      <c r="E1277" t="s">
        <v>831</v>
      </c>
      <c r="F1277">
        <v>14.19</v>
      </c>
      <c r="G1277" t="s">
        <v>1889</v>
      </c>
      <c r="H1277" t="s">
        <v>1891</v>
      </c>
      <c r="K1277" t="s">
        <v>2475</v>
      </c>
    </row>
    <row r="1278" spans="1:11" x14ac:dyDescent="0.55000000000000004">
      <c r="A1278">
        <v>610</v>
      </c>
      <c r="B1278" t="s">
        <v>32</v>
      </c>
      <c r="C1278">
        <v>25</v>
      </c>
      <c r="D1278">
        <v>183</v>
      </c>
      <c r="E1278" t="s">
        <v>832</v>
      </c>
      <c r="F1278">
        <v>13.55</v>
      </c>
      <c r="G1278" t="s">
        <v>1889</v>
      </c>
      <c r="H1278" t="s">
        <v>1891</v>
      </c>
      <c r="K1278" t="s">
        <v>2476</v>
      </c>
    </row>
    <row r="1279" spans="1:11" x14ac:dyDescent="0.55000000000000004">
      <c r="A1279">
        <v>611</v>
      </c>
      <c r="B1279" t="s">
        <v>32</v>
      </c>
      <c r="C1279">
        <v>25</v>
      </c>
      <c r="D1279">
        <v>183</v>
      </c>
      <c r="E1279" t="s">
        <v>833</v>
      </c>
      <c r="F1279">
        <v>14.09</v>
      </c>
      <c r="G1279" t="s">
        <v>1889</v>
      </c>
      <c r="H1279" t="s">
        <v>1891</v>
      </c>
      <c r="K1279" t="s">
        <v>2477</v>
      </c>
    </row>
    <row r="1280" spans="1:11" x14ac:dyDescent="0.55000000000000004">
      <c r="A1280">
        <v>612</v>
      </c>
      <c r="B1280" t="s">
        <v>32</v>
      </c>
      <c r="C1280">
        <v>25</v>
      </c>
      <c r="D1280">
        <v>183</v>
      </c>
      <c r="E1280" t="s">
        <v>834</v>
      </c>
      <c r="F1280">
        <v>13.16</v>
      </c>
      <c r="G1280" t="s">
        <v>1889</v>
      </c>
      <c r="H1280" t="s">
        <v>1891</v>
      </c>
      <c r="K1280" t="s">
        <v>2478</v>
      </c>
    </row>
    <row r="1281" spans="1:11" x14ac:dyDescent="0.55000000000000004">
      <c r="A1281">
        <v>613</v>
      </c>
      <c r="B1281" t="s">
        <v>32</v>
      </c>
      <c r="C1281">
        <v>25</v>
      </c>
      <c r="D1281">
        <v>183</v>
      </c>
      <c r="E1281" t="s">
        <v>835</v>
      </c>
      <c r="F1281">
        <v>11.86</v>
      </c>
      <c r="G1281" t="s">
        <v>1889</v>
      </c>
      <c r="H1281" t="s">
        <v>1891</v>
      </c>
      <c r="K1281" t="s">
        <v>2479</v>
      </c>
    </row>
    <row r="1282" spans="1:11" x14ac:dyDescent="0.55000000000000004">
      <c r="A1282">
        <v>614</v>
      </c>
      <c r="B1282" t="s">
        <v>32</v>
      </c>
      <c r="C1282">
        <v>25</v>
      </c>
      <c r="D1282">
        <v>183</v>
      </c>
      <c r="E1282" t="s">
        <v>836</v>
      </c>
      <c r="F1282">
        <v>14.5</v>
      </c>
      <c r="G1282" t="s">
        <v>1889</v>
      </c>
      <c r="H1282" t="s">
        <v>1891</v>
      </c>
      <c r="K1282" t="s">
        <v>2480</v>
      </c>
    </row>
    <row r="1283" spans="1:11" x14ac:dyDescent="0.55000000000000004">
      <c r="A1283">
        <v>615</v>
      </c>
      <c r="B1283" t="s">
        <v>32</v>
      </c>
      <c r="C1283">
        <v>25</v>
      </c>
      <c r="D1283">
        <v>183</v>
      </c>
      <c r="E1283" t="s">
        <v>837</v>
      </c>
      <c r="F1283">
        <v>12.29</v>
      </c>
      <c r="G1283" t="s">
        <v>1889</v>
      </c>
      <c r="H1283" t="s">
        <v>1891</v>
      </c>
      <c r="K1283" t="s">
        <v>2481</v>
      </c>
    </row>
    <row r="1284" spans="1:11" x14ac:dyDescent="0.55000000000000004">
      <c r="A1284">
        <v>616</v>
      </c>
      <c r="B1284" t="s">
        <v>32</v>
      </c>
      <c r="C1284">
        <v>25</v>
      </c>
      <c r="D1284">
        <v>183</v>
      </c>
      <c r="E1284" t="s">
        <v>838</v>
      </c>
      <c r="F1284">
        <v>12.66</v>
      </c>
      <c r="G1284" t="s">
        <v>1889</v>
      </c>
      <c r="H1284" t="s">
        <v>1891</v>
      </c>
      <c r="K1284" t="s">
        <v>2482</v>
      </c>
    </row>
    <row r="1285" spans="1:11" x14ac:dyDescent="0.55000000000000004">
      <c r="A1285">
        <v>617</v>
      </c>
      <c r="B1285" t="s">
        <v>32</v>
      </c>
      <c r="C1285">
        <v>25</v>
      </c>
      <c r="D1285">
        <v>183</v>
      </c>
      <c r="E1285" t="s">
        <v>839</v>
      </c>
      <c r="F1285">
        <v>15.09</v>
      </c>
      <c r="G1285" t="s">
        <v>1889</v>
      </c>
      <c r="H1285" t="s">
        <v>1891</v>
      </c>
      <c r="K1285" t="s">
        <v>2483</v>
      </c>
    </row>
    <row r="1286" spans="1:11" x14ac:dyDescent="0.55000000000000004">
      <c r="A1286">
        <v>618</v>
      </c>
      <c r="B1286" t="s">
        <v>32</v>
      </c>
      <c r="C1286">
        <v>25</v>
      </c>
      <c r="D1286">
        <v>183</v>
      </c>
      <c r="E1286" t="s">
        <v>840</v>
      </c>
      <c r="F1286">
        <v>13.48</v>
      </c>
      <c r="G1286" t="s">
        <v>1889</v>
      </c>
      <c r="H1286" t="s">
        <v>1891</v>
      </c>
      <c r="K1286" t="s">
        <v>2484</v>
      </c>
    </row>
    <row r="1287" spans="1:11" x14ac:dyDescent="0.55000000000000004">
      <c r="A1287">
        <v>619</v>
      </c>
      <c r="B1287" t="s">
        <v>32</v>
      </c>
      <c r="C1287">
        <v>25</v>
      </c>
      <c r="D1287">
        <v>183</v>
      </c>
      <c r="E1287" t="s">
        <v>841</v>
      </c>
      <c r="F1287">
        <v>10.53</v>
      </c>
      <c r="G1287" t="s">
        <v>1889</v>
      </c>
      <c r="H1287" t="s">
        <v>1891</v>
      </c>
      <c r="K1287" t="s">
        <v>2485</v>
      </c>
    </row>
    <row r="1288" spans="1:11" x14ac:dyDescent="0.55000000000000004">
      <c r="A1288">
        <v>637</v>
      </c>
      <c r="B1288" t="s">
        <v>34</v>
      </c>
      <c r="C1288">
        <v>25</v>
      </c>
      <c r="D1288">
        <v>82</v>
      </c>
      <c r="E1288" t="s">
        <v>859</v>
      </c>
      <c r="F1288">
        <v>12.71</v>
      </c>
      <c r="G1288" t="s">
        <v>1889</v>
      </c>
      <c r="H1288" t="s">
        <v>1891</v>
      </c>
      <c r="K1288" t="s">
        <v>2503</v>
      </c>
    </row>
    <row r="1289" spans="1:11" x14ac:dyDescent="0.55000000000000004">
      <c r="A1289">
        <v>638</v>
      </c>
      <c r="B1289" t="s">
        <v>34</v>
      </c>
      <c r="C1289">
        <v>25</v>
      </c>
      <c r="D1289">
        <v>82</v>
      </c>
      <c r="E1289" t="s">
        <v>860</v>
      </c>
      <c r="F1289">
        <v>12.64</v>
      </c>
      <c r="G1289" t="s">
        <v>1889</v>
      </c>
      <c r="H1289" t="s">
        <v>1891</v>
      </c>
      <c r="K1289" t="s">
        <v>2504</v>
      </c>
    </row>
    <row r="1290" spans="1:11" x14ac:dyDescent="0.55000000000000004">
      <c r="A1290">
        <v>639</v>
      </c>
      <c r="B1290" t="s">
        <v>34</v>
      </c>
      <c r="C1290">
        <v>25</v>
      </c>
      <c r="D1290">
        <v>82</v>
      </c>
      <c r="E1290" t="s">
        <v>861</v>
      </c>
      <c r="F1290">
        <v>11.8</v>
      </c>
      <c r="G1290" t="s">
        <v>1889</v>
      </c>
      <c r="H1290" t="s">
        <v>1891</v>
      </c>
      <c r="K1290" t="s">
        <v>2505</v>
      </c>
    </row>
    <row r="1291" spans="1:11" x14ac:dyDescent="0.55000000000000004">
      <c r="A1291">
        <v>640</v>
      </c>
      <c r="B1291" t="s">
        <v>34</v>
      </c>
      <c r="C1291">
        <v>25</v>
      </c>
      <c r="D1291">
        <v>82</v>
      </c>
      <c r="E1291" t="s">
        <v>862</v>
      </c>
      <c r="F1291">
        <v>12.03</v>
      </c>
      <c r="G1291" t="s">
        <v>1889</v>
      </c>
      <c r="H1291" t="s">
        <v>1891</v>
      </c>
      <c r="K1291" t="s">
        <v>2506</v>
      </c>
    </row>
    <row r="1292" spans="1:11" x14ac:dyDescent="0.55000000000000004">
      <c r="A1292">
        <v>641</v>
      </c>
      <c r="B1292" t="s">
        <v>34</v>
      </c>
      <c r="C1292">
        <v>25</v>
      </c>
      <c r="D1292">
        <v>82</v>
      </c>
      <c r="E1292" t="s">
        <v>863</v>
      </c>
      <c r="F1292">
        <v>12.05</v>
      </c>
      <c r="G1292" t="s">
        <v>1889</v>
      </c>
      <c r="H1292" t="s">
        <v>1891</v>
      </c>
      <c r="K1292" t="s">
        <v>2507</v>
      </c>
    </row>
    <row r="1293" spans="1:11" x14ac:dyDescent="0.55000000000000004">
      <c r="A1293">
        <v>642</v>
      </c>
      <c r="B1293" t="s">
        <v>34</v>
      </c>
      <c r="C1293">
        <v>25</v>
      </c>
      <c r="D1293">
        <v>82</v>
      </c>
      <c r="E1293" t="s">
        <v>864</v>
      </c>
      <c r="F1293">
        <v>13.4</v>
      </c>
      <c r="G1293" t="s">
        <v>1889</v>
      </c>
      <c r="H1293" t="s">
        <v>1891</v>
      </c>
      <c r="K1293" t="s">
        <v>2508</v>
      </c>
    </row>
    <row r="1294" spans="1:11" x14ac:dyDescent="0.55000000000000004">
      <c r="A1294">
        <v>643</v>
      </c>
      <c r="B1294" t="s">
        <v>34</v>
      </c>
      <c r="C1294">
        <v>25</v>
      </c>
      <c r="D1294">
        <v>82</v>
      </c>
      <c r="E1294" t="s">
        <v>865</v>
      </c>
      <c r="F1294">
        <v>11.93</v>
      </c>
      <c r="G1294" t="s">
        <v>1889</v>
      </c>
      <c r="H1294" t="s">
        <v>1891</v>
      </c>
      <c r="K1294" t="s">
        <v>2509</v>
      </c>
    </row>
    <row r="1295" spans="1:11" x14ac:dyDescent="0.55000000000000004">
      <c r="A1295">
        <v>644</v>
      </c>
      <c r="B1295" t="s">
        <v>34</v>
      </c>
      <c r="C1295">
        <v>25</v>
      </c>
      <c r="D1295">
        <v>82</v>
      </c>
      <c r="E1295" t="s">
        <v>866</v>
      </c>
      <c r="F1295">
        <v>11.97</v>
      </c>
      <c r="G1295" t="s">
        <v>1889</v>
      </c>
      <c r="H1295" t="s">
        <v>1891</v>
      </c>
      <c r="K1295" t="s">
        <v>2510</v>
      </c>
    </row>
    <row r="1296" spans="1:11" x14ac:dyDescent="0.55000000000000004">
      <c r="A1296">
        <v>645</v>
      </c>
      <c r="B1296" t="s">
        <v>34</v>
      </c>
      <c r="C1296">
        <v>25</v>
      </c>
      <c r="D1296">
        <v>82</v>
      </c>
      <c r="E1296" t="s">
        <v>867</v>
      </c>
      <c r="F1296">
        <v>12.31</v>
      </c>
      <c r="G1296" t="s">
        <v>1889</v>
      </c>
      <c r="H1296" t="s">
        <v>1891</v>
      </c>
      <c r="K1296" t="s">
        <v>2511</v>
      </c>
    </row>
    <row r="1297" spans="1:11" x14ac:dyDescent="0.55000000000000004">
      <c r="A1297">
        <v>646</v>
      </c>
      <c r="B1297" t="s">
        <v>34</v>
      </c>
      <c r="C1297">
        <v>25</v>
      </c>
      <c r="D1297">
        <v>82</v>
      </c>
      <c r="E1297" t="s">
        <v>868</v>
      </c>
      <c r="F1297">
        <v>12.28</v>
      </c>
      <c r="G1297" t="s">
        <v>1889</v>
      </c>
      <c r="H1297" t="s">
        <v>1891</v>
      </c>
      <c r="K1297" t="s">
        <v>2512</v>
      </c>
    </row>
    <row r="1298" spans="1:11" x14ac:dyDescent="0.55000000000000004">
      <c r="A1298">
        <v>647</v>
      </c>
      <c r="B1298" t="s">
        <v>34</v>
      </c>
      <c r="C1298">
        <v>25</v>
      </c>
      <c r="D1298">
        <v>82</v>
      </c>
      <c r="E1298" t="s">
        <v>869</v>
      </c>
      <c r="F1298">
        <v>11.61</v>
      </c>
      <c r="G1298" t="s">
        <v>1889</v>
      </c>
      <c r="H1298" t="s">
        <v>1891</v>
      </c>
      <c r="K1298" t="s">
        <v>2513</v>
      </c>
    </row>
    <row r="1299" spans="1:11" x14ac:dyDescent="0.55000000000000004">
      <c r="A1299">
        <v>648</v>
      </c>
      <c r="B1299" t="s">
        <v>34</v>
      </c>
      <c r="C1299">
        <v>25</v>
      </c>
      <c r="D1299">
        <v>82</v>
      </c>
      <c r="E1299" t="s">
        <v>870</v>
      </c>
      <c r="F1299">
        <v>11.79</v>
      </c>
      <c r="G1299" t="s">
        <v>1889</v>
      </c>
      <c r="H1299" t="s">
        <v>1891</v>
      </c>
      <c r="K1299" t="s">
        <v>2514</v>
      </c>
    </row>
    <row r="1300" spans="1:11" x14ac:dyDescent="0.55000000000000004">
      <c r="A1300">
        <v>649</v>
      </c>
      <c r="B1300" t="s">
        <v>34</v>
      </c>
      <c r="C1300">
        <v>25</v>
      </c>
      <c r="D1300">
        <v>82</v>
      </c>
      <c r="E1300" t="s">
        <v>871</v>
      </c>
      <c r="F1300">
        <v>12.09</v>
      </c>
      <c r="G1300" t="s">
        <v>1889</v>
      </c>
      <c r="H1300" t="s">
        <v>1891</v>
      </c>
      <c r="K1300" t="s">
        <v>2515</v>
      </c>
    </row>
    <row r="1301" spans="1:11" x14ac:dyDescent="0.55000000000000004">
      <c r="A1301">
        <v>662</v>
      </c>
      <c r="B1301" t="s">
        <v>35</v>
      </c>
      <c r="C1301">
        <v>25</v>
      </c>
      <c r="D1301">
        <v>84</v>
      </c>
      <c r="E1301" t="s">
        <v>884</v>
      </c>
      <c r="F1301">
        <v>12.62</v>
      </c>
      <c r="G1301" t="s">
        <v>1889</v>
      </c>
      <c r="H1301" t="s">
        <v>1891</v>
      </c>
      <c r="K1301" t="s">
        <v>2528</v>
      </c>
    </row>
    <row r="1302" spans="1:11" x14ac:dyDescent="0.55000000000000004">
      <c r="A1302">
        <v>663</v>
      </c>
      <c r="B1302" t="s">
        <v>35</v>
      </c>
      <c r="C1302">
        <v>25</v>
      </c>
      <c r="D1302">
        <v>84</v>
      </c>
      <c r="E1302" t="s">
        <v>885</v>
      </c>
      <c r="F1302">
        <v>12.05</v>
      </c>
      <c r="G1302" t="s">
        <v>1889</v>
      </c>
      <c r="H1302" t="s">
        <v>1891</v>
      </c>
      <c r="K1302" t="s">
        <v>2529</v>
      </c>
    </row>
    <row r="1303" spans="1:11" x14ac:dyDescent="0.55000000000000004">
      <c r="A1303">
        <v>664</v>
      </c>
      <c r="B1303" t="s">
        <v>35</v>
      </c>
      <c r="C1303">
        <v>25</v>
      </c>
      <c r="D1303">
        <v>84</v>
      </c>
      <c r="E1303" t="s">
        <v>886</v>
      </c>
      <c r="F1303">
        <v>13.75</v>
      </c>
      <c r="G1303" t="s">
        <v>1889</v>
      </c>
      <c r="H1303" t="s">
        <v>1891</v>
      </c>
      <c r="K1303" t="s">
        <v>2530</v>
      </c>
    </row>
    <row r="1304" spans="1:11" x14ac:dyDescent="0.55000000000000004">
      <c r="A1304">
        <v>665</v>
      </c>
      <c r="B1304" t="s">
        <v>35</v>
      </c>
      <c r="C1304">
        <v>25</v>
      </c>
      <c r="D1304">
        <v>84</v>
      </c>
      <c r="E1304" t="s">
        <v>887</v>
      </c>
      <c r="F1304">
        <v>12.63</v>
      </c>
      <c r="G1304" t="s">
        <v>1889</v>
      </c>
      <c r="H1304" t="s">
        <v>1891</v>
      </c>
      <c r="K1304" t="s">
        <v>2531</v>
      </c>
    </row>
    <row r="1305" spans="1:11" x14ac:dyDescent="0.55000000000000004">
      <c r="A1305">
        <v>666</v>
      </c>
      <c r="B1305" t="s">
        <v>35</v>
      </c>
      <c r="C1305">
        <v>25</v>
      </c>
      <c r="D1305">
        <v>84</v>
      </c>
      <c r="E1305" t="s">
        <v>888</v>
      </c>
      <c r="F1305">
        <v>13.2</v>
      </c>
      <c r="G1305" t="s">
        <v>1889</v>
      </c>
      <c r="H1305" t="s">
        <v>1891</v>
      </c>
      <c r="K1305" t="s">
        <v>2532</v>
      </c>
    </row>
    <row r="1306" spans="1:11" x14ac:dyDescent="0.55000000000000004">
      <c r="A1306">
        <v>667</v>
      </c>
      <c r="B1306" t="s">
        <v>35</v>
      </c>
      <c r="C1306">
        <v>25</v>
      </c>
      <c r="D1306">
        <v>84</v>
      </c>
      <c r="E1306" t="s">
        <v>889</v>
      </c>
      <c r="F1306">
        <v>12.84</v>
      </c>
      <c r="G1306" t="s">
        <v>1889</v>
      </c>
      <c r="H1306" t="s">
        <v>1891</v>
      </c>
      <c r="K1306" t="s">
        <v>2533</v>
      </c>
    </row>
    <row r="1307" spans="1:11" x14ac:dyDescent="0.55000000000000004">
      <c r="A1307">
        <v>668</v>
      </c>
      <c r="B1307" t="s">
        <v>35</v>
      </c>
      <c r="C1307">
        <v>25</v>
      </c>
      <c r="D1307">
        <v>84</v>
      </c>
      <c r="E1307" t="s">
        <v>890</v>
      </c>
      <c r="F1307">
        <v>12.35</v>
      </c>
      <c r="G1307" t="s">
        <v>1889</v>
      </c>
      <c r="H1307" t="s">
        <v>1891</v>
      </c>
      <c r="K1307" t="s">
        <v>2534</v>
      </c>
    </row>
    <row r="1308" spans="1:11" x14ac:dyDescent="0.55000000000000004">
      <c r="A1308">
        <v>669</v>
      </c>
      <c r="B1308" t="s">
        <v>35</v>
      </c>
      <c r="C1308">
        <v>25</v>
      </c>
      <c r="D1308">
        <v>84</v>
      </c>
      <c r="E1308" t="s">
        <v>891</v>
      </c>
      <c r="F1308">
        <v>13.13</v>
      </c>
      <c r="G1308" t="s">
        <v>1889</v>
      </c>
      <c r="H1308" t="s">
        <v>1891</v>
      </c>
      <c r="K1308" t="s">
        <v>2535</v>
      </c>
    </row>
    <row r="1309" spans="1:11" x14ac:dyDescent="0.55000000000000004">
      <c r="A1309">
        <v>670</v>
      </c>
      <c r="B1309" t="s">
        <v>35</v>
      </c>
      <c r="C1309">
        <v>25</v>
      </c>
      <c r="D1309">
        <v>84</v>
      </c>
      <c r="E1309" t="s">
        <v>892</v>
      </c>
      <c r="F1309">
        <v>11.88</v>
      </c>
      <c r="G1309" t="s">
        <v>1889</v>
      </c>
      <c r="H1309" t="s">
        <v>1891</v>
      </c>
      <c r="K1309" t="s">
        <v>2536</v>
      </c>
    </row>
    <row r="1310" spans="1:11" x14ac:dyDescent="0.55000000000000004">
      <c r="A1310">
        <v>671</v>
      </c>
      <c r="B1310" t="s">
        <v>35</v>
      </c>
      <c r="C1310">
        <v>25</v>
      </c>
      <c r="D1310">
        <v>84</v>
      </c>
      <c r="E1310" t="s">
        <v>893</v>
      </c>
      <c r="F1310">
        <v>12.86</v>
      </c>
      <c r="G1310" t="s">
        <v>1889</v>
      </c>
      <c r="H1310" t="s">
        <v>1891</v>
      </c>
      <c r="K1310" t="s">
        <v>2537</v>
      </c>
    </row>
    <row r="1311" spans="1:11" x14ac:dyDescent="0.55000000000000004">
      <c r="A1311">
        <v>672</v>
      </c>
      <c r="B1311" t="s">
        <v>35</v>
      </c>
      <c r="C1311">
        <v>25</v>
      </c>
      <c r="D1311">
        <v>84</v>
      </c>
      <c r="E1311" t="s">
        <v>894</v>
      </c>
      <c r="F1311">
        <v>11.76</v>
      </c>
      <c r="G1311" t="s">
        <v>1889</v>
      </c>
      <c r="H1311" t="s">
        <v>1891</v>
      </c>
      <c r="K1311" t="s">
        <v>2538</v>
      </c>
    </row>
    <row r="1312" spans="1:11" x14ac:dyDescent="0.55000000000000004">
      <c r="A1312">
        <v>673</v>
      </c>
      <c r="B1312" t="s">
        <v>35</v>
      </c>
      <c r="C1312">
        <v>25</v>
      </c>
      <c r="D1312">
        <v>84</v>
      </c>
      <c r="E1312" t="s">
        <v>895</v>
      </c>
      <c r="G1312" t="s">
        <v>1941</v>
      </c>
      <c r="H1312" t="s">
        <v>1941</v>
      </c>
    </row>
    <row r="1313" spans="1:11" x14ac:dyDescent="0.55000000000000004">
      <c r="A1313">
        <v>674</v>
      </c>
      <c r="B1313" t="s">
        <v>35</v>
      </c>
      <c r="C1313">
        <v>25</v>
      </c>
      <c r="D1313">
        <v>84</v>
      </c>
      <c r="E1313" t="s">
        <v>896</v>
      </c>
      <c r="G1313" t="s">
        <v>1941</v>
      </c>
      <c r="H1313" t="s">
        <v>1941</v>
      </c>
    </row>
    <row r="1314" spans="1:11" x14ac:dyDescent="0.55000000000000004">
      <c r="A1314">
        <v>687</v>
      </c>
      <c r="B1314" t="s">
        <v>36</v>
      </c>
      <c r="C1314">
        <v>25</v>
      </c>
      <c r="D1314">
        <v>85</v>
      </c>
      <c r="E1314" t="s">
        <v>909</v>
      </c>
      <c r="F1314">
        <v>12.3</v>
      </c>
      <c r="G1314" t="s">
        <v>1889</v>
      </c>
      <c r="H1314" t="s">
        <v>1891</v>
      </c>
      <c r="K1314" t="s">
        <v>2551</v>
      </c>
    </row>
    <row r="1315" spans="1:11" x14ac:dyDescent="0.55000000000000004">
      <c r="A1315">
        <v>688</v>
      </c>
      <c r="B1315" t="s">
        <v>36</v>
      </c>
      <c r="C1315">
        <v>25</v>
      </c>
      <c r="D1315">
        <v>85</v>
      </c>
      <c r="E1315" t="s">
        <v>910</v>
      </c>
      <c r="F1315">
        <v>11.55</v>
      </c>
      <c r="G1315" t="s">
        <v>1889</v>
      </c>
      <c r="H1315" t="s">
        <v>1891</v>
      </c>
      <c r="K1315" t="s">
        <v>2552</v>
      </c>
    </row>
    <row r="1316" spans="1:11" x14ac:dyDescent="0.55000000000000004">
      <c r="A1316">
        <v>689</v>
      </c>
      <c r="B1316" t="s">
        <v>36</v>
      </c>
      <c r="C1316">
        <v>25</v>
      </c>
      <c r="D1316">
        <v>85</v>
      </c>
      <c r="E1316" t="s">
        <v>911</v>
      </c>
      <c r="F1316">
        <v>14.13</v>
      </c>
      <c r="G1316" t="s">
        <v>1889</v>
      </c>
      <c r="H1316" t="s">
        <v>1891</v>
      </c>
      <c r="K1316" t="s">
        <v>2553</v>
      </c>
    </row>
    <row r="1317" spans="1:11" x14ac:dyDescent="0.55000000000000004">
      <c r="A1317">
        <v>690</v>
      </c>
      <c r="B1317" t="s">
        <v>36</v>
      </c>
      <c r="C1317">
        <v>25</v>
      </c>
      <c r="D1317">
        <v>85</v>
      </c>
      <c r="E1317" t="s">
        <v>912</v>
      </c>
      <c r="F1317">
        <v>12.7</v>
      </c>
      <c r="G1317" t="s">
        <v>1889</v>
      </c>
      <c r="H1317" t="s">
        <v>1891</v>
      </c>
      <c r="K1317" t="s">
        <v>2554</v>
      </c>
    </row>
    <row r="1318" spans="1:11" x14ac:dyDescent="0.55000000000000004">
      <c r="A1318">
        <v>691</v>
      </c>
      <c r="B1318" t="s">
        <v>36</v>
      </c>
      <c r="C1318">
        <v>25</v>
      </c>
      <c r="D1318">
        <v>85</v>
      </c>
      <c r="E1318" t="s">
        <v>913</v>
      </c>
      <c r="F1318">
        <v>13.07</v>
      </c>
      <c r="G1318" t="s">
        <v>1889</v>
      </c>
      <c r="H1318" t="s">
        <v>1891</v>
      </c>
      <c r="K1318" t="s">
        <v>2555</v>
      </c>
    </row>
    <row r="1319" spans="1:11" x14ac:dyDescent="0.55000000000000004">
      <c r="A1319">
        <v>692</v>
      </c>
      <c r="B1319" t="s">
        <v>36</v>
      </c>
      <c r="C1319">
        <v>25</v>
      </c>
      <c r="D1319">
        <v>85</v>
      </c>
      <c r="E1319" t="s">
        <v>914</v>
      </c>
      <c r="F1319">
        <v>14.25</v>
      </c>
      <c r="G1319" t="s">
        <v>1889</v>
      </c>
      <c r="H1319" t="s">
        <v>1891</v>
      </c>
      <c r="K1319" t="s">
        <v>2556</v>
      </c>
    </row>
    <row r="1320" spans="1:11" x14ac:dyDescent="0.55000000000000004">
      <c r="A1320">
        <v>693</v>
      </c>
      <c r="B1320" t="s">
        <v>36</v>
      </c>
      <c r="C1320">
        <v>25</v>
      </c>
      <c r="D1320">
        <v>85</v>
      </c>
      <c r="E1320" t="s">
        <v>915</v>
      </c>
      <c r="F1320">
        <v>12.78</v>
      </c>
      <c r="G1320" t="s">
        <v>1889</v>
      </c>
      <c r="H1320" t="s">
        <v>1891</v>
      </c>
      <c r="K1320" t="s">
        <v>2557</v>
      </c>
    </row>
    <row r="1321" spans="1:11" x14ac:dyDescent="0.55000000000000004">
      <c r="A1321">
        <v>694</v>
      </c>
      <c r="B1321" t="s">
        <v>36</v>
      </c>
      <c r="C1321">
        <v>25</v>
      </c>
      <c r="D1321">
        <v>85</v>
      </c>
      <c r="E1321" t="s">
        <v>916</v>
      </c>
      <c r="F1321">
        <v>12.61</v>
      </c>
      <c r="G1321" t="s">
        <v>1889</v>
      </c>
      <c r="H1321" t="s">
        <v>1891</v>
      </c>
      <c r="K1321" t="s">
        <v>2558</v>
      </c>
    </row>
    <row r="1322" spans="1:11" x14ac:dyDescent="0.55000000000000004">
      <c r="A1322">
        <v>695</v>
      </c>
      <c r="B1322" t="s">
        <v>36</v>
      </c>
      <c r="C1322">
        <v>25</v>
      </c>
      <c r="D1322">
        <v>85</v>
      </c>
      <c r="E1322" t="s">
        <v>917</v>
      </c>
      <c r="F1322">
        <v>11.53</v>
      </c>
      <c r="G1322" t="s">
        <v>1889</v>
      </c>
      <c r="H1322" t="s">
        <v>1891</v>
      </c>
      <c r="K1322" t="s">
        <v>2559</v>
      </c>
    </row>
    <row r="1323" spans="1:11" x14ac:dyDescent="0.55000000000000004">
      <c r="A1323">
        <v>696</v>
      </c>
      <c r="B1323" t="s">
        <v>36</v>
      </c>
      <c r="C1323">
        <v>25</v>
      </c>
      <c r="D1323">
        <v>85</v>
      </c>
      <c r="E1323" t="s">
        <v>918</v>
      </c>
      <c r="F1323">
        <v>11.81</v>
      </c>
      <c r="G1323" t="s">
        <v>1889</v>
      </c>
      <c r="H1323" t="s">
        <v>1891</v>
      </c>
      <c r="K1323" t="s">
        <v>2560</v>
      </c>
    </row>
    <row r="1324" spans="1:11" x14ac:dyDescent="0.55000000000000004">
      <c r="A1324">
        <v>697</v>
      </c>
      <c r="B1324" t="s">
        <v>36</v>
      </c>
      <c r="C1324">
        <v>25</v>
      </c>
      <c r="D1324">
        <v>85</v>
      </c>
      <c r="E1324" t="s">
        <v>919</v>
      </c>
      <c r="F1324">
        <v>10.46</v>
      </c>
      <c r="G1324" t="s">
        <v>1889</v>
      </c>
      <c r="H1324" t="s">
        <v>1891</v>
      </c>
      <c r="K1324" t="s">
        <v>2561</v>
      </c>
    </row>
    <row r="1325" spans="1:11" x14ac:dyDescent="0.55000000000000004">
      <c r="A1325">
        <v>698</v>
      </c>
      <c r="B1325" t="s">
        <v>36</v>
      </c>
      <c r="C1325">
        <v>25</v>
      </c>
      <c r="D1325">
        <v>85</v>
      </c>
      <c r="E1325" t="s">
        <v>920</v>
      </c>
      <c r="F1325">
        <v>12.46</v>
      </c>
      <c r="G1325" t="s">
        <v>1889</v>
      </c>
      <c r="H1325" t="s">
        <v>1891</v>
      </c>
      <c r="K1325" t="s">
        <v>2562</v>
      </c>
    </row>
    <row r="1326" spans="1:11" x14ac:dyDescent="0.55000000000000004">
      <c r="A1326">
        <v>699</v>
      </c>
      <c r="B1326" t="s">
        <v>36</v>
      </c>
      <c r="C1326">
        <v>25</v>
      </c>
      <c r="D1326">
        <v>85</v>
      </c>
      <c r="E1326" t="s">
        <v>921</v>
      </c>
      <c r="F1326">
        <v>12.27</v>
      </c>
      <c r="G1326" t="s">
        <v>1889</v>
      </c>
      <c r="H1326" t="s">
        <v>1891</v>
      </c>
      <c r="K1326" t="s">
        <v>2563</v>
      </c>
    </row>
    <row r="1327" spans="1:11" x14ac:dyDescent="0.55000000000000004">
      <c r="A1327">
        <v>712</v>
      </c>
      <c r="B1327" t="s">
        <v>37</v>
      </c>
      <c r="C1327">
        <v>25</v>
      </c>
      <c r="D1327">
        <v>101</v>
      </c>
      <c r="E1327" t="s">
        <v>934</v>
      </c>
      <c r="F1327">
        <v>12.58</v>
      </c>
      <c r="G1327" t="s">
        <v>1889</v>
      </c>
      <c r="H1327" t="s">
        <v>1891</v>
      </c>
      <c r="K1327" t="s">
        <v>2576</v>
      </c>
    </row>
    <row r="1328" spans="1:11" x14ac:dyDescent="0.55000000000000004">
      <c r="A1328">
        <v>713</v>
      </c>
      <c r="B1328" t="s">
        <v>37</v>
      </c>
      <c r="C1328">
        <v>25</v>
      </c>
      <c r="D1328">
        <v>101</v>
      </c>
      <c r="E1328" t="s">
        <v>935</v>
      </c>
      <c r="F1328">
        <v>12.27</v>
      </c>
      <c r="G1328" t="s">
        <v>1889</v>
      </c>
      <c r="H1328" t="s">
        <v>1891</v>
      </c>
      <c r="K1328" t="s">
        <v>2577</v>
      </c>
    </row>
    <row r="1329" spans="1:11" x14ac:dyDescent="0.55000000000000004">
      <c r="A1329">
        <v>714</v>
      </c>
      <c r="B1329" t="s">
        <v>37</v>
      </c>
      <c r="C1329">
        <v>25</v>
      </c>
      <c r="D1329">
        <v>101</v>
      </c>
      <c r="E1329" t="s">
        <v>936</v>
      </c>
      <c r="F1329">
        <v>12.39</v>
      </c>
      <c r="G1329" t="s">
        <v>1889</v>
      </c>
      <c r="H1329" t="s">
        <v>1891</v>
      </c>
      <c r="K1329" t="s">
        <v>2578</v>
      </c>
    </row>
    <row r="1330" spans="1:11" x14ac:dyDescent="0.55000000000000004">
      <c r="A1330">
        <v>715</v>
      </c>
      <c r="B1330" t="s">
        <v>37</v>
      </c>
      <c r="C1330">
        <v>25</v>
      </c>
      <c r="D1330">
        <v>101</v>
      </c>
      <c r="E1330" t="s">
        <v>937</v>
      </c>
      <c r="F1330">
        <v>12.78</v>
      </c>
      <c r="G1330" t="s">
        <v>1889</v>
      </c>
      <c r="H1330" t="s">
        <v>1891</v>
      </c>
      <c r="K1330" t="s">
        <v>2579</v>
      </c>
    </row>
    <row r="1331" spans="1:11" x14ac:dyDescent="0.55000000000000004">
      <c r="A1331">
        <v>716</v>
      </c>
      <c r="B1331" t="s">
        <v>37</v>
      </c>
      <c r="C1331">
        <v>25</v>
      </c>
      <c r="D1331">
        <v>101</v>
      </c>
      <c r="E1331" t="s">
        <v>938</v>
      </c>
      <c r="F1331">
        <v>12.25</v>
      </c>
      <c r="G1331" t="s">
        <v>1889</v>
      </c>
      <c r="H1331" t="s">
        <v>1891</v>
      </c>
      <c r="K1331" t="s">
        <v>2580</v>
      </c>
    </row>
    <row r="1332" spans="1:11" x14ac:dyDescent="0.55000000000000004">
      <c r="A1332">
        <v>717</v>
      </c>
      <c r="B1332" t="s">
        <v>37</v>
      </c>
      <c r="C1332">
        <v>25</v>
      </c>
      <c r="D1332">
        <v>101</v>
      </c>
      <c r="E1332" t="s">
        <v>939</v>
      </c>
      <c r="F1332">
        <v>10.5</v>
      </c>
      <c r="G1332" t="s">
        <v>1889</v>
      </c>
      <c r="H1332" t="s">
        <v>1891</v>
      </c>
      <c r="K1332" t="s">
        <v>2581</v>
      </c>
    </row>
    <row r="1333" spans="1:11" x14ac:dyDescent="0.55000000000000004">
      <c r="A1333">
        <v>718</v>
      </c>
      <c r="B1333" t="s">
        <v>37</v>
      </c>
      <c r="C1333">
        <v>25</v>
      </c>
      <c r="D1333">
        <v>101</v>
      </c>
      <c r="E1333" t="s">
        <v>940</v>
      </c>
      <c r="F1333">
        <v>11.58</v>
      </c>
      <c r="G1333" t="s">
        <v>1889</v>
      </c>
      <c r="H1333" t="s">
        <v>1891</v>
      </c>
      <c r="K1333" t="s">
        <v>2582</v>
      </c>
    </row>
    <row r="1334" spans="1:11" x14ac:dyDescent="0.55000000000000004">
      <c r="A1334">
        <v>719</v>
      </c>
      <c r="B1334" t="s">
        <v>37</v>
      </c>
      <c r="C1334">
        <v>25</v>
      </c>
      <c r="D1334">
        <v>101</v>
      </c>
      <c r="E1334" t="s">
        <v>941</v>
      </c>
      <c r="F1334">
        <v>12.31</v>
      </c>
      <c r="G1334" t="s">
        <v>1889</v>
      </c>
      <c r="H1334" t="s">
        <v>1891</v>
      </c>
      <c r="K1334" t="s">
        <v>2583</v>
      </c>
    </row>
    <row r="1335" spans="1:11" x14ac:dyDescent="0.55000000000000004">
      <c r="A1335">
        <v>720</v>
      </c>
      <c r="B1335" t="s">
        <v>37</v>
      </c>
      <c r="C1335">
        <v>25</v>
      </c>
      <c r="D1335">
        <v>101</v>
      </c>
      <c r="E1335" t="s">
        <v>942</v>
      </c>
      <c r="F1335">
        <v>13.18</v>
      </c>
      <c r="G1335" t="s">
        <v>1889</v>
      </c>
      <c r="H1335" t="s">
        <v>1891</v>
      </c>
      <c r="K1335" t="s">
        <v>2584</v>
      </c>
    </row>
    <row r="1336" spans="1:11" x14ac:dyDescent="0.55000000000000004">
      <c r="A1336">
        <v>721</v>
      </c>
      <c r="B1336" t="s">
        <v>37</v>
      </c>
      <c r="C1336">
        <v>25</v>
      </c>
      <c r="D1336">
        <v>101</v>
      </c>
      <c r="E1336" t="s">
        <v>943</v>
      </c>
      <c r="F1336">
        <v>12.3</v>
      </c>
      <c r="G1336" t="s">
        <v>1889</v>
      </c>
      <c r="H1336" t="s">
        <v>1891</v>
      </c>
      <c r="K1336" t="s">
        <v>2585</v>
      </c>
    </row>
    <row r="1337" spans="1:11" x14ac:dyDescent="0.55000000000000004">
      <c r="A1337">
        <v>722</v>
      </c>
      <c r="B1337" t="s">
        <v>37</v>
      </c>
      <c r="C1337">
        <v>25</v>
      </c>
      <c r="D1337">
        <v>101</v>
      </c>
      <c r="E1337" t="s">
        <v>944</v>
      </c>
      <c r="F1337">
        <v>12.85</v>
      </c>
      <c r="G1337" t="s">
        <v>1889</v>
      </c>
      <c r="H1337" t="s">
        <v>1891</v>
      </c>
      <c r="K1337" t="s">
        <v>2586</v>
      </c>
    </row>
    <row r="1338" spans="1:11" x14ac:dyDescent="0.55000000000000004">
      <c r="A1338">
        <v>723</v>
      </c>
      <c r="B1338" t="s">
        <v>37</v>
      </c>
      <c r="C1338">
        <v>25</v>
      </c>
      <c r="D1338">
        <v>101</v>
      </c>
      <c r="E1338" t="s">
        <v>945</v>
      </c>
      <c r="F1338">
        <v>10.84</v>
      </c>
      <c r="G1338" t="s">
        <v>1889</v>
      </c>
      <c r="H1338" t="s">
        <v>1891</v>
      </c>
      <c r="K1338" t="s">
        <v>2587</v>
      </c>
    </row>
    <row r="1339" spans="1:11" x14ac:dyDescent="0.55000000000000004">
      <c r="A1339">
        <v>724</v>
      </c>
      <c r="B1339" t="s">
        <v>37</v>
      </c>
      <c r="C1339">
        <v>25</v>
      </c>
      <c r="D1339">
        <v>101</v>
      </c>
      <c r="E1339" t="s">
        <v>946</v>
      </c>
      <c r="F1339">
        <v>10.18</v>
      </c>
      <c r="G1339" t="s">
        <v>1889</v>
      </c>
      <c r="H1339" t="s">
        <v>1891</v>
      </c>
      <c r="K1339" t="s">
        <v>2588</v>
      </c>
    </row>
    <row r="1340" spans="1:11" x14ac:dyDescent="0.55000000000000004">
      <c r="A1340">
        <v>737</v>
      </c>
      <c r="B1340" t="s">
        <v>38</v>
      </c>
      <c r="C1340">
        <v>25</v>
      </c>
      <c r="D1340">
        <v>158</v>
      </c>
      <c r="E1340" t="s">
        <v>959</v>
      </c>
      <c r="F1340">
        <v>12.34</v>
      </c>
      <c r="G1340" t="s">
        <v>1889</v>
      </c>
      <c r="H1340" t="s">
        <v>1891</v>
      </c>
      <c r="K1340" t="s">
        <v>2601</v>
      </c>
    </row>
    <row r="1341" spans="1:11" x14ac:dyDescent="0.55000000000000004">
      <c r="A1341">
        <v>738</v>
      </c>
      <c r="B1341" t="s">
        <v>38</v>
      </c>
      <c r="C1341">
        <v>25</v>
      </c>
      <c r="D1341">
        <v>158</v>
      </c>
      <c r="E1341" t="s">
        <v>960</v>
      </c>
      <c r="F1341">
        <v>11.48</v>
      </c>
      <c r="G1341" t="s">
        <v>1889</v>
      </c>
      <c r="H1341" t="s">
        <v>1891</v>
      </c>
      <c r="K1341" t="s">
        <v>2602</v>
      </c>
    </row>
    <row r="1342" spans="1:11" x14ac:dyDescent="0.55000000000000004">
      <c r="A1342">
        <v>739</v>
      </c>
      <c r="B1342" t="s">
        <v>38</v>
      </c>
      <c r="C1342">
        <v>25</v>
      </c>
      <c r="D1342">
        <v>158</v>
      </c>
      <c r="E1342" t="s">
        <v>961</v>
      </c>
      <c r="F1342">
        <v>12.67</v>
      </c>
      <c r="G1342" t="s">
        <v>1889</v>
      </c>
      <c r="H1342" t="s">
        <v>1891</v>
      </c>
      <c r="K1342" t="s">
        <v>2603</v>
      </c>
    </row>
    <row r="1343" spans="1:11" x14ac:dyDescent="0.55000000000000004">
      <c r="A1343">
        <v>740</v>
      </c>
      <c r="B1343" t="s">
        <v>38</v>
      </c>
      <c r="C1343">
        <v>25</v>
      </c>
      <c r="D1343">
        <v>158</v>
      </c>
      <c r="E1343" t="s">
        <v>962</v>
      </c>
      <c r="F1343">
        <v>12.52</v>
      </c>
      <c r="G1343" t="s">
        <v>1889</v>
      </c>
      <c r="H1343" t="s">
        <v>1891</v>
      </c>
      <c r="K1343" t="s">
        <v>2604</v>
      </c>
    </row>
    <row r="1344" spans="1:11" x14ac:dyDescent="0.55000000000000004">
      <c r="A1344">
        <v>741</v>
      </c>
      <c r="B1344" t="s">
        <v>38</v>
      </c>
      <c r="C1344">
        <v>25</v>
      </c>
      <c r="D1344">
        <v>158</v>
      </c>
      <c r="E1344" t="s">
        <v>963</v>
      </c>
      <c r="F1344">
        <v>12.41</v>
      </c>
      <c r="G1344" t="s">
        <v>1889</v>
      </c>
      <c r="H1344" t="s">
        <v>1891</v>
      </c>
      <c r="K1344" t="s">
        <v>2605</v>
      </c>
    </row>
    <row r="1345" spans="1:11" x14ac:dyDescent="0.55000000000000004">
      <c r="A1345">
        <v>742</v>
      </c>
      <c r="B1345" t="s">
        <v>38</v>
      </c>
      <c r="C1345">
        <v>25</v>
      </c>
      <c r="D1345">
        <v>158</v>
      </c>
      <c r="E1345" t="s">
        <v>964</v>
      </c>
      <c r="F1345">
        <v>14.14</v>
      </c>
      <c r="G1345" t="s">
        <v>1889</v>
      </c>
      <c r="H1345" t="s">
        <v>1891</v>
      </c>
      <c r="K1345" t="s">
        <v>2606</v>
      </c>
    </row>
    <row r="1346" spans="1:11" x14ac:dyDescent="0.55000000000000004">
      <c r="A1346">
        <v>743</v>
      </c>
      <c r="B1346" t="s">
        <v>38</v>
      </c>
      <c r="C1346">
        <v>25</v>
      </c>
      <c r="D1346">
        <v>158</v>
      </c>
      <c r="E1346" t="s">
        <v>965</v>
      </c>
      <c r="F1346">
        <v>14.34</v>
      </c>
      <c r="G1346" t="s">
        <v>1889</v>
      </c>
      <c r="H1346" t="s">
        <v>1891</v>
      </c>
      <c r="K1346" t="s">
        <v>2607</v>
      </c>
    </row>
    <row r="1347" spans="1:11" x14ac:dyDescent="0.55000000000000004">
      <c r="A1347">
        <v>744</v>
      </c>
      <c r="B1347" t="s">
        <v>38</v>
      </c>
      <c r="C1347">
        <v>25</v>
      </c>
      <c r="D1347">
        <v>158</v>
      </c>
      <c r="E1347" t="s">
        <v>966</v>
      </c>
      <c r="F1347">
        <v>14.17</v>
      </c>
      <c r="G1347" t="s">
        <v>1889</v>
      </c>
      <c r="H1347" t="s">
        <v>1891</v>
      </c>
      <c r="K1347" t="s">
        <v>2608</v>
      </c>
    </row>
    <row r="1348" spans="1:11" x14ac:dyDescent="0.55000000000000004">
      <c r="A1348">
        <v>745</v>
      </c>
      <c r="B1348" t="s">
        <v>38</v>
      </c>
      <c r="C1348">
        <v>25</v>
      </c>
      <c r="D1348">
        <v>158</v>
      </c>
      <c r="E1348" t="s">
        <v>967</v>
      </c>
      <c r="F1348">
        <v>10.89</v>
      </c>
      <c r="G1348" t="s">
        <v>1889</v>
      </c>
      <c r="H1348" t="s">
        <v>1891</v>
      </c>
      <c r="K1348" t="s">
        <v>2609</v>
      </c>
    </row>
    <row r="1349" spans="1:11" x14ac:dyDescent="0.55000000000000004">
      <c r="A1349">
        <v>746</v>
      </c>
      <c r="B1349" t="s">
        <v>38</v>
      </c>
      <c r="C1349">
        <v>25</v>
      </c>
      <c r="D1349">
        <v>158</v>
      </c>
      <c r="E1349" t="s">
        <v>968</v>
      </c>
      <c r="F1349">
        <v>13.3</v>
      </c>
      <c r="G1349" t="s">
        <v>1889</v>
      </c>
      <c r="H1349" t="s">
        <v>1891</v>
      </c>
      <c r="K1349" t="s">
        <v>2610</v>
      </c>
    </row>
    <row r="1350" spans="1:11" x14ac:dyDescent="0.55000000000000004">
      <c r="A1350">
        <v>747</v>
      </c>
      <c r="B1350" t="s">
        <v>38</v>
      </c>
      <c r="C1350">
        <v>25</v>
      </c>
      <c r="D1350">
        <v>158</v>
      </c>
      <c r="E1350" t="s">
        <v>969</v>
      </c>
      <c r="F1350">
        <v>14.26</v>
      </c>
      <c r="G1350" t="s">
        <v>1889</v>
      </c>
      <c r="H1350" t="s">
        <v>1891</v>
      </c>
      <c r="K1350" t="s">
        <v>2611</v>
      </c>
    </row>
    <row r="1351" spans="1:11" x14ac:dyDescent="0.55000000000000004">
      <c r="A1351">
        <v>748</v>
      </c>
      <c r="B1351" t="s">
        <v>38</v>
      </c>
      <c r="C1351">
        <v>25</v>
      </c>
      <c r="D1351">
        <v>158</v>
      </c>
      <c r="E1351" t="s">
        <v>970</v>
      </c>
      <c r="F1351">
        <v>12.44</v>
      </c>
      <c r="G1351" t="s">
        <v>1889</v>
      </c>
      <c r="H1351" t="s">
        <v>1891</v>
      </c>
      <c r="K1351" t="s">
        <v>2612</v>
      </c>
    </row>
    <row r="1352" spans="1:11" x14ac:dyDescent="0.55000000000000004">
      <c r="A1352">
        <v>749</v>
      </c>
      <c r="B1352" t="s">
        <v>38</v>
      </c>
      <c r="C1352">
        <v>25</v>
      </c>
      <c r="D1352">
        <v>158</v>
      </c>
      <c r="E1352" t="s">
        <v>971</v>
      </c>
      <c r="F1352">
        <v>13.94</v>
      </c>
      <c r="G1352" t="s">
        <v>1889</v>
      </c>
      <c r="H1352" t="s">
        <v>1891</v>
      </c>
      <c r="K1352" t="s">
        <v>2613</v>
      </c>
    </row>
    <row r="1353" spans="1:11" x14ac:dyDescent="0.55000000000000004">
      <c r="A1353">
        <v>762</v>
      </c>
      <c r="B1353" t="s">
        <v>40</v>
      </c>
      <c r="C1353">
        <v>15</v>
      </c>
      <c r="D1353">
        <v>196</v>
      </c>
      <c r="E1353" t="s">
        <v>984</v>
      </c>
      <c r="F1353">
        <v>12.6</v>
      </c>
      <c r="G1353" t="s">
        <v>1889</v>
      </c>
      <c r="H1353" t="s">
        <v>1891</v>
      </c>
      <c r="K1353" t="s">
        <v>2626</v>
      </c>
    </row>
    <row r="1354" spans="1:11" x14ac:dyDescent="0.55000000000000004">
      <c r="A1354">
        <v>763</v>
      </c>
      <c r="B1354" t="s">
        <v>40</v>
      </c>
      <c r="C1354">
        <v>15</v>
      </c>
      <c r="D1354">
        <v>196</v>
      </c>
      <c r="E1354" t="s">
        <v>985</v>
      </c>
      <c r="F1354">
        <v>11.38</v>
      </c>
      <c r="G1354" t="s">
        <v>1889</v>
      </c>
      <c r="H1354" t="s">
        <v>1891</v>
      </c>
      <c r="K1354" t="s">
        <v>2627</v>
      </c>
    </row>
    <row r="1355" spans="1:11" x14ac:dyDescent="0.55000000000000004">
      <c r="A1355">
        <v>764</v>
      </c>
      <c r="B1355" t="s">
        <v>40</v>
      </c>
      <c r="C1355">
        <v>15</v>
      </c>
      <c r="D1355">
        <v>196</v>
      </c>
      <c r="E1355" t="s">
        <v>986</v>
      </c>
      <c r="F1355">
        <v>11.41</v>
      </c>
      <c r="G1355" t="s">
        <v>1889</v>
      </c>
      <c r="H1355" t="s">
        <v>1891</v>
      </c>
      <c r="K1355" t="s">
        <v>2628</v>
      </c>
    </row>
    <row r="1356" spans="1:11" x14ac:dyDescent="0.55000000000000004">
      <c r="A1356">
        <v>787</v>
      </c>
      <c r="B1356" t="s">
        <v>44</v>
      </c>
      <c r="C1356">
        <v>25</v>
      </c>
      <c r="D1356">
        <v>177</v>
      </c>
      <c r="E1356" t="s">
        <v>1009</v>
      </c>
      <c r="F1356">
        <v>13.36</v>
      </c>
      <c r="G1356" t="s">
        <v>1889</v>
      </c>
      <c r="H1356" t="s">
        <v>1891</v>
      </c>
      <c r="K1356" t="s">
        <v>2651</v>
      </c>
    </row>
    <row r="1357" spans="1:11" x14ac:dyDescent="0.55000000000000004">
      <c r="A1357">
        <v>788</v>
      </c>
      <c r="B1357" t="s">
        <v>44</v>
      </c>
      <c r="C1357">
        <v>25</v>
      </c>
      <c r="D1357">
        <v>177</v>
      </c>
      <c r="E1357" t="s">
        <v>1010</v>
      </c>
      <c r="F1357">
        <v>10.52</v>
      </c>
      <c r="G1357" t="s">
        <v>1889</v>
      </c>
      <c r="H1357" t="s">
        <v>1891</v>
      </c>
      <c r="K1357" t="s">
        <v>2652</v>
      </c>
    </row>
    <row r="1358" spans="1:11" x14ac:dyDescent="0.55000000000000004">
      <c r="A1358">
        <v>789</v>
      </c>
      <c r="B1358" t="s">
        <v>44</v>
      </c>
      <c r="C1358">
        <v>25</v>
      </c>
      <c r="D1358">
        <v>177</v>
      </c>
      <c r="E1358" t="s">
        <v>1011</v>
      </c>
      <c r="F1358">
        <v>12.01</v>
      </c>
      <c r="G1358" t="s">
        <v>1889</v>
      </c>
      <c r="H1358" t="s">
        <v>1891</v>
      </c>
      <c r="K1358" t="s">
        <v>2653</v>
      </c>
    </row>
    <row r="1359" spans="1:11" x14ac:dyDescent="0.55000000000000004">
      <c r="A1359">
        <v>790</v>
      </c>
      <c r="B1359" t="s">
        <v>44</v>
      </c>
      <c r="C1359">
        <v>25</v>
      </c>
      <c r="D1359">
        <v>177</v>
      </c>
      <c r="E1359" t="s">
        <v>1012</v>
      </c>
      <c r="F1359">
        <v>11.87</v>
      </c>
      <c r="G1359" t="s">
        <v>1889</v>
      </c>
      <c r="H1359" t="s">
        <v>1891</v>
      </c>
      <c r="K1359" t="s">
        <v>2654</v>
      </c>
    </row>
    <row r="1360" spans="1:11" x14ac:dyDescent="0.55000000000000004">
      <c r="A1360">
        <v>791</v>
      </c>
      <c r="B1360" t="s">
        <v>44</v>
      </c>
      <c r="C1360">
        <v>25</v>
      </c>
      <c r="D1360">
        <v>177</v>
      </c>
      <c r="E1360" t="s">
        <v>1013</v>
      </c>
      <c r="F1360">
        <v>11.99</v>
      </c>
      <c r="G1360" t="s">
        <v>1889</v>
      </c>
      <c r="H1360" t="s">
        <v>1891</v>
      </c>
      <c r="K1360" t="s">
        <v>2655</v>
      </c>
    </row>
    <row r="1361" spans="1:11" x14ac:dyDescent="0.55000000000000004">
      <c r="A1361">
        <v>792</v>
      </c>
      <c r="B1361" t="s">
        <v>44</v>
      </c>
      <c r="C1361">
        <v>25</v>
      </c>
      <c r="D1361">
        <v>177</v>
      </c>
      <c r="E1361" t="s">
        <v>1014</v>
      </c>
      <c r="F1361">
        <v>12.04</v>
      </c>
      <c r="G1361" t="s">
        <v>1889</v>
      </c>
      <c r="H1361" t="s">
        <v>1891</v>
      </c>
      <c r="K1361" t="s">
        <v>2656</v>
      </c>
    </row>
    <row r="1362" spans="1:11" x14ac:dyDescent="0.55000000000000004">
      <c r="A1362">
        <v>793</v>
      </c>
      <c r="B1362" t="s">
        <v>44</v>
      </c>
      <c r="C1362">
        <v>25</v>
      </c>
      <c r="D1362">
        <v>177</v>
      </c>
      <c r="E1362" t="s">
        <v>1015</v>
      </c>
      <c r="F1362">
        <v>14.5</v>
      </c>
      <c r="G1362" t="s">
        <v>1889</v>
      </c>
      <c r="H1362" t="s">
        <v>1891</v>
      </c>
      <c r="K1362" t="s">
        <v>2657</v>
      </c>
    </row>
    <row r="1363" spans="1:11" x14ac:dyDescent="0.55000000000000004">
      <c r="A1363">
        <v>794</v>
      </c>
      <c r="B1363" t="s">
        <v>44</v>
      </c>
      <c r="C1363">
        <v>25</v>
      </c>
      <c r="D1363">
        <v>177</v>
      </c>
      <c r="E1363" t="s">
        <v>1016</v>
      </c>
      <c r="F1363">
        <v>13.18</v>
      </c>
      <c r="G1363" t="s">
        <v>1889</v>
      </c>
      <c r="H1363" t="s">
        <v>1891</v>
      </c>
      <c r="K1363" t="s">
        <v>2658</v>
      </c>
    </row>
    <row r="1364" spans="1:11" x14ac:dyDescent="0.55000000000000004">
      <c r="A1364">
        <v>795</v>
      </c>
      <c r="B1364" t="s">
        <v>44</v>
      </c>
      <c r="C1364">
        <v>25</v>
      </c>
      <c r="D1364">
        <v>177</v>
      </c>
      <c r="E1364" t="s">
        <v>1017</v>
      </c>
      <c r="F1364">
        <v>13.01</v>
      </c>
      <c r="G1364" t="s">
        <v>1889</v>
      </c>
      <c r="H1364" t="s">
        <v>1891</v>
      </c>
      <c r="K1364" t="s">
        <v>2659</v>
      </c>
    </row>
    <row r="1365" spans="1:11" x14ac:dyDescent="0.55000000000000004">
      <c r="A1365">
        <v>796</v>
      </c>
      <c r="B1365" t="s">
        <v>44</v>
      </c>
      <c r="C1365">
        <v>25</v>
      </c>
      <c r="D1365">
        <v>177</v>
      </c>
      <c r="E1365" t="s">
        <v>1018</v>
      </c>
      <c r="F1365">
        <v>12.61</v>
      </c>
      <c r="G1365" t="s">
        <v>1889</v>
      </c>
      <c r="H1365" t="s">
        <v>1891</v>
      </c>
      <c r="K1365" t="s">
        <v>2660</v>
      </c>
    </row>
    <row r="1366" spans="1:11" x14ac:dyDescent="0.55000000000000004">
      <c r="A1366">
        <v>797</v>
      </c>
      <c r="B1366" t="s">
        <v>44</v>
      </c>
      <c r="C1366">
        <v>25</v>
      </c>
      <c r="D1366">
        <v>177</v>
      </c>
      <c r="E1366" t="s">
        <v>1019</v>
      </c>
      <c r="F1366">
        <v>12.15</v>
      </c>
      <c r="G1366" t="s">
        <v>1889</v>
      </c>
      <c r="H1366" t="s">
        <v>1891</v>
      </c>
      <c r="K1366" t="s">
        <v>2661</v>
      </c>
    </row>
    <row r="1367" spans="1:11" x14ac:dyDescent="0.55000000000000004">
      <c r="A1367">
        <v>798</v>
      </c>
      <c r="B1367" t="s">
        <v>44</v>
      </c>
      <c r="C1367">
        <v>25</v>
      </c>
      <c r="D1367">
        <v>177</v>
      </c>
      <c r="E1367" t="s">
        <v>1020</v>
      </c>
      <c r="F1367">
        <v>12.5</v>
      </c>
      <c r="G1367" t="s">
        <v>1889</v>
      </c>
      <c r="H1367" t="s">
        <v>1891</v>
      </c>
      <c r="K1367" t="s">
        <v>2662</v>
      </c>
    </row>
    <row r="1368" spans="1:11" x14ac:dyDescent="0.55000000000000004">
      <c r="A1368">
        <v>799</v>
      </c>
      <c r="B1368" t="s">
        <v>44</v>
      </c>
      <c r="C1368">
        <v>25</v>
      </c>
      <c r="D1368">
        <v>177</v>
      </c>
      <c r="E1368" t="s">
        <v>1021</v>
      </c>
      <c r="F1368">
        <v>12.29</v>
      </c>
      <c r="G1368" t="s">
        <v>1889</v>
      </c>
      <c r="H1368" t="s">
        <v>1891</v>
      </c>
      <c r="K1368" t="s">
        <v>2663</v>
      </c>
    </row>
    <row r="1369" spans="1:11" x14ac:dyDescent="0.55000000000000004">
      <c r="A1369">
        <v>819</v>
      </c>
      <c r="B1369" t="s">
        <v>46</v>
      </c>
      <c r="C1369">
        <v>17</v>
      </c>
      <c r="D1369">
        <v>195</v>
      </c>
      <c r="E1369" t="s">
        <v>1041</v>
      </c>
      <c r="F1369">
        <v>11.85</v>
      </c>
      <c r="G1369" t="s">
        <v>1889</v>
      </c>
      <c r="H1369" t="s">
        <v>1891</v>
      </c>
      <c r="K1369" t="s">
        <v>2682</v>
      </c>
    </row>
    <row r="1370" spans="1:11" x14ac:dyDescent="0.55000000000000004">
      <c r="A1370">
        <v>820</v>
      </c>
      <c r="B1370" t="s">
        <v>46</v>
      </c>
      <c r="C1370">
        <v>17</v>
      </c>
      <c r="D1370">
        <v>195</v>
      </c>
      <c r="E1370" t="s">
        <v>1042</v>
      </c>
      <c r="F1370">
        <v>13.07</v>
      </c>
      <c r="G1370" t="s">
        <v>1889</v>
      </c>
      <c r="H1370" t="s">
        <v>1891</v>
      </c>
      <c r="K1370" t="s">
        <v>2683</v>
      </c>
    </row>
    <row r="1371" spans="1:11" x14ac:dyDescent="0.55000000000000004">
      <c r="A1371">
        <v>821</v>
      </c>
      <c r="B1371" t="s">
        <v>46</v>
      </c>
      <c r="C1371">
        <v>17</v>
      </c>
      <c r="D1371">
        <v>195</v>
      </c>
      <c r="E1371" t="s">
        <v>1043</v>
      </c>
      <c r="F1371">
        <v>13.04</v>
      </c>
      <c r="G1371" t="s">
        <v>1889</v>
      </c>
      <c r="H1371" t="s">
        <v>1891</v>
      </c>
      <c r="K1371" t="s">
        <v>2684</v>
      </c>
    </row>
    <row r="1372" spans="1:11" x14ac:dyDescent="0.55000000000000004">
      <c r="A1372">
        <v>822</v>
      </c>
      <c r="B1372" t="s">
        <v>46</v>
      </c>
      <c r="C1372">
        <v>17</v>
      </c>
      <c r="D1372">
        <v>195</v>
      </c>
      <c r="E1372" t="s">
        <v>1044</v>
      </c>
      <c r="F1372">
        <v>12.66</v>
      </c>
      <c r="G1372" t="s">
        <v>1889</v>
      </c>
      <c r="H1372" t="s">
        <v>1891</v>
      </c>
      <c r="K1372" t="s">
        <v>2685</v>
      </c>
    </row>
    <row r="1373" spans="1:11" x14ac:dyDescent="0.55000000000000004">
      <c r="A1373">
        <v>823</v>
      </c>
      <c r="B1373" t="s">
        <v>46</v>
      </c>
      <c r="C1373">
        <v>17</v>
      </c>
      <c r="D1373">
        <v>195</v>
      </c>
      <c r="E1373" t="s">
        <v>1045</v>
      </c>
      <c r="F1373">
        <v>16.52</v>
      </c>
      <c r="G1373" t="s">
        <v>2113</v>
      </c>
      <c r="H1373" t="s">
        <v>110</v>
      </c>
    </row>
    <row r="1374" spans="1:11" x14ac:dyDescent="0.55000000000000004">
      <c r="A1374">
        <v>842</v>
      </c>
      <c r="B1374" t="s">
        <v>50</v>
      </c>
      <c r="C1374">
        <v>15</v>
      </c>
      <c r="D1374">
        <v>460</v>
      </c>
      <c r="E1374" t="s">
        <v>1064</v>
      </c>
      <c r="F1374">
        <v>13.79</v>
      </c>
      <c r="G1374" t="s">
        <v>1889</v>
      </c>
      <c r="H1374" t="s">
        <v>1891</v>
      </c>
      <c r="K1374" t="s">
        <v>2704</v>
      </c>
    </row>
    <row r="1375" spans="1:11" x14ac:dyDescent="0.55000000000000004">
      <c r="A1375">
        <v>843</v>
      </c>
      <c r="B1375" t="s">
        <v>50</v>
      </c>
      <c r="C1375">
        <v>15</v>
      </c>
      <c r="D1375">
        <v>460</v>
      </c>
      <c r="E1375" t="s">
        <v>1065</v>
      </c>
      <c r="F1375">
        <v>13.49</v>
      </c>
      <c r="G1375" t="s">
        <v>1889</v>
      </c>
      <c r="H1375" t="s">
        <v>1891</v>
      </c>
      <c r="K1375" t="s">
        <v>2705</v>
      </c>
    </row>
    <row r="1376" spans="1:11" x14ac:dyDescent="0.55000000000000004">
      <c r="A1376">
        <v>844</v>
      </c>
      <c r="B1376" t="s">
        <v>50</v>
      </c>
      <c r="C1376">
        <v>15</v>
      </c>
      <c r="D1376">
        <v>460</v>
      </c>
      <c r="E1376" t="s">
        <v>1066</v>
      </c>
      <c r="F1376">
        <v>14.57</v>
      </c>
      <c r="G1376" t="s">
        <v>1889</v>
      </c>
      <c r="H1376" t="s">
        <v>1891</v>
      </c>
      <c r="K1376" t="s">
        <v>2706</v>
      </c>
    </row>
    <row r="1377" spans="1:11" x14ac:dyDescent="0.55000000000000004">
      <c r="A1377">
        <v>863</v>
      </c>
      <c r="B1377" t="s">
        <v>52</v>
      </c>
      <c r="C1377">
        <v>17</v>
      </c>
      <c r="D1377">
        <v>461</v>
      </c>
      <c r="E1377" t="s">
        <v>1085</v>
      </c>
      <c r="F1377">
        <v>13.52</v>
      </c>
      <c r="G1377" t="s">
        <v>1889</v>
      </c>
      <c r="H1377" t="s">
        <v>1891</v>
      </c>
      <c r="K1377" t="s">
        <v>2725</v>
      </c>
    </row>
    <row r="1378" spans="1:11" x14ac:dyDescent="0.55000000000000004">
      <c r="A1378">
        <v>864</v>
      </c>
      <c r="B1378" t="s">
        <v>52</v>
      </c>
      <c r="C1378">
        <v>17</v>
      </c>
      <c r="D1378">
        <v>461</v>
      </c>
      <c r="E1378" t="s">
        <v>1086</v>
      </c>
      <c r="F1378">
        <v>12.13</v>
      </c>
      <c r="G1378" t="s">
        <v>1889</v>
      </c>
      <c r="H1378" t="s">
        <v>1891</v>
      </c>
      <c r="K1378" t="s">
        <v>2726</v>
      </c>
    </row>
    <row r="1379" spans="1:11" x14ac:dyDescent="0.55000000000000004">
      <c r="A1379">
        <v>865</v>
      </c>
      <c r="B1379" t="s">
        <v>52</v>
      </c>
      <c r="C1379">
        <v>17</v>
      </c>
      <c r="D1379">
        <v>461</v>
      </c>
      <c r="E1379" t="s">
        <v>1087</v>
      </c>
      <c r="F1379">
        <v>12.04</v>
      </c>
      <c r="G1379" t="s">
        <v>1889</v>
      </c>
      <c r="H1379" t="s">
        <v>1891</v>
      </c>
      <c r="K1379" t="s">
        <v>2727</v>
      </c>
    </row>
    <row r="1380" spans="1:11" x14ac:dyDescent="0.55000000000000004">
      <c r="A1380">
        <v>866</v>
      </c>
      <c r="B1380" t="s">
        <v>52</v>
      </c>
      <c r="C1380">
        <v>17</v>
      </c>
      <c r="D1380">
        <v>461</v>
      </c>
      <c r="E1380" t="s">
        <v>1088</v>
      </c>
      <c r="F1380">
        <v>11.77</v>
      </c>
      <c r="G1380" t="s">
        <v>1889</v>
      </c>
      <c r="H1380" t="s">
        <v>1891</v>
      </c>
      <c r="K1380" t="s">
        <v>2728</v>
      </c>
    </row>
    <row r="1381" spans="1:11" x14ac:dyDescent="0.55000000000000004">
      <c r="A1381">
        <v>867</v>
      </c>
      <c r="B1381" t="s">
        <v>52</v>
      </c>
      <c r="C1381">
        <v>17</v>
      </c>
      <c r="D1381">
        <v>461</v>
      </c>
      <c r="E1381" t="s">
        <v>1089</v>
      </c>
      <c r="F1381">
        <v>11.46</v>
      </c>
      <c r="G1381" t="s">
        <v>1889</v>
      </c>
      <c r="H1381" t="s">
        <v>1891</v>
      </c>
      <c r="K1381" t="s">
        <v>2729</v>
      </c>
    </row>
    <row r="1382" spans="1:11" x14ac:dyDescent="0.55000000000000004">
      <c r="A1382">
        <v>888</v>
      </c>
      <c r="B1382" t="s">
        <v>54</v>
      </c>
      <c r="C1382">
        <v>25</v>
      </c>
      <c r="D1382">
        <v>456</v>
      </c>
      <c r="E1382" t="s">
        <v>1110</v>
      </c>
      <c r="F1382">
        <v>13.32</v>
      </c>
      <c r="G1382" t="s">
        <v>1889</v>
      </c>
      <c r="H1382" t="s">
        <v>1891</v>
      </c>
      <c r="K1382" t="s">
        <v>2750</v>
      </c>
    </row>
    <row r="1383" spans="1:11" x14ac:dyDescent="0.55000000000000004">
      <c r="A1383">
        <v>889</v>
      </c>
      <c r="B1383" t="s">
        <v>54</v>
      </c>
      <c r="C1383">
        <v>25</v>
      </c>
      <c r="D1383">
        <v>456</v>
      </c>
      <c r="E1383" t="s">
        <v>1111</v>
      </c>
      <c r="F1383">
        <v>11.69</v>
      </c>
      <c r="G1383" t="s">
        <v>1889</v>
      </c>
      <c r="H1383" t="s">
        <v>1891</v>
      </c>
      <c r="K1383" t="s">
        <v>2751</v>
      </c>
    </row>
    <row r="1384" spans="1:11" x14ac:dyDescent="0.55000000000000004">
      <c r="A1384">
        <v>890</v>
      </c>
      <c r="B1384" t="s">
        <v>54</v>
      </c>
      <c r="C1384">
        <v>25</v>
      </c>
      <c r="D1384">
        <v>456</v>
      </c>
      <c r="E1384" t="s">
        <v>1112</v>
      </c>
      <c r="F1384">
        <v>13.08</v>
      </c>
      <c r="G1384" t="s">
        <v>1889</v>
      </c>
      <c r="H1384" t="s">
        <v>1891</v>
      </c>
      <c r="K1384" t="s">
        <v>2752</v>
      </c>
    </row>
    <row r="1385" spans="1:11" x14ac:dyDescent="0.55000000000000004">
      <c r="A1385">
        <v>891</v>
      </c>
      <c r="B1385" t="s">
        <v>54</v>
      </c>
      <c r="C1385">
        <v>25</v>
      </c>
      <c r="D1385">
        <v>456</v>
      </c>
      <c r="E1385" t="s">
        <v>1113</v>
      </c>
      <c r="F1385">
        <v>12.56</v>
      </c>
      <c r="G1385" t="s">
        <v>1889</v>
      </c>
      <c r="H1385" t="s">
        <v>1891</v>
      </c>
      <c r="K1385" t="s">
        <v>2753</v>
      </c>
    </row>
    <row r="1386" spans="1:11" x14ac:dyDescent="0.55000000000000004">
      <c r="A1386">
        <v>892</v>
      </c>
      <c r="B1386" t="s">
        <v>54</v>
      </c>
      <c r="C1386">
        <v>25</v>
      </c>
      <c r="D1386">
        <v>456</v>
      </c>
      <c r="E1386" t="s">
        <v>1114</v>
      </c>
      <c r="F1386">
        <v>12.27</v>
      </c>
      <c r="G1386" t="s">
        <v>1889</v>
      </c>
      <c r="H1386" t="s">
        <v>1891</v>
      </c>
      <c r="K1386" t="s">
        <v>2754</v>
      </c>
    </row>
    <row r="1387" spans="1:11" x14ac:dyDescent="0.55000000000000004">
      <c r="A1387">
        <v>893</v>
      </c>
      <c r="B1387" t="s">
        <v>54</v>
      </c>
      <c r="C1387">
        <v>25</v>
      </c>
      <c r="D1387">
        <v>456</v>
      </c>
      <c r="E1387" t="s">
        <v>1115</v>
      </c>
      <c r="F1387">
        <v>12.67</v>
      </c>
      <c r="G1387" t="s">
        <v>1889</v>
      </c>
      <c r="H1387" t="s">
        <v>1891</v>
      </c>
      <c r="K1387" t="s">
        <v>2755</v>
      </c>
    </row>
    <row r="1388" spans="1:11" x14ac:dyDescent="0.55000000000000004">
      <c r="A1388">
        <v>894</v>
      </c>
      <c r="B1388" t="s">
        <v>54</v>
      </c>
      <c r="C1388">
        <v>25</v>
      </c>
      <c r="D1388">
        <v>456</v>
      </c>
      <c r="E1388" t="s">
        <v>1116</v>
      </c>
      <c r="F1388">
        <v>12.46</v>
      </c>
      <c r="G1388" t="s">
        <v>1889</v>
      </c>
      <c r="H1388" t="s">
        <v>1891</v>
      </c>
      <c r="K1388" t="s">
        <v>2756</v>
      </c>
    </row>
    <row r="1389" spans="1:11" x14ac:dyDescent="0.55000000000000004">
      <c r="A1389">
        <v>895</v>
      </c>
      <c r="B1389" t="s">
        <v>54</v>
      </c>
      <c r="C1389">
        <v>25</v>
      </c>
      <c r="D1389">
        <v>456</v>
      </c>
      <c r="E1389" t="s">
        <v>1117</v>
      </c>
      <c r="F1389">
        <v>12.89</v>
      </c>
      <c r="G1389" t="s">
        <v>1889</v>
      </c>
      <c r="H1389" t="s">
        <v>1891</v>
      </c>
      <c r="K1389" t="s">
        <v>2757</v>
      </c>
    </row>
    <row r="1390" spans="1:11" x14ac:dyDescent="0.55000000000000004">
      <c r="A1390">
        <v>896</v>
      </c>
      <c r="B1390" t="s">
        <v>54</v>
      </c>
      <c r="C1390">
        <v>25</v>
      </c>
      <c r="D1390">
        <v>456</v>
      </c>
      <c r="E1390" t="s">
        <v>1118</v>
      </c>
      <c r="F1390">
        <v>14.1</v>
      </c>
      <c r="G1390" t="s">
        <v>1889</v>
      </c>
      <c r="H1390" t="s">
        <v>1891</v>
      </c>
      <c r="K1390" t="s">
        <v>2758</v>
      </c>
    </row>
    <row r="1391" spans="1:11" x14ac:dyDescent="0.55000000000000004">
      <c r="A1391">
        <v>897</v>
      </c>
      <c r="B1391" t="s">
        <v>54</v>
      </c>
      <c r="C1391">
        <v>25</v>
      </c>
      <c r="D1391">
        <v>456</v>
      </c>
      <c r="E1391" t="s">
        <v>1119</v>
      </c>
      <c r="F1391">
        <v>12.86</v>
      </c>
      <c r="G1391" t="s">
        <v>1889</v>
      </c>
      <c r="H1391" t="s">
        <v>1891</v>
      </c>
      <c r="K1391" t="s">
        <v>2759</v>
      </c>
    </row>
    <row r="1392" spans="1:11" x14ac:dyDescent="0.55000000000000004">
      <c r="A1392">
        <v>898</v>
      </c>
      <c r="B1392" t="s">
        <v>54</v>
      </c>
      <c r="C1392">
        <v>25</v>
      </c>
      <c r="D1392">
        <v>456</v>
      </c>
      <c r="E1392" t="s">
        <v>1120</v>
      </c>
      <c r="F1392">
        <v>12.3</v>
      </c>
      <c r="G1392" t="s">
        <v>1889</v>
      </c>
      <c r="H1392" t="s">
        <v>1891</v>
      </c>
      <c r="K1392" t="s">
        <v>2760</v>
      </c>
    </row>
    <row r="1393" spans="1:11" x14ac:dyDescent="0.55000000000000004">
      <c r="A1393">
        <v>899</v>
      </c>
      <c r="B1393" t="s">
        <v>54</v>
      </c>
      <c r="C1393">
        <v>25</v>
      </c>
      <c r="D1393">
        <v>456</v>
      </c>
      <c r="E1393" t="s">
        <v>1121</v>
      </c>
      <c r="F1393">
        <v>12.69</v>
      </c>
      <c r="G1393" t="s">
        <v>1889</v>
      </c>
      <c r="H1393" t="s">
        <v>1891</v>
      </c>
      <c r="K1393" t="s">
        <v>2761</v>
      </c>
    </row>
    <row r="1394" spans="1:11" x14ac:dyDescent="0.55000000000000004">
      <c r="A1394">
        <v>900</v>
      </c>
      <c r="B1394" t="s">
        <v>54</v>
      </c>
      <c r="C1394">
        <v>25</v>
      </c>
      <c r="D1394">
        <v>456</v>
      </c>
      <c r="E1394" t="s">
        <v>1122</v>
      </c>
      <c r="F1394">
        <v>11.96</v>
      </c>
      <c r="G1394" t="s">
        <v>1889</v>
      </c>
      <c r="H1394" t="s">
        <v>1891</v>
      </c>
      <c r="K1394" t="s">
        <v>2762</v>
      </c>
    </row>
    <row r="1395" spans="1:11" x14ac:dyDescent="0.55000000000000004">
      <c r="A1395">
        <v>935</v>
      </c>
      <c r="B1395" t="s">
        <v>59</v>
      </c>
      <c r="C1395">
        <v>25</v>
      </c>
      <c r="D1395">
        <v>422</v>
      </c>
      <c r="E1395" t="s">
        <v>1157</v>
      </c>
      <c r="F1395">
        <v>15.02</v>
      </c>
      <c r="G1395" t="s">
        <v>1889</v>
      </c>
      <c r="H1395" t="s">
        <v>1891</v>
      </c>
      <c r="K1395" t="s">
        <v>2789</v>
      </c>
    </row>
    <row r="1396" spans="1:11" x14ac:dyDescent="0.55000000000000004">
      <c r="A1396">
        <v>936</v>
      </c>
      <c r="B1396" t="s">
        <v>59</v>
      </c>
      <c r="C1396">
        <v>25</v>
      </c>
      <c r="D1396">
        <v>422</v>
      </c>
      <c r="E1396" t="s">
        <v>1158</v>
      </c>
      <c r="F1396">
        <v>15.27</v>
      </c>
      <c r="G1396" t="s">
        <v>1889</v>
      </c>
      <c r="H1396" t="s">
        <v>1891</v>
      </c>
      <c r="K1396" t="s">
        <v>2790</v>
      </c>
    </row>
    <row r="1397" spans="1:11" x14ac:dyDescent="0.55000000000000004">
      <c r="A1397">
        <v>937</v>
      </c>
      <c r="B1397" t="s">
        <v>59</v>
      </c>
      <c r="C1397">
        <v>25</v>
      </c>
      <c r="D1397">
        <v>422</v>
      </c>
      <c r="E1397" t="s">
        <v>1159</v>
      </c>
      <c r="F1397">
        <v>14.28</v>
      </c>
      <c r="G1397" t="s">
        <v>1889</v>
      </c>
      <c r="H1397" t="s">
        <v>1891</v>
      </c>
      <c r="K1397" t="s">
        <v>2791</v>
      </c>
    </row>
    <row r="1398" spans="1:11" x14ac:dyDescent="0.55000000000000004">
      <c r="A1398">
        <v>938</v>
      </c>
      <c r="B1398" t="s">
        <v>59</v>
      </c>
      <c r="C1398">
        <v>25</v>
      </c>
      <c r="D1398">
        <v>422</v>
      </c>
      <c r="E1398" t="s">
        <v>1160</v>
      </c>
      <c r="F1398">
        <v>12.54</v>
      </c>
      <c r="G1398" t="s">
        <v>1889</v>
      </c>
      <c r="H1398" t="s">
        <v>1891</v>
      </c>
      <c r="K1398" t="s">
        <v>2792</v>
      </c>
    </row>
    <row r="1399" spans="1:11" x14ac:dyDescent="0.55000000000000004">
      <c r="A1399">
        <v>939</v>
      </c>
      <c r="B1399" t="s">
        <v>59</v>
      </c>
      <c r="C1399">
        <v>25</v>
      </c>
      <c r="D1399">
        <v>422</v>
      </c>
      <c r="E1399" t="s">
        <v>1161</v>
      </c>
      <c r="F1399">
        <v>15.22</v>
      </c>
      <c r="G1399" t="s">
        <v>2113</v>
      </c>
      <c r="H1399" t="s">
        <v>110</v>
      </c>
    </row>
    <row r="1400" spans="1:11" x14ac:dyDescent="0.55000000000000004">
      <c r="A1400">
        <v>940</v>
      </c>
      <c r="B1400" t="s">
        <v>59</v>
      </c>
      <c r="C1400">
        <v>25</v>
      </c>
      <c r="D1400">
        <v>422</v>
      </c>
      <c r="E1400" t="s">
        <v>1162</v>
      </c>
      <c r="F1400">
        <v>15.49</v>
      </c>
      <c r="G1400" t="s">
        <v>2113</v>
      </c>
      <c r="H1400" t="s">
        <v>110</v>
      </c>
    </row>
    <row r="1401" spans="1:11" x14ac:dyDescent="0.55000000000000004">
      <c r="A1401">
        <v>941</v>
      </c>
      <c r="B1401" t="s">
        <v>59</v>
      </c>
      <c r="C1401">
        <v>25</v>
      </c>
      <c r="D1401">
        <v>422</v>
      </c>
      <c r="E1401" t="s">
        <v>1163</v>
      </c>
      <c r="F1401">
        <v>11.41</v>
      </c>
      <c r="G1401" t="s">
        <v>1889</v>
      </c>
      <c r="H1401" t="s">
        <v>1891</v>
      </c>
      <c r="K1401" t="s">
        <v>2793</v>
      </c>
    </row>
    <row r="1402" spans="1:11" x14ac:dyDescent="0.55000000000000004">
      <c r="A1402">
        <v>942</v>
      </c>
      <c r="B1402" t="s">
        <v>59</v>
      </c>
      <c r="C1402">
        <v>25</v>
      </c>
      <c r="D1402">
        <v>422</v>
      </c>
      <c r="E1402" t="s">
        <v>1164</v>
      </c>
      <c r="F1402">
        <v>13.78</v>
      </c>
      <c r="G1402" t="s">
        <v>1889</v>
      </c>
      <c r="H1402" t="s">
        <v>1891</v>
      </c>
      <c r="K1402" t="s">
        <v>2794</v>
      </c>
    </row>
    <row r="1403" spans="1:11" x14ac:dyDescent="0.55000000000000004">
      <c r="A1403">
        <v>943</v>
      </c>
      <c r="B1403" t="s">
        <v>59</v>
      </c>
      <c r="C1403">
        <v>25</v>
      </c>
      <c r="D1403">
        <v>422</v>
      </c>
      <c r="E1403" t="s">
        <v>1165</v>
      </c>
      <c r="F1403">
        <v>14.89</v>
      </c>
      <c r="G1403" t="s">
        <v>1889</v>
      </c>
      <c r="H1403" t="s">
        <v>1891</v>
      </c>
      <c r="K1403" t="s">
        <v>2795</v>
      </c>
    </row>
    <row r="1404" spans="1:11" x14ac:dyDescent="0.55000000000000004">
      <c r="A1404">
        <v>944</v>
      </c>
      <c r="B1404" t="s">
        <v>59</v>
      </c>
      <c r="C1404">
        <v>25</v>
      </c>
      <c r="D1404">
        <v>422</v>
      </c>
      <c r="E1404" t="s">
        <v>1166</v>
      </c>
      <c r="F1404">
        <v>16.510000000000002</v>
      </c>
      <c r="G1404" t="s">
        <v>2113</v>
      </c>
      <c r="H1404" t="s">
        <v>110</v>
      </c>
    </row>
    <row r="1405" spans="1:11" x14ac:dyDescent="0.55000000000000004">
      <c r="A1405">
        <v>945</v>
      </c>
      <c r="B1405" t="s">
        <v>59</v>
      </c>
      <c r="C1405">
        <v>25</v>
      </c>
      <c r="D1405">
        <v>422</v>
      </c>
      <c r="E1405" t="s">
        <v>1167</v>
      </c>
      <c r="F1405">
        <v>19.63</v>
      </c>
      <c r="G1405" t="s">
        <v>2113</v>
      </c>
      <c r="H1405" t="s">
        <v>110</v>
      </c>
    </row>
    <row r="1406" spans="1:11" x14ac:dyDescent="0.55000000000000004">
      <c r="A1406">
        <v>946</v>
      </c>
      <c r="B1406" t="s">
        <v>59</v>
      </c>
      <c r="C1406">
        <v>25</v>
      </c>
      <c r="D1406">
        <v>422</v>
      </c>
      <c r="E1406" t="s">
        <v>1168</v>
      </c>
      <c r="F1406">
        <v>17.11</v>
      </c>
      <c r="G1406" t="s">
        <v>2113</v>
      </c>
      <c r="H1406" t="s">
        <v>110</v>
      </c>
    </row>
    <row r="1407" spans="1:11" x14ac:dyDescent="0.55000000000000004">
      <c r="A1407">
        <v>947</v>
      </c>
      <c r="B1407" t="s">
        <v>59</v>
      </c>
      <c r="C1407">
        <v>25</v>
      </c>
      <c r="D1407">
        <v>422</v>
      </c>
      <c r="E1407" t="s">
        <v>1169</v>
      </c>
      <c r="F1407">
        <v>18.28</v>
      </c>
      <c r="G1407" t="s">
        <v>2113</v>
      </c>
      <c r="H1407" t="s">
        <v>110</v>
      </c>
    </row>
    <row r="1408" spans="1:11" x14ac:dyDescent="0.55000000000000004">
      <c r="A1408">
        <v>960</v>
      </c>
      <c r="B1408" t="s">
        <v>60</v>
      </c>
      <c r="C1408">
        <v>25</v>
      </c>
      <c r="D1408">
        <v>420</v>
      </c>
      <c r="E1408" t="s">
        <v>1182</v>
      </c>
      <c r="F1408">
        <v>11.41</v>
      </c>
      <c r="G1408" t="s">
        <v>1889</v>
      </c>
      <c r="H1408" t="s">
        <v>1891</v>
      </c>
      <c r="K1408" t="s">
        <v>2808</v>
      </c>
    </row>
    <row r="1409" spans="1:11" x14ac:dyDescent="0.55000000000000004">
      <c r="A1409">
        <v>961</v>
      </c>
      <c r="B1409" t="s">
        <v>60</v>
      </c>
      <c r="C1409">
        <v>25</v>
      </c>
      <c r="D1409">
        <v>420</v>
      </c>
      <c r="E1409" t="s">
        <v>1183</v>
      </c>
      <c r="F1409">
        <v>14.89</v>
      </c>
      <c r="G1409" t="s">
        <v>1889</v>
      </c>
      <c r="H1409" t="s">
        <v>1891</v>
      </c>
      <c r="K1409" t="s">
        <v>2809</v>
      </c>
    </row>
    <row r="1410" spans="1:11" x14ac:dyDescent="0.55000000000000004">
      <c r="A1410">
        <v>962</v>
      </c>
      <c r="B1410" t="s">
        <v>60</v>
      </c>
      <c r="C1410">
        <v>25</v>
      </c>
      <c r="D1410">
        <v>420</v>
      </c>
      <c r="E1410" t="s">
        <v>1184</v>
      </c>
      <c r="F1410">
        <v>13.29</v>
      </c>
      <c r="G1410" t="s">
        <v>1889</v>
      </c>
      <c r="H1410" t="s">
        <v>1891</v>
      </c>
      <c r="K1410" t="s">
        <v>2810</v>
      </c>
    </row>
    <row r="1411" spans="1:11" x14ac:dyDescent="0.55000000000000004">
      <c r="A1411">
        <v>963</v>
      </c>
      <c r="B1411" t="s">
        <v>60</v>
      </c>
      <c r="C1411">
        <v>25</v>
      </c>
      <c r="D1411">
        <v>420</v>
      </c>
      <c r="E1411" t="s">
        <v>1185</v>
      </c>
      <c r="F1411">
        <v>13.02</v>
      </c>
      <c r="G1411" t="s">
        <v>1889</v>
      </c>
      <c r="H1411" t="s">
        <v>1891</v>
      </c>
      <c r="K1411" t="s">
        <v>2811</v>
      </c>
    </row>
    <row r="1412" spans="1:11" x14ac:dyDescent="0.55000000000000004">
      <c r="A1412">
        <v>964</v>
      </c>
      <c r="B1412" t="s">
        <v>60</v>
      </c>
      <c r="C1412">
        <v>25</v>
      </c>
      <c r="D1412">
        <v>420</v>
      </c>
      <c r="E1412" t="s">
        <v>1186</v>
      </c>
      <c r="F1412">
        <v>11.55</v>
      </c>
      <c r="G1412" t="s">
        <v>1889</v>
      </c>
      <c r="H1412" t="s">
        <v>1891</v>
      </c>
      <c r="K1412" t="s">
        <v>2812</v>
      </c>
    </row>
    <row r="1413" spans="1:11" x14ac:dyDescent="0.55000000000000004">
      <c r="A1413">
        <v>965</v>
      </c>
      <c r="B1413" t="s">
        <v>60</v>
      </c>
      <c r="C1413">
        <v>25</v>
      </c>
      <c r="D1413">
        <v>420</v>
      </c>
      <c r="E1413" t="s">
        <v>1187</v>
      </c>
      <c r="F1413">
        <v>12.81</v>
      </c>
      <c r="G1413" t="s">
        <v>1889</v>
      </c>
      <c r="H1413" t="s">
        <v>1891</v>
      </c>
      <c r="K1413" t="s">
        <v>2813</v>
      </c>
    </row>
    <row r="1414" spans="1:11" x14ac:dyDescent="0.55000000000000004">
      <c r="A1414">
        <v>966</v>
      </c>
      <c r="B1414" t="s">
        <v>60</v>
      </c>
      <c r="C1414">
        <v>25</v>
      </c>
      <c r="D1414">
        <v>420</v>
      </c>
      <c r="E1414" t="s">
        <v>1188</v>
      </c>
      <c r="F1414">
        <v>14.26</v>
      </c>
      <c r="G1414" t="s">
        <v>1889</v>
      </c>
      <c r="H1414" t="s">
        <v>1891</v>
      </c>
      <c r="K1414" t="s">
        <v>2814</v>
      </c>
    </row>
    <row r="1415" spans="1:11" x14ac:dyDescent="0.55000000000000004">
      <c r="A1415">
        <v>967</v>
      </c>
      <c r="B1415" t="s">
        <v>60</v>
      </c>
      <c r="C1415">
        <v>25</v>
      </c>
      <c r="D1415">
        <v>420</v>
      </c>
      <c r="E1415" t="s">
        <v>1189</v>
      </c>
      <c r="F1415">
        <v>13.73</v>
      </c>
      <c r="G1415" t="s">
        <v>1889</v>
      </c>
      <c r="H1415" t="s">
        <v>1891</v>
      </c>
      <c r="K1415" t="s">
        <v>2815</v>
      </c>
    </row>
    <row r="1416" spans="1:11" x14ac:dyDescent="0.55000000000000004">
      <c r="A1416">
        <v>968</v>
      </c>
      <c r="B1416" t="s">
        <v>60</v>
      </c>
      <c r="C1416">
        <v>25</v>
      </c>
      <c r="D1416">
        <v>420</v>
      </c>
      <c r="E1416" t="s">
        <v>1190</v>
      </c>
      <c r="F1416">
        <v>14.55</v>
      </c>
      <c r="G1416" t="s">
        <v>1889</v>
      </c>
      <c r="H1416" t="s">
        <v>1891</v>
      </c>
      <c r="K1416" t="s">
        <v>2816</v>
      </c>
    </row>
    <row r="1417" spans="1:11" x14ac:dyDescent="0.55000000000000004">
      <c r="A1417">
        <v>969</v>
      </c>
      <c r="B1417" t="s">
        <v>60</v>
      </c>
      <c r="C1417">
        <v>25</v>
      </c>
      <c r="D1417">
        <v>420</v>
      </c>
      <c r="E1417" t="s">
        <v>1191</v>
      </c>
      <c r="F1417">
        <v>15.9</v>
      </c>
      <c r="G1417" t="s">
        <v>1889</v>
      </c>
      <c r="H1417" t="s">
        <v>1891</v>
      </c>
      <c r="K1417" t="s">
        <v>2817</v>
      </c>
    </row>
    <row r="1418" spans="1:11" x14ac:dyDescent="0.55000000000000004">
      <c r="A1418">
        <v>970</v>
      </c>
      <c r="B1418" t="s">
        <v>60</v>
      </c>
      <c r="C1418">
        <v>25</v>
      </c>
      <c r="D1418">
        <v>420</v>
      </c>
      <c r="E1418" t="s">
        <v>1192</v>
      </c>
      <c r="F1418">
        <v>15.16</v>
      </c>
      <c r="G1418" t="s">
        <v>2113</v>
      </c>
      <c r="H1418" t="s">
        <v>110</v>
      </c>
    </row>
    <row r="1419" spans="1:11" x14ac:dyDescent="0.55000000000000004">
      <c r="A1419">
        <v>971</v>
      </c>
      <c r="B1419" t="s">
        <v>60</v>
      </c>
      <c r="C1419">
        <v>25</v>
      </c>
      <c r="D1419">
        <v>420</v>
      </c>
      <c r="E1419" t="s">
        <v>1193</v>
      </c>
      <c r="F1419">
        <v>16.12</v>
      </c>
      <c r="G1419" t="s">
        <v>2113</v>
      </c>
      <c r="H1419" t="s">
        <v>110</v>
      </c>
    </row>
    <row r="1420" spans="1:11" x14ac:dyDescent="0.55000000000000004">
      <c r="A1420">
        <v>972</v>
      </c>
      <c r="B1420" t="s">
        <v>60</v>
      </c>
      <c r="C1420">
        <v>25</v>
      </c>
      <c r="D1420">
        <v>420</v>
      </c>
      <c r="E1420" t="s">
        <v>1194</v>
      </c>
      <c r="F1420">
        <v>16.12</v>
      </c>
      <c r="G1420" t="s">
        <v>2113</v>
      </c>
      <c r="H1420" t="s">
        <v>110</v>
      </c>
    </row>
    <row r="1421" spans="1:11" x14ac:dyDescent="0.55000000000000004">
      <c r="A1421">
        <v>985</v>
      </c>
      <c r="B1421" t="s">
        <v>61</v>
      </c>
      <c r="C1421">
        <v>25</v>
      </c>
      <c r="D1421">
        <v>419</v>
      </c>
      <c r="E1421" t="s">
        <v>1207</v>
      </c>
      <c r="F1421">
        <v>13.99</v>
      </c>
      <c r="G1421" t="s">
        <v>1889</v>
      </c>
      <c r="H1421" t="s">
        <v>1891</v>
      </c>
      <c r="K1421" t="s">
        <v>2830</v>
      </c>
    </row>
    <row r="1422" spans="1:11" x14ac:dyDescent="0.55000000000000004">
      <c r="A1422">
        <v>986</v>
      </c>
      <c r="B1422" t="s">
        <v>61</v>
      </c>
      <c r="C1422">
        <v>25</v>
      </c>
      <c r="D1422">
        <v>419</v>
      </c>
      <c r="E1422" t="s">
        <v>1208</v>
      </c>
      <c r="F1422">
        <v>11.55</v>
      </c>
      <c r="G1422" t="s">
        <v>1889</v>
      </c>
      <c r="H1422" t="s">
        <v>1891</v>
      </c>
      <c r="K1422" t="s">
        <v>2831</v>
      </c>
    </row>
    <row r="1423" spans="1:11" x14ac:dyDescent="0.55000000000000004">
      <c r="A1423">
        <v>987</v>
      </c>
      <c r="B1423" t="s">
        <v>61</v>
      </c>
      <c r="C1423">
        <v>25</v>
      </c>
      <c r="D1423">
        <v>419</v>
      </c>
      <c r="E1423" t="s">
        <v>1209</v>
      </c>
      <c r="F1423">
        <v>12.71</v>
      </c>
      <c r="G1423" t="s">
        <v>1889</v>
      </c>
      <c r="H1423" t="s">
        <v>1891</v>
      </c>
      <c r="K1423" t="s">
        <v>2832</v>
      </c>
    </row>
    <row r="1424" spans="1:11" x14ac:dyDescent="0.55000000000000004">
      <c r="A1424">
        <v>988</v>
      </c>
      <c r="B1424" t="s">
        <v>61</v>
      </c>
      <c r="C1424">
        <v>25</v>
      </c>
      <c r="D1424">
        <v>419</v>
      </c>
      <c r="E1424" t="s">
        <v>1210</v>
      </c>
      <c r="F1424">
        <v>14.51</v>
      </c>
      <c r="G1424" t="s">
        <v>1889</v>
      </c>
      <c r="H1424" t="s">
        <v>1891</v>
      </c>
      <c r="K1424" t="s">
        <v>2833</v>
      </c>
    </row>
    <row r="1425" spans="1:11" x14ac:dyDescent="0.55000000000000004">
      <c r="A1425">
        <v>989</v>
      </c>
      <c r="B1425" t="s">
        <v>61</v>
      </c>
      <c r="C1425">
        <v>25</v>
      </c>
      <c r="D1425">
        <v>419</v>
      </c>
      <c r="E1425" t="s">
        <v>1211</v>
      </c>
      <c r="F1425">
        <v>11.21</v>
      </c>
      <c r="G1425" t="s">
        <v>1889</v>
      </c>
      <c r="H1425" t="s">
        <v>1891</v>
      </c>
      <c r="K1425" t="s">
        <v>2834</v>
      </c>
    </row>
    <row r="1426" spans="1:11" x14ac:dyDescent="0.55000000000000004">
      <c r="A1426">
        <v>990</v>
      </c>
      <c r="B1426" t="s">
        <v>61</v>
      </c>
      <c r="C1426">
        <v>25</v>
      </c>
      <c r="D1426">
        <v>419</v>
      </c>
      <c r="E1426" t="s">
        <v>1212</v>
      </c>
      <c r="F1426">
        <v>14.31</v>
      </c>
      <c r="G1426" t="s">
        <v>1889</v>
      </c>
      <c r="H1426" t="s">
        <v>1891</v>
      </c>
      <c r="K1426" t="s">
        <v>2835</v>
      </c>
    </row>
    <row r="1427" spans="1:11" x14ac:dyDescent="0.55000000000000004">
      <c r="A1427">
        <v>991</v>
      </c>
      <c r="B1427" t="s">
        <v>61</v>
      </c>
      <c r="C1427">
        <v>25</v>
      </c>
      <c r="D1427">
        <v>419</v>
      </c>
      <c r="E1427" t="s">
        <v>1213</v>
      </c>
      <c r="F1427">
        <v>15.13</v>
      </c>
      <c r="G1427" t="s">
        <v>1889</v>
      </c>
      <c r="H1427" t="s">
        <v>1891</v>
      </c>
      <c r="K1427" t="s">
        <v>2836</v>
      </c>
    </row>
    <row r="1428" spans="1:11" x14ac:dyDescent="0.55000000000000004">
      <c r="A1428">
        <v>992</v>
      </c>
      <c r="B1428" t="s">
        <v>61</v>
      </c>
      <c r="C1428">
        <v>25</v>
      </c>
      <c r="D1428">
        <v>419</v>
      </c>
      <c r="E1428" t="s">
        <v>1214</v>
      </c>
      <c r="F1428">
        <v>11.62</v>
      </c>
      <c r="G1428" t="s">
        <v>1889</v>
      </c>
      <c r="H1428" t="s">
        <v>1891</v>
      </c>
      <c r="K1428" t="s">
        <v>2837</v>
      </c>
    </row>
    <row r="1429" spans="1:11" x14ac:dyDescent="0.55000000000000004">
      <c r="A1429">
        <v>993</v>
      </c>
      <c r="B1429" t="s">
        <v>61</v>
      </c>
      <c r="C1429">
        <v>25</v>
      </c>
      <c r="D1429">
        <v>419</v>
      </c>
      <c r="E1429" t="s">
        <v>1215</v>
      </c>
      <c r="F1429">
        <v>13.55</v>
      </c>
      <c r="G1429" t="s">
        <v>1889</v>
      </c>
      <c r="H1429" t="s">
        <v>1891</v>
      </c>
      <c r="K1429" t="s">
        <v>2838</v>
      </c>
    </row>
    <row r="1430" spans="1:11" x14ac:dyDescent="0.55000000000000004">
      <c r="A1430">
        <v>994</v>
      </c>
      <c r="B1430" t="s">
        <v>61</v>
      </c>
      <c r="C1430">
        <v>25</v>
      </c>
      <c r="D1430">
        <v>419</v>
      </c>
      <c r="E1430" t="s">
        <v>1216</v>
      </c>
      <c r="F1430">
        <v>14.1</v>
      </c>
      <c r="G1430" t="s">
        <v>1889</v>
      </c>
      <c r="H1430" t="s">
        <v>1891</v>
      </c>
      <c r="K1430" t="s">
        <v>2839</v>
      </c>
    </row>
    <row r="1431" spans="1:11" x14ac:dyDescent="0.55000000000000004">
      <c r="A1431">
        <v>995</v>
      </c>
      <c r="B1431" t="s">
        <v>61</v>
      </c>
      <c r="C1431">
        <v>25</v>
      </c>
      <c r="D1431">
        <v>419</v>
      </c>
      <c r="E1431" t="s">
        <v>1217</v>
      </c>
      <c r="F1431">
        <v>13.5</v>
      </c>
      <c r="G1431" t="s">
        <v>1889</v>
      </c>
      <c r="H1431" t="s">
        <v>1891</v>
      </c>
      <c r="K1431" t="s">
        <v>2840</v>
      </c>
    </row>
    <row r="1432" spans="1:11" x14ac:dyDescent="0.55000000000000004">
      <c r="A1432">
        <v>996</v>
      </c>
      <c r="B1432" t="s">
        <v>61</v>
      </c>
      <c r="C1432">
        <v>25</v>
      </c>
      <c r="D1432">
        <v>419</v>
      </c>
      <c r="E1432" t="s">
        <v>1218</v>
      </c>
      <c r="F1432">
        <v>13.1</v>
      </c>
      <c r="G1432" t="s">
        <v>1889</v>
      </c>
      <c r="H1432" t="s">
        <v>1891</v>
      </c>
      <c r="K1432" t="s">
        <v>2841</v>
      </c>
    </row>
    <row r="1433" spans="1:11" x14ac:dyDescent="0.55000000000000004">
      <c r="A1433">
        <v>997</v>
      </c>
      <c r="B1433" t="s">
        <v>61</v>
      </c>
      <c r="C1433">
        <v>25</v>
      </c>
      <c r="D1433">
        <v>419</v>
      </c>
      <c r="E1433" t="s">
        <v>1219</v>
      </c>
      <c r="F1433">
        <v>13.59</v>
      </c>
      <c r="G1433" t="s">
        <v>1889</v>
      </c>
      <c r="H1433" t="s">
        <v>1891</v>
      </c>
      <c r="K1433" t="s">
        <v>2842</v>
      </c>
    </row>
    <row r="1434" spans="1:11" x14ac:dyDescent="0.55000000000000004">
      <c r="A1434">
        <v>1010</v>
      </c>
      <c r="B1434" t="s">
        <v>62</v>
      </c>
      <c r="C1434">
        <v>25</v>
      </c>
      <c r="D1434">
        <v>418</v>
      </c>
      <c r="E1434" t="s">
        <v>1232</v>
      </c>
      <c r="F1434">
        <v>16.12</v>
      </c>
      <c r="G1434" t="s">
        <v>2113</v>
      </c>
    </row>
    <row r="1435" spans="1:11" x14ac:dyDescent="0.55000000000000004">
      <c r="A1435">
        <v>1011</v>
      </c>
      <c r="B1435" t="s">
        <v>62</v>
      </c>
      <c r="C1435">
        <v>25</v>
      </c>
      <c r="D1435">
        <v>418</v>
      </c>
      <c r="E1435" t="s">
        <v>1233</v>
      </c>
      <c r="F1435">
        <v>16.12</v>
      </c>
      <c r="G1435" t="s">
        <v>2113</v>
      </c>
    </row>
    <row r="1436" spans="1:11" x14ac:dyDescent="0.55000000000000004">
      <c r="A1436">
        <v>1012</v>
      </c>
      <c r="B1436" t="s">
        <v>62</v>
      </c>
      <c r="C1436">
        <v>25</v>
      </c>
      <c r="D1436">
        <v>418</v>
      </c>
      <c r="E1436" t="s">
        <v>1234</v>
      </c>
      <c r="F1436">
        <v>15.18</v>
      </c>
      <c r="G1436" t="s">
        <v>2113</v>
      </c>
    </row>
    <row r="1437" spans="1:11" x14ac:dyDescent="0.55000000000000004">
      <c r="A1437">
        <v>1013</v>
      </c>
      <c r="B1437" t="s">
        <v>62</v>
      </c>
      <c r="C1437">
        <v>25</v>
      </c>
      <c r="D1437">
        <v>418</v>
      </c>
      <c r="E1437" t="s">
        <v>1235</v>
      </c>
      <c r="F1437">
        <v>13.35</v>
      </c>
      <c r="G1437" t="s">
        <v>2113</v>
      </c>
    </row>
    <row r="1438" spans="1:11" x14ac:dyDescent="0.55000000000000004">
      <c r="A1438">
        <v>1014</v>
      </c>
      <c r="B1438" t="s">
        <v>62</v>
      </c>
      <c r="C1438">
        <v>25</v>
      </c>
      <c r="D1438">
        <v>418</v>
      </c>
      <c r="E1438" t="s">
        <v>1236</v>
      </c>
      <c r="F1438">
        <v>16.89</v>
      </c>
      <c r="G1438" t="s">
        <v>2113</v>
      </c>
    </row>
    <row r="1439" spans="1:11" x14ac:dyDescent="0.55000000000000004">
      <c r="A1439">
        <v>1015</v>
      </c>
      <c r="B1439" t="s">
        <v>62</v>
      </c>
      <c r="C1439">
        <v>25</v>
      </c>
      <c r="D1439">
        <v>418</v>
      </c>
      <c r="E1439" t="s">
        <v>1237</v>
      </c>
      <c r="F1439">
        <v>16.89</v>
      </c>
      <c r="G1439" t="s">
        <v>2113</v>
      </c>
    </row>
    <row r="1440" spans="1:11" x14ac:dyDescent="0.55000000000000004">
      <c r="A1440">
        <v>1016</v>
      </c>
      <c r="B1440" t="s">
        <v>62</v>
      </c>
      <c r="C1440">
        <v>25</v>
      </c>
      <c r="D1440">
        <v>418</v>
      </c>
      <c r="E1440" t="s">
        <v>1238</v>
      </c>
      <c r="F1440">
        <v>15.08</v>
      </c>
      <c r="G1440" t="s">
        <v>2113</v>
      </c>
    </row>
    <row r="1441" spans="1:11" x14ac:dyDescent="0.55000000000000004">
      <c r="A1441">
        <v>1017</v>
      </c>
      <c r="B1441" t="s">
        <v>62</v>
      </c>
      <c r="C1441">
        <v>25</v>
      </c>
      <c r="D1441">
        <v>418</v>
      </c>
      <c r="E1441" t="s">
        <v>1239</v>
      </c>
      <c r="F1441">
        <v>17.43</v>
      </c>
      <c r="G1441" t="s">
        <v>2113</v>
      </c>
    </row>
    <row r="1442" spans="1:11" x14ac:dyDescent="0.55000000000000004">
      <c r="A1442">
        <v>1018</v>
      </c>
      <c r="B1442" t="s">
        <v>62</v>
      </c>
      <c r="C1442">
        <v>25</v>
      </c>
      <c r="D1442">
        <v>418</v>
      </c>
      <c r="E1442" t="s">
        <v>1240</v>
      </c>
      <c r="F1442">
        <v>14.71</v>
      </c>
      <c r="G1442" t="s">
        <v>1889</v>
      </c>
      <c r="H1442" t="s">
        <v>1891</v>
      </c>
      <c r="K1442" t="s">
        <v>2847</v>
      </c>
    </row>
    <row r="1443" spans="1:11" x14ac:dyDescent="0.55000000000000004">
      <c r="A1443">
        <v>1019</v>
      </c>
      <c r="B1443" t="s">
        <v>62</v>
      </c>
      <c r="C1443">
        <v>25</v>
      </c>
      <c r="D1443">
        <v>418</v>
      </c>
      <c r="E1443" t="s">
        <v>1241</v>
      </c>
      <c r="F1443">
        <v>15.49</v>
      </c>
      <c r="G1443" t="s">
        <v>1889</v>
      </c>
      <c r="H1443" t="s">
        <v>1891</v>
      </c>
      <c r="K1443" t="s">
        <v>2848</v>
      </c>
    </row>
    <row r="1444" spans="1:11" x14ac:dyDescent="0.55000000000000004">
      <c r="A1444">
        <v>1020</v>
      </c>
      <c r="B1444" t="s">
        <v>62</v>
      </c>
      <c r="C1444">
        <v>25</v>
      </c>
      <c r="D1444">
        <v>418</v>
      </c>
      <c r="E1444" t="s">
        <v>1242</v>
      </c>
      <c r="F1444">
        <v>14.62</v>
      </c>
      <c r="G1444" t="s">
        <v>1889</v>
      </c>
      <c r="H1444" t="s">
        <v>1891</v>
      </c>
      <c r="K1444" t="s">
        <v>2849</v>
      </c>
    </row>
    <row r="1445" spans="1:11" x14ac:dyDescent="0.55000000000000004">
      <c r="A1445">
        <v>1021</v>
      </c>
      <c r="B1445" t="s">
        <v>62</v>
      </c>
      <c r="C1445">
        <v>25</v>
      </c>
      <c r="D1445">
        <v>418</v>
      </c>
      <c r="E1445" t="s">
        <v>1243</v>
      </c>
      <c r="F1445">
        <v>15.01</v>
      </c>
      <c r="G1445" t="s">
        <v>1889</v>
      </c>
      <c r="H1445" t="s">
        <v>1891</v>
      </c>
      <c r="K1445" t="s">
        <v>2850</v>
      </c>
    </row>
    <row r="1446" spans="1:11" x14ac:dyDescent="0.55000000000000004">
      <c r="A1446">
        <v>1022</v>
      </c>
      <c r="B1446" t="s">
        <v>62</v>
      </c>
      <c r="C1446">
        <v>25</v>
      </c>
      <c r="D1446">
        <v>418</v>
      </c>
      <c r="E1446" t="s">
        <v>1244</v>
      </c>
      <c r="F1446">
        <v>15.11</v>
      </c>
      <c r="G1446" t="s">
        <v>1889</v>
      </c>
      <c r="H1446" t="s">
        <v>1891</v>
      </c>
      <c r="K1446" t="s">
        <v>2851</v>
      </c>
    </row>
    <row r="1447" spans="1:11" x14ac:dyDescent="0.55000000000000004">
      <c r="A1447">
        <v>1046</v>
      </c>
      <c r="B1447" t="s">
        <v>64</v>
      </c>
      <c r="C1447">
        <v>25</v>
      </c>
      <c r="D1447">
        <v>415</v>
      </c>
      <c r="E1447" t="s">
        <v>1268</v>
      </c>
      <c r="F1447">
        <v>12.43</v>
      </c>
      <c r="G1447" t="s">
        <v>1889</v>
      </c>
      <c r="H1447" t="s">
        <v>1891</v>
      </c>
      <c r="K1447" t="s">
        <v>2875</v>
      </c>
    </row>
    <row r="1448" spans="1:11" x14ac:dyDescent="0.55000000000000004">
      <c r="A1448">
        <v>1047</v>
      </c>
      <c r="B1448" t="s">
        <v>64</v>
      </c>
      <c r="C1448">
        <v>25</v>
      </c>
      <c r="D1448">
        <v>415</v>
      </c>
      <c r="E1448" t="s">
        <v>1269</v>
      </c>
      <c r="F1448">
        <v>15.42</v>
      </c>
      <c r="G1448" t="s">
        <v>1889</v>
      </c>
      <c r="H1448" t="s">
        <v>1891</v>
      </c>
      <c r="K1448" t="s">
        <v>2876</v>
      </c>
    </row>
    <row r="1449" spans="1:11" x14ac:dyDescent="0.55000000000000004">
      <c r="A1449">
        <v>1048</v>
      </c>
      <c r="B1449" t="s">
        <v>64</v>
      </c>
      <c r="C1449">
        <v>25</v>
      </c>
      <c r="D1449">
        <v>415</v>
      </c>
      <c r="E1449" t="s">
        <v>1270</v>
      </c>
      <c r="F1449">
        <v>15.2</v>
      </c>
      <c r="G1449" t="s">
        <v>1889</v>
      </c>
      <c r="H1449" t="s">
        <v>1891</v>
      </c>
      <c r="K1449" t="s">
        <v>2877</v>
      </c>
    </row>
    <row r="1450" spans="1:11" x14ac:dyDescent="0.55000000000000004">
      <c r="A1450">
        <v>1049</v>
      </c>
      <c r="B1450" t="s">
        <v>64</v>
      </c>
      <c r="C1450">
        <v>25</v>
      </c>
      <c r="D1450">
        <v>415</v>
      </c>
      <c r="E1450" t="s">
        <v>1271</v>
      </c>
      <c r="F1450">
        <v>16.170000000000002</v>
      </c>
      <c r="G1450" t="s">
        <v>1889</v>
      </c>
      <c r="H1450" t="s">
        <v>1891</v>
      </c>
      <c r="K1450" t="s">
        <v>2878</v>
      </c>
    </row>
    <row r="1451" spans="1:11" x14ac:dyDescent="0.55000000000000004">
      <c r="A1451">
        <v>1050</v>
      </c>
      <c r="B1451" t="s">
        <v>64</v>
      </c>
      <c r="C1451">
        <v>25</v>
      </c>
      <c r="D1451">
        <v>415</v>
      </c>
      <c r="E1451" t="s">
        <v>1272</v>
      </c>
      <c r="F1451">
        <v>15.71</v>
      </c>
      <c r="G1451" t="s">
        <v>1889</v>
      </c>
      <c r="H1451" t="s">
        <v>1891</v>
      </c>
      <c r="K1451" t="s">
        <v>2879</v>
      </c>
    </row>
    <row r="1452" spans="1:11" x14ac:dyDescent="0.55000000000000004">
      <c r="A1452">
        <v>1051</v>
      </c>
      <c r="B1452" t="s">
        <v>64</v>
      </c>
      <c r="C1452">
        <v>25</v>
      </c>
      <c r="D1452">
        <v>415</v>
      </c>
      <c r="E1452" t="s">
        <v>1273</v>
      </c>
      <c r="F1452">
        <v>15.38</v>
      </c>
      <c r="G1452" t="s">
        <v>1889</v>
      </c>
      <c r="H1452" t="s">
        <v>1891</v>
      </c>
      <c r="K1452" t="s">
        <v>2880</v>
      </c>
    </row>
    <row r="1453" spans="1:11" x14ac:dyDescent="0.55000000000000004">
      <c r="A1453">
        <v>1052</v>
      </c>
      <c r="B1453" t="s">
        <v>64</v>
      </c>
      <c r="C1453">
        <v>25</v>
      </c>
      <c r="D1453">
        <v>415</v>
      </c>
      <c r="E1453" t="s">
        <v>1274</v>
      </c>
      <c r="F1453">
        <v>16.329999999999998</v>
      </c>
      <c r="G1453" t="s">
        <v>2113</v>
      </c>
      <c r="H1453" t="s">
        <v>110</v>
      </c>
    </row>
    <row r="1454" spans="1:11" x14ac:dyDescent="0.55000000000000004">
      <c r="A1454">
        <v>1053</v>
      </c>
      <c r="B1454" t="s">
        <v>64</v>
      </c>
      <c r="C1454">
        <v>25</v>
      </c>
      <c r="D1454">
        <v>415</v>
      </c>
      <c r="E1454" t="s">
        <v>1275</v>
      </c>
      <c r="F1454">
        <v>14.73</v>
      </c>
      <c r="G1454" t="s">
        <v>2113</v>
      </c>
      <c r="H1454" t="s">
        <v>110</v>
      </c>
    </row>
    <row r="1455" spans="1:11" x14ac:dyDescent="0.55000000000000004">
      <c r="A1455">
        <v>1054</v>
      </c>
      <c r="B1455" t="s">
        <v>64</v>
      </c>
      <c r="C1455">
        <v>25</v>
      </c>
      <c r="D1455">
        <v>415</v>
      </c>
      <c r="E1455" t="s">
        <v>1276</v>
      </c>
      <c r="F1455">
        <v>15.45</v>
      </c>
      <c r="G1455" t="s">
        <v>2113</v>
      </c>
      <c r="H1455" t="s">
        <v>110</v>
      </c>
    </row>
    <row r="1456" spans="1:11" x14ac:dyDescent="0.55000000000000004">
      <c r="A1456">
        <v>1055</v>
      </c>
      <c r="B1456" t="s">
        <v>64</v>
      </c>
      <c r="C1456">
        <v>25</v>
      </c>
      <c r="D1456">
        <v>415</v>
      </c>
      <c r="E1456" t="s">
        <v>1277</v>
      </c>
      <c r="F1456">
        <v>16.09</v>
      </c>
      <c r="G1456" t="s">
        <v>2113</v>
      </c>
      <c r="H1456" t="s">
        <v>110</v>
      </c>
    </row>
    <row r="1457" spans="1:11" x14ac:dyDescent="0.55000000000000004">
      <c r="A1457">
        <v>1056</v>
      </c>
      <c r="B1457" t="s">
        <v>64</v>
      </c>
      <c r="C1457">
        <v>25</v>
      </c>
      <c r="D1457">
        <v>415</v>
      </c>
      <c r="E1457" t="s">
        <v>1278</v>
      </c>
      <c r="F1457">
        <v>16.09</v>
      </c>
      <c r="G1457" t="s">
        <v>2113</v>
      </c>
      <c r="H1457" t="s">
        <v>110</v>
      </c>
    </row>
    <row r="1458" spans="1:11" x14ac:dyDescent="0.55000000000000004">
      <c r="A1458">
        <v>1057</v>
      </c>
      <c r="B1458" t="s">
        <v>64</v>
      </c>
      <c r="C1458">
        <v>25</v>
      </c>
      <c r="D1458">
        <v>415</v>
      </c>
      <c r="E1458" t="s">
        <v>1279</v>
      </c>
      <c r="F1458">
        <v>14.96</v>
      </c>
      <c r="G1458" t="s">
        <v>2113</v>
      </c>
      <c r="H1458" t="s">
        <v>110</v>
      </c>
    </row>
    <row r="1459" spans="1:11" x14ac:dyDescent="0.55000000000000004">
      <c r="A1459">
        <v>1058</v>
      </c>
      <c r="B1459" t="s">
        <v>64</v>
      </c>
      <c r="C1459">
        <v>25</v>
      </c>
      <c r="D1459">
        <v>415</v>
      </c>
      <c r="E1459" t="s">
        <v>1280</v>
      </c>
      <c r="F1459">
        <v>17.5</v>
      </c>
      <c r="G1459" t="s">
        <v>2113</v>
      </c>
      <c r="H1459" t="s">
        <v>110</v>
      </c>
    </row>
    <row r="1460" spans="1:11" x14ac:dyDescent="0.55000000000000004">
      <c r="A1460">
        <v>1071</v>
      </c>
      <c r="B1460" t="s">
        <v>65</v>
      </c>
      <c r="C1460">
        <v>25</v>
      </c>
      <c r="D1460">
        <v>414</v>
      </c>
      <c r="E1460" t="s">
        <v>1293</v>
      </c>
      <c r="F1460">
        <v>11.71</v>
      </c>
      <c r="G1460" t="s">
        <v>1889</v>
      </c>
      <c r="H1460" t="s">
        <v>1891</v>
      </c>
      <c r="K1460" t="s">
        <v>2889</v>
      </c>
    </row>
    <row r="1461" spans="1:11" x14ac:dyDescent="0.55000000000000004">
      <c r="A1461">
        <v>1072</v>
      </c>
      <c r="B1461" t="s">
        <v>65</v>
      </c>
      <c r="C1461">
        <v>25</v>
      </c>
      <c r="D1461">
        <v>414</v>
      </c>
      <c r="E1461" t="s">
        <v>1294</v>
      </c>
      <c r="F1461">
        <v>14.75</v>
      </c>
      <c r="G1461" t="s">
        <v>1889</v>
      </c>
      <c r="H1461" t="s">
        <v>1891</v>
      </c>
      <c r="K1461" t="s">
        <v>2890</v>
      </c>
    </row>
    <row r="1462" spans="1:11" x14ac:dyDescent="0.55000000000000004">
      <c r="A1462">
        <v>1073</v>
      </c>
      <c r="B1462" t="s">
        <v>65</v>
      </c>
      <c r="C1462">
        <v>25</v>
      </c>
      <c r="D1462">
        <v>414</v>
      </c>
      <c r="E1462" t="s">
        <v>1295</v>
      </c>
      <c r="F1462">
        <v>14.9</v>
      </c>
      <c r="G1462" t="s">
        <v>1889</v>
      </c>
      <c r="H1462" t="s">
        <v>1891</v>
      </c>
      <c r="K1462" t="s">
        <v>2891</v>
      </c>
    </row>
    <row r="1463" spans="1:11" x14ac:dyDescent="0.55000000000000004">
      <c r="A1463">
        <v>1074</v>
      </c>
      <c r="B1463" t="s">
        <v>65</v>
      </c>
      <c r="C1463">
        <v>25</v>
      </c>
      <c r="D1463">
        <v>414</v>
      </c>
      <c r="E1463" t="s">
        <v>1296</v>
      </c>
      <c r="F1463">
        <v>14.4</v>
      </c>
      <c r="G1463" t="s">
        <v>1889</v>
      </c>
      <c r="H1463" t="s">
        <v>1891</v>
      </c>
      <c r="K1463" t="s">
        <v>2892</v>
      </c>
    </row>
    <row r="1464" spans="1:11" x14ac:dyDescent="0.55000000000000004">
      <c r="A1464">
        <v>1075</v>
      </c>
      <c r="B1464" t="s">
        <v>65</v>
      </c>
      <c r="C1464">
        <v>25</v>
      </c>
      <c r="D1464">
        <v>414</v>
      </c>
      <c r="E1464" t="s">
        <v>1297</v>
      </c>
      <c r="F1464">
        <v>14.67</v>
      </c>
      <c r="G1464" t="s">
        <v>1889</v>
      </c>
      <c r="H1464" t="s">
        <v>1891</v>
      </c>
      <c r="K1464" t="s">
        <v>2893</v>
      </c>
    </row>
    <row r="1465" spans="1:11" x14ac:dyDescent="0.55000000000000004">
      <c r="A1465">
        <v>1076</v>
      </c>
      <c r="B1465" t="s">
        <v>65</v>
      </c>
      <c r="C1465">
        <v>25</v>
      </c>
      <c r="D1465">
        <v>414</v>
      </c>
      <c r="E1465" t="s">
        <v>1298</v>
      </c>
      <c r="F1465">
        <v>13.78</v>
      </c>
      <c r="G1465" t="s">
        <v>1889</v>
      </c>
      <c r="H1465" t="s">
        <v>1891</v>
      </c>
      <c r="K1465" t="s">
        <v>2894</v>
      </c>
    </row>
    <row r="1466" spans="1:11" x14ac:dyDescent="0.55000000000000004">
      <c r="A1466">
        <v>1077</v>
      </c>
      <c r="B1466" t="s">
        <v>65</v>
      </c>
      <c r="C1466">
        <v>25</v>
      </c>
      <c r="D1466">
        <v>414</v>
      </c>
      <c r="E1466" t="s">
        <v>1299</v>
      </c>
      <c r="F1466">
        <v>13.64</v>
      </c>
      <c r="G1466" t="s">
        <v>1889</v>
      </c>
      <c r="H1466" t="s">
        <v>1891</v>
      </c>
      <c r="K1466" t="s">
        <v>2895</v>
      </c>
    </row>
    <row r="1467" spans="1:11" x14ac:dyDescent="0.55000000000000004">
      <c r="A1467">
        <v>1078</v>
      </c>
      <c r="B1467" t="s">
        <v>65</v>
      </c>
      <c r="C1467">
        <v>25</v>
      </c>
      <c r="D1467">
        <v>414</v>
      </c>
      <c r="E1467" t="s">
        <v>1300</v>
      </c>
      <c r="F1467">
        <v>14.67</v>
      </c>
      <c r="G1467" t="s">
        <v>1889</v>
      </c>
      <c r="H1467" t="s">
        <v>1891</v>
      </c>
      <c r="K1467" t="s">
        <v>2896</v>
      </c>
    </row>
    <row r="1468" spans="1:11" x14ac:dyDescent="0.55000000000000004">
      <c r="A1468">
        <v>1079</v>
      </c>
      <c r="B1468" t="s">
        <v>65</v>
      </c>
      <c r="C1468">
        <v>25</v>
      </c>
      <c r="D1468">
        <v>414</v>
      </c>
      <c r="E1468" t="s">
        <v>1301</v>
      </c>
      <c r="F1468">
        <v>14.89</v>
      </c>
      <c r="G1468" t="s">
        <v>1889</v>
      </c>
      <c r="H1468" t="s">
        <v>1891</v>
      </c>
      <c r="K1468" t="s">
        <v>2897</v>
      </c>
    </row>
    <row r="1469" spans="1:11" x14ac:dyDescent="0.55000000000000004">
      <c r="A1469">
        <v>1080</v>
      </c>
      <c r="B1469" t="s">
        <v>65</v>
      </c>
      <c r="C1469">
        <v>25</v>
      </c>
      <c r="D1469">
        <v>414</v>
      </c>
      <c r="E1469" t="s">
        <v>1302</v>
      </c>
      <c r="F1469">
        <v>15.37</v>
      </c>
      <c r="G1469" t="s">
        <v>1889</v>
      </c>
      <c r="H1469" t="s">
        <v>1891</v>
      </c>
      <c r="K1469" t="s">
        <v>2898</v>
      </c>
    </row>
    <row r="1470" spans="1:11" x14ac:dyDescent="0.55000000000000004">
      <c r="A1470">
        <v>1081</v>
      </c>
      <c r="B1470" t="s">
        <v>65</v>
      </c>
      <c r="C1470">
        <v>25</v>
      </c>
      <c r="D1470">
        <v>414</v>
      </c>
      <c r="E1470" t="s">
        <v>1303</v>
      </c>
      <c r="F1470">
        <v>15.33</v>
      </c>
      <c r="G1470" t="s">
        <v>1889</v>
      </c>
      <c r="H1470" t="s">
        <v>1891</v>
      </c>
      <c r="K1470" t="s">
        <v>2899</v>
      </c>
    </row>
    <row r="1471" spans="1:11" x14ac:dyDescent="0.55000000000000004">
      <c r="A1471">
        <v>1082</v>
      </c>
      <c r="B1471" t="s">
        <v>65</v>
      </c>
      <c r="C1471">
        <v>25</v>
      </c>
      <c r="D1471">
        <v>414</v>
      </c>
      <c r="E1471" t="s">
        <v>1304</v>
      </c>
      <c r="F1471">
        <v>15.61</v>
      </c>
      <c r="G1471" t="s">
        <v>2113</v>
      </c>
      <c r="H1471" t="s">
        <v>110</v>
      </c>
    </row>
    <row r="1472" spans="1:11" x14ac:dyDescent="0.55000000000000004">
      <c r="A1472">
        <v>1083</v>
      </c>
      <c r="B1472" t="s">
        <v>65</v>
      </c>
      <c r="C1472">
        <v>25</v>
      </c>
      <c r="D1472">
        <v>414</v>
      </c>
      <c r="E1472" t="s">
        <v>1305</v>
      </c>
      <c r="F1472">
        <v>17.489999999999998</v>
      </c>
      <c r="G1472" t="s">
        <v>2113</v>
      </c>
      <c r="H1472" t="s">
        <v>110</v>
      </c>
    </row>
    <row r="1473" spans="1:11" x14ac:dyDescent="0.55000000000000004">
      <c r="A1473">
        <v>1101</v>
      </c>
      <c r="B1473" t="s">
        <v>68</v>
      </c>
      <c r="C1473">
        <v>25</v>
      </c>
      <c r="D1473">
        <v>401</v>
      </c>
      <c r="E1473" t="s">
        <v>1323</v>
      </c>
      <c r="F1473">
        <v>14.19</v>
      </c>
      <c r="G1473" t="s">
        <v>2113</v>
      </c>
      <c r="H1473" t="s">
        <v>110</v>
      </c>
    </row>
    <row r="1474" spans="1:11" x14ac:dyDescent="0.55000000000000004">
      <c r="A1474">
        <v>1102</v>
      </c>
      <c r="B1474" t="s">
        <v>68</v>
      </c>
      <c r="C1474">
        <v>25</v>
      </c>
      <c r="D1474">
        <v>401</v>
      </c>
      <c r="E1474" t="s">
        <v>1324</v>
      </c>
      <c r="F1474">
        <v>17.649999999999999</v>
      </c>
      <c r="G1474" t="s">
        <v>2113</v>
      </c>
      <c r="H1474" t="s">
        <v>110</v>
      </c>
    </row>
    <row r="1475" spans="1:11" x14ac:dyDescent="0.55000000000000004">
      <c r="A1475">
        <v>1103</v>
      </c>
      <c r="B1475" t="s">
        <v>68</v>
      </c>
      <c r="C1475">
        <v>25</v>
      </c>
      <c r="D1475">
        <v>401</v>
      </c>
      <c r="E1475" t="s">
        <v>1325</v>
      </c>
      <c r="F1475">
        <v>15.14</v>
      </c>
      <c r="G1475" t="s">
        <v>2113</v>
      </c>
      <c r="H1475" t="s">
        <v>110</v>
      </c>
    </row>
    <row r="1476" spans="1:11" x14ac:dyDescent="0.55000000000000004">
      <c r="A1476">
        <v>1104</v>
      </c>
      <c r="B1476" t="s">
        <v>68</v>
      </c>
      <c r="C1476">
        <v>25</v>
      </c>
      <c r="D1476">
        <v>401</v>
      </c>
      <c r="E1476" t="s">
        <v>1326</v>
      </c>
      <c r="F1476">
        <v>13.89</v>
      </c>
      <c r="G1476" t="s">
        <v>1889</v>
      </c>
      <c r="H1476" t="s">
        <v>1891</v>
      </c>
      <c r="K1476" t="s">
        <v>2910</v>
      </c>
    </row>
    <row r="1477" spans="1:11" x14ac:dyDescent="0.55000000000000004">
      <c r="A1477">
        <v>1105</v>
      </c>
      <c r="B1477" t="s">
        <v>68</v>
      </c>
      <c r="C1477">
        <v>25</v>
      </c>
      <c r="D1477">
        <v>401</v>
      </c>
      <c r="E1477" t="s">
        <v>1327</v>
      </c>
      <c r="F1477">
        <v>12.81</v>
      </c>
      <c r="G1477" t="s">
        <v>1889</v>
      </c>
      <c r="H1477" t="s">
        <v>1891</v>
      </c>
      <c r="K1477" t="s">
        <v>2911</v>
      </c>
    </row>
    <row r="1478" spans="1:11" x14ac:dyDescent="0.55000000000000004">
      <c r="A1478">
        <v>1106</v>
      </c>
      <c r="B1478" t="s">
        <v>68</v>
      </c>
      <c r="C1478">
        <v>25</v>
      </c>
      <c r="D1478">
        <v>401</v>
      </c>
      <c r="E1478" t="s">
        <v>1328</v>
      </c>
      <c r="F1478">
        <v>13.05</v>
      </c>
      <c r="G1478" t="s">
        <v>1889</v>
      </c>
      <c r="H1478" t="s">
        <v>1891</v>
      </c>
      <c r="K1478" t="s">
        <v>2912</v>
      </c>
    </row>
    <row r="1479" spans="1:11" x14ac:dyDescent="0.55000000000000004">
      <c r="A1479">
        <v>1107</v>
      </c>
      <c r="B1479" t="s">
        <v>68</v>
      </c>
      <c r="C1479">
        <v>25</v>
      </c>
      <c r="D1479">
        <v>401</v>
      </c>
      <c r="E1479" t="s">
        <v>1329</v>
      </c>
      <c r="F1479">
        <v>11.74</v>
      </c>
      <c r="G1479" t="s">
        <v>1889</v>
      </c>
      <c r="H1479" t="s">
        <v>1891</v>
      </c>
      <c r="K1479" t="s">
        <v>2913</v>
      </c>
    </row>
    <row r="1480" spans="1:11" x14ac:dyDescent="0.55000000000000004">
      <c r="A1480">
        <v>1108</v>
      </c>
      <c r="B1480" t="s">
        <v>68</v>
      </c>
      <c r="C1480">
        <v>25</v>
      </c>
      <c r="D1480">
        <v>401</v>
      </c>
      <c r="E1480" t="s">
        <v>1330</v>
      </c>
      <c r="F1480">
        <v>10.46</v>
      </c>
      <c r="G1480" t="s">
        <v>1889</v>
      </c>
      <c r="H1480" t="s">
        <v>1891</v>
      </c>
      <c r="K1480" t="s">
        <v>2914</v>
      </c>
    </row>
    <row r="1481" spans="1:11" x14ac:dyDescent="0.55000000000000004">
      <c r="A1481">
        <v>1109</v>
      </c>
      <c r="B1481" t="s">
        <v>68</v>
      </c>
      <c r="C1481">
        <v>25</v>
      </c>
      <c r="D1481">
        <v>401</v>
      </c>
      <c r="E1481" t="s">
        <v>1331</v>
      </c>
      <c r="F1481">
        <v>9.6199999999999992</v>
      </c>
      <c r="G1481" t="s">
        <v>1889</v>
      </c>
      <c r="H1481" t="s">
        <v>1891</v>
      </c>
      <c r="K1481" t="s">
        <v>2915</v>
      </c>
    </row>
    <row r="1482" spans="1:11" x14ac:dyDescent="0.55000000000000004">
      <c r="A1482">
        <v>1110</v>
      </c>
      <c r="B1482" t="s">
        <v>68</v>
      </c>
      <c r="C1482">
        <v>25</v>
      </c>
      <c r="D1482">
        <v>401</v>
      </c>
      <c r="E1482" t="s">
        <v>1332</v>
      </c>
      <c r="F1482">
        <v>12.85</v>
      </c>
      <c r="G1482" t="s">
        <v>1889</v>
      </c>
      <c r="H1482" t="s">
        <v>1891</v>
      </c>
      <c r="K1482" t="s">
        <v>2916</v>
      </c>
    </row>
    <row r="1483" spans="1:11" x14ac:dyDescent="0.55000000000000004">
      <c r="A1483">
        <v>1111</v>
      </c>
      <c r="B1483" t="s">
        <v>68</v>
      </c>
      <c r="C1483">
        <v>25</v>
      </c>
      <c r="D1483">
        <v>401</v>
      </c>
      <c r="E1483" t="s">
        <v>1333</v>
      </c>
      <c r="F1483">
        <v>12.5</v>
      </c>
      <c r="G1483" t="s">
        <v>1889</v>
      </c>
      <c r="H1483" t="s">
        <v>1891</v>
      </c>
      <c r="K1483" t="s">
        <v>2917</v>
      </c>
    </row>
    <row r="1484" spans="1:11" x14ac:dyDescent="0.55000000000000004">
      <c r="A1484">
        <v>1112</v>
      </c>
      <c r="B1484" t="s">
        <v>68</v>
      </c>
      <c r="C1484">
        <v>25</v>
      </c>
      <c r="D1484">
        <v>401</v>
      </c>
      <c r="E1484" t="s">
        <v>1334</v>
      </c>
      <c r="F1484">
        <v>13.79</v>
      </c>
      <c r="G1484" t="s">
        <v>1889</v>
      </c>
      <c r="H1484" t="s">
        <v>1891</v>
      </c>
      <c r="K1484" t="s">
        <v>2918</v>
      </c>
    </row>
    <row r="1485" spans="1:11" x14ac:dyDescent="0.55000000000000004">
      <c r="A1485">
        <v>1113</v>
      </c>
      <c r="B1485" t="s">
        <v>68</v>
      </c>
      <c r="C1485">
        <v>25</v>
      </c>
      <c r="D1485">
        <v>401</v>
      </c>
      <c r="E1485" t="s">
        <v>1335</v>
      </c>
      <c r="G1485" t="s">
        <v>1941</v>
      </c>
      <c r="H1485" t="s">
        <v>1941</v>
      </c>
    </row>
    <row r="1486" spans="1:11" x14ac:dyDescent="0.55000000000000004">
      <c r="A1486">
        <v>1126</v>
      </c>
      <c r="B1486" t="s">
        <v>69</v>
      </c>
      <c r="C1486">
        <v>25</v>
      </c>
      <c r="D1486">
        <v>402</v>
      </c>
      <c r="E1486" t="s">
        <v>1348</v>
      </c>
      <c r="F1486">
        <v>15.42</v>
      </c>
      <c r="G1486" t="s">
        <v>2113</v>
      </c>
      <c r="H1486" t="s">
        <v>110</v>
      </c>
    </row>
    <row r="1487" spans="1:11" x14ac:dyDescent="0.55000000000000004">
      <c r="A1487">
        <v>1127</v>
      </c>
      <c r="B1487" t="s">
        <v>69</v>
      </c>
      <c r="C1487">
        <v>25</v>
      </c>
      <c r="D1487">
        <v>402</v>
      </c>
      <c r="E1487" t="s">
        <v>1349</v>
      </c>
      <c r="F1487">
        <v>15.66</v>
      </c>
      <c r="G1487" t="s">
        <v>2113</v>
      </c>
      <c r="H1487" t="s">
        <v>110</v>
      </c>
    </row>
    <row r="1488" spans="1:11" x14ac:dyDescent="0.55000000000000004">
      <c r="A1488">
        <v>1128</v>
      </c>
      <c r="B1488" t="s">
        <v>69</v>
      </c>
      <c r="C1488">
        <v>25</v>
      </c>
      <c r="D1488">
        <v>402</v>
      </c>
      <c r="E1488" t="s">
        <v>1350</v>
      </c>
      <c r="F1488">
        <v>13.93</v>
      </c>
      <c r="G1488" t="s">
        <v>2113</v>
      </c>
      <c r="H1488" t="s">
        <v>110</v>
      </c>
    </row>
    <row r="1489" spans="1:11" x14ac:dyDescent="0.55000000000000004">
      <c r="A1489">
        <v>1129</v>
      </c>
      <c r="B1489" t="s">
        <v>69</v>
      </c>
      <c r="C1489">
        <v>25</v>
      </c>
      <c r="D1489">
        <v>402</v>
      </c>
      <c r="E1489" t="s">
        <v>1351</v>
      </c>
      <c r="F1489">
        <v>14.77</v>
      </c>
      <c r="G1489" t="s">
        <v>2113</v>
      </c>
      <c r="H1489" t="s">
        <v>110</v>
      </c>
    </row>
    <row r="1490" spans="1:11" x14ac:dyDescent="0.55000000000000004">
      <c r="A1490">
        <v>1130</v>
      </c>
      <c r="B1490" t="s">
        <v>69</v>
      </c>
      <c r="C1490">
        <v>25</v>
      </c>
      <c r="D1490">
        <v>402</v>
      </c>
      <c r="E1490" t="s">
        <v>1352</v>
      </c>
      <c r="F1490">
        <v>15.21</v>
      </c>
      <c r="G1490" t="s">
        <v>1889</v>
      </c>
      <c r="H1490" t="s">
        <v>1891</v>
      </c>
      <c r="K1490" t="s">
        <v>2925</v>
      </c>
    </row>
    <row r="1491" spans="1:11" x14ac:dyDescent="0.55000000000000004">
      <c r="A1491">
        <v>1131</v>
      </c>
      <c r="B1491" t="s">
        <v>69</v>
      </c>
      <c r="C1491">
        <v>25</v>
      </c>
      <c r="D1491">
        <v>402</v>
      </c>
      <c r="E1491" t="s">
        <v>1353</v>
      </c>
      <c r="F1491">
        <v>14.28</v>
      </c>
      <c r="G1491" t="s">
        <v>1889</v>
      </c>
      <c r="H1491" t="s">
        <v>1891</v>
      </c>
      <c r="K1491" t="s">
        <v>2926</v>
      </c>
    </row>
    <row r="1492" spans="1:11" x14ac:dyDescent="0.55000000000000004">
      <c r="A1492">
        <v>1132</v>
      </c>
      <c r="B1492" t="s">
        <v>69</v>
      </c>
      <c r="C1492">
        <v>25</v>
      </c>
      <c r="D1492">
        <v>402</v>
      </c>
      <c r="E1492" t="s">
        <v>1354</v>
      </c>
      <c r="F1492">
        <v>14.25</v>
      </c>
      <c r="G1492" t="s">
        <v>1889</v>
      </c>
      <c r="H1492" t="s">
        <v>1891</v>
      </c>
      <c r="K1492" t="s">
        <v>2927</v>
      </c>
    </row>
    <row r="1493" spans="1:11" x14ac:dyDescent="0.55000000000000004">
      <c r="A1493">
        <v>1133</v>
      </c>
      <c r="B1493" t="s">
        <v>69</v>
      </c>
      <c r="C1493">
        <v>25</v>
      </c>
      <c r="D1493">
        <v>402</v>
      </c>
      <c r="E1493" t="s">
        <v>1355</v>
      </c>
      <c r="F1493">
        <v>14.28</v>
      </c>
      <c r="G1493" t="s">
        <v>1889</v>
      </c>
      <c r="H1493" t="s">
        <v>1891</v>
      </c>
      <c r="K1493" t="s">
        <v>2928</v>
      </c>
    </row>
    <row r="1494" spans="1:11" x14ac:dyDescent="0.55000000000000004">
      <c r="A1494">
        <v>1134</v>
      </c>
      <c r="B1494" t="s">
        <v>69</v>
      </c>
      <c r="C1494">
        <v>25</v>
      </c>
      <c r="D1494">
        <v>402</v>
      </c>
      <c r="E1494" t="s">
        <v>1356</v>
      </c>
      <c r="F1494">
        <v>13.86</v>
      </c>
      <c r="G1494" t="s">
        <v>1889</v>
      </c>
      <c r="H1494" t="s">
        <v>1891</v>
      </c>
      <c r="K1494" t="s">
        <v>2929</v>
      </c>
    </row>
    <row r="1495" spans="1:11" x14ac:dyDescent="0.55000000000000004">
      <c r="A1495">
        <v>1135</v>
      </c>
      <c r="B1495" t="s">
        <v>69</v>
      </c>
      <c r="C1495">
        <v>25</v>
      </c>
      <c r="D1495">
        <v>402</v>
      </c>
      <c r="E1495" t="s">
        <v>1357</v>
      </c>
      <c r="F1495">
        <v>14.2</v>
      </c>
      <c r="G1495" t="s">
        <v>1889</v>
      </c>
      <c r="H1495" t="s">
        <v>1891</v>
      </c>
      <c r="K1495" t="s">
        <v>2930</v>
      </c>
    </row>
    <row r="1496" spans="1:11" x14ac:dyDescent="0.55000000000000004">
      <c r="A1496">
        <v>1136</v>
      </c>
      <c r="B1496" t="s">
        <v>69</v>
      </c>
      <c r="C1496">
        <v>25</v>
      </c>
      <c r="D1496">
        <v>402</v>
      </c>
      <c r="E1496" t="s">
        <v>1358</v>
      </c>
      <c r="F1496">
        <v>14.47</v>
      </c>
      <c r="G1496" t="s">
        <v>1889</v>
      </c>
      <c r="H1496" t="s">
        <v>1891</v>
      </c>
      <c r="K1496" t="s">
        <v>2931</v>
      </c>
    </row>
    <row r="1497" spans="1:11" x14ac:dyDescent="0.55000000000000004">
      <c r="A1497">
        <v>1137</v>
      </c>
      <c r="B1497" t="s">
        <v>69</v>
      </c>
      <c r="C1497">
        <v>25</v>
      </c>
      <c r="D1497">
        <v>402</v>
      </c>
      <c r="E1497" t="s">
        <v>1359</v>
      </c>
      <c r="F1497">
        <v>14.38</v>
      </c>
      <c r="G1497" t="s">
        <v>1889</v>
      </c>
      <c r="H1497" t="s">
        <v>1891</v>
      </c>
      <c r="K1497" t="s">
        <v>2932</v>
      </c>
    </row>
    <row r="1498" spans="1:11" x14ac:dyDescent="0.55000000000000004">
      <c r="A1498">
        <v>1138</v>
      </c>
      <c r="B1498" t="s">
        <v>69</v>
      </c>
      <c r="C1498">
        <v>25</v>
      </c>
      <c r="D1498">
        <v>402</v>
      </c>
      <c r="E1498" t="s">
        <v>1360</v>
      </c>
      <c r="F1498">
        <v>14.14</v>
      </c>
      <c r="G1498" t="s">
        <v>1889</v>
      </c>
      <c r="H1498" t="s">
        <v>1891</v>
      </c>
      <c r="K1498" t="s">
        <v>2933</v>
      </c>
    </row>
    <row r="1499" spans="1:11" x14ac:dyDescent="0.55000000000000004">
      <c r="A1499">
        <v>1151</v>
      </c>
      <c r="B1499" t="s">
        <v>70</v>
      </c>
      <c r="C1499">
        <v>25</v>
      </c>
      <c r="D1499">
        <v>404</v>
      </c>
      <c r="E1499" t="s">
        <v>1373</v>
      </c>
      <c r="F1499">
        <v>15.3</v>
      </c>
      <c r="G1499" t="s">
        <v>2113</v>
      </c>
      <c r="H1499" t="s">
        <v>110</v>
      </c>
    </row>
    <row r="1500" spans="1:11" x14ac:dyDescent="0.55000000000000004">
      <c r="A1500">
        <v>1152</v>
      </c>
      <c r="B1500" t="s">
        <v>70</v>
      </c>
      <c r="C1500">
        <v>25</v>
      </c>
      <c r="D1500">
        <v>404</v>
      </c>
      <c r="E1500" t="s">
        <v>1374</v>
      </c>
      <c r="F1500">
        <v>17.03</v>
      </c>
      <c r="G1500" t="s">
        <v>2113</v>
      </c>
      <c r="H1500" t="s">
        <v>110</v>
      </c>
    </row>
    <row r="1501" spans="1:11" x14ac:dyDescent="0.55000000000000004">
      <c r="A1501">
        <v>1153</v>
      </c>
      <c r="B1501" t="s">
        <v>70</v>
      </c>
      <c r="C1501">
        <v>25</v>
      </c>
      <c r="D1501">
        <v>404</v>
      </c>
      <c r="E1501" t="s">
        <v>1375</v>
      </c>
      <c r="F1501">
        <v>16.29</v>
      </c>
      <c r="G1501" t="s">
        <v>2113</v>
      </c>
      <c r="H1501" t="s">
        <v>110</v>
      </c>
    </row>
    <row r="1502" spans="1:11" x14ac:dyDescent="0.55000000000000004">
      <c r="A1502">
        <v>1154</v>
      </c>
      <c r="B1502" t="s">
        <v>70</v>
      </c>
      <c r="C1502">
        <v>25</v>
      </c>
      <c r="D1502">
        <v>404</v>
      </c>
      <c r="E1502" t="s">
        <v>1376</v>
      </c>
      <c r="F1502">
        <v>16.3</v>
      </c>
      <c r="G1502" t="s">
        <v>2113</v>
      </c>
      <c r="H1502" t="s">
        <v>110</v>
      </c>
    </row>
    <row r="1503" spans="1:11" x14ac:dyDescent="0.55000000000000004">
      <c r="A1503">
        <v>1155</v>
      </c>
      <c r="B1503" t="s">
        <v>70</v>
      </c>
      <c r="C1503">
        <v>25</v>
      </c>
      <c r="D1503">
        <v>404</v>
      </c>
      <c r="E1503" t="s">
        <v>1377</v>
      </c>
      <c r="F1503">
        <v>15.7</v>
      </c>
      <c r="G1503" t="s">
        <v>2113</v>
      </c>
      <c r="H1503" t="s">
        <v>110</v>
      </c>
    </row>
    <row r="1504" spans="1:11" x14ac:dyDescent="0.55000000000000004">
      <c r="A1504">
        <v>1156</v>
      </c>
      <c r="B1504" t="s">
        <v>70</v>
      </c>
      <c r="C1504">
        <v>25</v>
      </c>
      <c r="D1504">
        <v>404</v>
      </c>
      <c r="E1504" t="s">
        <v>1378</v>
      </c>
      <c r="F1504">
        <v>14.97</v>
      </c>
      <c r="G1504" t="s">
        <v>1889</v>
      </c>
      <c r="H1504" t="s">
        <v>1891</v>
      </c>
      <c r="K1504" t="s">
        <v>2941</v>
      </c>
    </row>
    <row r="1505" spans="1:11" x14ac:dyDescent="0.55000000000000004">
      <c r="A1505">
        <v>1157</v>
      </c>
      <c r="B1505" t="s">
        <v>70</v>
      </c>
      <c r="C1505">
        <v>25</v>
      </c>
      <c r="D1505">
        <v>404</v>
      </c>
      <c r="E1505" t="s">
        <v>1379</v>
      </c>
      <c r="F1505">
        <v>14.52</v>
      </c>
      <c r="G1505" t="s">
        <v>1889</v>
      </c>
      <c r="H1505" t="s">
        <v>1891</v>
      </c>
      <c r="K1505" t="s">
        <v>2942</v>
      </c>
    </row>
    <row r="1506" spans="1:11" x14ac:dyDescent="0.55000000000000004">
      <c r="A1506">
        <v>1158</v>
      </c>
      <c r="B1506" t="s">
        <v>70</v>
      </c>
      <c r="C1506">
        <v>25</v>
      </c>
      <c r="D1506">
        <v>404</v>
      </c>
      <c r="E1506" t="s">
        <v>1380</v>
      </c>
      <c r="F1506">
        <v>16.43</v>
      </c>
      <c r="G1506" t="s">
        <v>1889</v>
      </c>
      <c r="H1506" t="s">
        <v>1891</v>
      </c>
      <c r="K1506" t="s">
        <v>2943</v>
      </c>
    </row>
    <row r="1507" spans="1:11" x14ac:dyDescent="0.55000000000000004">
      <c r="A1507">
        <v>1159</v>
      </c>
      <c r="B1507" t="s">
        <v>70</v>
      </c>
      <c r="C1507">
        <v>25</v>
      </c>
      <c r="D1507">
        <v>404</v>
      </c>
      <c r="E1507" t="s">
        <v>1381</v>
      </c>
      <c r="F1507">
        <v>16.68</v>
      </c>
      <c r="G1507" t="s">
        <v>1889</v>
      </c>
      <c r="H1507" t="s">
        <v>1891</v>
      </c>
      <c r="K1507" t="s">
        <v>2944</v>
      </c>
    </row>
    <row r="1508" spans="1:11" x14ac:dyDescent="0.55000000000000004">
      <c r="A1508">
        <v>1160</v>
      </c>
      <c r="B1508" t="s">
        <v>70</v>
      </c>
      <c r="C1508">
        <v>25</v>
      </c>
      <c r="D1508">
        <v>404</v>
      </c>
      <c r="E1508" t="s">
        <v>1382</v>
      </c>
      <c r="F1508">
        <v>16.350000000000001</v>
      </c>
      <c r="G1508" t="s">
        <v>1889</v>
      </c>
      <c r="H1508" t="s">
        <v>1891</v>
      </c>
      <c r="K1508" t="s">
        <v>2945</v>
      </c>
    </row>
    <row r="1509" spans="1:11" x14ac:dyDescent="0.55000000000000004">
      <c r="A1509">
        <v>1161</v>
      </c>
      <c r="B1509" t="s">
        <v>70</v>
      </c>
      <c r="C1509">
        <v>25</v>
      </c>
      <c r="D1509">
        <v>404</v>
      </c>
      <c r="E1509" t="s">
        <v>1383</v>
      </c>
      <c r="F1509">
        <v>14.98</v>
      </c>
      <c r="G1509" t="s">
        <v>2113</v>
      </c>
      <c r="H1509" t="s">
        <v>110</v>
      </c>
    </row>
    <row r="1510" spans="1:11" x14ac:dyDescent="0.55000000000000004">
      <c r="A1510">
        <v>1162</v>
      </c>
      <c r="B1510" t="s">
        <v>70</v>
      </c>
      <c r="C1510">
        <v>25</v>
      </c>
      <c r="D1510">
        <v>404</v>
      </c>
      <c r="E1510" t="s">
        <v>1384</v>
      </c>
      <c r="F1510">
        <v>17.25</v>
      </c>
      <c r="G1510" t="s">
        <v>2113</v>
      </c>
      <c r="H1510" t="s">
        <v>110</v>
      </c>
    </row>
    <row r="1511" spans="1:11" x14ac:dyDescent="0.55000000000000004">
      <c r="A1511">
        <v>1163</v>
      </c>
      <c r="B1511" t="s">
        <v>70</v>
      </c>
      <c r="C1511">
        <v>25</v>
      </c>
      <c r="D1511">
        <v>404</v>
      </c>
      <c r="E1511" t="s">
        <v>1385</v>
      </c>
      <c r="F1511">
        <v>17.25</v>
      </c>
      <c r="G1511" t="s">
        <v>2113</v>
      </c>
      <c r="H1511" t="s">
        <v>110</v>
      </c>
    </row>
    <row r="1512" spans="1:11" x14ac:dyDescent="0.55000000000000004">
      <c r="A1512">
        <v>1176</v>
      </c>
      <c r="B1512" t="s">
        <v>71</v>
      </c>
      <c r="C1512">
        <v>25</v>
      </c>
      <c r="D1512">
        <v>403</v>
      </c>
      <c r="E1512" t="s">
        <v>1398</v>
      </c>
      <c r="F1512">
        <v>19.25</v>
      </c>
      <c r="G1512" t="s">
        <v>2113</v>
      </c>
      <c r="H1512" t="s">
        <v>110</v>
      </c>
    </row>
    <row r="1513" spans="1:11" x14ac:dyDescent="0.55000000000000004">
      <c r="A1513">
        <v>1177</v>
      </c>
      <c r="B1513" t="s">
        <v>71</v>
      </c>
      <c r="C1513">
        <v>25</v>
      </c>
      <c r="D1513">
        <v>403</v>
      </c>
      <c r="E1513" t="s">
        <v>1399</v>
      </c>
      <c r="F1513">
        <v>16.93</v>
      </c>
      <c r="G1513" t="s">
        <v>2113</v>
      </c>
      <c r="H1513" t="s">
        <v>110</v>
      </c>
    </row>
    <row r="1514" spans="1:11" x14ac:dyDescent="0.55000000000000004">
      <c r="A1514">
        <v>1178</v>
      </c>
      <c r="B1514" t="s">
        <v>71</v>
      </c>
      <c r="C1514">
        <v>25</v>
      </c>
      <c r="D1514">
        <v>403</v>
      </c>
      <c r="E1514" t="s">
        <v>1400</v>
      </c>
      <c r="F1514">
        <v>16.59</v>
      </c>
      <c r="G1514" t="s">
        <v>2113</v>
      </c>
      <c r="H1514" t="s">
        <v>110</v>
      </c>
    </row>
    <row r="1515" spans="1:11" x14ac:dyDescent="0.55000000000000004">
      <c r="A1515">
        <v>1179</v>
      </c>
      <c r="B1515" t="s">
        <v>71</v>
      </c>
      <c r="C1515">
        <v>25</v>
      </c>
      <c r="D1515">
        <v>403</v>
      </c>
      <c r="E1515" t="s">
        <v>1401</v>
      </c>
      <c r="F1515">
        <v>1776</v>
      </c>
      <c r="G1515" t="s">
        <v>2113</v>
      </c>
      <c r="H1515" t="s">
        <v>110</v>
      </c>
    </row>
    <row r="1516" spans="1:11" x14ac:dyDescent="0.55000000000000004">
      <c r="A1516">
        <v>1180</v>
      </c>
      <c r="B1516" t="s">
        <v>71</v>
      </c>
      <c r="C1516">
        <v>25</v>
      </c>
      <c r="D1516">
        <v>403</v>
      </c>
      <c r="E1516" t="s">
        <v>1402</v>
      </c>
      <c r="F1516">
        <v>16.809999999999999</v>
      </c>
      <c r="G1516" t="s">
        <v>2113</v>
      </c>
      <c r="H1516" t="s">
        <v>110</v>
      </c>
    </row>
    <row r="1517" spans="1:11" x14ac:dyDescent="0.55000000000000004">
      <c r="A1517">
        <v>1181</v>
      </c>
      <c r="B1517" t="s">
        <v>71</v>
      </c>
      <c r="C1517">
        <v>25</v>
      </c>
      <c r="D1517">
        <v>403</v>
      </c>
      <c r="E1517" t="s">
        <v>1403</v>
      </c>
      <c r="F1517">
        <v>15.62</v>
      </c>
      <c r="G1517" t="s">
        <v>2113</v>
      </c>
      <c r="H1517" t="s">
        <v>110</v>
      </c>
    </row>
    <row r="1518" spans="1:11" x14ac:dyDescent="0.55000000000000004">
      <c r="A1518">
        <v>1182</v>
      </c>
      <c r="B1518" t="s">
        <v>71</v>
      </c>
      <c r="C1518">
        <v>25</v>
      </c>
      <c r="D1518">
        <v>403</v>
      </c>
      <c r="E1518" t="s">
        <v>1404</v>
      </c>
      <c r="F1518">
        <v>18.13</v>
      </c>
      <c r="G1518" t="s">
        <v>2113</v>
      </c>
      <c r="H1518" t="s">
        <v>110</v>
      </c>
    </row>
    <row r="1519" spans="1:11" x14ac:dyDescent="0.55000000000000004">
      <c r="A1519">
        <v>1183</v>
      </c>
      <c r="B1519" t="s">
        <v>71</v>
      </c>
      <c r="C1519">
        <v>25</v>
      </c>
      <c r="D1519">
        <v>403</v>
      </c>
      <c r="E1519" t="s">
        <v>1405</v>
      </c>
      <c r="F1519">
        <v>18.5</v>
      </c>
      <c r="G1519" t="s">
        <v>2113</v>
      </c>
      <c r="H1519" t="s">
        <v>110</v>
      </c>
    </row>
    <row r="1520" spans="1:11" x14ac:dyDescent="0.55000000000000004">
      <c r="A1520">
        <v>1184</v>
      </c>
      <c r="B1520" t="s">
        <v>71</v>
      </c>
      <c r="C1520">
        <v>25</v>
      </c>
      <c r="D1520">
        <v>403</v>
      </c>
      <c r="E1520" t="s">
        <v>1406</v>
      </c>
      <c r="F1520">
        <v>16.21</v>
      </c>
      <c r="G1520" t="s">
        <v>2113</v>
      </c>
      <c r="H1520" t="s">
        <v>110</v>
      </c>
    </row>
    <row r="1521" spans="1:11" x14ac:dyDescent="0.55000000000000004">
      <c r="A1521">
        <v>1185</v>
      </c>
      <c r="B1521" t="s">
        <v>71</v>
      </c>
      <c r="C1521">
        <v>25</v>
      </c>
      <c r="D1521">
        <v>403</v>
      </c>
      <c r="E1521" t="s">
        <v>1407</v>
      </c>
      <c r="F1521">
        <v>16.739999999999998</v>
      </c>
      <c r="G1521" t="s">
        <v>2113</v>
      </c>
      <c r="H1521" t="s">
        <v>110</v>
      </c>
    </row>
    <row r="1522" spans="1:11" x14ac:dyDescent="0.55000000000000004">
      <c r="A1522">
        <v>1186</v>
      </c>
      <c r="B1522" t="s">
        <v>71</v>
      </c>
      <c r="C1522">
        <v>25</v>
      </c>
      <c r="D1522">
        <v>403</v>
      </c>
      <c r="E1522" t="s">
        <v>1408</v>
      </c>
      <c r="F1522">
        <v>15.93</v>
      </c>
      <c r="G1522" t="s">
        <v>2113</v>
      </c>
      <c r="H1522" t="s">
        <v>110</v>
      </c>
    </row>
    <row r="1523" spans="1:11" x14ac:dyDescent="0.55000000000000004">
      <c r="A1523">
        <v>1187</v>
      </c>
      <c r="B1523" t="s">
        <v>71</v>
      </c>
      <c r="C1523">
        <v>25</v>
      </c>
      <c r="D1523">
        <v>403</v>
      </c>
      <c r="E1523" t="s">
        <v>1409</v>
      </c>
      <c r="F1523">
        <v>14.57</v>
      </c>
      <c r="G1523" t="s">
        <v>2113</v>
      </c>
      <c r="H1523" t="s">
        <v>110</v>
      </c>
    </row>
    <row r="1524" spans="1:11" x14ac:dyDescent="0.55000000000000004">
      <c r="A1524">
        <v>1188</v>
      </c>
      <c r="B1524" t="s">
        <v>71</v>
      </c>
      <c r="C1524">
        <v>25</v>
      </c>
      <c r="D1524">
        <v>403</v>
      </c>
      <c r="E1524" t="s">
        <v>1410</v>
      </c>
      <c r="F1524">
        <v>15.4</v>
      </c>
      <c r="G1524" t="s">
        <v>1889</v>
      </c>
      <c r="H1524" t="s">
        <v>1891</v>
      </c>
      <c r="K1524" t="s">
        <v>2956</v>
      </c>
    </row>
    <row r="1525" spans="1:11" x14ac:dyDescent="0.55000000000000004">
      <c r="A1525">
        <v>1201</v>
      </c>
      <c r="B1525" t="s">
        <v>72</v>
      </c>
      <c r="C1525">
        <v>13</v>
      </c>
      <c r="D1525">
        <v>400</v>
      </c>
      <c r="E1525" t="s">
        <v>1423</v>
      </c>
      <c r="F1525">
        <v>16.55</v>
      </c>
      <c r="G1525" t="s">
        <v>2113</v>
      </c>
      <c r="H1525" t="s">
        <v>110</v>
      </c>
    </row>
    <row r="1526" spans="1:11" x14ac:dyDescent="0.55000000000000004">
      <c r="A1526">
        <v>1214</v>
      </c>
      <c r="B1526" t="s">
        <v>73</v>
      </c>
      <c r="C1526">
        <v>25</v>
      </c>
      <c r="D1526">
        <v>191</v>
      </c>
      <c r="E1526" t="s">
        <v>1436</v>
      </c>
      <c r="F1526">
        <v>14.24</v>
      </c>
      <c r="G1526" t="s">
        <v>1889</v>
      </c>
      <c r="H1526" t="s">
        <v>1891</v>
      </c>
      <c r="K1526" t="s">
        <v>2978</v>
      </c>
    </row>
    <row r="1527" spans="1:11" x14ac:dyDescent="0.55000000000000004">
      <c r="A1527">
        <v>1215</v>
      </c>
      <c r="B1527" t="s">
        <v>73</v>
      </c>
      <c r="C1527">
        <v>25</v>
      </c>
      <c r="D1527">
        <v>191</v>
      </c>
      <c r="E1527" t="s">
        <v>1437</v>
      </c>
      <c r="F1527">
        <v>13.25</v>
      </c>
      <c r="G1527" t="s">
        <v>1889</v>
      </c>
      <c r="H1527" t="s">
        <v>1891</v>
      </c>
      <c r="K1527" t="s">
        <v>2979</v>
      </c>
    </row>
    <row r="1528" spans="1:11" x14ac:dyDescent="0.55000000000000004">
      <c r="A1528">
        <v>1216</v>
      </c>
      <c r="B1528" t="s">
        <v>73</v>
      </c>
      <c r="C1528">
        <v>25</v>
      </c>
      <c r="D1528">
        <v>191</v>
      </c>
      <c r="E1528" t="s">
        <v>1438</v>
      </c>
      <c r="F1528">
        <v>11.72</v>
      </c>
      <c r="G1528" t="s">
        <v>1889</v>
      </c>
      <c r="H1528" t="s">
        <v>1891</v>
      </c>
      <c r="K1528" t="s">
        <v>2980</v>
      </c>
    </row>
    <row r="1529" spans="1:11" x14ac:dyDescent="0.55000000000000004">
      <c r="A1529">
        <v>1217</v>
      </c>
      <c r="B1529" t="s">
        <v>73</v>
      </c>
      <c r="C1529">
        <v>25</v>
      </c>
      <c r="D1529">
        <v>191</v>
      </c>
      <c r="E1529" t="s">
        <v>1439</v>
      </c>
      <c r="F1529">
        <v>15.6</v>
      </c>
      <c r="G1529" t="s">
        <v>1889</v>
      </c>
      <c r="H1529" t="s">
        <v>1891</v>
      </c>
      <c r="K1529" t="s">
        <v>2981</v>
      </c>
    </row>
    <row r="1530" spans="1:11" x14ac:dyDescent="0.55000000000000004">
      <c r="A1530">
        <v>1218</v>
      </c>
      <c r="B1530" t="s">
        <v>73</v>
      </c>
      <c r="C1530">
        <v>25</v>
      </c>
      <c r="D1530">
        <v>191</v>
      </c>
      <c r="E1530" t="s">
        <v>1440</v>
      </c>
      <c r="F1530">
        <v>15.04</v>
      </c>
      <c r="G1530" t="s">
        <v>1889</v>
      </c>
      <c r="H1530" t="s">
        <v>1891</v>
      </c>
      <c r="K1530" t="s">
        <v>2982</v>
      </c>
    </row>
    <row r="1531" spans="1:11" x14ac:dyDescent="0.55000000000000004">
      <c r="A1531">
        <v>1219</v>
      </c>
      <c r="B1531" t="s">
        <v>73</v>
      </c>
      <c r="C1531">
        <v>25</v>
      </c>
      <c r="D1531">
        <v>191</v>
      </c>
      <c r="E1531" t="s">
        <v>1441</v>
      </c>
      <c r="F1531">
        <v>14.73</v>
      </c>
      <c r="G1531" t="s">
        <v>1889</v>
      </c>
      <c r="H1531" t="s">
        <v>1891</v>
      </c>
      <c r="K1531" t="s">
        <v>2983</v>
      </c>
    </row>
    <row r="1532" spans="1:11" x14ac:dyDescent="0.55000000000000004">
      <c r="A1532">
        <v>1220</v>
      </c>
      <c r="B1532" t="s">
        <v>73</v>
      </c>
      <c r="C1532">
        <v>25</v>
      </c>
      <c r="D1532">
        <v>191</v>
      </c>
      <c r="E1532" t="s">
        <v>1442</v>
      </c>
      <c r="F1532">
        <v>13.72</v>
      </c>
      <c r="G1532" t="s">
        <v>1889</v>
      </c>
      <c r="H1532" t="s">
        <v>1891</v>
      </c>
      <c r="K1532" t="s">
        <v>2984</v>
      </c>
    </row>
    <row r="1533" spans="1:11" x14ac:dyDescent="0.55000000000000004">
      <c r="A1533">
        <v>1221</v>
      </c>
      <c r="B1533" t="s">
        <v>73</v>
      </c>
      <c r="C1533">
        <v>25</v>
      </c>
      <c r="D1533">
        <v>191</v>
      </c>
      <c r="E1533" t="s">
        <v>1443</v>
      </c>
      <c r="F1533">
        <v>13.18</v>
      </c>
      <c r="G1533" t="s">
        <v>1889</v>
      </c>
      <c r="H1533" t="s">
        <v>1891</v>
      </c>
      <c r="K1533" t="s">
        <v>2985</v>
      </c>
    </row>
    <row r="1534" spans="1:11" x14ac:dyDescent="0.55000000000000004">
      <c r="A1534">
        <v>1222</v>
      </c>
      <c r="B1534" t="s">
        <v>73</v>
      </c>
      <c r="C1534">
        <v>25</v>
      </c>
      <c r="D1534">
        <v>191</v>
      </c>
      <c r="E1534" t="s">
        <v>1444</v>
      </c>
      <c r="F1534">
        <v>15.37</v>
      </c>
      <c r="G1534" t="s">
        <v>2113</v>
      </c>
      <c r="H1534" t="s">
        <v>110</v>
      </c>
    </row>
    <row r="1535" spans="1:11" x14ac:dyDescent="0.55000000000000004">
      <c r="A1535">
        <v>1223</v>
      </c>
      <c r="B1535" t="s">
        <v>73</v>
      </c>
      <c r="C1535">
        <v>25</v>
      </c>
      <c r="D1535">
        <v>191</v>
      </c>
      <c r="E1535" t="s">
        <v>1445</v>
      </c>
      <c r="F1535">
        <v>14.59</v>
      </c>
      <c r="G1535" t="s">
        <v>2113</v>
      </c>
      <c r="H1535" t="s">
        <v>110</v>
      </c>
    </row>
    <row r="1536" spans="1:11" x14ac:dyDescent="0.55000000000000004">
      <c r="A1536">
        <v>1224</v>
      </c>
      <c r="B1536" t="s">
        <v>73</v>
      </c>
      <c r="C1536">
        <v>25</v>
      </c>
      <c r="D1536">
        <v>191</v>
      </c>
      <c r="E1536" t="s">
        <v>1446</v>
      </c>
      <c r="F1536">
        <v>16.02</v>
      </c>
      <c r="G1536" t="s">
        <v>2113</v>
      </c>
      <c r="H1536" t="s">
        <v>110</v>
      </c>
    </row>
    <row r="1537" spans="1:11" x14ac:dyDescent="0.55000000000000004">
      <c r="A1537">
        <v>1225</v>
      </c>
      <c r="B1537" t="s">
        <v>73</v>
      </c>
      <c r="C1537">
        <v>25</v>
      </c>
      <c r="D1537">
        <v>191</v>
      </c>
      <c r="E1537" t="s">
        <v>1447</v>
      </c>
      <c r="F1537">
        <v>16.760000000000002</v>
      </c>
      <c r="G1537" t="s">
        <v>2113</v>
      </c>
      <c r="H1537" t="s">
        <v>110</v>
      </c>
    </row>
    <row r="1538" spans="1:11" x14ac:dyDescent="0.55000000000000004">
      <c r="A1538">
        <v>1226</v>
      </c>
      <c r="B1538" t="s">
        <v>73</v>
      </c>
      <c r="C1538">
        <v>25</v>
      </c>
      <c r="D1538">
        <v>191</v>
      </c>
      <c r="E1538" t="s">
        <v>1448</v>
      </c>
      <c r="G1538" t="s">
        <v>1941</v>
      </c>
      <c r="H1538" t="s">
        <v>1941</v>
      </c>
    </row>
    <row r="1539" spans="1:11" x14ac:dyDescent="0.55000000000000004">
      <c r="A1539">
        <v>1239</v>
      </c>
      <c r="B1539" t="s">
        <v>74</v>
      </c>
      <c r="C1539">
        <v>25</v>
      </c>
      <c r="D1539">
        <v>207</v>
      </c>
      <c r="E1539" t="s">
        <v>1461</v>
      </c>
      <c r="F1539">
        <v>15.21</v>
      </c>
      <c r="G1539" t="s">
        <v>1889</v>
      </c>
      <c r="H1539" t="s">
        <v>1891</v>
      </c>
      <c r="K1539" t="s">
        <v>3127</v>
      </c>
    </row>
    <row r="1540" spans="1:11" x14ac:dyDescent="0.55000000000000004">
      <c r="A1540">
        <v>1240</v>
      </c>
      <c r="B1540" t="s">
        <v>74</v>
      </c>
      <c r="C1540">
        <v>25</v>
      </c>
      <c r="D1540">
        <v>207</v>
      </c>
      <c r="E1540" t="s">
        <v>1462</v>
      </c>
      <c r="F1540">
        <v>14.72</v>
      </c>
      <c r="G1540" t="s">
        <v>1889</v>
      </c>
      <c r="H1540" t="s">
        <v>1891</v>
      </c>
      <c r="K1540" t="s">
        <v>3128</v>
      </c>
    </row>
    <row r="1541" spans="1:11" x14ac:dyDescent="0.55000000000000004">
      <c r="A1541">
        <v>1241</v>
      </c>
      <c r="B1541" t="s">
        <v>74</v>
      </c>
      <c r="C1541">
        <v>25</v>
      </c>
      <c r="D1541">
        <v>207</v>
      </c>
      <c r="E1541" t="s">
        <v>1463</v>
      </c>
      <c r="F1541">
        <v>14.95</v>
      </c>
      <c r="G1541" t="s">
        <v>1889</v>
      </c>
      <c r="H1541" t="s">
        <v>1891</v>
      </c>
      <c r="K1541" t="s">
        <v>3129</v>
      </c>
    </row>
    <row r="1542" spans="1:11" x14ac:dyDescent="0.55000000000000004">
      <c r="A1542">
        <v>1242</v>
      </c>
      <c r="B1542" t="s">
        <v>74</v>
      </c>
      <c r="C1542">
        <v>25</v>
      </c>
      <c r="D1542">
        <v>207</v>
      </c>
      <c r="E1542" t="s">
        <v>1464</v>
      </c>
      <c r="F1542">
        <v>14.49</v>
      </c>
      <c r="G1542" t="s">
        <v>1889</v>
      </c>
      <c r="H1542" t="s">
        <v>1891</v>
      </c>
      <c r="K1542" t="s">
        <v>3130</v>
      </c>
    </row>
    <row r="1543" spans="1:11" x14ac:dyDescent="0.55000000000000004">
      <c r="A1543">
        <v>1243</v>
      </c>
      <c r="B1543" t="s">
        <v>74</v>
      </c>
      <c r="C1543">
        <v>25</v>
      </c>
      <c r="D1543">
        <v>207</v>
      </c>
      <c r="E1543" t="s">
        <v>1465</v>
      </c>
      <c r="F1543">
        <v>14.72</v>
      </c>
      <c r="G1543" t="s">
        <v>1889</v>
      </c>
      <c r="H1543" t="s">
        <v>1891</v>
      </c>
      <c r="K1543" t="s">
        <v>3131</v>
      </c>
    </row>
    <row r="1544" spans="1:11" x14ac:dyDescent="0.55000000000000004">
      <c r="A1544">
        <v>1244</v>
      </c>
      <c r="B1544" t="s">
        <v>74</v>
      </c>
      <c r="C1544">
        <v>25</v>
      </c>
      <c r="D1544">
        <v>207</v>
      </c>
      <c r="E1544" t="s">
        <v>1466</v>
      </c>
      <c r="F1544">
        <v>15</v>
      </c>
      <c r="G1544" t="s">
        <v>1889</v>
      </c>
      <c r="H1544" t="s">
        <v>1891</v>
      </c>
      <c r="K1544" t="s">
        <v>3132</v>
      </c>
    </row>
    <row r="1545" spans="1:11" x14ac:dyDescent="0.55000000000000004">
      <c r="A1545">
        <v>1245</v>
      </c>
      <c r="B1545" t="s">
        <v>74</v>
      </c>
      <c r="C1545">
        <v>25</v>
      </c>
      <c r="D1545">
        <v>207</v>
      </c>
      <c r="E1545" t="s">
        <v>1467</v>
      </c>
      <c r="F1545">
        <v>15.8</v>
      </c>
      <c r="G1545" t="s">
        <v>1889</v>
      </c>
      <c r="H1545" t="s">
        <v>1891</v>
      </c>
      <c r="K1545" t="s">
        <v>3133</v>
      </c>
    </row>
    <row r="1546" spans="1:11" x14ac:dyDescent="0.55000000000000004">
      <c r="A1546">
        <v>1246</v>
      </c>
      <c r="B1546" t="s">
        <v>74</v>
      </c>
      <c r="C1546">
        <v>25</v>
      </c>
      <c r="D1546">
        <v>207</v>
      </c>
      <c r="E1546" t="s">
        <v>1468</v>
      </c>
      <c r="F1546">
        <v>13.67</v>
      </c>
      <c r="G1546" t="s">
        <v>1889</v>
      </c>
      <c r="H1546" t="s">
        <v>1891</v>
      </c>
      <c r="K1546" t="s">
        <v>3134</v>
      </c>
    </row>
    <row r="1547" spans="1:11" x14ac:dyDescent="0.55000000000000004">
      <c r="A1547">
        <v>1247</v>
      </c>
      <c r="B1547" t="s">
        <v>74</v>
      </c>
      <c r="C1547">
        <v>25</v>
      </c>
      <c r="D1547">
        <v>207</v>
      </c>
      <c r="E1547" t="s">
        <v>1469</v>
      </c>
      <c r="F1547">
        <v>14.19</v>
      </c>
      <c r="G1547" t="s">
        <v>1889</v>
      </c>
      <c r="H1547" t="s">
        <v>1891</v>
      </c>
      <c r="K1547" t="s">
        <v>3135</v>
      </c>
    </row>
    <row r="1548" spans="1:11" x14ac:dyDescent="0.55000000000000004">
      <c r="A1548">
        <v>1248</v>
      </c>
      <c r="B1548" t="s">
        <v>74</v>
      </c>
      <c r="C1548">
        <v>25</v>
      </c>
      <c r="D1548">
        <v>207</v>
      </c>
      <c r="E1548" t="s">
        <v>1470</v>
      </c>
      <c r="F1548">
        <v>15.66</v>
      </c>
      <c r="G1548" t="s">
        <v>2113</v>
      </c>
      <c r="H1548" t="s">
        <v>110</v>
      </c>
    </row>
    <row r="1549" spans="1:11" x14ac:dyDescent="0.55000000000000004">
      <c r="A1549">
        <v>1249</v>
      </c>
      <c r="B1549" t="s">
        <v>74</v>
      </c>
      <c r="C1549">
        <v>25</v>
      </c>
      <c r="D1549">
        <v>207</v>
      </c>
      <c r="E1549" t="s">
        <v>1471</v>
      </c>
      <c r="F1549">
        <v>15.66</v>
      </c>
      <c r="G1549" t="s">
        <v>2113</v>
      </c>
      <c r="H1549" t="s">
        <v>110</v>
      </c>
    </row>
    <row r="1550" spans="1:11" x14ac:dyDescent="0.55000000000000004">
      <c r="A1550">
        <v>1250</v>
      </c>
      <c r="B1550" t="s">
        <v>74</v>
      </c>
      <c r="C1550">
        <v>25</v>
      </c>
      <c r="D1550">
        <v>207</v>
      </c>
      <c r="E1550" t="s">
        <v>1472</v>
      </c>
      <c r="F1550">
        <v>16</v>
      </c>
      <c r="G1550" t="s">
        <v>2113</v>
      </c>
      <c r="H1550" t="s">
        <v>110</v>
      </c>
    </row>
    <row r="1551" spans="1:11" x14ac:dyDescent="0.55000000000000004">
      <c r="A1551">
        <v>1251</v>
      </c>
      <c r="B1551" t="s">
        <v>74</v>
      </c>
      <c r="C1551">
        <v>25</v>
      </c>
      <c r="D1551">
        <v>207</v>
      </c>
      <c r="E1551" t="s">
        <v>1473</v>
      </c>
      <c r="F1551">
        <v>17</v>
      </c>
      <c r="G1551" t="s">
        <v>2113</v>
      </c>
      <c r="H1551" t="s">
        <v>110</v>
      </c>
    </row>
    <row r="1552" spans="1:11" x14ac:dyDescent="0.55000000000000004">
      <c r="A1552">
        <v>1271</v>
      </c>
      <c r="B1552" t="s">
        <v>76</v>
      </c>
      <c r="C1552">
        <v>25</v>
      </c>
      <c r="D1552">
        <v>2133</v>
      </c>
      <c r="E1552" t="s">
        <v>1493</v>
      </c>
      <c r="F1552">
        <v>15.33</v>
      </c>
      <c r="G1552" t="s">
        <v>1889</v>
      </c>
      <c r="H1552" t="s">
        <v>1891</v>
      </c>
      <c r="K1552" t="s">
        <v>3001</v>
      </c>
    </row>
    <row r="1553" spans="1:11" x14ac:dyDescent="0.55000000000000004">
      <c r="A1553">
        <v>1272</v>
      </c>
      <c r="B1553" t="s">
        <v>76</v>
      </c>
      <c r="C1553">
        <v>25</v>
      </c>
      <c r="D1553">
        <v>2133</v>
      </c>
      <c r="E1553" t="s">
        <v>1494</v>
      </c>
      <c r="F1553">
        <v>15.56</v>
      </c>
      <c r="G1553" t="s">
        <v>1889</v>
      </c>
      <c r="H1553" t="s">
        <v>1891</v>
      </c>
      <c r="K1553" t="s">
        <v>3002</v>
      </c>
    </row>
    <row r="1554" spans="1:11" x14ac:dyDescent="0.55000000000000004">
      <c r="A1554">
        <v>1273</v>
      </c>
      <c r="B1554" t="s">
        <v>76</v>
      </c>
      <c r="C1554">
        <v>25</v>
      </c>
      <c r="D1554">
        <v>2133</v>
      </c>
      <c r="E1554" t="s">
        <v>1495</v>
      </c>
      <c r="F1554">
        <v>14.46</v>
      </c>
      <c r="G1554" t="s">
        <v>1889</v>
      </c>
      <c r="H1554" t="s">
        <v>1891</v>
      </c>
      <c r="K1554" t="s">
        <v>3003</v>
      </c>
    </row>
    <row r="1555" spans="1:11" x14ac:dyDescent="0.55000000000000004">
      <c r="A1555">
        <v>1274</v>
      </c>
      <c r="B1555" t="s">
        <v>76</v>
      </c>
      <c r="C1555">
        <v>25</v>
      </c>
      <c r="D1555">
        <v>2133</v>
      </c>
      <c r="E1555" t="s">
        <v>1496</v>
      </c>
      <c r="F1555">
        <v>15.18</v>
      </c>
      <c r="G1555" t="s">
        <v>1889</v>
      </c>
      <c r="H1555" t="s">
        <v>1891</v>
      </c>
      <c r="K1555" t="s">
        <v>3004</v>
      </c>
    </row>
    <row r="1556" spans="1:11" x14ac:dyDescent="0.55000000000000004">
      <c r="A1556">
        <v>1275</v>
      </c>
      <c r="B1556" t="s">
        <v>76</v>
      </c>
      <c r="C1556">
        <v>25</v>
      </c>
      <c r="D1556">
        <v>2133</v>
      </c>
      <c r="E1556" t="s">
        <v>1497</v>
      </c>
      <c r="F1556">
        <v>14.6</v>
      </c>
      <c r="G1556" t="s">
        <v>1889</v>
      </c>
      <c r="H1556" t="s">
        <v>1891</v>
      </c>
      <c r="K1556" t="s">
        <v>3005</v>
      </c>
    </row>
    <row r="1557" spans="1:11" x14ac:dyDescent="0.55000000000000004">
      <c r="A1557">
        <v>1276</v>
      </c>
      <c r="B1557" t="s">
        <v>76</v>
      </c>
      <c r="C1557">
        <v>25</v>
      </c>
      <c r="D1557">
        <v>2133</v>
      </c>
      <c r="E1557" t="s">
        <v>1498</v>
      </c>
      <c r="F1557">
        <v>14.74</v>
      </c>
      <c r="G1557" t="s">
        <v>1889</v>
      </c>
      <c r="H1557" t="s">
        <v>1891</v>
      </c>
      <c r="K1557" t="s">
        <v>3006</v>
      </c>
    </row>
    <row r="1558" spans="1:11" x14ac:dyDescent="0.55000000000000004">
      <c r="A1558">
        <v>1277</v>
      </c>
      <c r="B1558" t="s">
        <v>76</v>
      </c>
      <c r="C1558">
        <v>25</v>
      </c>
      <c r="D1558">
        <v>2133</v>
      </c>
      <c r="E1558" t="s">
        <v>1499</v>
      </c>
      <c r="F1558">
        <v>13.67</v>
      </c>
      <c r="G1558" t="s">
        <v>1889</v>
      </c>
      <c r="H1558" t="s">
        <v>1891</v>
      </c>
      <c r="K1558" t="s">
        <v>3007</v>
      </c>
    </row>
    <row r="1559" spans="1:11" x14ac:dyDescent="0.55000000000000004">
      <c r="A1559">
        <v>1278</v>
      </c>
      <c r="B1559" t="s">
        <v>76</v>
      </c>
      <c r="C1559">
        <v>25</v>
      </c>
      <c r="D1559">
        <v>2133</v>
      </c>
      <c r="E1559" t="s">
        <v>1500</v>
      </c>
      <c r="F1559">
        <v>14.22</v>
      </c>
      <c r="G1559" t="s">
        <v>1889</v>
      </c>
      <c r="H1559" t="s">
        <v>1891</v>
      </c>
      <c r="K1559" t="s">
        <v>3008</v>
      </c>
    </row>
    <row r="1560" spans="1:11" x14ac:dyDescent="0.55000000000000004">
      <c r="A1560">
        <v>1279</v>
      </c>
      <c r="B1560" t="s">
        <v>76</v>
      </c>
      <c r="C1560">
        <v>25</v>
      </c>
      <c r="D1560">
        <v>2133</v>
      </c>
      <c r="E1560" t="s">
        <v>1501</v>
      </c>
      <c r="F1560">
        <v>14.6</v>
      </c>
      <c r="G1560" t="s">
        <v>2113</v>
      </c>
      <c r="H1560" t="s">
        <v>110</v>
      </c>
    </row>
    <row r="1561" spans="1:11" x14ac:dyDescent="0.55000000000000004">
      <c r="A1561">
        <v>1280</v>
      </c>
      <c r="B1561" t="s">
        <v>76</v>
      </c>
      <c r="C1561">
        <v>25</v>
      </c>
      <c r="D1561">
        <v>2133</v>
      </c>
      <c r="E1561" t="s">
        <v>1502</v>
      </c>
      <c r="F1561">
        <v>15.31</v>
      </c>
      <c r="G1561" t="s">
        <v>2113</v>
      </c>
      <c r="H1561" t="s">
        <v>110</v>
      </c>
    </row>
    <row r="1562" spans="1:11" x14ac:dyDescent="0.55000000000000004">
      <c r="A1562">
        <v>1281</v>
      </c>
      <c r="B1562" t="s">
        <v>76</v>
      </c>
      <c r="C1562">
        <v>25</v>
      </c>
      <c r="D1562">
        <v>2133</v>
      </c>
      <c r="E1562" t="s">
        <v>1503</v>
      </c>
      <c r="F1562">
        <v>15.84</v>
      </c>
      <c r="G1562" t="s">
        <v>2113</v>
      </c>
      <c r="H1562" t="s">
        <v>110</v>
      </c>
    </row>
    <row r="1563" spans="1:11" x14ac:dyDescent="0.55000000000000004">
      <c r="A1563">
        <v>1282</v>
      </c>
      <c r="B1563" t="s">
        <v>76</v>
      </c>
      <c r="C1563">
        <v>25</v>
      </c>
      <c r="D1563">
        <v>2133</v>
      </c>
      <c r="E1563" t="s">
        <v>1504</v>
      </c>
      <c r="F1563">
        <v>15.84</v>
      </c>
      <c r="G1563" t="s">
        <v>2113</v>
      </c>
      <c r="H1563" t="s">
        <v>110</v>
      </c>
    </row>
    <row r="1564" spans="1:11" x14ac:dyDescent="0.55000000000000004">
      <c r="A1564">
        <v>1283</v>
      </c>
      <c r="B1564" t="s">
        <v>76</v>
      </c>
      <c r="C1564">
        <v>25</v>
      </c>
      <c r="D1564">
        <v>2133</v>
      </c>
      <c r="E1564" t="s">
        <v>1505</v>
      </c>
      <c r="F1564">
        <v>14.3</v>
      </c>
      <c r="G1564" t="s">
        <v>2113</v>
      </c>
      <c r="H1564" t="s">
        <v>110</v>
      </c>
    </row>
    <row r="1565" spans="1:11" x14ac:dyDescent="0.55000000000000004">
      <c r="A1565">
        <v>1296</v>
      </c>
      <c r="B1565" t="s">
        <v>77</v>
      </c>
      <c r="C1565">
        <v>24</v>
      </c>
      <c r="D1565">
        <v>2124</v>
      </c>
      <c r="E1565" t="s">
        <v>1518</v>
      </c>
      <c r="F1565">
        <v>14.41</v>
      </c>
      <c r="G1565" t="s">
        <v>1889</v>
      </c>
      <c r="H1565" t="s">
        <v>1891</v>
      </c>
      <c r="K1565" t="s">
        <v>3021</v>
      </c>
    </row>
    <row r="1566" spans="1:11" x14ac:dyDescent="0.55000000000000004">
      <c r="A1566">
        <v>1297</v>
      </c>
      <c r="B1566" t="s">
        <v>77</v>
      </c>
      <c r="C1566">
        <v>24</v>
      </c>
      <c r="D1566">
        <v>2124</v>
      </c>
      <c r="E1566" t="s">
        <v>1519</v>
      </c>
      <c r="F1566">
        <v>14.67</v>
      </c>
      <c r="G1566" t="s">
        <v>1889</v>
      </c>
      <c r="H1566" t="s">
        <v>1891</v>
      </c>
      <c r="K1566" t="s">
        <v>3022</v>
      </c>
    </row>
    <row r="1567" spans="1:11" x14ac:dyDescent="0.55000000000000004">
      <c r="A1567">
        <v>1298</v>
      </c>
      <c r="B1567" t="s">
        <v>77</v>
      </c>
      <c r="C1567">
        <v>24</v>
      </c>
      <c r="D1567">
        <v>2124</v>
      </c>
      <c r="E1567" t="s">
        <v>1520</v>
      </c>
      <c r="F1567">
        <v>14.23</v>
      </c>
      <c r="G1567" t="s">
        <v>1889</v>
      </c>
      <c r="H1567" t="s">
        <v>1891</v>
      </c>
      <c r="K1567" t="s">
        <v>3023</v>
      </c>
    </row>
    <row r="1568" spans="1:11" x14ac:dyDescent="0.55000000000000004">
      <c r="A1568">
        <v>1299</v>
      </c>
      <c r="B1568" t="s">
        <v>77</v>
      </c>
      <c r="C1568">
        <v>24</v>
      </c>
      <c r="D1568">
        <v>2124</v>
      </c>
      <c r="E1568" t="s">
        <v>1521</v>
      </c>
      <c r="F1568">
        <v>14.64</v>
      </c>
      <c r="G1568" t="s">
        <v>1889</v>
      </c>
      <c r="H1568" t="s">
        <v>1891</v>
      </c>
      <c r="K1568" t="s">
        <v>3024</v>
      </c>
    </row>
    <row r="1569" spans="1:11" x14ac:dyDescent="0.55000000000000004">
      <c r="A1569">
        <v>1300</v>
      </c>
      <c r="B1569" t="s">
        <v>77</v>
      </c>
      <c r="C1569">
        <v>24</v>
      </c>
      <c r="D1569">
        <v>2124</v>
      </c>
      <c r="E1569" t="s">
        <v>1522</v>
      </c>
      <c r="F1569">
        <v>12.63</v>
      </c>
      <c r="G1569" t="s">
        <v>1889</v>
      </c>
      <c r="H1569" t="s">
        <v>1891</v>
      </c>
      <c r="K1569" t="s">
        <v>3025</v>
      </c>
    </row>
    <row r="1570" spans="1:11" x14ac:dyDescent="0.55000000000000004">
      <c r="A1570">
        <v>1301</v>
      </c>
      <c r="B1570" t="s">
        <v>77</v>
      </c>
      <c r="C1570">
        <v>24</v>
      </c>
      <c r="D1570">
        <v>2124</v>
      </c>
      <c r="E1570" t="s">
        <v>1523</v>
      </c>
      <c r="F1570">
        <v>13.81</v>
      </c>
      <c r="G1570" t="s">
        <v>1889</v>
      </c>
      <c r="H1570" t="s">
        <v>1891</v>
      </c>
      <c r="K1570" t="s">
        <v>3026</v>
      </c>
    </row>
    <row r="1571" spans="1:11" x14ac:dyDescent="0.55000000000000004">
      <c r="A1571">
        <v>1302</v>
      </c>
      <c r="B1571" t="s">
        <v>77</v>
      </c>
      <c r="C1571">
        <v>24</v>
      </c>
      <c r="D1571">
        <v>2124</v>
      </c>
      <c r="E1571" t="s">
        <v>1524</v>
      </c>
      <c r="F1571">
        <v>15.84</v>
      </c>
      <c r="G1571" t="s">
        <v>1889</v>
      </c>
      <c r="H1571" t="s">
        <v>1891</v>
      </c>
      <c r="K1571" t="s">
        <v>3027</v>
      </c>
    </row>
    <row r="1572" spans="1:11" x14ac:dyDescent="0.55000000000000004">
      <c r="A1572">
        <v>1303</v>
      </c>
      <c r="B1572" t="s">
        <v>77</v>
      </c>
      <c r="C1572">
        <v>24</v>
      </c>
      <c r="D1572">
        <v>2124</v>
      </c>
      <c r="E1572" t="s">
        <v>1525</v>
      </c>
      <c r="F1572">
        <v>15.27</v>
      </c>
      <c r="G1572" t="s">
        <v>1889</v>
      </c>
      <c r="H1572" t="s">
        <v>1891</v>
      </c>
      <c r="K1572" t="s">
        <v>3028</v>
      </c>
    </row>
    <row r="1573" spans="1:11" x14ac:dyDescent="0.55000000000000004">
      <c r="A1573">
        <v>1304</v>
      </c>
      <c r="B1573" t="s">
        <v>77</v>
      </c>
      <c r="C1573">
        <v>24</v>
      </c>
      <c r="D1573">
        <v>2124</v>
      </c>
      <c r="E1573" t="s">
        <v>1526</v>
      </c>
      <c r="F1573">
        <v>15.01</v>
      </c>
      <c r="G1573" t="s">
        <v>1889</v>
      </c>
      <c r="H1573" t="s">
        <v>1891</v>
      </c>
      <c r="K1573" t="s">
        <v>3029</v>
      </c>
    </row>
    <row r="1574" spans="1:11" x14ac:dyDescent="0.55000000000000004">
      <c r="A1574">
        <v>1305</v>
      </c>
      <c r="B1574" t="s">
        <v>77</v>
      </c>
      <c r="C1574">
        <v>24</v>
      </c>
      <c r="D1574">
        <v>2124</v>
      </c>
      <c r="E1574" t="s">
        <v>1527</v>
      </c>
      <c r="F1574">
        <v>15</v>
      </c>
      <c r="G1574" t="s">
        <v>2113</v>
      </c>
      <c r="H1574" t="s">
        <v>110</v>
      </c>
    </row>
    <row r="1575" spans="1:11" x14ac:dyDescent="0.55000000000000004">
      <c r="A1575">
        <v>1306</v>
      </c>
      <c r="B1575" t="s">
        <v>77</v>
      </c>
      <c r="C1575">
        <v>24</v>
      </c>
      <c r="D1575">
        <v>2124</v>
      </c>
      <c r="E1575" t="s">
        <v>1528</v>
      </c>
      <c r="F1575">
        <v>14.43</v>
      </c>
      <c r="G1575" t="s">
        <v>2113</v>
      </c>
      <c r="H1575" t="s">
        <v>110</v>
      </c>
    </row>
    <row r="1576" spans="1:11" x14ac:dyDescent="0.55000000000000004">
      <c r="A1576">
        <v>1307</v>
      </c>
      <c r="B1576" t="s">
        <v>77</v>
      </c>
      <c r="C1576">
        <v>24</v>
      </c>
      <c r="D1576">
        <v>2124</v>
      </c>
      <c r="E1576" t="s">
        <v>1529</v>
      </c>
      <c r="F1576">
        <v>16.98</v>
      </c>
      <c r="G1576" t="s">
        <v>2113</v>
      </c>
      <c r="H1576" t="s">
        <v>110</v>
      </c>
    </row>
    <row r="1577" spans="1:11" x14ac:dyDescent="0.55000000000000004">
      <c r="A1577">
        <v>1320</v>
      </c>
      <c r="B1577" t="s">
        <v>78</v>
      </c>
      <c r="C1577">
        <v>17</v>
      </c>
      <c r="D1577">
        <v>2147</v>
      </c>
      <c r="E1577" t="s">
        <v>1542</v>
      </c>
      <c r="F1577">
        <v>15.16</v>
      </c>
      <c r="G1577" t="s">
        <v>1889</v>
      </c>
      <c r="H1577" t="s">
        <v>1891</v>
      </c>
      <c r="K1577" t="s">
        <v>3042</v>
      </c>
    </row>
    <row r="1578" spans="1:11" x14ac:dyDescent="0.55000000000000004">
      <c r="A1578">
        <v>1321</v>
      </c>
      <c r="B1578" t="s">
        <v>78</v>
      </c>
      <c r="C1578">
        <v>17</v>
      </c>
      <c r="D1578">
        <v>2147</v>
      </c>
      <c r="E1578" t="s">
        <v>1543</v>
      </c>
      <c r="F1578">
        <v>15.62</v>
      </c>
      <c r="G1578" t="s">
        <v>2113</v>
      </c>
      <c r="H1578" t="s">
        <v>110</v>
      </c>
    </row>
    <row r="1579" spans="1:11" x14ac:dyDescent="0.55000000000000004">
      <c r="A1579">
        <v>1322</v>
      </c>
      <c r="B1579" t="s">
        <v>78</v>
      </c>
      <c r="C1579">
        <v>17</v>
      </c>
      <c r="D1579">
        <v>2147</v>
      </c>
      <c r="E1579" t="s">
        <v>1544</v>
      </c>
      <c r="F1579">
        <v>16.760000000000002</v>
      </c>
      <c r="G1579" t="s">
        <v>2113</v>
      </c>
      <c r="H1579" t="s">
        <v>110</v>
      </c>
    </row>
    <row r="1580" spans="1:11" x14ac:dyDescent="0.55000000000000004">
      <c r="A1580">
        <v>1323</v>
      </c>
      <c r="B1580" t="s">
        <v>78</v>
      </c>
      <c r="C1580">
        <v>17</v>
      </c>
      <c r="D1580">
        <v>2147</v>
      </c>
      <c r="E1580" t="s">
        <v>1545</v>
      </c>
      <c r="F1580">
        <v>17.22</v>
      </c>
      <c r="G1580" t="s">
        <v>2113</v>
      </c>
      <c r="H1580" t="s">
        <v>110</v>
      </c>
    </row>
    <row r="1581" spans="1:11" x14ac:dyDescent="0.55000000000000004">
      <c r="A1581">
        <v>1324</v>
      </c>
      <c r="B1581" t="s">
        <v>78</v>
      </c>
      <c r="C1581">
        <v>17</v>
      </c>
      <c r="D1581">
        <v>2147</v>
      </c>
      <c r="E1581" t="s">
        <v>1546</v>
      </c>
      <c r="F1581">
        <v>17</v>
      </c>
      <c r="G1581" t="s">
        <v>2113</v>
      </c>
      <c r="H1581" t="s">
        <v>110</v>
      </c>
    </row>
    <row r="1582" spans="1:11" x14ac:dyDescent="0.55000000000000004">
      <c r="A1582">
        <v>1337</v>
      </c>
      <c r="B1582" t="s">
        <v>79</v>
      </c>
      <c r="C1582">
        <v>25</v>
      </c>
      <c r="D1582">
        <v>2120</v>
      </c>
      <c r="E1582" t="s">
        <v>1559</v>
      </c>
      <c r="F1582">
        <v>15.94</v>
      </c>
      <c r="G1582" t="s">
        <v>1889</v>
      </c>
      <c r="H1582" t="s">
        <v>1891</v>
      </c>
      <c r="K1582" t="s">
        <v>3055</v>
      </c>
    </row>
    <row r="1583" spans="1:11" x14ac:dyDescent="0.55000000000000004">
      <c r="A1583">
        <v>1338</v>
      </c>
      <c r="B1583" t="s">
        <v>79</v>
      </c>
      <c r="C1583">
        <v>25</v>
      </c>
      <c r="D1583">
        <v>2120</v>
      </c>
      <c r="E1583" t="s">
        <v>1560</v>
      </c>
      <c r="F1583">
        <v>14.41</v>
      </c>
      <c r="G1583" t="s">
        <v>1889</v>
      </c>
      <c r="H1583" t="s">
        <v>1891</v>
      </c>
      <c r="K1583" t="s">
        <v>3056</v>
      </c>
    </row>
    <row r="1584" spans="1:11" x14ac:dyDescent="0.55000000000000004">
      <c r="A1584">
        <v>1339</v>
      </c>
      <c r="B1584" t="s">
        <v>79</v>
      </c>
      <c r="C1584">
        <v>25</v>
      </c>
      <c r="D1584">
        <v>2120</v>
      </c>
      <c r="E1584" t="s">
        <v>1561</v>
      </c>
      <c r="F1584">
        <v>15.09</v>
      </c>
      <c r="G1584" t="s">
        <v>1889</v>
      </c>
      <c r="H1584" t="s">
        <v>1891</v>
      </c>
      <c r="K1584" t="s">
        <v>3057</v>
      </c>
    </row>
    <row r="1585" spans="1:11" x14ac:dyDescent="0.55000000000000004">
      <c r="A1585">
        <v>1340</v>
      </c>
      <c r="B1585" t="s">
        <v>79</v>
      </c>
      <c r="C1585">
        <v>25</v>
      </c>
      <c r="D1585">
        <v>2120</v>
      </c>
      <c r="E1585" t="s">
        <v>1562</v>
      </c>
      <c r="F1585">
        <v>15</v>
      </c>
      <c r="G1585" t="s">
        <v>1889</v>
      </c>
      <c r="H1585" t="s">
        <v>1891</v>
      </c>
      <c r="K1585" t="s">
        <v>3058</v>
      </c>
    </row>
    <row r="1586" spans="1:11" x14ac:dyDescent="0.55000000000000004">
      <c r="A1586">
        <v>1341</v>
      </c>
      <c r="B1586" t="s">
        <v>79</v>
      </c>
      <c r="C1586">
        <v>25</v>
      </c>
      <c r="D1586">
        <v>2120</v>
      </c>
      <c r="E1586" t="s">
        <v>1563</v>
      </c>
      <c r="F1586">
        <v>15.76</v>
      </c>
      <c r="G1586" t="s">
        <v>1889</v>
      </c>
      <c r="H1586" t="s">
        <v>1891</v>
      </c>
      <c r="K1586" t="s">
        <v>3059</v>
      </c>
    </row>
    <row r="1587" spans="1:11" x14ac:dyDescent="0.55000000000000004">
      <c r="A1587">
        <v>1342</v>
      </c>
      <c r="B1587" t="s">
        <v>79</v>
      </c>
      <c r="C1587">
        <v>25</v>
      </c>
      <c r="D1587">
        <v>2120</v>
      </c>
      <c r="E1587" t="s">
        <v>1564</v>
      </c>
      <c r="F1587">
        <v>19.28</v>
      </c>
      <c r="G1587" t="s">
        <v>2113</v>
      </c>
      <c r="H1587" t="s">
        <v>110</v>
      </c>
    </row>
    <row r="1588" spans="1:11" x14ac:dyDescent="0.55000000000000004">
      <c r="A1588">
        <v>1343</v>
      </c>
      <c r="B1588" t="s">
        <v>79</v>
      </c>
      <c r="C1588">
        <v>25</v>
      </c>
      <c r="D1588">
        <v>2120</v>
      </c>
      <c r="E1588" t="s">
        <v>1565</v>
      </c>
      <c r="F1588">
        <v>17.43</v>
      </c>
      <c r="G1588" t="s">
        <v>2113</v>
      </c>
      <c r="H1588" t="s">
        <v>110</v>
      </c>
    </row>
    <row r="1589" spans="1:11" x14ac:dyDescent="0.55000000000000004">
      <c r="A1589">
        <v>1344</v>
      </c>
      <c r="B1589" t="s">
        <v>79</v>
      </c>
      <c r="C1589">
        <v>25</v>
      </c>
      <c r="D1589">
        <v>2120</v>
      </c>
      <c r="E1589" t="s">
        <v>1566</v>
      </c>
      <c r="F1589">
        <v>17.25</v>
      </c>
      <c r="G1589" t="s">
        <v>2113</v>
      </c>
      <c r="H1589" t="s">
        <v>110</v>
      </c>
    </row>
    <row r="1590" spans="1:11" x14ac:dyDescent="0.55000000000000004">
      <c r="A1590">
        <v>1345</v>
      </c>
      <c r="B1590" t="s">
        <v>79</v>
      </c>
      <c r="C1590">
        <v>25</v>
      </c>
      <c r="D1590">
        <v>2120</v>
      </c>
      <c r="E1590" t="s">
        <v>1567</v>
      </c>
      <c r="F1590">
        <v>16.510000000000002</v>
      </c>
      <c r="G1590" t="s">
        <v>2113</v>
      </c>
      <c r="H1590" t="s">
        <v>110</v>
      </c>
    </row>
    <row r="1591" spans="1:11" x14ac:dyDescent="0.55000000000000004">
      <c r="A1591">
        <v>1346</v>
      </c>
      <c r="B1591" t="s">
        <v>79</v>
      </c>
      <c r="C1591">
        <v>25</v>
      </c>
      <c r="D1591">
        <v>2120</v>
      </c>
      <c r="E1591" t="s">
        <v>1568</v>
      </c>
      <c r="F1591">
        <v>15.33</v>
      </c>
      <c r="G1591" t="s">
        <v>2113</v>
      </c>
      <c r="H1591" t="s">
        <v>110</v>
      </c>
    </row>
    <row r="1592" spans="1:11" x14ac:dyDescent="0.55000000000000004">
      <c r="A1592">
        <v>1347</v>
      </c>
      <c r="B1592" t="s">
        <v>79</v>
      </c>
      <c r="C1592">
        <v>25</v>
      </c>
      <c r="D1592">
        <v>2120</v>
      </c>
      <c r="E1592" t="s">
        <v>1569</v>
      </c>
      <c r="F1592">
        <v>16.79</v>
      </c>
      <c r="G1592" t="s">
        <v>2113</v>
      </c>
      <c r="H1592" t="s">
        <v>110</v>
      </c>
    </row>
    <row r="1593" spans="1:11" x14ac:dyDescent="0.55000000000000004">
      <c r="A1593">
        <v>1348</v>
      </c>
      <c r="B1593" t="s">
        <v>79</v>
      </c>
      <c r="C1593">
        <v>25</v>
      </c>
      <c r="D1593">
        <v>2120</v>
      </c>
      <c r="E1593" t="s">
        <v>1570</v>
      </c>
      <c r="F1593">
        <v>16.7</v>
      </c>
      <c r="G1593" t="s">
        <v>2113</v>
      </c>
      <c r="H1593" t="s">
        <v>110</v>
      </c>
    </row>
    <row r="1594" spans="1:11" x14ac:dyDescent="0.55000000000000004">
      <c r="A1594">
        <v>1349</v>
      </c>
      <c r="B1594" t="s">
        <v>79</v>
      </c>
      <c r="C1594">
        <v>25</v>
      </c>
      <c r="D1594">
        <v>2120</v>
      </c>
      <c r="E1594" t="s">
        <v>1571</v>
      </c>
      <c r="F1594">
        <v>14.45</v>
      </c>
      <c r="G1594" t="s">
        <v>2113</v>
      </c>
      <c r="H1594" t="s">
        <v>110</v>
      </c>
    </row>
    <row r="1595" spans="1:11" x14ac:dyDescent="0.55000000000000004">
      <c r="A1595">
        <v>1362</v>
      </c>
      <c r="B1595" t="s">
        <v>80</v>
      </c>
      <c r="C1595">
        <v>25</v>
      </c>
      <c r="D1595">
        <v>2136</v>
      </c>
      <c r="E1595" t="s">
        <v>1584</v>
      </c>
      <c r="F1595">
        <v>15.25</v>
      </c>
      <c r="G1595" t="s">
        <v>1889</v>
      </c>
      <c r="H1595" t="s">
        <v>1891</v>
      </c>
      <c r="K1595" t="s">
        <v>3072</v>
      </c>
    </row>
    <row r="1596" spans="1:11" x14ac:dyDescent="0.55000000000000004">
      <c r="A1596">
        <v>1363</v>
      </c>
      <c r="B1596" t="s">
        <v>80</v>
      </c>
      <c r="C1596">
        <v>25</v>
      </c>
      <c r="D1596">
        <v>2136</v>
      </c>
      <c r="E1596" t="s">
        <v>1585</v>
      </c>
      <c r="F1596">
        <v>15.11</v>
      </c>
      <c r="G1596" t="s">
        <v>1889</v>
      </c>
      <c r="H1596" t="s">
        <v>1891</v>
      </c>
      <c r="K1596" t="s">
        <v>3073</v>
      </c>
    </row>
    <row r="1597" spans="1:11" x14ac:dyDescent="0.55000000000000004">
      <c r="A1597">
        <v>1364</v>
      </c>
      <c r="B1597" t="s">
        <v>80</v>
      </c>
      <c r="C1597">
        <v>25</v>
      </c>
      <c r="D1597">
        <v>2136</v>
      </c>
      <c r="E1597" t="s">
        <v>1586</v>
      </c>
      <c r="F1597">
        <v>13.77</v>
      </c>
      <c r="G1597" t="s">
        <v>1889</v>
      </c>
      <c r="H1597" t="s">
        <v>1891</v>
      </c>
      <c r="K1597" t="s">
        <v>3074</v>
      </c>
    </row>
    <row r="1598" spans="1:11" x14ac:dyDescent="0.55000000000000004">
      <c r="A1598">
        <v>1365</v>
      </c>
      <c r="B1598" t="s">
        <v>80</v>
      </c>
      <c r="C1598">
        <v>25</v>
      </c>
      <c r="D1598">
        <v>2136</v>
      </c>
      <c r="E1598" t="s">
        <v>1587</v>
      </c>
      <c r="F1598">
        <v>14.6</v>
      </c>
      <c r="G1598" t="s">
        <v>1889</v>
      </c>
      <c r="H1598" t="s">
        <v>1891</v>
      </c>
      <c r="K1598" t="s">
        <v>3075</v>
      </c>
    </row>
    <row r="1599" spans="1:11" x14ac:dyDescent="0.55000000000000004">
      <c r="A1599">
        <v>1366</v>
      </c>
      <c r="B1599" t="s">
        <v>80</v>
      </c>
      <c r="C1599">
        <v>25</v>
      </c>
      <c r="D1599">
        <v>2136</v>
      </c>
      <c r="E1599" t="s">
        <v>1588</v>
      </c>
      <c r="F1599">
        <v>15.24</v>
      </c>
      <c r="G1599" t="s">
        <v>1889</v>
      </c>
      <c r="H1599" t="s">
        <v>1891</v>
      </c>
      <c r="K1599" t="s">
        <v>3076</v>
      </c>
    </row>
    <row r="1600" spans="1:11" x14ac:dyDescent="0.55000000000000004">
      <c r="A1600">
        <v>1367</v>
      </c>
      <c r="B1600" t="s">
        <v>80</v>
      </c>
      <c r="C1600">
        <v>25</v>
      </c>
      <c r="D1600">
        <v>2136</v>
      </c>
      <c r="E1600" t="s">
        <v>1589</v>
      </c>
      <c r="F1600">
        <v>13.65</v>
      </c>
      <c r="G1600" t="s">
        <v>1889</v>
      </c>
      <c r="H1600" t="s">
        <v>1891</v>
      </c>
      <c r="K1600" t="s">
        <v>3077</v>
      </c>
    </row>
    <row r="1601" spans="1:11" x14ac:dyDescent="0.55000000000000004">
      <c r="A1601">
        <v>1368</v>
      </c>
      <c r="B1601" t="s">
        <v>80</v>
      </c>
      <c r="C1601">
        <v>25</v>
      </c>
      <c r="D1601">
        <v>2136</v>
      </c>
      <c r="E1601" t="s">
        <v>1590</v>
      </c>
      <c r="F1601">
        <v>15.31</v>
      </c>
      <c r="G1601" t="s">
        <v>1889</v>
      </c>
      <c r="H1601" t="s">
        <v>1891</v>
      </c>
      <c r="K1601" t="s">
        <v>3078</v>
      </c>
    </row>
    <row r="1602" spans="1:11" x14ac:dyDescent="0.55000000000000004">
      <c r="A1602">
        <v>1369</v>
      </c>
      <c r="B1602" t="s">
        <v>80</v>
      </c>
      <c r="C1602">
        <v>25</v>
      </c>
      <c r="D1602">
        <v>2136</v>
      </c>
      <c r="E1602" t="s">
        <v>1591</v>
      </c>
      <c r="F1602">
        <v>14.43</v>
      </c>
      <c r="G1602" t="s">
        <v>1889</v>
      </c>
      <c r="H1602" t="s">
        <v>1891</v>
      </c>
      <c r="K1602" t="s">
        <v>3079</v>
      </c>
    </row>
    <row r="1603" spans="1:11" x14ac:dyDescent="0.55000000000000004">
      <c r="A1603">
        <v>1370</v>
      </c>
      <c r="B1603" t="s">
        <v>80</v>
      </c>
      <c r="C1603">
        <v>25</v>
      </c>
      <c r="D1603">
        <v>2136</v>
      </c>
      <c r="E1603" t="s">
        <v>1592</v>
      </c>
      <c r="F1603">
        <v>14.48</v>
      </c>
      <c r="G1603" t="s">
        <v>1889</v>
      </c>
      <c r="H1603" t="s">
        <v>1891</v>
      </c>
      <c r="K1603" t="s">
        <v>3080</v>
      </c>
    </row>
    <row r="1604" spans="1:11" x14ac:dyDescent="0.55000000000000004">
      <c r="A1604">
        <v>1371</v>
      </c>
      <c r="B1604" t="s">
        <v>80</v>
      </c>
      <c r="C1604">
        <v>25</v>
      </c>
      <c r="D1604">
        <v>2136</v>
      </c>
      <c r="E1604" t="s">
        <v>1593</v>
      </c>
      <c r="F1604">
        <v>14.45</v>
      </c>
      <c r="G1604" t="s">
        <v>1889</v>
      </c>
      <c r="H1604" t="s">
        <v>1891</v>
      </c>
      <c r="K1604" t="s">
        <v>3081</v>
      </c>
    </row>
    <row r="1605" spans="1:11" x14ac:dyDescent="0.55000000000000004">
      <c r="A1605">
        <v>1372</v>
      </c>
      <c r="B1605" t="s">
        <v>80</v>
      </c>
      <c r="C1605">
        <v>25</v>
      </c>
      <c r="D1605">
        <v>2136</v>
      </c>
      <c r="E1605" t="s">
        <v>1594</v>
      </c>
      <c r="F1605">
        <v>15.87</v>
      </c>
      <c r="G1605" t="s">
        <v>1889</v>
      </c>
      <c r="H1605" t="s">
        <v>1891</v>
      </c>
      <c r="K1605" t="s">
        <v>3082</v>
      </c>
    </row>
    <row r="1606" spans="1:11" x14ac:dyDescent="0.55000000000000004">
      <c r="A1606">
        <v>1373</v>
      </c>
      <c r="B1606" t="s">
        <v>80</v>
      </c>
      <c r="C1606">
        <v>25</v>
      </c>
      <c r="D1606">
        <v>2136</v>
      </c>
      <c r="E1606" t="s">
        <v>1595</v>
      </c>
      <c r="F1606">
        <v>15.78</v>
      </c>
      <c r="G1606" t="s">
        <v>2113</v>
      </c>
      <c r="H1606" t="s">
        <v>110</v>
      </c>
    </row>
    <row r="1607" spans="1:11" x14ac:dyDescent="0.55000000000000004">
      <c r="A1607">
        <v>1374</v>
      </c>
      <c r="B1607" t="s">
        <v>80</v>
      </c>
      <c r="C1607">
        <v>25</v>
      </c>
      <c r="D1607">
        <v>2136</v>
      </c>
      <c r="E1607" t="s">
        <v>1596</v>
      </c>
      <c r="F1607">
        <v>16</v>
      </c>
      <c r="G1607" t="s">
        <v>2113</v>
      </c>
      <c r="H1607" t="s">
        <v>110</v>
      </c>
    </row>
    <row r="1608" spans="1:11" x14ac:dyDescent="0.55000000000000004">
      <c r="A1608">
        <v>1394</v>
      </c>
      <c r="B1608" t="s">
        <v>82</v>
      </c>
      <c r="C1608">
        <v>25</v>
      </c>
      <c r="D1608">
        <v>2115</v>
      </c>
      <c r="E1608" t="s">
        <v>1616</v>
      </c>
      <c r="F1608">
        <v>15.35</v>
      </c>
      <c r="G1608" t="s">
        <v>1889</v>
      </c>
      <c r="H1608" t="s">
        <v>1891</v>
      </c>
      <c r="K1608" t="s">
        <v>3098</v>
      </c>
    </row>
    <row r="1609" spans="1:11" x14ac:dyDescent="0.55000000000000004">
      <c r="A1609">
        <v>1395</v>
      </c>
      <c r="B1609" t="s">
        <v>82</v>
      </c>
      <c r="C1609">
        <v>25</v>
      </c>
      <c r="D1609">
        <v>2115</v>
      </c>
      <c r="E1609" t="s">
        <v>1617</v>
      </c>
      <c r="F1609">
        <v>13.83</v>
      </c>
      <c r="G1609" t="s">
        <v>1889</v>
      </c>
      <c r="H1609" t="s">
        <v>1891</v>
      </c>
      <c r="K1609" t="s">
        <v>3099</v>
      </c>
    </row>
    <row r="1610" spans="1:11" x14ac:dyDescent="0.55000000000000004">
      <c r="A1610">
        <v>1396</v>
      </c>
      <c r="B1610" t="s">
        <v>82</v>
      </c>
      <c r="C1610">
        <v>25</v>
      </c>
      <c r="D1610">
        <v>2115</v>
      </c>
      <c r="E1610" t="s">
        <v>1618</v>
      </c>
      <c r="F1610">
        <v>12.38</v>
      </c>
      <c r="G1610" t="s">
        <v>1889</v>
      </c>
      <c r="H1610" t="s">
        <v>1891</v>
      </c>
      <c r="K1610" t="s">
        <v>3100</v>
      </c>
    </row>
    <row r="1611" spans="1:11" x14ac:dyDescent="0.55000000000000004">
      <c r="A1611">
        <v>1397</v>
      </c>
      <c r="B1611" t="s">
        <v>82</v>
      </c>
      <c r="C1611">
        <v>25</v>
      </c>
      <c r="D1611">
        <v>2115</v>
      </c>
      <c r="E1611" t="s">
        <v>1619</v>
      </c>
      <c r="F1611">
        <v>12.12</v>
      </c>
      <c r="G1611" t="s">
        <v>1889</v>
      </c>
      <c r="H1611" t="s">
        <v>1891</v>
      </c>
      <c r="K1611" t="s">
        <v>3101</v>
      </c>
    </row>
    <row r="1612" spans="1:11" x14ac:dyDescent="0.55000000000000004">
      <c r="A1612">
        <v>1398</v>
      </c>
      <c r="B1612" t="s">
        <v>82</v>
      </c>
      <c r="C1612">
        <v>25</v>
      </c>
      <c r="D1612">
        <v>2115</v>
      </c>
      <c r="E1612" t="s">
        <v>1620</v>
      </c>
      <c r="F1612">
        <v>15.59</v>
      </c>
      <c r="G1612" t="s">
        <v>1889</v>
      </c>
      <c r="H1612" t="s">
        <v>1891</v>
      </c>
      <c r="K1612" t="s">
        <v>3102</v>
      </c>
    </row>
    <row r="1613" spans="1:11" x14ac:dyDescent="0.55000000000000004">
      <c r="A1613">
        <v>1399</v>
      </c>
      <c r="B1613" t="s">
        <v>82</v>
      </c>
      <c r="C1613">
        <v>25</v>
      </c>
      <c r="D1613">
        <v>2115</v>
      </c>
      <c r="E1613" t="s">
        <v>1621</v>
      </c>
      <c r="F1613">
        <v>15.39</v>
      </c>
      <c r="G1613" t="s">
        <v>1889</v>
      </c>
      <c r="H1613" t="s">
        <v>1891</v>
      </c>
      <c r="K1613" t="s">
        <v>3103</v>
      </c>
    </row>
    <row r="1614" spans="1:11" x14ac:dyDescent="0.55000000000000004">
      <c r="A1614">
        <v>1400</v>
      </c>
      <c r="B1614" t="s">
        <v>82</v>
      </c>
      <c r="C1614">
        <v>25</v>
      </c>
      <c r="D1614">
        <v>2115</v>
      </c>
      <c r="E1614" t="s">
        <v>1622</v>
      </c>
      <c r="F1614">
        <v>12.98</v>
      </c>
      <c r="G1614" t="s">
        <v>1889</v>
      </c>
      <c r="H1614" t="s">
        <v>1891</v>
      </c>
      <c r="K1614" t="s">
        <v>3104</v>
      </c>
    </row>
    <row r="1615" spans="1:11" x14ac:dyDescent="0.55000000000000004">
      <c r="A1615">
        <v>1401</v>
      </c>
      <c r="B1615" t="s">
        <v>82</v>
      </c>
      <c r="C1615">
        <v>25</v>
      </c>
      <c r="D1615">
        <v>2115</v>
      </c>
      <c r="E1615" t="s">
        <v>1623</v>
      </c>
      <c r="F1615">
        <v>16.649999999999999</v>
      </c>
      <c r="G1615" t="s">
        <v>1889</v>
      </c>
      <c r="H1615" t="s">
        <v>1891</v>
      </c>
      <c r="K1615" t="s">
        <v>3105</v>
      </c>
    </row>
    <row r="1616" spans="1:11" x14ac:dyDescent="0.55000000000000004">
      <c r="A1616">
        <v>1402</v>
      </c>
      <c r="B1616" t="s">
        <v>82</v>
      </c>
      <c r="C1616">
        <v>25</v>
      </c>
      <c r="D1616">
        <v>2115</v>
      </c>
      <c r="E1616" t="s">
        <v>1624</v>
      </c>
      <c r="F1616">
        <v>15.18</v>
      </c>
      <c r="G1616" t="s">
        <v>1889</v>
      </c>
      <c r="H1616" t="s">
        <v>1891</v>
      </c>
      <c r="K1616" t="s">
        <v>3106</v>
      </c>
    </row>
    <row r="1617" spans="1:11" x14ac:dyDescent="0.55000000000000004">
      <c r="A1617">
        <v>1403</v>
      </c>
      <c r="B1617" t="s">
        <v>82</v>
      </c>
      <c r="C1617">
        <v>25</v>
      </c>
      <c r="D1617">
        <v>2115</v>
      </c>
      <c r="E1617" t="s">
        <v>1625</v>
      </c>
      <c r="F1617">
        <v>15.31</v>
      </c>
      <c r="G1617" t="s">
        <v>1889</v>
      </c>
      <c r="H1617" t="s">
        <v>1891</v>
      </c>
      <c r="K1617" t="s">
        <v>3107</v>
      </c>
    </row>
    <row r="1618" spans="1:11" x14ac:dyDescent="0.55000000000000004">
      <c r="A1618">
        <v>1404</v>
      </c>
      <c r="B1618" t="s">
        <v>82</v>
      </c>
      <c r="C1618">
        <v>25</v>
      </c>
      <c r="D1618">
        <v>2115</v>
      </c>
      <c r="E1618" t="s">
        <v>1626</v>
      </c>
      <c r="F1618">
        <v>13.89</v>
      </c>
      <c r="G1618" t="s">
        <v>1889</v>
      </c>
      <c r="H1618" t="s">
        <v>1891</v>
      </c>
      <c r="K1618" t="s">
        <v>3108</v>
      </c>
    </row>
    <row r="1619" spans="1:11" x14ac:dyDescent="0.55000000000000004">
      <c r="A1619">
        <v>1405</v>
      </c>
      <c r="B1619" t="s">
        <v>82</v>
      </c>
      <c r="C1619">
        <v>25</v>
      </c>
      <c r="D1619">
        <v>2115</v>
      </c>
      <c r="E1619" t="s">
        <v>1627</v>
      </c>
      <c r="F1619">
        <v>16.39</v>
      </c>
      <c r="G1619" t="s">
        <v>2113</v>
      </c>
      <c r="H1619" t="s">
        <v>110</v>
      </c>
    </row>
    <row r="1620" spans="1:11" x14ac:dyDescent="0.55000000000000004">
      <c r="A1620">
        <v>1406</v>
      </c>
      <c r="B1620" t="s">
        <v>82</v>
      </c>
      <c r="C1620">
        <v>25</v>
      </c>
      <c r="D1620">
        <v>2115</v>
      </c>
      <c r="E1620" t="s">
        <v>1628</v>
      </c>
      <c r="F1620">
        <v>20.27</v>
      </c>
      <c r="G1620" t="s">
        <v>2113</v>
      </c>
      <c r="H1620" t="s">
        <v>110</v>
      </c>
    </row>
    <row r="1621" spans="1:11" x14ac:dyDescent="0.55000000000000004">
      <c r="A1621">
        <v>1421</v>
      </c>
      <c r="B1621" t="s">
        <v>85</v>
      </c>
      <c r="C1621">
        <v>20</v>
      </c>
      <c r="D1621">
        <v>2118</v>
      </c>
      <c r="E1621" t="s">
        <v>1643</v>
      </c>
      <c r="F1621">
        <v>15.61</v>
      </c>
      <c r="G1621" t="s">
        <v>2113</v>
      </c>
      <c r="H1621" t="s">
        <v>110</v>
      </c>
    </row>
    <row r="1622" spans="1:11" x14ac:dyDescent="0.55000000000000004">
      <c r="A1622">
        <v>1422</v>
      </c>
      <c r="B1622" t="s">
        <v>85</v>
      </c>
      <c r="C1622">
        <v>20</v>
      </c>
      <c r="D1622">
        <v>2118</v>
      </c>
      <c r="E1622" t="s">
        <v>1644</v>
      </c>
      <c r="F1622">
        <v>16.399999999999999</v>
      </c>
      <c r="G1622" t="s">
        <v>2113</v>
      </c>
      <c r="H1622" t="s">
        <v>110</v>
      </c>
    </row>
    <row r="1623" spans="1:11" x14ac:dyDescent="0.55000000000000004">
      <c r="A1623">
        <v>1423</v>
      </c>
      <c r="B1623" t="s">
        <v>85</v>
      </c>
      <c r="C1623">
        <v>20</v>
      </c>
      <c r="D1623">
        <v>2118</v>
      </c>
      <c r="E1623" t="s">
        <v>1645</v>
      </c>
      <c r="F1623">
        <v>16.399999999999999</v>
      </c>
      <c r="G1623" t="s">
        <v>2113</v>
      </c>
      <c r="H1623" t="s">
        <v>110</v>
      </c>
    </row>
    <row r="1624" spans="1:11" x14ac:dyDescent="0.55000000000000004">
      <c r="A1624">
        <v>1424</v>
      </c>
      <c r="B1624" t="s">
        <v>85</v>
      </c>
      <c r="C1624">
        <v>20</v>
      </c>
      <c r="D1624">
        <v>2118</v>
      </c>
      <c r="E1624" t="s">
        <v>1646</v>
      </c>
      <c r="F1624">
        <v>15.58</v>
      </c>
      <c r="G1624" t="s">
        <v>1889</v>
      </c>
      <c r="H1624" t="s">
        <v>1891</v>
      </c>
      <c r="K1624" t="s">
        <v>3141</v>
      </c>
    </row>
    <row r="1625" spans="1:11" x14ac:dyDescent="0.55000000000000004">
      <c r="A1625">
        <v>1425</v>
      </c>
      <c r="B1625" t="s">
        <v>85</v>
      </c>
      <c r="C1625">
        <v>20</v>
      </c>
      <c r="D1625">
        <v>2118</v>
      </c>
      <c r="E1625" t="s">
        <v>1647</v>
      </c>
      <c r="F1625">
        <v>15.6</v>
      </c>
      <c r="G1625" t="s">
        <v>1889</v>
      </c>
      <c r="H1625" t="s">
        <v>1891</v>
      </c>
      <c r="K1625" t="s">
        <v>3142</v>
      </c>
    </row>
    <row r="1626" spans="1:11" x14ac:dyDescent="0.55000000000000004">
      <c r="A1626">
        <v>1426</v>
      </c>
      <c r="B1626" t="s">
        <v>85</v>
      </c>
      <c r="C1626">
        <v>20</v>
      </c>
      <c r="D1626">
        <v>2118</v>
      </c>
      <c r="E1626" t="s">
        <v>1648</v>
      </c>
      <c r="F1626">
        <v>14.77</v>
      </c>
      <c r="G1626" t="s">
        <v>1889</v>
      </c>
      <c r="H1626" t="s">
        <v>1891</v>
      </c>
      <c r="K1626" t="s">
        <v>3143</v>
      </c>
    </row>
    <row r="1627" spans="1:11" x14ac:dyDescent="0.55000000000000004">
      <c r="A1627">
        <v>1427</v>
      </c>
      <c r="B1627" t="s">
        <v>85</v>
      </c>
      <c r="C1627">
        <v>20</v>
      </c>
      <c r="D1627">
        <v>2118</v>
      </c>
      <c r="E1627" t="s">
        <v>1649</v>
      </c>
      <c r="F1627">
        <v>14.14</v>
      </c>
      <c r="G1627" t="s">
        <v>1889</v>
      </c>
      <c r="H1627" t="s">
        <v>1891</v>
      </c>
      <c r="K1627" t="s">
        <v>3144</v>
      </c>
    </row>
    <row r="1628" spans="1:11" x14ac:dyDescent="0.55000000000000004">
      <c r="A1628">
        <v>1428</v>
      </c>
      <c r="B1628" t="s">
        <v>85</v>
      </c>
      <c r="C1628">
        <v>20</v>
      </c>
      <c r="D1628">
        <v>2118</v>
      </c>
      <c r="E1628" t="s">
        <v>1650</v>
      </c>
      <c r="F1628">
        <v>13.79</v>
      </c>
      <c r="G1628" t="s">
        <v>1889</v>
      </c>
      <c r="H1628" t="s">
        <v>1891</v>
      </c>
      <c r="K1628" t="s">
        <v>3145</v>
      </c>
    </row>
    <row r="1629" spans="1:11" x14ac:dyDescent="0.55000000000000004">
      <c r="A1629">
        <v>1457</v>
      </c>
      <c r="B1629" t="s">
        <v>91</v>
      </c>
      <c r="C1629">
        <v>25</v>
      </c>
      <c r="D1629">
        <v>2116</v>
      </c>
      <c r="E1629" t="s">
        <v>1679</v>
      </c>
      <c r="F1629">
        <v>14.24</v>
      </c>
      <c r="G1629" t="s">
        <v>1889</v>
      </c>
      <c r="H1629" t="s">
        <v>1891</v>
      </c>
      <c r="K1629" t="s">
        <v>3170</v>
      </c>
    </row>
    <row r="1630" spans="1:11" x14ac:dyDescent="0.55000000000000004">
      <c r="A1630">
        <v>1458</v>
      </c>
      <c r="B1630" t="s">
        <v>91</v>
      </c>
      <c r="C1630">
        <v>25</v>
      </c>
      <c r="D1630">
        <v>2116</v>
      </c>
      <c r="E1630" t="s">
        <v>1680</v>
      </c>
      <c r="F1630">
        <v>14.66</v>
      </c>
      <c r="G1630" t="s">
        <v>1889</v>
      </c>
      <c r="H1630" t="s">
        <v>1891</v>
      </c>
      <c r="K1630" t="s">
        <v>3171</v>
      </c>
    </row>
    <row r="1631" spans="1:11" x14ac:dyDescent="0.55000000000000004">
      <c r="A1631">
        <v>1459</v>
      </c>
      <c r="B1631" t="s">
        <v>91</v>
      </c>
      <c r="C1631">
        <v>25</v>
      </c>
      <c r="D1631">
        <v>2116</v>
      </c>
      <c r="E1631" t="s">
        <v>1681</v>
      </c>
      <c r="F1631">
        <v>14.22</v>
      </c>
      <c r="G1631" t="s">
        <v>1889</v>
      </c>
      <c r="H1631" t="s">
        <v>1891</v>
      </c>
      <c r="K1631" t="s">
        <v>3172</v>
      </c>
    </row>
    <row r="1632" spans="1:11" x14ac:dyDescent="0.55000000000000004">
      <c r="A1632">
        <v>1460</v>
      </c>
      <c r="B1632" t="s">
        <v>91</v>
      </c>
      <c r="C1632">
        <v>25</v>
      </c>
      <c r="D1632">
        <v>2116</v>
      </c>
      <c r="E1632" t="s">
        <v>1682</v>
      </c>
      <c r="F1632">
        <v>15.14</v>
      </c>
      <c r="G1632" t="s">
        <v>1889</v>
      </c>
      <c r="H1632" t="s">
        <v>1891</v>
      </c>
      <c r="K1632" t="s">
        <v>3173</v>
      </c>
    </row>
    <row r="1633" spans="1:11" x14ac:dyDescent="0.55000000000000004">
      <c r="A1633">
        <v>1461</v>
      </c>
      <c r="B1633" t="s">
        <v>91</v>
      </c>
      <c r="C1633">
        <v>25</v>
      </c>
      <c r="D1633">
        <v>2116</v>
      </c>
      <c r="E1633" t="s">
        <v>1683</v>
      </c>
      <c r="F1633">
        <v>14.36</v>
      </c>
      <c r="G1633" t="s">
        <v>1889</v>
      </c>
      <c r="H1633" t="s">
        <v>1891</v>
      </c>
      <c r="K1633" t="s">
        <v>3174</v>
      </c>
    </row>
    <row r="1634" spans="1:11" x14ac:dyDescent="0.55000000000000004">
      <c r="A1634">
        <v>1462</v>
      </c>
      <c r="B1634" t="s">
        <v>91</v>
      </c>
      <c r="C1634">
        <v>25</v>
      </c>
      <c r="D1634">
        <v>2116</v>
      </c>
      <c r="E1634" t="s">
        <v>1684</v>
      </c>
      <c r="F1634">
        <v>15.09</v>
      </c>
      <c r="G1634" t="s">
        <v>1889</v>
      </c>
      <c r="H1634" t="s">
        <v>1891</v>
      </c>
      <c r="K1634" t="s">
        <v>3175</v>
      </c>
    </row>
    <row r="1635" spans="1:11" x14ac:dyDescent="0.55000000000000004">
      <c r="A1635">
        <v>1463</v>
      </c>
      <c r="B1635" t="s">
        <v>91</v>
      </c>
      <c r="C1635">
        <v>25</v>
      </c>
      <c r="D1635">
        <v>2116</v>
      </c>
      <c r="E1635" t="s">
        <v>1685</v>
      </c>
      <c r="F1635">
        <v>14.52</v>
      </c>
      <c r="G1635" t="s">
        <v>1889</v>
      </c>
      <c r="H1635" t="s">
        <v>1891</v>
      </c>
      <c r="K1635" t="s">
        <v>3176</v>
      </c>
    </row>
    <row r="1636" spans="1:11" x14ac:dyDescent="0.55000000000000004">
      <c r="A1636">
        <v>1464</v>
      </c>
      <c r="B1636" t="s">
        <v>91</v>
      </c>
      <c r="C1636">
        <v>25</v>
      </c>
      <c r="D1636">
        <v>2116</v>
      </c>
      <c r="E1636" t="s">
        <v>1686</v>
      </c>
      <c r="F1636">
        <v>14.68</v>
      </c>
      <c r="G1636" t="s">
        <v>1889</v>
      </c>
      <c r="H1636" t="s">
        <v>1891</v>
      </c>
      <c r="K1636" t="s">
        <v>3177</v>
      </c>
    </row>
    <row r="1637" spans="1:11" x14ac:dyDescent="0.55000000000000004">
      <c r="A1637">
        <v>1465</v>
      </c>
      <c r="B1637" t="s">
        <v>91</v>
      </c>
      <c r="C1637">
        <v>25</v>
      </c>
      <c r="D1637">
        <v>2116</v>
      </c>
      <c r="E1637" t="s">
        <v>1687</v>
      </c>
      <c r="F1637">
        <v>16.600000000000001</v>
      </c>
      <c r="G1637" t="s">
        <v>2113</v>
      </c>
      <c r="H1637" t="s">
        <v>110</v>
      </c>
    </row>
    <row r="1638" spans="1:11" x14ac:dyDescent="0.55000000000000004">
      <c r="A1638">
        <v>1466</v>
      </c>
      <c r="B1638" t="s">
        <v>91</v>
      </c>
      <c r="C1638">
        <v>25</v>
      </c>
      <c r="D1638">
        <v>2116</v>
      </c>
      <c r="E1638" t="s">
        <v>1688</v>
      </c>
      <c r="F1638">
        <v>16.149999999999999</v>
      </c>
      <c r="G1638" t="s">
        <v>2113</v>
      </c>
      <c r="H1638" t="s">
        <v>110</v>
      </c>
    </row>
    <row r="1639" spans="1:11" x14ac:dyDescent="0.55000000000000004">
      <c r="A1639">
        <v>1467</v>
      </c>
      <c r="B1639" t="s">
        <v>91</v>
      </c>
      <c r="C1639">
        <v>25</v>
      </c>
      <c r="D1639">
        <v>2116</v>
      </c>
      <c r="E1639" t="s">
        <v>1689</v>
      </c>
      <c r="F1639">
        <v>16.399999999999999</v>
      </c>
      <c r="G1639" t="s">
        <v>2113</v>
      </c>
      <c r="H1639" t="s">
        <v>110</v>
      </c>
    </row>
    <row r="1640" spans="1:11" x14ac:dyDescent="0.55000000000000004">
      <c r="A1640">
        <v>1468</v>
      </c>
      <c r="B1640" t="s">
        <v>91</v>
      </c>
      <c r="C1640">
        <v>25</v>
      </c>
      <c r="D1640">
        <v>2116</v>
      </c>
      <c r="E1640" t="s">
        <v>1690</v>
      </c>
      <c r="F1640">
        <v>15.65</v>
      </c>
      <c r="G1640" t="s">
        <v>2113</v>
      </c>
      <c r="H1640" t="s">
        <v>110</v>
      </c>
    </row>
    <row r="1641" spans="1:11" x14ac:dyDescent="0.55000000000000004">
      <c r="A1641">
        <v>1469</v>
      </c>
      <c r="B1641" t="s">
        <v>91</v>
      </c>
      <c r="C1641">
        <v>25</v>
      </c>
      <c r="D1641">
        <v>2116</v>
      </c>
      <c r="E1641" t="s">
        <v>1691</v>
      </c>
      <c r="F1641">
        <v>17.93</v>
      </c>
      <c r="G1641" t="s">
        <v>2113</v>
      </c>
      <c r="H1641" t="s">
        <v>110</v>
      </c>
    </row>
    <row r="1642" spans="1:11" x14ac:dyDescent="0.55000000000000004">
      <c r="A1642">
        <v>1498</v>
      </c>
      <c r="B1642" t="s">
        <v>96</v>
      </c>
      <c r="C1642">
        <v>25</v>
      </c>
      <c r="D1642">
        <v>2137</v>
      </c>
      <c r="E1642" t="s">
        <v>1720</v>
      </c>
      <c r="F1642">
        <v>15.5</v>
      </c>
      <c r="G1642" t="s">
        <v>1889</v>
      </c>
      <c r="H1642" t="s">
        <v>1891</v>
      </c>
      <c r="K1642" t="s">
        <v>3206</v>
      </c>
    </row>
    <row r="1643" spans="1:11" x14ac:dyDescent="0.55000000000000004">
      <c r="A1643">
        <v>1499</v>
      </c>
      <c r="B1643" t="s">
        <v>96</v>
      </c>
      <c r="C1643">
        <v>25</v>
      </c>
      <c r="D1643">
        <v>2137</v>
      </c>
      <c r="E1643" t="s">
        <v>1721</v>
      </c>
      <c r="F1643">
        <v>13.81</v>
      </c>
      <c r="G1643" t="s">
        <v>1889</v>
      </c>
      <c r="H1643" t="s">
        <v>1891</v>
      </c>
      <c r="K1643" t="s">
        <v>3207</v>
      </c>
    </row>
    <row r="1644" spans="1:11" x14ac:dyDescent="0.55000000000000004">
      <c r="A1644">
        <v>1500</v>
      </c>
      <c r="B1644" t="s">
        <v>96</v>
      </c>
      <c r="C1644">
        <v>25</v>
      </c>
      <c r="D1644">
        <v>2137</v>
      </c>
      <c r="E1644" t="s">
        <v>1722</v>
      </c>
      <c r="F1644">
        <v>12.05</v>
      </c>
      <c r="G1644" t="s">
        <v>1889</v>
      </c>
      <c r="H1644" t="s">
        <v>1891</v>
      </c>
      <c r="K1644" t="s">
        <v>3208</v>
      </c>
    </row>
    <row r="1645" spans="1:11" x14ac:dyDescent="0.55000000000000004">
      <c r="A1645">
        <v>1501</v>
      </c>
      <c r="B1645" t="s">
        <v>96</v>
      </c>
      <c r="C1645">
        <v>25</v>
      </c>
      <c r="D1645">
        <v>2137</v>
      </c>
      <c r="E1645" t="s">
        <v>1723</v>
      </c>
      <c r="F1645">
        <v>15.23</v>
      </c>
      <c r="G1645" t="s">
        <v>1889</v>
      </c>
      <c r="H1645" t="s">
        <v>1891</v>
      </c>
      <c r="K1645" t="s">
        <v>3209</v>
      </c>
    </row>
    <row r="1646" spans="1:11" x14ac:dyDescent="0.55000000000000004">
      <c r="A1646">
        <v>1502</v>
      </c>
      <c r="B1646" t="s">
        <v>96</v>
      </c>
      <c r="C1646">
        <v>25</v>
      </c>
      <c r="D1646">
        <v>2137</v>
      </c>
      <c r="E1646" t="s">
        <v>1724</v>
      </c>
      <c r="F1646">
        <v>13.87</v>
      </c>
      <c r="G1646" t="s">
        <v>1889</v>
      </c>
      <c r="H1646" t="s">
        <v>1891</v>
      </c>
      <c r="K1646" t="s">
        <v>3210</v>
      </c>
    </row>
    <row r="1647" spans="1:11" x14ac:dyDescent="0.55000000000000004">
      <c r="A1647">
        <v>1503</v>
      </c>
      <c r="B1647" t="s">
        <v>96</v>
      </c>
      <c r="C1647">
        <v>25</v>
      </c>
      <c r="D1647">
        <v>2137</v>
      </c>
      <c r="E1647" t="s">
        <v>1725</v>
      </c>
      <c r="F1647">
        <v>13.3</v>
      </c>
      <c r="G1647" t="s">
        <v>1889</v>
      </c>
      <c r="H1647" t="s">
        <v>1891</v>
      </c>
      <c r="K1647" t="s">
        <v>3211</v>
      </c>
    </row>
    <row r="1648" spans="1:11" x14ac:dyDescent="0.55000000000000004">
      <c r="A1648">
        <v>1504</v>
      </c>
      <c r="B1648" t="s">
        <v>96</v>
      </c>
      <c r="C1648">
        <v>25</v>
      </c>
      <c r="D1648">
        <v>2137</v>
      </c>
      <c r="E1648" t="s">
        <v>1726</v>
      </c>
      <c r="F1648">
        <v>14.58</v>
      </c>
      <c r="G1648" t="s">
        <v>1889</v>
      </c>
      <c r="H1648" t="s">
        <v>1891</v>
      </c>
      <c r="K1648" t="s">
        <v>3212</v>
      </c>
    </row>
    <row r="1649" spans="1:11" x14ac:dyDescent="0.55000000000000004">
      <c r="A1649">
        <v>1505</v>
      </c>
      <c r="B1649" t="s">
        <v>96</v>
      </c>
      <c r="C1649">
        <v>25</v>
      </c>
      <c r="D1649">
        <v>2137</v>
      </c>
      <c r="E1649" t="s">
        <v>1727</v>
      </c>
      <c r="F1649">
        <v>13.79</v>
      </c>
      <c r="G1649" t="s">
        <v>2113</v>
      </c>
      <c r="H1649" t="s">
        <v>110</v>
      </c>
    </row>
    <row r="1650" spans="1:11" x14ac:dyDescent="0.55000000000000004">
      <c r="A1650">
        <v>1506</v>
      </c>
      <c r="B1650" t="s">
        <v>96</v>
      </c>
      <c r="C1650">
        <v>25</v>
      </c>
      <c r="D1650">
        <v>2137</v>
      </c>
      <c r="E1650" t="s">
        <v>1728</v>
      </c>
      <c r="F1650">
        <v>15.31</v>
      </c>
      <c r="G1650" t="s">
        <v>2113</v>
      </c>
      <c r="H1650" t="s">
        <v>110</v>
      </c>
    </row>
    <row r="1651" spans="1:11" x14ac:dyDescent="0.55000000000000004">
      <c r="A1651">
        <v>1507</v>
      </c>
      <c r="B1651" t="s">
        <v>96</v>
      </c>
      <c r="C1651">
        <v>25</v>
      </c>
      <c r="D1651">
        <v>2137</v>
      </c>
      <c r="E1651" t="s">
        <v>1729</v>
      </c>
      <c r="F1651">
        <v>13.66</v>
      </c>
      <c r="G1651" t="s">
        <v>2113</v>
      </c>
      <c r="H1651" t="s">
        <v>110</v>
      </c>
    </row>
    <row r="1652" spans="1:11" x14ac:dyDescent="0.55000000000000004">
      <c r="A1652">
        <v>1508</v>
      </c>
      <c r="B1652" t="s">
        <v>96</v>
      </c>
      <c r="C1652">
        <v>25</v>
      </c>
      <c r="D1652">
        <v>2137</v>
      </c>
      <c r="E1652" t="s">
        <v>1730</v>
      </c>
      <c r="F1652">
        <v>15.35</v>
      </c>
      <c r="G1652" t="s">
        <v>2113</v>
      </c>
      <c r="H1652" t="s">
        <v>110</v>
      </c>
    </row>
    <row r="1653" spans="1:11" x14ac:dyDescent="0.55000000000000004">
      <c r="A1653">
        <v>1509</v>
      </c>
      <c r="B1653" t="s">
        <v>96</v>
      </c>
      <c r="C1653">
        <v>25</v>
      </c>
      <c r="D1653">
        <v>2137</v>
      </c>
      <c r="E1653" t="s">
        <v>1731</v>
      </c>
      <c r="F1653">
        <v>15.35</v>
      </c>
      <c r="G1653" t="s">
        <v>2113</v>
      </c>
      <c r="H1653" t="s">
        <v>110</v>
      </c>
    </row>
    <row r="1654" spans="1:11" x14ac:dyDescent="0.55000000000000004">
      <c r="A1654">
        <v>1510</v>
      </c>
      <c r="B1654" t="s">
        <v>96</v>
      </c>
      <c r="C1654">
        <v>25</v>
      </c>
      <c r="D1654">
        <v>2137</v>
      </c>
      <c r="E1654" t="s">
        <v>1732</v>
      </c>
      <c r="F1654">
        <v>15.98</v>
      </c>
      <c r="G1654" t="s">
        <v>2113</v>
      </c>
      <c r="H1654" t="s">
        <v>110</v>
      </c>
    </row>
    <row r="1655" spans="1:11" x14ac:dyDescent="0.55000000000000004">
      <c r="A1655">
        <v>1523</v>
      </c>
      <c r="B1655" t="s">
        <v>97</v>
      </c>
      <c r="C1655">
        <v>21</v>
      </c>
      <c r="D1655">
        <v>2121</v>
      </c>
      <c r="E1655" t="s">
        <v>1745</v>
      </c>
      <c r="F1655">
        <v>11.81</v>
      </c>
      <c r="G1655" t="s">
        <v>1889</v>
      </c>
      <c r="H1655" t="s">
        <v>1891</v>
      </c>
      <c r="K1655" t="s">
        <v>3225</v>
      </c>
    </row>
    <row r="1656" spans="1:11" x14ac:dyDescent="0.55000000000000004">
      <c r="A1656">
        <v>1524</v>
      </c>
      <c r="B1656" t="s">
        <v>97</v>
      </c>
      <c r="C1656">
        <v>21</v>
      </c>
      <c r="D1656">
        <v>2121</v>
      </c>
      <c r="E1656" t="s">
        <v>1746</v>
      </c>
      <c r="F1656">
        <v>11.29</v>
      </c>
      <c r="G1656" t="s">
        <v>1889</v>
      </c>
      <c r="H1656" t="s">
        <v>1891</v>
      </c>
      <c r="K1656" t="s">
        <v>3226</v>
      </c>
    </row>
    <row r="1657" spans="1:11" x14ac:dyDescent="0.55000000000000004">
      <c r="A1657">
        <v>1525</v>
      </c>
      <c r="B1657" t="s">
        <v>97</v>
      </c>
      <c r="C1657">
        <v>21</v>
      </c>
      <c r="D1657">
        <v>2121</v>
      </c>
      <c r="E1657" t="s">
        <v>1747</v>
      </c>
      <c r="F1657">
        <v>14.78</v>
      </c>
      <c r="G1657" t="s">
        <v>1889</v>
      </c>
      <c r="H1657" t="s">
        <v>1891</v>
      </c>
      <c r="K1657" t="s">
        <v>3227</v>
      </c>
    </row>
    <row r="1658" spans="1:11" x14ac:dyDescent="0.55000000000000004">
      <c r="A1658">
        <v>1526</v>
      </c>
      <c r="B1658" t="s">
        <v>97</v>
      </c>
      <c r="C1658">
        <v>21</v>
      </c>
      <c r="D1658">
        <v>2121</v>
      </c>
      <c r="E1658" t="s">
        <v>1748</v>
      </c>
      <c r="F1658">
        <v>15.25</v>
      </c>
      <c r="G1658" t="s">
        <v>1889</v>
      </c>
      <c r="H1658" t="s">
        <v>1891</v>
      </c>
      <c r="K1658" t="s">
        <v>3228</v>
      </c>
    </row>
    <row r="1659" spans="1:11" x14ac:dyDescent="0.55000000000000004">
      <c r="A1659">
        <v>1527</v>
      </c>
      <c r="B1659" t="s">
        <v>97</v>
      </c>
      <c r="C1659">
        <v>21</v>
      </c>
      <c r="D1659">
        <v>2121</v>
      </c>
      <c r="E1659" t="s">
        <v>1749</v>
      </c>
      <c r="F1659">
        <v>13.55</v>
      </c>
      <c r="G1659" t="s">
        <v>1889</v>
      </c>
      <c r="H1659" t="s">
        <v>1891</v>
      </c>
      <c r="K1659" t="s">
        <v>3229</v>
      </c>
    </row>
    <row r="1660" spans="1:11" x14ac:dyDescent="0.55000000000000004">
      <c r="A1660">
        <v>1528</v>
      </c>
      <c r="B1660" t="s">
        <v>97</v>
      </c>
      <c r="C1660">
        <v>21</v>
      </c>
      <c r="D1660">
        <v>2121</v>
      </c>
      <c r="E1660" t="s">
        <v>1750</v>
      </c>
      <c r="F1660">
        <v>16.010000000000002</v>
      </c>
      <c r="G1660" t="s">
        <v>2113</v>
      </c>
      <c r="H1660" t="s">
        <v>110</v>
      </c>
    </row>
    <row r="1661" spans="1:11" x14ac:dyDescent="0.55000000000000004">
      <c r="A1661">
        <v>1529</v>
      </c>
      <c r="B1661" t="s">
        <v>97</v>
      </c>
      <c r="C1661">
        <v>21</v>
      </c>
      <c r="D1661">
        <v>2121</v>
      </c>
      <c r="E1661" t="s">
        <v>1751</v>
      </c>
      <c r="F1661">
        <v>15.64</v>
      </c>
      <c r="G1661" t="s">
        <v>2113</v>
      </c>
      <c r="H1661" t="s">
        <v>110</v>
      </c>
    </row>
    <row r="1662" spans="1:11" x14ac:dyDescent="0.55000000000000004">
      <c r="A1662">
        <v>1530</v>
      </c>
      <c r="B1662" t="s">
        <v>97</v>
      </c>
      <c r="C1662">
        <v>21</v>
      </c>
      <c r="D1662">
        <v>2121</v>
      </c>
      <c r="E1662" t="s">
        <v>1752</v>
      </c>
      <c r="F1662">
        <v>17.260000000000002</v>
      </c>
      <c r="G1662" t="s">
        <v>2113</v>
      </c>
      <c r="H1662" t="s">
        <v>110</v>
      </c>
    </row>
    <row r="1663" spans="1:11" x14ac:dyDescent="0.55000000000000004">
      <c r="A1663">
        <v>1531</v>
      </c>
      <c r="B1663" t="s">
        <v>97</v>
      </c>
      <c r="C1663">
        <v>21</v>
      </c>
      <c r="D1663">
        <v>2121</v>
      </c>
      <c r="E1663" t="s">
        <v>1753</v>
      </c>
      <c r="F1663">
        <v>18.05</v>
      </c>
      <c r="G1663" t="s">
        <v>2113</v>
      </c>
      <c r="H1663" t="s">
        <v>110</v>
      </c>
    </row>
    <row r="1664" spans="1:11" x14ac:dyDescent="0.55000000000000004">
      <c r="A1664">
        <v>1544</v>
      </c>
      <c r="B1664" t="s">
        <v>98</v>
      </c>
      <c r="C1664">
        <v>19</v>
      </c>
      <c r="D1664">
        <v>2059</v>
      </c>
      <c r="E1664" t="s">
        <v>1766</v>
      </c>
      <c r="F1664">
        <v>14.39</v>
      </c>
      <c r="G1664" t="s">
        <v>1889</v>
      </c>
      <c r="H1664" t="s">
        <v>1891</v>
      </c>
      <c r="K1664" t="s">
        <v>3242</v>
      </c>
    </row>
    <row r="1665" spans="1:11" x14ac:dyDescent="0.55000000000000004">
      <c r="A1665">
        <v>1545</v>
      </c>
      <c r="B1665" t="s">
        <v>98</v>
      </c>
      <c r="C1665">
        <v>19</v>
      </c>
      <c r="D1665">
        <v>2059</v>
      </c>
      <c r="E1665" t="s">
        <v>1767</v>
      </c>
      <c r="F1665">
        <v>16.98</v>
      </c>
      <c r="G1665" t="s">
        <v>2113</v>
      </c>
      <c r="H1665" t="s">
        <v>110</v>
      </c>
    </row>
    <row r="1666" spans="1:11" x14ac:dyDescent="0.55000000000000004">
      <c r="A1666">
        <v>1546</v>
      </c>
      <c r="B1666" t="s">
        <v>98</v>
      </c>
      <c r="C1666">
        <v>19</v>
      </c>
      <c r="D1666">
        <v>2059</v>
      </c>
      <c r="E1666" t="s">
        <v>1768</v>
      </c>
      <c r="F1666">
        <v>16.45</v>
      </c>
      <c r="G1666" t="s">
        <v>2113</v>
      </c>
      <c r="H1666" t="s">
        <v>110</v>
      </c>
    </row>
    <row r="1667" spans="1:11" x14ac:dyDescent="0.55000000000000004">
      <c r="A1667">
        <v>1547</v>
      </c>
      <c r="B1667" t="s">
        <v>98</v>
      </c>
      <c r="C1667">
        <v>19</v>
      </c>
      <c r="D1667">
        <v>2059</v>
      </c>
      <c r="E1667" t="s">
        <v>1769</v>
      </c>
      <c r="F1667">
        <v>15.77</v>
      </c>
      <c r="G1667" t="s">
        <v>2113</v>
      </c>
      <c r="H1667" t="s">
        <v>110</v>
      </c>
    </row>
    <row r="1668" spans="1:11" x14ac:dyDescent="0.55000000000000004">
      <c r="A1668">
        <v>1548</v>
      </c>
      <c r="B1668" t="s">
        <v>98</v>
      </c>
      <c r="C1668">
        <v>19</v>
      </c>
      <c r="D1668">
        <v>2059</v>
      </c>
      <c r="E1668" t="s">
        <v>1770</v>
      </c>
      <c r="F1668">
        <v>14.26</v>
      </c>
      <c r="G1668" t="s">
        <v>2113</v>
      </c>
      <c r="H1668" t="s">
        <v>110</v>
      </c>
    </row>
    <row r="1669" spans="1:11" x14ac:dyDescent="0.55000000000000004">
      <c r="A1669">
        <v>1549</v>
      </c>
      <c r="B1669" t="s">
        <v>98</v>
      </c>
      <c r="C1669">
        <v>19</v>
      </c>
      <c r="D1669">
        <v>2059</v>
      </c>
      <c r="E1669" t="s">
        <v>1771</v>
      </c>
      <c r="G1669" t="s">
        <v>1941</v>
      </c>
      <c r="H1669" t="s">
        <v>1941</v>
      </c>
    </row>
    <row r="1670" spans="1:11" x14ac:dyDescent="0.55000000000000004">
      <c r="A1670">
        <v>1550</v>
      </c>
      <c r="B1670" t="s">
        <v>98</v>
      </c>
      <c r="C1670">
        <v>19</v>
      </c>
      <c r="D1670">
        <v>2059</v>
      </c>
      <c r="E1670" t="s">
        <v>1772</v>
      </c>
      <c r="G1670" t="s">
        <v>1941</v>
      </c>
      <c r="H1670" t="s">
        <v>1941</v>
      </c>
    </row>
    <row r="1671" spans="1:11" x14ac:dyDescent="0.55000000000000004">
      <c r="A1671">
        <v>1563</v>
      </c>
      <c r="B1671" t="s">
        <v>99</v>
      </c>
      <c r="C1671">
        <v>23</v>
      </c>
      <c r="D1671">
        <v>2153</v>
      </c>
      <c r="E1671" t="s">
        <v>1785</v>
      </c>
      <c r="F1671">
        <v>14.29</v>
      </c>
      <c r="G1671" t="s">
        <v>2113</v>
      </c>
      <c r="H1671" t="s">
        <v>110</v>
      </c>
    </row>
    <row r="1672" spans="1:11" x14ac:dyDescent="0.55000000000000004">
      <c r="A1672">
        <v>1564</v>
      </c>
      <c r="B1672" t="s">
        <v>99</v>
      </c>
      <c r="C1672">
        <v>23</v>
      </c>
      <c r="D1672">
        <v>2153</v>
      </c>
      <c r="E1672" t="s">
        <v>1786</v>
      </c>
      <c r="F1672">
        <v>14.97</v>
      </c>
      <c r="G1672" t="s">
        <v>2113</v>
      </c>
      <c r="H1672" t="s">
        <v>110</v>
      </c>
    </row>
    <row r="1673" spans="1:11" x14ac:dyDescent="0.55000000000000004">
      <c r="A1673">
        <v>1565</v>
      </c>
      <c r="B1673" t="s">
        <v>99</v>
      </c>
      <c r="C1673">
        <v>23</v>
      </c>
      <c r="D1673">
        <v>2153</v>
      </c>
      <c r="E1673" t="s">
        <v>1787</v>
      </c>
      <c r="F1673">
        <v>13.74</v>
      </c>
      <c r="G1673" t="s">
        <v>1889</v>
      </c>
      <c r="H1673" t="s">
        <v>1891</v>
      </c>
      <c r="K1673" t="s">
        <v>3251</v>
      </c>
    </row>
    <row r="1674" spans="1:11" x14ac:dyDescent="0.55000000000000004">
      <c r="A1674">
        <v>1566</v>
      </c>
      <c r="B1674" t="s">
        <v>99</v>
      </c>
      <c r="C1674">
        <v>23</v>
      </c>
      <c r="D1674">
        <v>2153</v>
      </c>
      <c r="E1674" t="s">
        <v>1788</v>
      </c>
      <c r="F1674">
        <v>14.77</v>
      </c>
      <c r="G1674" t="s">
        <v>1889</v>
      </c>
      <c r="H1674" t="s">
        <v>1891</v>
      </c>
      <c r="K1674" t="s">
        <v>3252</v>
      </c>
    </row>
    <row r="1675" spans="1:11" x14ac:dyDescent="0.55000000000000004">
      <c r="A1675">
        <v>1567</v>
      </c>
      <c r="B1675" t="s">
        <v>99</v>
      </c>
      <c r="C1675">
        <v>23</v>
      </c>
      <c r="D1675">
        <v>2153</v>
      </c>
      <c r="E1675" t="s">
        <v>1789</v>
      </c>
      <c r="F1675">
        <v>14.86</v>
      </c>
      <c r="G1675" t="s">
        <v>1889</v>
      </c>
      <c r="H1675" t="s">
        <v>1891</v>
      </c>
      <c r="K1675" t="s">
        <v>3253</v>
      </c>
    </row>
    <row r="1676" spans="1:11" x14ac:dyDescent="0.55000000000000004">
      <c r="A1676">
        <v>1568</v>
      </c>
      <c r="B1676" t="s">
        <v>99</v>
      </c>
      <c r="C1676">
        <v>23</v>
      </c>
      <c r="D1676">
        <v>2153</v>
      </c>
      <c r="E1676" t="s">
        <v>1790</v>
      </c>
      <c r="F1676">
        <v>15.09</v>
      </c>
      <c r="G1676" t="s">
        <v>1889</v>
      </c>
      <c r="H1676" t="s">
        <v>1891</v>
      </c>
      <c r="K1676" t="s">
        <v>3254</v>
      </c>
    </row>
    <row r="1677" spans="1:11" x14ac:dyDescent="0.55000000000000004">
      <c r="A1677">
        <v>1569</v>
      </c>
      <c r="B1677" t="s">
        <v>99</v>
      </c>
      <c r="C1677">
        <v>23</v>
      </c>
      <c r="D1677">
        <v>2153</v>
      </c>
      <c r="E1677" t="s">
        <v>1791</v>
      </c>
      <c r="F1677">
        <v>14.69</v>
      </c>
      <c r="G1677" t="s">
        <v>1889</v>
      </c>
      <c r="H1677" t="s">
        <v>1891</v>
      </c>
      <c r="K1677" t="s">
        <v>3255</v>
      </c>
    </row>
    <row r="1678" spans="1:11" x14ac:dyDescent="0.55000000000000004">
      <c r="A1678">
        <v>1570</v>
      </c>
      <c r="B1678" t="s">
        <v>99</v>
      </c>
      <c r="C1678">
        <v>23</v>
      </c>
      <c r="D1678">
        <v>2153</v>
      </c>
      <c r="E1678" t="s">
        <v>1792</v>
      </c>
      <c r="F1678">
        <v>15.28</v>
      </c>
      <c r="G1678" t="s">
        <v>2113</v>
      </c>
      <c r="H1678" t="s">
        <v>110</v>
      </c>
    </row>
    <row r="1679" spans="1:11" x14ac:dyDescent="0.55000000000000004">
      <c r="A1679">
        <v>1571</v>
      </c>
      <c r="B1679" t="s">
        <v>99</v>
      </c>
      <c r="C1679">
        <v>23</v>
      </c>
      <c r="D1679">
        <v>2153</v>
      </c>
      <c r="E1679" t="s">
        <v>1793</v>
      </c>
      <c r="F1679">
        <v>16.37</v>
      </c>
      <c r="G1679" t="s">
        <v>2113</v>
      </c>
      <c r="H1679" t="s">
        <v>110</v>
      </c>
    </row>
    <row r="1680" spans="1:11" x14ac:dyDescent="0.55000000000000004">
      <c r="A1680">
        <v>1572</v>
      </c>
      <c r="B1680" t="s">
        <v>99</v>
      </c>
      <c r="C1680">
        <v>23</v>
      </c>
      <c r="D1680">
        <v>2153</v>
      </c>
      <c r="E1680" t="s">
        <v>1794</v>
      </c>
      <c r="F1680">
        <v>16.89</v>
      </c>
      <c r="G1680" t="s">
        <v>2113</v>
      </c>
      <c r="H1680" t="s">
        <v>110</v>
      </c>
    </row>
    <row r="1681" spans="1:8" x14ac:dyDescent="0.55000000000000004">
      <c r="A1681">
        <v>1573</v>
      </c>
      <c r="B1681" t="s">
        <v>99</v>
      </c>
      <c r="C1681">
        <v>23</v>
      </c>
      <c r="D1681">
        <v>2153</v>
      </c>
      <c r="E1681" t="s">
        <v>1795</v>
      </c>
      <c r="F1681">
        <v>16.41</v>
      </c>
      <c r="G1681" t="s">
        <v>2113</v>
      </c>
      <c r="H1681" t="s">
        <v>110</v>
      </c>
    </row>
  </sheetData>
  <sortState xmlns:xlrd2="http://schemas.microsoft.com/office/spreadsheetml/2017/richdata2" ref="A2:L1681">
    <sortCondition ref="L2:L16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63F-A1B5-489D-9550-A034EBD939A8}">
  <dimension ref="A1:O1681"/>
  <sheetViews>
    <sheetView tabSelected="1" topLeftCell="G1" workbookViewId="0">
      <selection activeCell="O1" sqref="O1"/>
    </sheetView>
  </sheetViews>
  <sheetFormatPr defaultRowHeight="14.4" x14ac:dyDescent="0.55000000000000004"/>
  <cols>
    <col min="2" max="2" width="13.734375" style="25" bestFit="1" customWidth="1"/>
    <col min="3" max="3" width="8.83984375" style="25"/>
    <col min="4" max="4" width="12.47265625" style="25" bestFit="1" customWidth="1"/>
    <col min="5" max="5" width="18.26171875" style="25" bestFit="1" customWidth="1"/>
    <col min="6" max="6" width="8.83984375" style="25"/>
    <col min="7" max="8" width="21.734375" style="25" customWidth="1"/>
    <col min="9" max="9" width="18.26171875" style="25" customWidth="1"/>
    <col min="10" max="10" width="10.47265625" style="25" customWidth="1"/>
    <col min="11" max="11" width="14.1015625" style="25" customWidth="1"/>
    <col min="12" max="12" width="12" style="25" customWidth="1"/>
    <col min="13" max="13" width="6.5234375" style="25" customWidth="1"/>
    <col min="14" max="14" width="12.7890625" style="25" customWidth="1"/>
    <col min="15" max="15" width="8.83984375" style="18"/>
  </cols>
  <sheetData>
    <row r="1" spans="1:15" s="20" customFormat="1" ht="28.8" x14ac:dyDescent="0.55000000000000004">
      <c r="A1" s="20" t="s">
        <v>3307</v>
      </c>
      <c r="B1" s="21" t="s">
        <v>1</v>
      </c>
      <c r="C1" s="21" t="s">
        <v>110</v>
      </c>
      <c r="D1" s="21" t="s">
        <v>111</v>
      </c>
      <c r="E1" s="21" t="s">
        <v>112</v>
      </c>
      <c r="F1" s="21" t="s">
        <v>3359</v>
      </c>
      <c r="G1" s="22" t="s">
        <v>3360</v>
      </c>
      <c r="H1" s="22" t="s">
        <v>3361</v>
      </c>
      <c r="I1" s="22" t="s">
        <v>3362</v>
      </c>
      <c r="J1" s="21" t="s">
        <v>3363</v>
      </c>
      <c r="K1" s="22" t="s">
        <v>3364</v>
      </c>
      <c r="L1" s="22" t="s">
        <v>3365</v>
      </c>
      <c r="M1" s="21" t="s">
        <v>113</v>
      </c>
      <c r="N1" s="23" t="s">
        <v>1890</v>
      </c>
      <c r="O1" s="24" t="s">
        <v>3326</v>
      </c>
    </row>
    <row r="2" spans="1:15" x14ac:dyDescent="0.55000000000000004">
      <c r="A2">
        <v>1</v>
      </c>
      <c r="B2" s="25" t="s">
        <v>5</v>
      </c>
      <c r="C2" s="25">
        <v>25</v>
      </c>
      <c r="D2" s="25" t="s">
        <v>3366</v>
      </c>
      <c r="E2" s="25" t="s">
        <v>3367</v>
      </c>
      <c r="F2" s="25">
        <v>11.76</v>
      </c>
      <c r="G2" s="25" t="s">
        <v>1889</v>
      </c>
      <c r="H2" s="25">
        <f>3.03+8.88</f>
        <v>11.91</v>
      </c>
      <c r="I2" s="25">
        <f>3.03+8.88</f>
        <v>11.91</v>
      </c>
      <c r="J2" s="25" t="s">
        <v>1891</v>
      </c>
      <c r="K2" s="25" t="str">
        <f>VLOOKUP(E2,[1]PrelimAssignPOP!$I$1:$J$947,2,FALSE)</f>
        <v>ART</v>
      </c>
      <c r="L2" s="25" t="s">
        <v>210</v>
      </c>
      <c r="M2" s="25" t="s">
        <v>114</v>
      </c>
      <c r="N2" s="25" t="s">
        <v>1892</v>
      </c>
    </row>
    <row r="3" spans="1:15" x14ac:dyDescent="0.55000000000000004">
      <c r="A3">
        <v>2</v>
      </c>
      <c r="B3" s="25" t="s">
        <v>5</v>
      </c>
      <c r="C3" s="25">
        <v>25</v>
      </c>
      <c r="D3" s="25" t="s">
        <v>3366</v>
      </c>
      <c r="E3" s="25" t="s">
        <v>3368</v>
      </c>
      <c r="F3" s="25">
        <v>10.95</v>
      </c>
      <c r="G3" s="25" t="s">
        <v>1889</v>
      </c>
      <c r="H3" s="25">
        <f>3.27+2.06+5.68</f>
        <v>11.01</v>
      </c>
      <c r="I3" s="25">
        <f>3.27+2.06+5.68</f>
        <v>11.01</v>
      </c>
      <c r="J3" s="25" t="s">
        <v>1891</v>
      </c>
      <c r="K3" s="25" t="str">
        <f>VLOOKUP(E3,[1]PrelimAssignPOP!$I$1:$J$947,2,FALSE)</f>
        <v>ART</v>
      </c>
      <c r="L3" s="25" t="s">
        <v>210</v>
      </c>
      <c r="M3" s="25" t="s">
        <v>122</v>
      </c>
      <c r="N3" s="25" t="s">
        <v>1915</v>
      </c>
    </row>
    <row r="4" spans="1:15" x14ac:dyDescent="0.55000000000000004">
      <c r="A4">
        <v>3</v>
      </c>
      <c r="B4" s="25" t="s">
        <v>5</v>
      </c>
      <c r="C4" s="25">
        <v>25</v>
      </c>
      <c r="D4" s="25" t="s">
        <v>3366</v>
      </c>
      <c r="E4" s="25" t="s">
        <v>3369</v>
      </c>
      <c r="F4" s="25">
        <v>11.79</v>
      </c>
      <c r="G4" s="25" t="s">
        <v>1889</v>
      </c>
      <c r="H4" s="25">
        <f>3.03+3.55+2.29+3.61</f>
        <v>12.48</v>
      </c>
      <c r="I4" s="25">
        <f>3.03+3.55+2.29+3.61</f>
        <v>12.48</v>
      </c>
      <c r="J4" s="25" t="s">
        <v>1891</v>
      </c>
      <c r="K4" s="25" t="str">
        <f>VLOOKUP(E4,[1]PrelimAssignPOP!$I$1:$J$947,2,FALSE)</f>
        <v>ART</v>
      </c>
      <c r="L4" s="25" t="s">
        <v>210</v>
      </c>
      <c r="M4" s="25" t="s">
        <v>123</v>
      </c>
      <c r="N4" s="25" t="s">
        <v>1916</v>
      </c>
    </row>
    <row r="5" spans="1:15" x14ac:dyDescent="0.55000000000000004">
      <c r="A5">
        <v>4</v>
      </c>
      <c r="B5" s="25" t="s">
        <v>5</v>
      </c>
      <c r="C5" s="25">
        <v>25</v>
      </c>
      <c r="D5" s="25" t="s">
        <v>3366</v>
      </c>
      <c r="E5" s="25" t="s">
        <v>3370</v>
      </c>
      <c r="F5" s="25">
        <v>12.16</v>
      </c>
      <c r="G5" s="25" t="s">
        <v>1889</v>
      </c>
      <c r="H5" s="25">
        <f>3.84+2.89+5.53</f>
        <v>12.260000000000002</v>
      </c>
      <c r="I5" s="25">
        <f>3.84+2.89+5.53</f>
        <v>12.260000000000002</v>
      </c>
      <c r="J5" s="25" t="s">
        <v>1891</v>
      </c>
      <c r="K5" s="25" t="str">
        <f>VLOOKUP(E5,[1]PrelimAssignPOP!$I$1:$J$947,2,FALSE)</f>
        <v>ART</v>
      </c>
      <c r="L5" s="25" t="s">
        <v>210</v>
      </c>
      <c r="M5" s="25" t="s">
        <v>124</v>
      </c>
      <c r="N5" s="25" t="s">
        <v>1893</v>
      </c>
    </row>
    <row r="6" spans="1:15" x14ac:dyDescent="0.55000000000000004">
      <c r="A6">
        <v>5</v>
      </c>
      <c r="B6" s="25" t="s">
        <v>5</v>
      </c>
      <c r="C6" s="25">
        <v>25</v>
      </c>
      <c r="D6" s="25" t="s">
        <v>3366</v>
      </c>
      <c r="E6" s="25" t="s">
        <v>3371</v>
      </c>
      <c r="F6" s="25">
        <v>11.18</v>
      </c>
      <c r="G6" s="25" t="s">
        <v>1889</v>
      </c>
      <c r="H6" s="25">
        <f>4.32+7.06</f>
        <v>11.379999999999999</v>
      </c>
      <c r="I6" s="25">
        <f>4.32+7.06</f>
        <v>11.379999999999999</v>
      </c>
      <c r="J6" s="25" t="s">
        <v>1891</v>
      </c>
      <c r="K6" s="25" t="str">
        <f>VLOOKUP(E6,[1]PrelimAssignPOP!$I$1:$J$947,2,FALSE)</f>
        <v>ART</v>
      </c>
      <c r="L6" s="25" t="s">
        <v>210</v>
      </c>
      <c r="M6" s="25" t="s">
        <v>125</v>
      </c>
      <c r="N6" s="25" t="s">
        <v>1894</v>
      </c>
    </row>
    <row r="7" spans="1:15" x14ac:dyDescent="0.55000000000000004">
      <c r="A7">
        <v>6</v>
      </c>
      <c r="B7" s="25" t="s">
        <v>5</v>
      </c>
      <c r="C7" s="25">
        <v>25</v>
      </c>
      <c r="D7" s="25" t="s">
        <v>3366</v>
      </c>
      <c r="E7" s="25" t="s">
        <v>3372</v>
      </c>
      <c r="F7" s="25">
        <v>9.9700000000000006</v>
      </c>
      <c r="G7" s="25" t="s">
        <v>1889</v>
      </c>
      <c r="H7" s="25">
        <f>4.7+5.32</f>
        <v>10.02</v>
      </c>
      <c r="I7" s="25">
        <f>4.7+5.32</f>
        <v>10.02</v>
      </c>
      <c r="J7" s="25" t="s">
        <v>1891</v>
      </c>
      <c r="K7" s="25" t="str">
        <f>VLOOKUP(E7,[1]PrelimAssignPOP!$I$1:$J$947,2,FALSE)</f>
        <v>ART</v>
      </c>
      <c r="L7" s="25" t="s">
        <v>210</v>
      </c>
      <c r="M7" s="25" t="s">
        <v>126</v>
      </c>
      <c r="N7" s="25" t="s">
        <v>1895</v>
      </c>
    </row>
    <row r="8" spans="1:15" x14ac:dyDescent="0.55000000000000004">
      <c r="A8">
        <v>7</v>
      </c>
      <c r="B8" s="25" t="s">
        <v>5</v>
      </c>
      <c r="C8" s="25">
        <v>25</v>
      </c>
      <c r="D8" s="25" t="s">
        <v>3366</v>
      </c>
      <c r="E8" s="25" t="s">
        <v>3373</v>
      </c>
      <c r="F8" s="25">
        <v>9</v>
      </c>
      <c r="G8" s="25" t="s">
        <v>1889</v>
      </c>
      <c r="H8" s="25">
        <f>0.899+6.31+2.45</f>
        <v>9.6589999999999989</v>
      </c>
      <c r="I8" s="25">
        <f>0.899+6.31+2.45</f>
        <v>9.6589999999999989</v>
      </c>
      <c r="J8" s="25" t="s">
        <v>1891</v>
      </c>
      <c r="K8" s="25" t="str">
        <f>VLOOKUP(E8,[1]PrelimAssignPOP!$I$1:$J$947,2,FALSE)</f>
        <v>ART</v>
      </c>
      <c r="L8" s="25" t="s">
        <v>210</v>
      </c>
      <c r="M8" s="25" t="s">
        <v>127</v>
      </c>
      <c r="N8" s="25" t="s">
        <v>1896</v>
      </c>
    </row>
    <row r="9" spans="1:15" x14ac:dyDescent="0.55000000000000004">
      <c r="A9">
        <v>8</v>
      </c>
      <c r="B9" s="25" t="s">
        <v>5</v>
      </c>
      <c r="C9" s="25">
        <v>25</v>
      </c>
      <c r="D9" s="25" t="s">
        <v>3366</v>
      </c>
      <c r="E9" s="25" t="s">
        <v>3374</v>
      </c>
      <c r="F9" s="25">
        <v>10.97</v>
      </c>
      <c r="G9" s="25" t="s">
        <v>1889</v>
      </c>
      <c r="H9" s="25">
        <f>1.99+6.68+2.54</f>
        <v>11.21</v>
      </c>
      <c r="I9" s="25">
        <f>1.99+6.68+2.54</f>
        <v>11.21</v>
      </c>
      <c r="J9" s="25" t="s">
        <v>1891</v>
      </c>
      <c r="K9" s="25" t="str">
        <f>VLOOKUP(E9,[1]PrelimAssignPOP!$I$1:$J$947,2,FALSE)</f>
        <v>ART</v>
      </c>
      <c r="L9" s="25" t="s">
        <v>210</v>
      </c>
      <c r="M9" s="25" t="s">
        <v>128</v>
      </c>
      <c r="N9" s="25" t="s">
        <v>1897</v>
      </c>
    </row>
    <row r="10" spans="1:15" x14ac:dyDescent="0.55000000000000004">
      <c r="A10">
        <v>9</v>
      </c>
      <c r="B10" s="25" t="s">
        <v>5</v>
      </c>
      <c r="C10" s="25">
        <v>25</v>
      </c>
      <c r="D10" s="25" t="s">
        <v>3366</v>
      </c>
      <c r="E10" s="25" t="s">
        <v>3375</v>
      </c>
      <c r="F10" s="25">
        <v>10.16</v>
      </c>
      <c r="G10" s="25" t="s">
        <v>1889</v>
      </c>
      <c r="H10" s="25">
        <f>1.21+3.19+2.05+1.38+2.82</f>
        <v>10.65</v>
      </c>
      <c r="I10" s="25">
        <f>1.21+3.19+2.05+1.38+2.82</f>
        <v>10.65</v>
      </c>
      <c r="J10" s="25" t="s">
        <v>1891</v>
      </c>
      <c r="K10" s="25" t="str">
        <f>VLOOKUP(E10,[1]PrelimAssignPOP!$I$1:$J$947,2,FALSE)</f>
        <v>HYB</v>
      </c>
      <c r="L10" s="25" t="s">
        <v>210</v>
      </c>
      <c r="M10" s="25" t="s">
        <v>129</v>
      </c>
      <c r="N10" s="25" t="s">
        <v>1898</v>
      </c>
    </row>
    <row r="11" spans="1:15" x14ac:dyDescent="0.55000000000000004">
      <c r="A11">
        <v>10</v>
      </c>
      <c r="B11" s="25" t="s">
        <v>5</v>
      </c>
      <c r="C11" s="25">
        <v>25</v>
      </c>
      <c r="D11" s="25" t="s">
        <v>3366</v>
      </c>
      <c r="E11" s="25" t="s">
        <v>3376</v>
      </c>
      <c r="F11" s="25">
        <v>11.24</v>
      </c>
      <c r="G11" s="25" t="s">
        <v>1889</v>
      </c>
      <c r="H11" s="25">
        <f>2.33+6.85+2.36</f>
        <v>11.54</v>
      </c>
      <c r="I11" s="25">
        <f>2.33+6.85+2.36</f>
        <v>11.54</v>
      </c>
      <c r="J11" s="25" t="s">
        <v>1891</v>
      </c>
      <c r="K11" s="25" t="str">
        <f>VLOOKUP(E11,[1]PrelimAssignPOP!$I$1:$J$947,2,FALSE)</f>
        <v>ART</v>
      </c>
      <c r="L11" s="25" t="s">
        <v>210</v>
      </c>
      <c r="M11" s="25" t="s">
        <v>130</v>
      </c>
      <c r="N11" s="25" t="s">
        <v>1899</v>
      </c>
    </row>
    <row r="12" spans="1:15" x14ac:dyDescent="0.55000000000000004">
      <c r="A12">
        <v>11</v>
      </c>
      <c r="B12" s="25" t="s">
        <v>5</v>
      </c>
      <c r="C12" s="25">
        <v>25</v>
      </c>
      <c r="D12" s="25" t="s">
        <v>3366</v>
      </c>
      <c r="E12" s="25" t="s">
        <v>3377</v>
      </c>
      <c r="F12" s="25">
        <v>11.3</v>
      </c>
      <c r="G12" s="25" t="s">
        <v>1889</v>
      </c>
      <c r="H12" s="25">
        <f>1.59+3.03+2.65+4.34</f>
        <v>11.61</v>
      </c>
      <c r="I12" s="25">
        <f>1.59+3.03+2.65+4.34</f>
        <v>11.61</v>
      </c>
      <c r="J12" s="25" t="s">
        <v>1891</v>
      </c>
      <c r="K12" s="25" t="str">
        <f>VLOOKUP(E12,[1]PrelimAssignPOP!$I$1:$J$947,2,FALSE)</f>
        <v>ART</v>
      </c>
      <c r="L12" s="25" t="s">
        <v>210</v>
      </c>
      <c r="M12" s="25" t="s">
        <v>131</v>
      </c>
      <c r="N12" s="25" t="s">
        <v>1900</v>
      </c>
    </row>
    <row r="13" spans="1:15" x14ac:dyDescent="0.55000000000000004">
      <c r="A13">
        <v>12</v>
      </c>
      <c r="B13" s="25" t="s">
        <v>5</v>
      </c>
      <c r="C13" s="25">
        <v>25</v>
      </c>
      <c r="D13" s="25" t="s">
        <v>3366</v>
      </c>
      <c r="E13" s="25" t="s">
        <v>3378</v>
      </c>
      <c r="F13" s="25">
        <v>9.61</v>
      </c>
      <c r="G13" s="25" t="s">
        <v>1889</v>
      </c>
      <c r="H13" s="25">
        <f>6.47+3.15</f>
        <v>9.6199999999999992</v>
      </c>
      <c r="I13" s="25">
        <f>6.47+3.15</f>
        <v>9.6199999999999992</v>
      </c>
      <c r="J13" s="25" t="s">
        <v>1891</v>
      </c>
      <c r="K13" s="25" t="str">
        <f>VLOOKUP(E13,[1]PrelimAssignPOP!$I$1:$J$947,2,FALSE)</f>
        <v>ART</v>
      </c>
      <c r="L13" s="25" t="s">
        <v>210</v>
      </c>
      <c r="M13" s="25" t="s">
        <v>132</v>
      </c>
      <c r="N13" s="25" t="s">
        <v>1901</v>
      </c>
    </row>
    <row r="14" spans="1:15" x14ac:dyDescent="0.55000000000000004">
      <c r="A14">
        <v>13</v>
      </c>
      <c r="B14" s="25" t="s">
        <v>5</v>
      </c>
      <c r="C14" s="25">
        <v>25</v>
      </c>
      <c r="D14" s="25" t="s">
        <v>3366</v>
      </c>
      <c r="E14" s="25" t="s">
        <v>3379</v>
      </c>
      <c r="F14" s="25">
        <v>13.18</v>
      </c>
      <c r="G14" s="25" t="s">
        <v>1889</v>
      </c>
      <c r="H14" s="25">
        <f>7.12+5.97</f>
        <v>13.09</v>
      </c>
      <c r="I14" s="25">
        <f>7.12+5.97</f>
        <v>13.09</v>
      </c>
      <c r="J14" s="25" t="s">
        <v>1891</v>
      </c>
      <c r="N14" s="25" t="s">
        <v>1902</v>
      </c>
    </row>
    <row r="15" spans="1:15" x14ac:dyDescent="0.55000000000000004">
      <c r="A15">
        <v>14</v>
      </c>
      <c r="B15" s="25" t="s">
        <v>5</v>
      </c>
      <c r="C15" s="25">
        <v>25</v>
      </c>
      <c r="D15" s="25" t="s">
        <v>3366</v>
      </c>
      <c r="E15" s="25" t="s">
        <v>3380</v>
      </c>
      <c r="F15" s="25">
        <v>11.28</v>
      </c>
      <c r="G15" s="25" t="s">
        <v>1889</v>
      </c>
      <c r="H15" s="25">
        <f>3.52+2.89+1.88+3.15</f>
        <v>11.44</v>
      </c>
      <c r="I15" s="25">
        <f>3.52+2.89+1.88+3.15</f>
        <v>11.44</v>
      </c>
      <c r="J15" s="25" t="s">
        <v>1891</v>
      </c>
      <c r="N15" s="25" t="s">
        <v>1903</v>
      </c>
    </row>
    <row r="16" spans="1:15" x14ac:dyDescent="0.55000000000000004">
      <c r="A16">
        <v>15</v>
      </c>
      <c r="B16" s="25" t="s">
        <v>5</v>
      </c>
      <c r="C16" s="25">
        <v>25</v>
      </c>
      <c r="D16" s="25" t="s">
        <v>3366</v>
      </c>
      <c r="E16" s="25" t="s">
        <v>3381</v>
      </c>
      <c r="F16" s="25">
        <v>11.6</v>
      </c>
      <c r="G16" s="25" t="s">
        <v>1889</v>
      </c>
      <c r="H16" s="25">
        <f>3.36+2.32+1.86+4.66</f>
        <v>12.2</v>
      </c>
      <c r="I16" s="25">
        <f>3.36+2.32+1.86+4.66</f>
        <v>12.2</v>
      </c>
      <c r="J16" s="25" t="s">
        <v>1891</v>
      </c>
      <c r="N16" s="25" t="s">
        <v>1904</v>
      </c>
    </row>
    <row r="17" spans="1:14" x14ac:dyDescent="0.55000000000000004">
      <c r="A17">
        <v>16</v>
      </c>
      <c r="B17" s="25" t="s">
        <v>5</v>
      </c>
      <c r="C17" s="25">
        <v>25</v>
      </c>
      <c r="D17" s="25" t="s">
        <v>3366</v>
      </c>
      <c r="E17" s="25" t="s">
        <v>3382</v>
      </c>
      <c r="F17" s="25">
        <v>9.5</v>
      </c>
      <c r="G17" s="25" t="s">
        <v>1889</v>
      </c>
      <c r="H17" s="25">
        <f>4.21+2.19+1.06+2.22</f>
        <v>9.6800000000000015</v>
      </c>
      <c r="I17" s="25">
        <f>4.21+2.19+1.06+2.22</f>
        <v>9.6800000000000015</v>
      </c>
      <c r="J17" s="25" t="s">
        <v>1891</v>
      </c>
      <c r="N17" s="25" t="s">
        <v>1905</v>
      </c>
    </row>
    <row r="18" spans="1:14" x14ac:dyDescent="0.55000000000000004">
      <c r="A18">
        <v>17</v>
      </c>
      <c r="B18" s="25" t="s">
        <v>5</v>
      </c>
      <c r="C18" s="25">
        <v>25</v>
      </c>
      <c r="D18" s="25" t="s">
        <v>3366</v>
      </c>
      <c r="E18" s="25" t="s">
        <v>3383</v>
      </c>
      <c r="F18" s="25">
        <v>11.25</v>
      </c>
      <c r="G18" s="25" t="s">
        <v>1889</v>
      </c>
      <c r="H18" s="25">
        <f>3.24+3.46+2.58+2.01</f>
        <v>11.290000000000001</v>
      </c>
      <c r="I18" s="25">
        <f>3.24+3.46+2.58+2.01</f>
        <v>11.290000000000001</v>
      </c>
      <c r="J18" s="25" t="s">
        <v>1891</v>
      </c>
      <c r="N18" s="25" t="s">
        <v>1906</v>
      </c>
    </row>
    <row r="19" spans="1:14" x14ac:dyDescent="0.55000000000000004">
      <c r="A19">
        <v>18</v>
      </c>
      <c r="B19" s="25" t="s">
        <v>5</v>
      </c>
      <c r="C19" s="25">
        <v>25</v>
      </c>
      <c r="D19" s="25" t="s">
        <v>3366</v>
      </c>
      <c r="E19" s="25" t="s">
        <v>3384</v>
      </c>
      <c r="F19" s="25">
        <v>12.48</v>
      </c>
      <c r="G19" s="25" t="s">
        <v>1889</v>
      </c>
      <c r="H19" s="25">
        <f>3.8+2.75+6.05</f>
        <v>12.6</v>
      </c>
      <c r="I19" s="25">
        <f>3.8+2.75+6.05</f>
        <v>12.6</v>
      </c>
      <c r="J19" s="25" t="s">
        <v>1891</v>
      </c>
      <c r="N19" s="25" t="s">
        <v>1907</v>
      </c>
    </row>
    <row r="20" spans="1:14" x14ac:dyDescent="0.55000000000000004">
      <c r="A20">
        <v>19</v>
      </c>
      <c r="B20" s="25" t="s">
        <v>5</v>
      </c>
      <c r="C20" s="25">
        <v>25</v>
      </c>
      <c r="D20" s="25" t="s">
        <v>3366</v>
      </c>
      <c r="E20" s="25" t="s">
        <v>3385</v>
      </c>
      <c r="F20" s="25">
        <v>12.01</v>
      </c>
      <c r="G20" s="25" t="s">
        <v>1889</v>
      </c>
      <c r="H20" s="25">
        <f>5.32+7.05</f>
        <v>12.370000000000001</v>
      </c>
      <c r="I20" s="25">
        <f>5.32+7.05</f>
        <v>12.370000000000001</v>
      </c>
      <c r="J20" s="25" t="s">
        <v>1891</v>
      </c>
      <c r="N20" s="25" t="s">
        <v>1908</v>
      </c>
    </row>
    <row r="21" spans="1:14" x14ac:dyDescent="0.55000000000000004">
      <c r="A21">
        <v>20</v>
      </c>
      <c r="B21" s="25" t="s">
        <v>5</v>
      </c>
      <c r="C21" s="25">
        <v>25</v>
      </c>
      <c r="D21" s="25" t="s">
        <v>3366</v>
      </c>
      <c r="E21" s="25" t="s">
        <v>3386</v>
      </c>
      <c r="F21" s="25">
        <v>10.27</v>
      </c>
      <c r="G21" s="25" t="s">
        <v>1889</v>
      </c>
      <c r="H21" s="25">
        <f>3.46+4.01+1.5+1.84</f>
        <v>10.809999999999999</v>
      </c>
      <c r="I21" s="25">
        <f>3.46+4.01+1.5+1.84</f>
        <v>10.809999999999999</v>
      </c>
      <c r="J21" s="25" t="s">
        <v>1891</v>
      </c>
      <c r="N21" s="25" t="s">
        <v>1909</v>
      </c>
    </row>
    <row r="22" spans="1:14" x14ac:dyDescent="0.55000000000000004">
      <c r="A22">
        <v>21</v>
      </c>
      <c r="B22" s="25" t="s">
        <v>5</v>
      </c>
      <c r="C22" s="25">
        <v>25</v>
      </c>
      <c r="D22" s="25" t="s">
        <v>3366</v>
      </c>
      <c r="E22" s="25" t="s">
        <v>3387</v>
      </c>
      <c r="F22" s="25">
        <v>12.26</v>
      </c>
      <c r="G22" s="25" t="s">
        <v>1889</v>
      </c>
      <c r="H22" s="25">
        <f>6.34+3.17+2.98</f>
        <v>12.49</v>
      </c>
      <c r="I22" s="25">
        <f>6.34+3.17+2.98</f>
        <v>12.49</v>
      </c>
      <c r="J22" s="25" t="s">
        <v>1891</v>
      </c>
      <c r="N22" s="25" t="s">
        <v>1910</v>
      </c>
    </row>
    <row r="23" spans="1:14" x14ac:dyDescent="0.55000000000000004">
      <c r="A23">
        <v>22</v>
      </c>
      <c r="B23" s="25" t="s">
        <v>5</v>
      </c>
      <c r="C23" s="25">
        <v>25</v>
      </c>
      <c r="D23" s="25" t="s">
        <v>3366</v>
      </c>
      <c r="E23" s="25" t="s">
        <v>3388</v>
      </c>
      <c r="F23" s="25">
        <v>12.32</v>
      </c>
      <c r="G23" s="25" t="s">
        <v>1889</v>
      </c>
      <c r="H23" s="25">
        <f>4.08+3.33+3.17+1.95</f>
        <v>12.53</v>
      </c>
      <c r="I23" s="25">
        <f>4.08+3.33+3.17+1.95</f>
        <v>12.53</v>
      </c>
      <c r="J23" s="25" t="s">
        <v>1891</v>
      </c>
      <c r="N23" s="25" t="s">
        <v>1911</v>
      </c>
    </row>
    <row r="24" spans="1:14" x14ac:dyDescent="0.55000000000000004">
      <c r="A24">
        <v>23</v>
      </c>
      <c r="B24" s="25" t="s">
        <v>5</v>
      </c>
      <c r="C24" s="25">
        <v>25</v>
      </c>
      <c r="D24" s="25" t="s">
        <v>3366</v>
      </c>
      <c r="E24" s="25" t="s">
        <v>3389</v>
      </c>
      <c r="F24" s="25">
        <v>10.98</v>
      </c>
      <c r="G24" s="25" t="s">
        <v>1889</v>
      </c>
      <c r="H24" s="25">
        <f>1.87+7.12+2.88</f>
        <v>11.870000000000001</v>
      </c>
      <c r="I24" s="25">
        <f>1.87+7.12+2.88</f>
        <v>11.870000000000001</v>
      </c>
      <c r="J24" s="25" t="s">
        <v>1891</v>
      </c>
      <c r="N24" s="25" t="s">
        <v>1912</v>
      </c>
    </row>
    <row r="25" spans="1:14" x14ac:dyDescent="0.55000000000000004">
      <c r="A25">
        <v>24</v>
      </c>
      <c r="B25" s="25" t="s">
        <v>5</v>
      </c>
      <c r="C25" s="25">
        <v>25</v>
      </c>
      <c r="D25" s="25" t="s">
        <v>3366</v>
      </c>
      <c r="E25" s="25" t="s">
        <v>3390</v>
      </c>
      <c r="F25" s="25">
        <v>10.92</v>
      </c>
      <c r="G25" s="25" t="s">
        <v>1889</v>
      </c>
      <c r="H25" s="25">
        <f>4.68+2.67+1.91+2.45</f>
        <v>11.71</v>
      </c>
      <c r="I25" s="25">
        <f>4.68+2.67+1.91+2.45</f>
        <v>11.71</v>
      </c>
      <c r="J25" s="25" t="s">
        <v>1891</v>
      </c>
      <c r="N25" s="25" t="s">
        <v>1913</v>
      </c>
    </row>
    <row r="26" spans="1:14" x14ac:dyDescent="0.55000000000000004">
      <c r="A26">
        <v>25</v>
      </c>
      <c r="B26" s="25" t="s">
        <v>5</v>
      </c>
      <c r="C26" s="25">
        <v>25</v>
      </c>
      <c r="D26" s="25" t="s">
        <v>3366</v>
      </c>
      <c r="E26" s="25" t="s">
        <v>3391</v>
      </c>
      <c r="F26" s="25">
        <v>11.49</v>
      </c>
      <c r="G26" s="25" t="s">
        <v>1889</v>
      </c>
      <c r="H26" s="25">
        <f>1.27+2.52+3.18+2.27+2.56</f>
        <v>11.8</v>
      </c>
      <c r="I26" s="25">
        <f>1.27+2.52+3.18+2.27+2.56</f>
        <v>11.8</v>
      </c>
      <c r="J26" s="25" t="s">
        <v>1891</v>
      </c>
      <c r="N26" s="25" t="s">
        <v>1914</v>
      </c>
    </row>
    <row r="27" spans="1:14" x14ac:dyDescent="0.55000000000000004">
      <c r="A27">
        <v>26</v>
      </c>
      <c r="B27" s="25" t="s">
        <v>7</v>
      </c>
      <c r="C27" s="25">
        <v>25</v>
      </c>
      <c r="D27" s="25" t="s">
        <v>3392</v>
      </c>
      <c r="E27" s="25" t="s">
        <v>3393</v>
      </c>
      <c r="F27" s="25">
        <v>11.13</v>
      </c>
      <c r="G27" s="25" t="s">
        <v>1889</v>
      </c>
      <c r="H27" s="25">
        <f>2.42+2.98+3.44+2.57</f>
        <v>11.41</v>
      </c>
      <c r="I27" s="25">
        <f>2.42+2.98+3.44+2.57</f>
        <v>11.41</v>
      </c>
      <c r="J27" s="25" t="s">
        <v>1891</v>
      </c>
      <c r="K27" s="25" t="str">
        <f>VLOOKUP(E27,[1]PrelimAssignPOP!$I$1:$J$947,2,FALSE)</f>
        <v>ART</v>
      </c>
      <c r="L27" s="25" t="s">
        <v>210</v>
      </c>
      <c r="M27" s="25" t="s">
        <v>115</v>
      </c>
      <c r="N27" s="25" t="s">
        <v>1917</v>
      </c>
    </row>
    <row r="28" spans="1:14" x14ac:dyDescent="0.55000000000000004">
      <c r="A28">
        <v>27</v>
      </c>
      <c r="B28" s="25" t="s">
        <v>7</v>
      </c>
      <c r="C28" s="25">
        <v>25</v>
      </c>
      <c r="D28" s="25" t="s">
        <v>3392</v>
      </c>
      <c r="E28" s="25" t="s">
        <v>3394</v>
      </c>
      <c r="F28" s="25">
        <v>9.57</v>
      </c>
      <c r="G28" s="25" t="s">
        <v>1889</v>
      </c>
      <c r="H28" s="25">
        <f>6.57+3.11</f>
        <v>9.68</v>
      </c>
      <c r="I28" s="25">
        <f>6.57+3.11</f>
        <v>9.68</v>
      </c>
      <c r="J28" s="25" t="s">
        <v>1891</v>
      </c>
      <c r="K28" s="25" t="str">
        <f>VLOOKUP(E28,[1]PrelimAssignPOP!$I$1:$J$947,2,FALSE)</f>
        <v>ART</v>
      </c>
      <c r="L28" s="25" t="s">
        <v>210</v>
      </c>
      <c r="M28" s="25" t="s">
        <v>133</v>
      </c>
      <c r="N28" s="25" t="s">
        <v>1918</v>
      </c>
    </row>
    <row r="29" spans="1:14" x14ac:dyDescent="0.55000000000000004">
      <c r="A29">
        <v>28</v>
      </c>
      <c r="B29" s="25" t="s">
        <v>7</v>
      </c>
      <c r="C29" s="25">
        <v>25</v>
      </c>
      <c r="D29" s="25" t="s">
        <v>3392</v>
      </c>
      <c r="E29" s="25" t="s">
        <v>3395</v>
      </c>
      <c r="F29" s="25">
        <v>10.35</v>
      </c>
      <c r="G29" s="25" t="s">
        <v>1889</v>
      </c>
      <c r="H29" s="25">
        <f>4.25+2.04+4.1</f>
        <v>10.39</v>
      </c>
      <c r="I29" s="25">
        <f>4.25+2.04+4.1</f>
        <v>10.39</v>
      </c>
      <c r="J29" s="25" t="s">
        <v>1891</v>
      </c>
      <c r="K29" s="25" t="str">
        <f>VLOOKUP(E29,[1]PrelimAssignPOP!$I$1:$J$947,2,FALSE)</f>
        <v>ART</v>
      </c>
      <c r="L29" s="25" t="s">
        <v>210</v>
      </c>
      <c r="M29" s="25" t="s">
        <v>134</v>
      </c>
      <c r="N29" s="25" t="s">
        <v>1919</v>
      </c>
    </row>
    <row r="30" spans="1:14" x14ac:dyDescent="0.55000000000000004">
      <c r="A30">
        <v>29</v>
      </c>
      <c r="B30" s="25" t="s">
        <v>7</v>
      </c>
      <c r="C30" s="25">
        <v>25</v>
      </c>
      <c r="D30" s="25" t="s">
        <v>3392</v>
      </c>
      <c r="E30" s="25" t="s">
        <v>3396</v>
      </c>
      <c r="F30" s="25">
        <v>8.3800000000000008</v>
      </c>
      <c r="G30" s="25" t="s">
        <v>1889</v>
      </c>
      <c r="H30" s="25">
        <f>5.54+1.53+1.8</f>
        <v>8.870000000000001</v>
      </c>
      <c r="I30" s="25">
        <f>5.54+1.53+1.8</f>
        <v>8.870000000000001</v>
      </c>
      <c r="J30" s="25" t="s">
        <v>1891</v>
      </c>
      <c r="K30" s="25" t="str">
        <f>VLOOKUP(E30,[1]PrelimAssignPOP!$I$1:$J$947,2,FALSE)</f>
        <v>ART</v>
      </c>
      <c r="L30" s="25" t="s">
        <v>210</v>
      </c>
      <c r="M30" s="25" t="s">
        <v>135</v>
      </c>
      <c r="N30" s="25" t="s">
        <v>1920</v>
      </c>
    </row>
    <row r="31" spans="1:14" x14ac:dyDescent="0.55000000000000004">
      <c r="A31">
        <v>30</v>
      </c>
      <c r="B31" s="25" t="s">
        <v>7</v>
      </c>
      <c r="C31" s="25">
        <v>25</v>
      </c>
      <c r="D31" s="25" t="s">
        <v>3392</v>
      </c>
      <c r="E31" s="25" t="s">
        <v>3397</v>
      </c>
      <c r="F31" s="25">
        <v>10.46</v>
      </c>
      <c r="G31" s="25" t="s">
        <v>1889</v>
      </c>
      <c r="H31" s="25">
        <f>1.75+3.75+5.07</f>
        <v>10.57</v>
      </c>
      <c r="I31" s="25">
        <f>1.75+3.75+5.07</f>
        <v>10.57</v>
      </c>
      <c r="J31" s="25" t="s">
        <v>1891</v>
      </c>
      <c r="K31" s="25" t="str">
        <f>VLOOKUP(E31,[1]PrelimAssignPOP!$I$1:$J$947,2,FALSE)</f>
        <v>ART</v>
      </c>
      <c r="L31" s="25" t="s">
        <v>210</v>
      </c>
      <c r="M31" s="25" t="s">
        <v>136</v>
      </c>
      <c r="N31" s="25" t="s">
        <v>1921</v>
      </c>
    </row>
    <row r="32" spans="1:14" x14ac:dyDescent="0.55000000000000004">
      <c r="A32">
        <v>31</v>
      </c>
      <c r="B32" s="25" t="s">
        <v>7</v>
      </c>
      <c r="C32" s="25">
        <v>25</v>
      </c>
      <c r="D32" s="25" t="s">
        <v>3392</v>
      </c>
      <c r="E32" s="25" t="s">
        <v>3398</v>
      </c>
      <c r="F32" s="25">
        <v>11.63</v>
      </c>
      <c r="G32" s="25" t="s">
        <v>1889</v>
      </c>
      <c r="H32" s="25">
        <f>3.66+2.85+2.21+3.48</f>
        <v>12.2</v>
      </c>
      <c r="I32" s="25">
        <f>3.66+2.85+2.21+3.48</f>
        <v>12.2</v>
      </c>
      <c r="J32" s="25" t="s">
        <v>1891</v>
      </c>
      <c r="K32" s="25" t="str">
        <f>VLOOKUP(E32,[1]PrelimAssignPOP!$I$1:$J$947,2,FALSE)</f>
        <v>ART</v>
      </c>
      <c r="L32" s="25" t="s">
        <v>210</v>
      </c>
      <c r="M32" s="25" t="s">
        <v>137</v>
      </c>
      <c r="N32" s="25" t="s">
        <v>1922</v>
      </c>
    </row>
    <row r="33" spans="1:14" x14ac:dyDescent="0.55000000000000004">
      <c r="A33">
        <v>32</v>
      </c>
      <c r="B33" s="25" t="s">
        <v>7</v>
      </c>
      <c r="C33" s="25">
        <v>25</v>
      </c>
      <c r="D33" s="25" t="s">
        <v>3392</v>
      </c>
      <c r="E33" s="25" t="s">
        <v>3399</v>
      </c>
      <c r="F33" s="25">
        <v>10.3</v>
      </c>
      <c r="G33" s="25" t="s">
        <v>1889</v>
      </c>
      <c r="H33" s="25">
        <f>4.86+1.8+1.08+3.07</f>
        <v>10.81</v>
      </c>
      <c r="I33" s="25">
        <f>4.86+1.8+1.08+3.07</f>
        <v>10.81</v>
      </c>
      <c r="J33" s="25" t="s">
        <v>1891</v>
      </c>
      <c r="K33" s="25" t="str">
        <f>VLOOKUP(E33,[1]PrelimAssignPOP!$I$1:$J$947,2,FALSE)</f>
        <v>ART</v>
      </c>
      <c r="L33" s="25" t="s">
        <v>210</v>
      </c>
      <c r="M33" s="25" t="s">
        <v>138</v>
      </c>
      <c r="N33" s="25" t="s">
        <v>1923</v>
      </c>
    </row>
    <row r="34" spans="1:14" x14ac:dyDescent="0.55000000000000004">
      <c r="A34">
        <v>33</v>
      </c>
      <c r="B34" s="25" t="s">
        <v>7</v>
      </c>
      <c r="C34" s="25">
        <v>25</v>
      </c>
      <c r="D34" s="25" t="s">
        <v>3392</v>
      </c>
      <c r="E34" s="25" t="s">
        <v>3400</v>
      </c>
      <c r="F34" s="25">
        <v>10.73</v>
      </c>
      <c r="G34" s="25" t="s">
        <v>1889</v>
      </c>
      <c r="H34" s="25">
        <f>4.98+2.72+3.2</f>
        <v>10.900000000000002</v>
      </c>
      <c r="I34" s="25">
        <f>4.98+2.72+3.2</f>
        <v>10.900000000000002</v>
      </c>
      <c r="J34" s="25" t="s">
        <v>1891</v>
      </c>
      <c r="K34" s="25" t="str">
        <f>VLOOKUP(E34,[1]PrelimAssignPOP!$I$1:$J$947,2,FALSE)</f>
        <v>ART</v>
      </c>
      <c r="L34" s="25" t="s">
        <v>210</v>
      </c>
      <c r="M34" s="25" t="s">
        <v>139</v>
      </c>
      <c r="N34" s="25" t="s">
        <v>1924</v>
      </c>
    </row>
    <row r="35" spans="1:14" x14ac:dyDescent="0.55000000000000004">
      <c r="A35">
        <v>34</v>
      </c>
      <c r="B35" s="25" t="s">
        <v>7</v>
      </c>
      <c r="C35" s="25">
        <v>25</v>
      </c>
      <c r="D35" s="25" t="s">
        <v>3392</v>
      </c>
      <c r="E35" s="25" t="s">
        <v>3401</v>
      </c>
      <c r="F35" s="25">
        <v>9.5299999999999994</v>
      </c>
      <c r="G35" s="25" t="s">
        <v>1889</v>
      </c>
      <c r="H35" s="25">
        <f>2.89+1.59+1.86+3.51</f>
        <v>9.8500000000000014</v>
      </c>
      <c r="I35" s="25">
        <f>2.89+1.59+1.86+3.51</f>
        <v>9.8500000000000014</v>
      </c>
      <c r="J35" s="25" t="s">
        <v>1891</v>
      </c>
      <c r="K35" s="25" t="str">
        <f>VLOOKUP(E35,[1]PrelimAssignPOP!$I$1:$J$947,2,FALSE)</f>
        <v>ART</v>
      </c>
      <c r="L35" s="25" t="s">
        <v>210</v>
      </c>
      <c r="M35" s="25" t="s">
        <v>140</v>
      </c>
      <c r="N35" s="25" t="s">
        <v>1925</v>
      </c>
    </row>
    <row r="36" spans="1:14" x14ac:dyDescent="0.55000000000000004">
      <c r="A36">
        <v>35</v>
      </c>
      <c r="B36" s="25" t="s">
        <v>7</v>
      </c>
      <c r="C36" s="25">
        <v>25</v>
      </c>
      <c r="D36" s="25" t="s">
        <v>3392</v>
      </c>
      <c r="E36" s="25" t="s">
        <v>3402</v>
      </c>
      <c r="F36" s="25">
        <v>9.9600000000000009</v>
      </c>
      <c r="G36" s="25" t="s">
        <v>1889</v>
      </c>
      <c r="H36" s="25">
        <f>3.7+2.64+3.84</f>
        <v>10.18</v>
      </c>
      <c r="I36" s="25">
        <f>3.7+2.64+3.84</f>
        <v>10.18</v>
      </c>
      <c r="J36" s="25" t="s">
        <v>1891</v>
      </c>
      <c r="K36" s="25" t="str">
        <f>VLOOKUP(E36,[1]PrelimAssignPOP!$I$1:$J$947,2,FALSE)</f>
        <v>ART</v>
      </c>
      <c r="L36" s="25" t="s">
        <v>210</v>
      </c>
      <c r="M36" s="25" t="s">
        <v>141</v>
      </c>
      <c r="N36" s="25" t="s">
        <v>1926</v>
      </c>
    </row>
    <row r="37" spans="1:14" x14ac:dyDescent="0.55000000000000004">
      <c r="A37">
        <v>36</v>
      </c>
      <c r="B37" s="25" t="s">
        <v>7</v>
      </c>
      <c r="C37" s="25">
        <v>25</v>
      </c>
      <c r="D37" s="25" t="s">
        <v>3392</v>
      </c>
      <c r="E37" s="25" t="s">
        <v>3403</v>
      </c>
      <c r="F37" s="25">
        <v>9.65</v>
      </c>
      <c r="G37" s="25" t="s">
        <v>1889</v>
      </c>
      <c r="H37" s="25">
        <f>2.34+3.05+2.53+1.65</f>
        <v>9.57</v>
      </c>
      <c r="I37" s="25">
        <f>2.34+3.05+2.53+1.65</f>
        <v>9.57</v>
      </c>
      <c r="J37" s="25" t="s">
        <v>1891</v>
      </c>
      <c r="K37" s="25" t="str">
        <f>VLOOKUP(E37,[1]PrelimAssignPOP!$I$1:$J$947,2,FALSE)</f>
        <v>ART</v>
      </c>
      <c r="L37" s="25" t="s">
        <v>210</v>
      </c>
      <c r="M37" s="25" t="s">
        <v>142</v>
      </c>
      <c r="N37" s="25" t="s">
        <v>1927</v>
      </c>
    </row>
    <row r="38" spans="1:14" x14ac:dyDescent="0.55000000000000004">
      <c r="A38">
        <v>37</v>
      </c>
      <c r="B38" s="25" t="s">
        <v>7</v>
      </c>
      <c r="C38" s="25">
        <v>25</v>
      </c>
      <c r="D38" s="25" t="s">
        <v>3392</v>
      </c>
      <c r="E38" s="25" t="s">
        <v>3404</v>
      </c>
      <c r="F38" s="25">
        <v>11.62</v>
      </c>
      <c r="G38" s="25" t="s">
        <v>1889</v>
      </c>
      <c r="H38" s="25">
        <f>2.52+2.3+5.01+2.42</f>
        <v>12.25</v>
      </c>
      <c r="I38" s="25">
        <f>2.52+2.3+5.01+2.42</f>
        <v>12.25</v>
      </c>
      <c r="J38" s="25" t="s">
        <v>1891</v>
      </c>
      <c r="K38" s="25" t="str">
        <f>VLOOKUP(E38,[1]PrelimAssignPOP!$I$1:$J$947,2,FALSE)</f>
        <v>ART</v>
      </c>
      <c r="L38" s="25" t="s">
        <v>210</v>
      </c>
      <c r="M38" s="25" t="s">
        <v>143</v>
      </c>
      <c r="N38" s="25" t="s">
        <v>1928</v>
      </c>
    </row>
    <row r="39" spans="1:14" x14ac:dyDescent="0.55000000000000004">
      <c r="A39">
        <v>38</v>
      </c>
      <c r="B39" s="25" t="s">
        <v>7</v>
      </c>
      <c r="C39" s="25">
        <v>25</v>
      </c>
      <c r="D39" s="25" t="s">
        <v>3392</v>
      </c>
      <c r="E39" s="25" t="s">
        <v>3405</v>
      </c>
      <c r="F39" s="25">
        <v>10.57</v>
      </c>
      <c r="G39" s="25" t="s">
        <v>1889</v>
      </c>
      <c r="H39" s="25">
        <f>7.12+3.65</f>
        <v>10.77</v>
      </c>
      <c r="I39" s="25">
        <f>7.12+3.65</f>
        <v>10.77</v>
      </c>
      <c r="J39" s="25" t="s">
        <v>1891</v>
      </c>
      <c r="N39" s="25" t="s">
        <v>1929</v>
      </c>
    </row>
    <row r="40" spans="1:14" x14ac:dyDescent="0.55000000000000004">
      <c r="A40">
        <v>39</v>
      </c>
      <c r="B40" s="25" t="s">
        <v>7</v>
      </c>
      <c r="C40" s="25">
        <v>25</v>
      </c>
      <c r="D40" s="25" t="s">
        <v>3392</v>
      </c>
      <c r="E40" s="25" t="s">
        <v>3406</v>
      </c>
      <c r="F40" s="25">
        <v>10.81</v>
      </c>
      <c r="G40" s="25" t="s">
        <v>1889</v>
      </c>
      <c r="H40" s="25">
        <f>6.04+1.31+4.36</f>
        <v>11.71</v>
      </c>
      <c r="I40" s="25">
        <f>6.04+1.31+4.36</f>
        <v>11.71</v>
      </c>
      <c r="J40" s="25" t="s">
        <v>1891</v>
      </c>
      <c r="N40" s="25" t="s">
        <v>1930</v>
      </c>
    </row>
    <row r="41" spans="1:14" x14ac:dyDescent="0.55000000000000004">
      <c r="A41">
        <v>40</v>
      </c>
      <c r="B41" s="25" t="s">
        <v>7</v>
      </c>
      <c r="C41" s="25">
        <v>25</v>
      </c>
      <c r="D41" s="25" t="s">
        <v>3392</v>
      </c>
      <c r="E41" s="25" t="s">
        <v>3407</v>
      </c>
      <c r="F41" s="25">
        <v>10.1</v>
      </c>
      <c r="G41" s="25" t="s">
        <v>1889</v>
      </c>
      <c r="H41" s="25">
        <f>6.98+3.39</f>
        <v>10.370000000000001</v>
      </c>
      <c r="I41" s="25">
        <f>6.98+3.39</f>
        <v>10.370000000000001</v>
      </c>
      <c r="J41" s="25" t="s">
        <v>1891</v>
      </c>
      <c r="N41" s="25" t="s">
        <v>1931</v>
      </c>
    </row>
    <row r="42" spans="1:14" x14ac:dyDescent="0.55000000000000004">
      <c r="A42">
        <v>41</v>
      </c>
      <c r="B42" s="25" t="s">
        <v>7</v>
      </c>
      <c r="C42" s="25">
        <v>25</v>
      </c>
      <c r="D42" s="25" t="s">
        <v>3392</v>
      </c>
      <c r="E42" s="25" t="s">
        <v>3408</v>
      </c>
      <c r="F42" s="25">
        <v>9.86</v>
      </c>
      <c r="G42" s="25" t="s">
        <v>1889</v>
      </c>
      <c r="H42" s="25">
        <f>2.6+2.8+4.29+1.58</f>
        <v>11.270000000000001</v>
      </c>
      <c r="I42" s="25">
        <f>2.6+2.8+4.29+1.58</f>
        <v>11.270000000000001</v>
      </c>
      <c r="J42" s="25" t="s">
        <v>1891</v>
      </c>
      <c r="N42" s="25" t="s">
        <v>1932</v>
      </c>
    </row>
    <row r="43" spans="1:14" x14ac:dyDescent="0.55000000000000004">
      <c r="A43">
        <v>42</v>
      </c>
      <c r="B43" s="25" t="s">
        <v>7</v>
      </c>
      <c r="C43" s="25">
        <v>25</v>
      </c>
      <c r="D43" s="25" t="s">
        <v>3392</v>
      </c>
      <c r="E43" s="25" t="s">
        <v>3409</v>
      </c>
      <c r="F43" s="25">
        <v>10.25</v>
      </c>
      <c r="G43" s="25" t="s">
        <v>1889</v>
      </c>
      <c r="H43" s="25">
        <f>2.75+2.63+2.45+2.61</f>
        <v>10.44</v>
      </c>
      <c r="I43" s="25">
        <f>2.75+2.63+2.45+2.61</f>
        <v>10.44</v>
      </c>
      <c r="J43" s="25" t="s">
        <v>1891</v>
      </c>
      <c r="N43" s="25" t="s">
        <v>1933</v>
      </c>
    </row>
    <row r="44" spans="1:14" x14ac:dyDescent="0.55000000000000004">
      <c r="A44">
        <v>43</v>
      </c>
      <c r="B44" s="25" t="s">
        <v>7</v>
      </c>
      <c r="C44" s="25">
        <v>25</v>
      </c>
      <c r="D44" s="25" t="s">
        <v>3392</v>
      </c>
      <c r="E44" s="25" t="s">
        <v>3410</v>
      </c>
      <c r="F44" s="25">
        <v>10.76</v>
      </c>
      <c r="G44" s="25" t="s">
        <v>1889</v>
      </c>
      <c r="H44" s="25">
        <f>2.28+1.79+4.75+2.08</f>
        <v>10.9</v>
      </c>
      <c r="I44" s="25">
        <f>2.28+1.79+4.75+2.08</f>
        <v>10.9</v>
      </c>
      <c r="J44" s="25" t="s">
        <v>1891</v>
      </c>
      <c r="N44" s="25" t="s">
        <v>1934</v>
      </c>
    </row>
    <row r="45" spans="1:14" x14ac:dyDescent="0.55000000000000004">
      <c r="A45">
        <v>44</v>
      </c>
      <c r="B45" s="25" t="s">
        <v>7</v>
      </c>
      <c r="C45" s="25">
        <v>25</v>
      </c>
      <c r="D45" s="25" t="s">
        <v>3392</v>
      </c>
      <c r="E45" s="25" t="s">
        <v>3411</v>
      </c>
      <c r="F45" s="25">
        <v>9.34</v>
      </c>
      <c r="G45" s="25" t="s">
        <v>1889</v>
      </c>
      <c r="H45" s="25">
        <f>4.17+3.86+2.54</f>
        <v>10.57</v>
      </c>
      <c r="I45" s="25">
        <f>4.17+3.86+2.54</f>
        <v>10.57</v>
      </c>
      <c r="J45" s="25" t="s">
        <v>1891</v>
      </c>
      <c r="N45" s="25" t="s">
        <v>1935</v>
      </c>
    </row>
    <row r="46" spans="1:14" x14ac:dyDescent="0.55000000000000004">
      <c r="A46">
        <v>45</v>
      </c>
      <c r="B46" s="25" t="s">
        <v>7</v>
      </c>
      <c r="C46" s="25">
        <v>25</v>
      </c>
      <c r="D46" s="25" t="s">
        <v>3392</v>
      </c>
      <c r="E46" s="25" t="s">
        <v>3412</v>
      </c>
      <c r="F46" s="25">
        <v>8.56</v>
      </c>
      <c r="G46" s="25" t="s">
        <v>1889</v>
      </c>
      <c r="H46" s="25">
        <f>1.93+4.09+1.58+1.82</f>
        <v>9.42</v>
      </c>
      <c r="I46" s="25">
        <f>1.93+4.09+1.58+1.82</f>
        <v>9.42</v>
      </c>
      <c r="J46" s="25" t="s">
        <v>1891</v>
      </c>
      <c r="N46" s="25" t="s">
        <v>1936</v>
      </c>
    </row>
    <row r="47" spans="1:14" x14ac:dyDescent="0.55000000000000004">
      <c r="A47">
        <v>46</v>
      </c>
      <c r="B47" s="25" t="s">
        <v>7</v>
      </c>
      <c r="C47" s="25">
        <v>25</v>
      </c>
      <c r="D47" s="25" t="s">
        <v>3392</v>
      </c>
      <c r="E47" s="25" t="s">
        <v>3413</v>
      </c>
      <c r="F47" s="25">
        <v>8.75</v>
      </c>
      <c r="G47" s="25" t="s">
        <v>1889</v>
      </c>
      <c r="H47" s="25">
        <f>1.45+5.26+3.04</f>
        <v>9.75</v>
      </c>
      <c r="I47" s="25">
        <f>1.45+5.26+3.04</f>
        <v>9.75</v>
      </c>
      <c r="J47" s="25" t="s">
        <v>1891</v>
      </c>
      <c r="N47" s="25" t="s">
        <v>1937</v>
      </c>
    </row>
    <row r="48" spans="1:14" x14ac:dyDescent="0.55000000000000004">
      <c r="A48">
        <v>47</v>
      </c>
      <c r="B48" s="25" t="s">
        <v>7</v>
      </c>
      <c r="C48" s="25">
        <v>25</v>
      </c>
      <c r="D48" s="25" t="s">
        <v>3392</v>
      </c>
      <c r="E48" s="25" t="s">
        <v>3414</v>
      </c>
      <c r="F48" s="25">
        <v>10.96</v>
      </c>
      <c r="G48" s="25" t="s">
        <v>1889</v>
      </c>
      <c r="H48" s="25">
        <f>4.15+1.49+5.8</f>
        <v>11.440000000000001</v>
      </c>
      <c r="I48" s="25">
        <f>4.15+1.49+5.8</f>
        <v>11.440000000000001</v>
      </c>
      <c r="J48" s="25" t="s">
        <v>1891</v>
      </c>
      <c r="N48" s="25" t="s">
        <v>1938</v>
      </c>
    </row>
    <row r="49" spans="1:15" x14ac:dyDescent="0.55000000000000004">
      <c r="A49">
        <v>48</v>
      </c>
      <c r="B49" s="25" t="s">
        <v>7</v>
      </c>
      <c r="C49" s="25">
        <v>25</v>
      </c>
      <c r="D49" s="25" t="s">
        <v>3392</v>
      </c>
      <c r="E49" s="25" t="s">
        <v>3415</v>
      </c>
      <c r="F49" s="25">
        <v>10.86</v>
      </c>
      <c r="G49" s="25" t="s">
        <v>1889</v>
      </c>
      <c r="H49" s="25">
        <f>3.61+7.28</f>
        <v>10.89</v>
      </c>
      <c r="I49" s="25">
        <f>3.61+7.28</f>
        <v>10.89</v>
      </c>
      <c r="J49" s="25" t="s">
        <v>1891</v>
      </c>
      <c r="N49" s="25" t="s">
        <v>1939</v>
      </c>
    </row>
    <row r="50" spans="1:15" x14ac:dyDescent="0.55000000000000004">
      <c r="A50">
        <v>49</v>
      </c>
      <c r="B50" s="25" t="s">
        <v>7</v>
      </c>
      <c r="C50" s="25">
        <v>25</v>
      </c>
      <c r="D50" s="25" t="s">
        <v>3392</v>
      </c>
      <c r="E50" s="25" t="s">
        <v>3416</v>
      </c>
      <c r="F50" s="25">
        <v>9.74</v>
      </c>
      <c r="G50" s="25" t="s">
        <v>1889</v>
      </c>
      <c r="H50" s="25">
        <f>3.11+2.07+1.11+4.01</f>
        <v>10.3</v>
      </c>
      <c r="I50" s="25">
        <f>3.11+2.07+1.11+4.01</f>
        <v>10.3</v>
      </c>
      <c r="J50" s="25" t="s">
        <v>1891</v>
      </c>
      <c r="N50" s="25" t="s">
        <v>1940</v>
      </c>
      <c r="O50" s="18" t="s">
        <v>3417</v>
      </c>
    </row>
    <row r="51" spans="1:15" x14ac:dyDescent="0.55000000000000004">
      <c r="A51">
        <v>50</v>
      </c>
      <c r="B51" s="25" t="s">
        <v>7</v>
      </c>
      <c r="C51" s="25">
        <v>25</v>
      </c>
      <c r="D51" s="25" t="s">
        <v>3392</v>
      </c>
      <c r="E51" s="25" t="s">
        <v>3418</v>
      </c>
      <c r="G51" s="25" t="s">
        <v>1941</v>
      </c>
      <c r="J51" s="25" t="s">
        <v>1941</v>
      </c>
    </row>
    <row r="52" spans="1:15" x14ac:dyDescent="0.55000000000000004">
      <c r="A52">
        <v>51</v>
      </c>
      <c r="B52" s="25" t="s">
        <v>8</v>
      </c>
      <c r="C52" s="25">
        <v>25</v>
      </c>
      <c r="D52" s="25" t="s">
        <v>3419</v>
      </c>
      <c r="E52" s="25" t="s">
        <v>3420</v>
      </c>
      <c r="F52" s="25">
        <v>10.92</v>
      </c>
      <c r="G52" s="25" t="s">
        <v>1889</v>
      </c>
      <c r="H52" s="25">
        <f>7.83+1.18+2.07</f>
        <v>11.08</v>
      </c>
      <c r="I52" s="25">
        <f>7.83+1.18+2.07</f>
        <v>11.08</v>
      </c>
      <c r="J52" s="25" t="s">
        <v>1891</v>
      </c>
      <c r="K52" s="25" t="str">
        <f>VLOOKUP(E52,[1]PrelimAssignPOP!$I$1:$J$947,2,FALSE)</f>
        <v>ART</v>
      </c>
      <c r="L52" s="25" t="s">
        <v>210</v>
      </c>
      <c r="M52" s="25" t="s">
        <v>116</v>
      </c>
      <c r="N52" s="25" t="s">
        <v>1942</v>
      </c>
    </row>
    <row r="53" spans="1:15" x14ac:dyDescent="0.55000000000000004">
      <c r="A53">
        <v>52</v>
      </c>
      <c r="B53" s="25" t="s">
        <v>8</v>
      </c>
      <c r="C53" s="25">
        <v>25</v>
      </c>
      <c r="D53" s="25" t="s">
        <v>3419</v>
      </c>
      <c r="E53" s="25" t="s">
        <v>3421</v>
      </c>
      <c r="F53" s="25">
        <v>10.16</v>
      </c>
      <c r="G53" s="25" t="s">
        <v>1889</v>
      </c>
      <c r="H53" s="25">
        <f>2.67+1.91+2.65+3.18</f>
        <v>10.41</v>
      </c>
      <c r="I53" s="25">
        <f>2.67+1.91+2.65+3.18</f>
        <v>10.41</v>
      </c>
      <c r="J53" s="25" t="s">
        <v>1891</v>
      </c>
      <c r="K53" s="25" t="str">
        <f>VLOOKUP(E53,[1]PrelimAssignPOP!$I$1:$J$947,2,FALSE)</f>
        <v>ART</v>
      </c>
      <c r="L53" s="25" t="s">
        <v>210</v>
      </c>
      <c r="M53" s="25" t="s">
        <v>144</v>
      </c>
      <c r="N53" s="25" t="s">
        <v>1943</v>
      </c>
    </row>
    <row r="54" spans="1:15" x14ac:dyDescent="0.55000000000000004">
      <c r="A54">
        <v>53</v>
      </c>
      <c r="B54" s="25" t="s">
        <v>8</v>
      </c>
      <c r="C54" s="25">
        <v>25</v>
      </c>
      <c r="D54" s="25" t="s">
        <v>3419</v>
      </c>
      <c r="E54" s="25" t="s">
        <v>3422</v>
      </c>
      <c r="F54" s="25">
        <v>10.57</v>
      </c>
      <c r="G54" s="25" t="s">
        <v>1889</v>
      </c>
      <c r="H54" s="25">
        <f>3.09+4.95+2.83</f>
        <v>10.87</v>
      </c>
      <c r="I54" s="25">
        <f>3.09+4.95+2.83</f>
        <v>10.87</v>
      </c>
      <c r="J54" s="25" t="s">
        <v>1891</v>
      </c>
      <c r="K54" s="25" t="str">
        <f>VLOOKUP(E54,[1]PrelimAssignPOP!$I$1:$J$947,2,FALSE)</f>
        <v>ART</v>
      </c>
      <c r="L54" s="25" t="s">
        <v>210</v>
      </c>
      <c r="M54" s="25" t="s">
        <v>145</v>
      </c>
      <c r="N54" s="25" t="s">
        <v>1944</v>
      </c>
    </row>
    <row r="55" spans="1:15" x14ac:dyDescent="0.55000000000000004">
      <c r="A55">
        <v>54</v>
      </c>
      <c r="B55" s="25" t="s">
        <v>8</v>
      </c>
      <c r="C55" s="25">
        <v>25</v>
      </c>
      <c r="D55" s="25" t="s">
        <v>3419</v>
      </c>
      <c r="E55" s="25" t="s">
        <v>3423</v>
      </c>
      <c r="F55" s="25">
        <v>10.96</v>
      </c>
      <c r="G55" s="25" t="s">
        <v>1889</v>
      </c>
      <c r="H55" s="25">
        <f>6.19+2.99+2.31</f>
        <v>11.49</v>
      </c>
      <c r="I55" s="25">
        <f>6.19+2.99+2.31</f>
        <v>11.49</v>
      </c>
      <c r="J55" s="25" t="s">
        <v>1891</v>
      </c>
      <c r="K55" s="25" t="str">
        <f>VLOOKUP(E55,[1]PrelimAssignPOP!$I$1:$J$947,2,FALSE)</f>
        <v>ART</v>
      </c>
      <c r="L55" s="25" t="s">
        <v>210</v>
      </c>
      <c r="M55" s="25" t="s">
        <v>146</v>
      </c>
      <c r="N55" s="25" t="s">
        <v>1945</v>
      </c>
    </row>
    <row r="56" spans="1:15" x14ac:dyDescent="0.55000000000000004">
      <c r="A56">
        <v>55</v>
      </c>
      <c r="B56" s="25" t="s">
        <v>8</v>
      </c>
      <c r="C56" s="25">
        <v>25</v>
      </c>
      <c r="D56" s="25" t="s">
        <v>3419</v>
      </c>
      <c r="E56" s="25" t="s">
        <v>3424</v>
      </c>
      <c r="F56" s="25">
        <v>12.13</v>
      </c>
      <c r="G56" s="25" t="s">
        <v>1889</v>
      </c>
      <c r="H56" s="25">
        <f>2.82+5.13+4.58</f>
        <v>12.53</v>
      </c>
      <c r="I56" s="25">
        <f>2.82+5.13+4.58</f>
        <v>12.53</v>
      </c>
      <c r="J56" s="25" t="s">
        <v>1891</v>
      </c>
      <c r="K56" s="25" t="str">
        <f>VLOOKUP(E56,[1]PrelimAssignPOP!$I$1:$J$947,2,FALSE)</f>
        <v>ART</v>
      </c>
      <c r="L56" s="25" t="s">
        <v>210</v>
      </c>
      <c r="M56" s="25" t="s">
        <v>147</v>
      </c>
      <c r="N56" s="25" t="s">
        <v>1946</v>
      </c>
    </row>
    <row r="57" spans="1:15" x14ac:dyDescent="0.55000000000000004">
      <c r="A57">
        <v>56</v>
      </c>
      <c r="B57" s="25" t="s">
        <v>8</v>
      </c>
      <c r="C57" s="25">
        <v>25</v>
      </c>
      <c r="D57" s="25" t="s">
        <v>3419</v>
      </c>
      <c r="E57" s="25" t="s">
        <v>3425</v>
      </c>
      <c r="F57" s="25">
        <v>13.05</v>
      </c>
      <c r="G57" s="25" t="s">
        <v>1889</v>
      </c>
      <c r="H57" s="25">
        <f>2.7+7.72+2.76</f>
        <v>13.18</v>
      </c>
      <c r="I57" s="25">
        <f>2.7+7.72+2.76</f>
        <v>13.18</v>
      </c>
      <c r="J57" s="25" t="s">
        <v>1891</v>
      </c>
      <c r="K57" s="25" t="str">
        <f>VLOOKUP(E57,[1]PrelimAssignPOP!$I$1:$J$947,2,FALSE)</f>
        <v>ART</v>
      </c>
      <c r="L57" s="25" t="s">
        <v>210</v>
      </c>
      <c r="M57" s="25" t="s">
        <v>148</v>
      </c>
      <c r="N57" s="25" t="s">
        <v>1947</v>
      </c>
    </row>
    <row r="58" spans="1:15" x14ac:dyDescent="0.55000000000000004">
      <c r="A58">
        <v>57</v>
      </c>
      <c r="B58" s="25" t="s">
        <v>8</v>
      </c>
      <c r="C58" s="25">
        <v>25</v>
      </c>
      <c r="D58" s="25" t="s">
        <v>3419</v>
      </c>
      <c r="E58" s="25" t="s">
        <v>3426</v>
      </c>
      <c r="F58" s="25">
        <v>10.82</v>
      </c>
      <c r="G58" s="25" t="s">
        <v>1889</v>
      </c>
      <c r="H58" s="25">
        <f>4.85+3.85+2.52</f>
        <v>11.219999999999999</v>
      </c>
      <c r="I58" s="25">
        <f>4.85+3.85+2.52</f>
        <v>11.219999999999999</v>
      </c>
      <c r="J58" s="25" t="s">
        <v>1891</v>
      </c>
      <c r="K58" s="25" t="str">
        <f>VLOOKUP(E58,[1]PrelimAssignPOP!$I$1:$J$947,2,FALSE)</f>
        <v>ART</v>
      </c>
      <c r="L58" s="25" t="s">
        <v>210</v>
      </c>
      <c r="M58" s="25" t="s">
        <v>149</v>
      </c>
      <c r="N58" s="25" t="s">
        <v>1948</v>
      </c>
    </row>
    <row r="59" spans="1:15" x14ac:dyDescent="0.55000000000000004">
      <c r="A59">
        <v>58</v>
      </c>
      <c r="B59" s="25" t="s">
        <v>8</v>
      </c>
      <c r="C59" s="25">
        <v>25</v>
      </c>
      <c r="D59" s="25" t="s">
        <v>3419</v>
      </c>
      <c r="E59" s="25" t="s">
        <v>3427</v>
      </c>
      <c r="F59" s="25">
        <v>11.35</v>
      </c>
      <c r="G59" s="25" t="s">
        <v>1889</v>
      </c>
      <c r="H59" s="25">
        <f>3.57+3.09+5</f>
        <v>11.66</v>
      </c>
      <c r="I59" s="25">
        <f>3.57+3.09+5</f>
        <v>11.66</v>
      </c>
      <c r="J59" s="25" t="s">
        <v>1891</v>
      </c>
      <c r="K59" s="25" t="str">
        <f>VLOOKUP(E59,[1]PrelimAssignPOP!$I$1:$J$947,2,FALSE)</f>
        <v>ART</v>
      </c>
      <c r="L59" s="25" t="s">
        <v>210</v>
      </c>
      <c r="M59" s="25" t="s">
        <v>150</v>
      </c>
      <c r="N59" s="25" t="s">
        <v>1949</v>
      </c>
    </row>
    <row r="60" spans="1:15" x14ac:dyDescent="0.55000000000000004">
      <c r="A60">
        <v>59</v>
      </c>
      <c r="B60" s="25" t="s">
        <v>8</v>
      </c>
      <c r="C60" s="25">
        <v>25</v>
      </c>
      <c r="D60" s="25" t="s">
        <v>3419</v>
      </c>
      <c r="E60" s="25" t="s">
        <v>3428</v>
      </c>
      <c r="F60" s="25">
        <v>13.66</v>
      </c>
      <c r="G60" s="25" t="s">
        <v>1889</v>
      </c>
      <c r="H60" s="25">
        <f>3.3+2.78+5.66+2.11</f>
        <v>13.85</v>
      </c>
      <c r="I60" s="25">
        <f>3.3+2.78+5.66+2.11</f>
        <v>13.85</v>
      </c>
      <c r="J60" s="25" t="s">
        <v>1891</v>
      </c>
      <c r="K60" s="25" t="str">
        <f>VLOOKUP(E60,[1]PrelimAssignPOP!$I$1:$J$947,2,FALSE)</f>
        <v>KIY</v>
      </c>
      <c r="L60" s="25" t="s">
        <v>210</v>
      </c>
      <c r="M60" s="25" t="s">
        <v>151</v>
      </c>
      <c r="N60" s="25" t="s">
        <v>1950</v>
      </c>
    </row>
    <row r="61" spans="1:15" x14ac:dyDescent="0.55000000000000004">
      <c r="A61">
        <v>60</v>
      </c>
      <c r="B61" s="25" t="s">
        <v>8</v>
      </c>
      <c r="C61" s="25">
        <v>25</v>
      </c>
      <c r="D61" s="25" t="s">
        <v>3419</v>
      </c>
      <c r="E61" s="25" t="s">
        <v>3429</v>
      </c>
      <c r="F61" s="25">
        <v>10.42</v>
      </c>
      <c r="G61" s="25" t="s">
        <v>1889</v>
      </c>
      <c r="H61" s="25">
        <f>3.06+2.87+0.85+3.83</f>
        <v>10.61</v>
      </c>
      <c r="I61" s="25">
        <f>3.06+2.87+0.85+3.83</f>
        <v>10.61</v>
      </c>
      <c r="J61" s="25" t="s">
        <v>1891</v>
      </c>
      <c r="K61" s="25" t="str">
        <f>VLOOKUP(E61,[1]PrelimAssignPOP!$I$1:$J$947,2,FALSE)</f>
        <v>ART</v>
      </c>
      <c r="L61" s="25" t="s">
        <v>210</v>
      </c>
      <c r="M61" s="25" t="s">
        <v>152</v>
      </c>
      <c r="N61" s="25" t="s">
        <v>1951</v>
      </c>
    </row>
    <row r="62" spans="1:15" x14ac:dyDescent="0.55000000000000004">
      <c r="A62">
        <v>61</v>
      </c>
      <c r="B62" s="25" t="s">
        <v>8</v>
      </c>
      <c r="C62" s="25">
        <v>25</v>
      </c>
      <c r="D62" s="25" t="s">
        <v>3419</v>
      </c>
      <c r="E62" s="25" t="s">
        <v>3430</v>
      </c>
      <c r="F62" s="25">
        <v>14.5</v>
      </c>
      <c r="G62" s="25" t="s">
        <v>1889</v>
      </c>
      <c r="H62" s="25">
        <f>3.43+3.89+4.45</f>
        <v>11.77</v>
      </c>
      <c r="I62" s="25">
        <f>3.43+3.89+4.45</f>
        <v>11.77</v>
      </c>
      <c r="J62" s="25" t="s">
        <v>1891</v>
      </c>
      <c r="K62" s="25" t="str">
        <f>VLOOKUP(E62,[1]PrelimAssignPOP!$I$1:$J$947,2,FALSE)</f>
        <v>ART</v>
      </c>
      <c r="L62" s="25" t="s">
        <v>210</v>
      </c>
      <c r="M62" s="25" t="s">
        <v>153</v>
      </c>
      <c r="N62" s="25" t="s">
        <v>1952</v>
      </c>
    </row>
    <row r="63" spans="1:15" x14ac:dyDescent="0.55000000000000004">
      <c r="A63">
        <v>62</v>
      </c>
      <c r="B63" s="25" t="s">
        <v>8</v>
      </c>
      <c r="C63" s="25">
        <v>25</v>
      </c>
      <c r="D63" s="25" t="s">
        <v>3419</v>
      </c>
      <c r="E63" s="25" t="s">
        <v>3431</v>
      </c>
      <c r="F63" s="25">
        <v>9.31</v>
      </c>
      <c r="G63" s="25" t="s">
        <v>1889</v>
      </c>
      <c r="H63" s="25">
        <f>1.97+2.05+3.03+2.49</f>
        <v>9.5399999999999991</v>
      </c>
      <c r="I63" s="25">
        <f>1.97+2.05+3.03+2.49</f>
        <v>9.5399999999999991</v>
      </c>
      <c r="J63" s="25" t="s">
        <v>1891</v>
      </c>
      <c r="K63" s="25" t="str">
        <f>VLOOKUP(E63,[1]PrelimAssignPOP!$I$1:$J$947,2,FALSE)</f>
        <v>ART</v>
      </c>
      <c r="L63" s="25" t="s">
        <v>210</v>
      </c>
      <c r="M63" s="25" t="s">
        <v>154</v>
      </c>
      <c r="N63" s="25" t="s">
        <v>1953</v>
      </c>
    </row>
    <row r="64" spans="1:15" x14ac:dyDescent="0.55000000000000004">
      <c r="A64">
        <v>63</v>
      </c>
      <c r="B64" s="25" t="s">
        <v>8</v>
      </c>
      <c r="C64" s="25">
        <v>25</v>
      </c>
      <c r="D64" s="25" t="s">
        <v>3419</v>
      </c>
      <c r="E64" s="25" t="s">
        <v>3432</v>
      </c>
      <c r="F64" s="25">
        <v>9.8000000000000007</v>
      </c>
      <c r="G64" s="25" t="s">
        <v>1889</v>
      </c>
      <c r="H64" s="25">
        <f>5.56+2.36+2.33</f>
        <v>10.25</v>
      </c>
      <c r="I64" s="25">
        <f>5.56+2.36+2.33</f>
        <v>10.25</v>
      </c>
      <c r="J64" s="25" t="s">
        <v>1891</v>
      </c>
      <c r="N64" s="25" t="s">
        <v>1954</v>
      </c>
    </row>
    <row r="65" spans="1:15" x14ac:dyDescent="0.55000000000000004">
      <c r="A65">
        <v>64</v>
      </c>
      <c r="B65" s="25" t="s">
        <v>8</v>
      </c>
      <c r="C65" s="25">
        <v>25</v>
      </c>
      <c r="D65" s="25" t="s">
        <v>3419</v>
      </c>
      <c r="E65" s="25" t="s">
        <v>3433</v>
      </c>
      <c r="F65" s="25">
        <v>11.55</v>
      </c>
      <c r="G65" s="25" t="s">
        <v>1889</v>
      </c>
      <c r="H65" s="25">
        <f>3.96+3.02+2.14+2.53</f>
        <v>11.65</v>
      </c>
      <c r="I65" s="25">
        <f>3.96+3.02+2.14+2.53</f>
        <v>11.65</v>
      </c>
      <c r="J65" s="25" t="s">
        <v>1891</v>
      </c>
      <c r="N65" s="25" t="s">
        <v>1955</v>
      </c>
    </row>
    <row r="66" spans="1:15" x14ac:dyDescent="0.55000000000000004">
      <c r="A66">
        <v>65</v>
      </c>
      <c r="B66" s="25" t="s">
        <v>8</v>
      </c>
      <c r="C66" s="25">
        <v>25</v>
      </c>
      <c r="D66" s="25" t="s">
        <v>3419</v>
      </c>
      <c r="E66" s="25" t="s">
        <v>3434</v>
      </c>
      <c r="F66" s="25">
        <v>9.8699999999999992</v>
      </c>
      <c r="G66" s="25" t="s">
        <v>1889</v>
      </c>
      <c r="H66" s="25">
        <f>2.51+7.22</f>
        <v>9.73</v>
      </c>
      <c r="I66" s="25">
        <f>2.51+7.22</f>
        <v>9.73</v>
      </c>
      <c r="J66" s="25" t="s">
        <v>1891</v>
      </c>
      <c r="N66" s="25" t="s">
        <v>1956</v>
      </c>
    </row>
    <row r="67" spans="1:15" x14ac:dyDescent="0.55000000000000004">
      <c r="A67">
        <v>66</v>
      </c>
      <c r="B67" s="25" t="s">
        <v>8</v>
      </c>
      <c r="C67" s="25">
        <v>25</v>
      </c>
      <c r="D67" s="25" t="s">
        <v>3419</v>
      </c>
      <c r="E67" s="25" t="s">
        <v>3435</v>
      </c>
      <c r="F67" s="25">
        <v>10.27</v>
      </c>
      <c r="G67" s="25" t="s">
        <v>1889</v>
      </c>
      <c r="H67" s="25">
        <f>2.5+1.7+2.05+2.83+1.72</f>
        <v>10.8</v>
      </c>
      <c r="I67" s="25">
        <f>2.5+1.7+2.05+2.83+1.72</f>
        <v>10.8</v>
      </c>
      <c r="J67" s="25" t="s">
        <v>1891</v>
      </c>
      <c r="N67" s="25" t="s">
        <v>1957</v>
      </c>
    </row>
    <row r="68" spans="1:15" x14ac:dyDescent="0.55000000000000004">
      <c r="A68">
        <v>67</v>
      </c>
      <c r="B68" s="25" t="s">
        <v>8</v>
      </c>
      <c r="C68" s="25">
        <v>25</v>
      </c>
      <c r="D68" s="25" t="s">
        <v>3419</v>
      </c>
      <c r="E68" s="25" t="s">
        <v>3436</v>
      </c>
      <c r="F68" s="25">
        <v>11.66</v>
      </c>
      <c r="G68" s="25" t="s">
        <v>1889</v>
      </c>
      <c r="H68" s="25">
        <f>1.9+4.69+1.9+3.34</f>
        <v>11.83</v>
      </c>
      <c r="I68" s="25">
        <f>1.9+4.69+1.9+3.34</f>
        <v>11.83</v>
      </c>
      <c r="J68" s="25" t="s">
        <v>1891</v>
      </c>
      <c r="N68" s="25" t="s">
        <v>1958</v>
      </c>
    </row>
    <row r="69" spans="1:15" x14ac:dyDescent="0.55000000000000004">
      <c r="A69">
        <v>68</v>
      </c>
      <c r="B69" s="25" t="s">
        <v>8</v>
      </c>
      <c r="C69" s="25">
        <v>25</v>
      </c>
      <c r="D69" s="25" t="s">
        <v>3419</v>
      </c>
      <c r="E69" s="25" t="s">
        <v>3437</v>
      </c>
      <c r="F69" s="25">
        <v>9.2899999999999991</v>
      </c>
      <c r="G69" s="25" t="s">
        <v>1889</v>
      </c>
      <c r="H69" s="25">
        <f>2.62+2.85+1.27+3.27</f>
        <v>10.01</v>
      </c>
      <c r="I69" s="25">
        <f>2.62+2.85+1.27+3.27</f>
        <v>10.01</v>
      </c>
      <c r="J69" s="25" t="s">
        <v>1891</v>
      </c>
      <c r="N69" s="25" t="s">
        <v>1959</v>
      </c>
    </row>
    <row r="70" spans="1:15" x14ac:dyDescent="0.55000000000000004">
      <c r="A70">
        <v>69</v>
      </c>
      <c r="B70" s="25" t="s">
        <v>8</v>
      </c>
      <c r="C70" s="25">
        <v>25</v>
      </c>
      <c r="D70" s="25" t="s">
        <v>3419</v>
      </c>
      <c r="E70" s="25" t="s">
        <v>3438</v>
      </c>
      <c r="F70" s="25">
        <v>11.03</v>
      </c>
      <c r="G70" s="25" t="s">
        <v>1889</v>
      </c>
      <c r="H70" s="25">
        <f>6.64+2.4+2.46</f>
        <v>11.5</v>
      </c>
      <c r="I70" s="25">
        <f>6.64+2.4+2.46</f>
        <v>11.5</v>
      </c>
      <c r="J70" s="25" t="s">
        <v>1891</v>
      </c>
      <c r="N70" s="25" t="s">
        <v>1960</v>
      </c>
    </row>
    <row r="71" spans="1:15" x14ac:dyDescent="0.55000000000000004">
      <c r="A71">
        <v>70</v>
      </c>
      <c r="B71" s="25" t="s">
        <v>8</v>
      </c>
      <c r="C71" s="25">
        <v>25</v>
      </c>
      <c r="D71" s="25" t="s">
        <v>3419</v>
      </c>
      <c r="E71" s="25" t="s">
        <v>3439</v>
      </c>
      <c r="F71" s="25">
        <v>12.05</v>
      </c>
      <c r="G71" s="25" t="s">
        <v>1889</v>
      </c>
      <c r="H71" s="25">
        <f>3.7+2.48+3.96+2.4</f>
        <v>12.540000000000001</v>
      </c>
      <c r="I71" s="25">
        <f>3.7+2.48+3.96+2.4</f>
        <v>12.540000000000001</v>
      </c>
      <c r="J71" s="25" t="s">
        <v>1891</v>
      </c>
      <c r="N71" s="25" t="s">
        <v>1961</v>
      </c>
    </row>
    <row r="72" spans="1:15" x14ac:dyDescent="0.55000000000000004">
      <c r="A72">
        <v>71</v>
      </c>
      <c r="B72" s="25" t="s">
        <v>8</v>
      </c>
      <c r="C72" s="25">
        <v>25</v>
      </c>
      <c r="D72" s="25" t="s">
        <v>3419</v>
      </c>
      <c r="E72" s="25" t="s">
        <v>3440</v>
      </c>
      <c r="F72" s="25">
        <v>9.3800000000000008</v>
      </c>
      <c r="G72" s="25" t="s">
        <v>1889</v>
      </c>
      <c r="H72" s="25">
        <f>2.33+1.57+1.75+3.85</f>
        <v>9.5</v>
      </c>
      <c r="I72" s="25">
        <f>2.33+1.57+1.75+3.85</f>
        <v>9.5</v>
      </c>
      <c r="J72" s="25" t="s">
        <v>1891</v>
      </c>
      <c r="N72" s="25" t="s">
        <v>1962</v>
      </c>
    </row>
    <row r="73" spans="1:15" x14ac:dyDescent="0.55000000000000004">
      <c r="A73">
        <v>72</v>
      </c>
      <c r="B73" s="25" t="s">
        <v>8</v>
      </c>
      <c r="C73" s="25">
        <v>25</v>
      </c>
      <c r="D73" s="25" t="s">
        <v>3419</v>
      </c>
      <c r="E73" s="25" t="s">
        <v>3441</v>
      </c>
      <c r="F73" s="25">
        <v>11.14</v>
      </c>
      <c r="G73" s="25" t="s">
        <v>1889</v>
      </c>
      <c r="H73" s="25">
        <f>3.03+2.13+1.2+2.3+2.38</f>
        <v>11.04</v>
      </c>
      <c r="I73" s="25">
        <f>3.03+2.13+1.2+2.3+2.38</f>
        <v>11.04</v>
      </c>
      <c r="J73" s="25" t="s">
        <v>1891</v>
      </c>
      <c r="N73" s="25" t="s">
        <v>1963</v>
      </c>
    </row>
    <row r="74" spans="1:15" x14ac:dyDescent="0.55000000000000004">
      <c r="A74">
        <v>73</v>
      </c>
      <c r="B74" s="25" t="s">
        <v>8</v>
      </c>
      <c r="C74" s="25">
        <v>25</v>
      </c>
      <c r="D74" s="25" t="s">
        <v>3419</v>
      </c>
      <c r="E74" s="25" t="s">
        <v>3442</v>
      </c>
      <c r="F74" s="25">
        <v>10.71</v>
      </c>
      <c r="G74" s="25" t="s">
        <v>1889</v>
      </c>
      <c r="H74" s="25">
        <f>2.96+2.14+1.48+1.82+2.93</f>
        <v>11.33</v>
      </c>
      <c r="I74" s="25">
        <f>2.96+2.14+1.48+1.82+2.93</f>
        <v>11.33</v>
      </c>
      <c r="J74" s="25" t="s">
        <v>1891</v>
      </c>
      <c r="N74" s="25" t="s">
        <v>1964</v>
      </c>
    </row>
    <row r="75" spans="1:15" x14ac:dyDescent="0.55000000000000004">
      <c r="A75">
        <v>74</v>
      </c>
      <c r="B75" s="25" t="s">
        <v>8</v>
      </c>
      <c r="C75" s="25">
        <v>25</v>
      </c>
      <c r="D75" s="25" t="s">
        <v>3419</v>
      </c>
      <c r="E75" s="25" t="s">
        <v>3443</v>
      </c>
      <c r="F75" s="25">
        <v>9.0500000000000007</v>
      </c>
      <c r="G75" s="25" t="s">
        <v>1889</v>
      </c>
      <c r="H75" s="25">
        <f>3.22+1.49+1.56+2.99</f>
        <v>9.26</v>
      </c>
      <c r="I75" s="25">
        <f>3.22+1.49+1.56+2.99</f>
        <v>9.26</v>
      </c>
      <c r="J75" s="25" t="s">
        <v>1891</v>
      </c>
      <c r="N75" s="25" t="s">
        <v>1965</v>
      </c>
      <c r="O75" s="18" t="s">
        <v>3444</v>
      </c>
    </row>
    <row r="76" spans="1:15" x14ac:dyDescent="0.55000000000000004">
      <c r="A76">
        <v>75</v>
      </c>
      <c r="B76" s="25" t="s">
        <v>8</v>
      </c>
      <c r="C76" s="25">
        <v>25</v>
      </c>
      <c r="D76" s="25" t="s">
        <v>3419</v>
      </c>
      <c r="E76" s="25" t="s">
        <v>3445</v>
      </c>
      <c r="G76" s="25" t="s">
        <v>1941</v>
      </c>
      <c r="J76" s="25" t="s">
        <v>1941</v>
      </c>
    </row>
    <row r="77" spans="1:15" x14ac:dyDescent="0.55000000000000004">
      <c r="A77">
        <v>76</v>
      </c>
      <c r="B77" s="25" t="s">
        <v>9</v>
      </c>
      <c r="C77" s="25">
        <v>25</v>
      </c>
      <c r="D77" s="25" t="s">
        <v>3446</v>
      </c>
      <c r="E77" s="25" t="s">
        <v>3447</v>
      </c>
      <c r="F77" s="25">
        <v>11.08</v>
      </c>
      <c r="G77" s="25" t="s">
        <v>1889</v>
      </c>
      <c r="H77" s="25">
        <f>2.85+6.37+2.27</f>
        <v>11.49</v>
      </c>
      <c r="I77" s="25">
        <f>2.85+6.37+2.27</f>
        <v>11.49</v>
      </c>
      <c r="J77" s="25" t="s">
        <v>1891</v>
      </c>
      <c r="K77" s="25" t="str">
        <f>VLOOKUP(E77,[1]PrelimAssignPOP!$I$1:$J$947,2,FALSE)</f>
        <v>ART</v>
      </c>
      <c r="L77" s="25" t="s">
        <v>210</v>
      </c>
      <c r="M77" s="25" t="s">
        <v>117</v>
      </c>
      <c r="N77" s="25" t="s">
        <v>1966</v>
      </c>
    </row>
    <row r="78" spans="1:15" x14ac:dyDescent="0.55000000000000004">
      <c r="A78">
        <v>77</v>
      </c>
      <c r="B78" s="25" t="s">
        <v>9</v>
      </c>
      <c r="C78" s="25">
        <v>25</v>
      </c>
      <c r="D78" s="25" t="s">
        <v>3446</v>
      </c>
      <c r="E78" s="25" t="s">
        <v>3448</v>
      </c>
      <c r="F78" s="25">
        <v>11.76</v>
      </c>
      <c r="G78" s="25" t="s">
        <v>1889</v>
      </c>
      <c r="H78" s="25">
        <f>3.69+4.6+3.85</f>
        <v>12.139999999999999</v>
      </c>
      <c r="I78" s="25">
        <f>3.69+4.6+3.85</f>
        <v>12.139999999999999</v>
      </c>
      <c r="J78" s="25" t="s">
        <v>1891</v>
      </c>
      <c r="K78" s="25" t="str">
        <f>VLOOKUP(E78,[1]PrelimAssignPOP!$I$1:$J$947,2,FALSE)</f>
        <v>ART</v>
      </c>
      <c r="L78" s="25" t="s">
        <v>210</v>
      </c>
      <c r="M78" s="25" t="s">
        <v>155</v>
      </c>
      <c r="N78" s="25" t="s">
        <v>1967</v>
      </c>
    </row>
    <row r="79" spans="1:15" x14ac:dyDescent="0.55000000000000004">
      <c r="A79">
        <v>78</v>
      </c>
      <c r="B79" s="25" t="s">
        <v>9</v>
      </c>
      <c r="C79" s="25">
        <v>25</v>
      </c>
      <c r="D79" s="25" t="s">
        <v>3446</v>
      </c>
      <c r="E79" s="25" t="s">
        <v>3449</v>
      </c>
      <c r="F79" s="25">
        <v>10.44</v>
      </c>
      <c r="G79" s="25" t="s">
        <v>1889</v>
      </c>
      <c r="H79" s="25">
        <f>2.22+4.83+2.34+1.92</f>
        <v>11.31</v>
      </c>
      <c r="I79" s="25">
        <f>2.22+4.83+2.34+1.92</f>
        <v>11.31</v>
      </c>
      <c r="J79" s="25" t="s">
        <v>1891</v>
      </c>
      <c r="K79" s="25" t="str">
        <f>VLOOKUP(E79,[1]PrelimAssignPOP!$I$1:$J$947,2,FALSE)</f>
        <v>ART</v>
      </c>
      <c r="L79" s="25" t="s">
        <v>210</v>
      </c>
      <c r="M79" s="25" t="s">
        <v>156</v>
      </c>
      <c r="N79" s="25" t="s">
        <v>1968</v>
      </c>
    </row>
    <row r="80" spans="1:15" x14ac:dyDescent="0.55000000000000004">
      <c r="A80">
        <v>79</v>
      </c>
      <c r="B80" s="25" t="s">
        <v>9</v>
      </c>
      <c r="C80" s="25">
        <v>25</v>
      </c>
      <c r="D80" s="25" t="s">
        <v>3446</v>
      </c>
      <c r="E80" s="25" t="s">
        <v>3450</v>
      </c>
      <c r="F80" s="25">
        <v>10.039999999999999</v>
      </c>
      <c r="G80" s="25" t="s">
        <v>1889</v>
      </c>
      <c r="H80" s="25">
        <f>2.38+1.63+3.14+3.05</f>
        <v>10.199999999999999</v>
      </c>
      <c r="I80" s="25">
        <f>2.38+1.63+3.14+3.05</f>
        <v>10.199999999999999</v>
      </c>
      <c r="J80" s="25" t="s">
        <v>1891</v>
      </c>
      <c r="K80" s="25" t="str">
        <f>VLOOKUP(E80,[1]PrelimAssignPOP!$I$1:$J$947,2,FALSE)</f>
        <v>ART</v>
      </c>
      <c r="L80" s="25" t="s">
        <v>210</v>
      </c>
      <c r="M80" s="25" t="s">
        <v>157</v>
      </c>
      <c r="N80" s="25" t="s">
        <v>1969</v>
      </c>
    </row>
    <row r="81" spans="1:14" x14ac:dyDescent="0.55000000000000004">
      <c r="A81">
        <v>80</v>
      </c>
      <c r="B81" s="25" t="s">
        <v>9</v>
      </c>
      <c r="C81" s="25">
        <v>25</v>
      </c>
      <c r="D81" s="25" t="s">
        <v>3446</v>
      </c>
      <c r="E81" s="25" t="s">
        <v>3451</v>
      </c>
      <c r="F81" s="25">
        <v>12.21</v>
      </c>
      <c r="G81" s="25" t="s">
        <v>1889</v>
      </c>
      <c r="H81" s="25">
        <f>5.02+3.14+4.42</f>
        <v>12.58</v>
      </c>
      <c r="I81" s="25">
        <f>5.02+3.14+4.42</f>
        <v>12.58</v>
      </c>
      <c r="J81" s="25" t="s">
        <v>1891</v>
      </c>
      <c r="K81" s="25" t="str">
        <f>VLOOKUP(E81,[1]PrelimAssignPOP!$I$1:$J$947,2,FALSE)</f>
        <v>ART</v>
      </c>
      <c r="L81" s="25" t="s">
        <v>210</v>
      </c>
      <c r="M81" s="25" t="s">
        <v>158</v>
      </c>
      <c r="N81" s="25" t="s">
        <v>1970</v>
      </c>
    </row>
    <row r="82" spans="1:14" x14ac:dyDescent="0.55000000000000004">
      <c r="A82">
        <v>81</v>
      </c>
      <c r="B82" s="25" t="s">
        <v>9</v>
      </c>
      <c r="C82" s="25">
        <v>25</v>
      </c>
      <c r="D82" s="25" t="s">
        <v>3446</v>
      </c>
      <c r="E82" s="25" t="s">
        <v>3452</v>
      </c>
      <c r="F82" s="25">
        <v>11.42</v>
      </c>
      <c r="G82" s="25" t="s">
        <v>1889</v>
      </c>
      <c r="H82" s="25">
        <f>3.29+3.76+5.09</f>
        <v>12.14</v>
      </c>
      <c r="I82" s="25">
        <f>3.29+3.76+5.09</f>
        <v>12.14</v>
      </c>
      <c r="J82" s="25" t="s">
        <v>1891</v>
      </c>
      <c r="K82" s="25" t="str">
        <f>VLOOKUP(E82,[1]PrelimAssignPOP!$I$1:$J$947,2,FALSE)</f>
        <v>ART</v>
      </c>
      <c r="L82" s="25" t="s">
        <v>210</v>
      </c>
      <c r="M82" s="25" t="s">
        <v>159</v>
      </c>
      <c r="N82" s="25" t="s">
        <v>1971</v>
      </c>
    </row>
    <row r="83" spans="1:14" x14ac:dyDescent="0.55000000000000004">
      <c r="A83">
        <v>82</v>
      </c>
      <c r="B83" s="25" t="s">
        <v>9</v>
      </c>
      <c r="C83" s="25">
        <v>25</v>
      </c>
      <c r="D83" s="25" t="s">
        <v>3446</v>
      </c>
      <c r="E83" s="25" t="s">
        <v>3453</v>
      </c>
      <c r="F83" s="25">
        <v>11.77</v>
      </c>
      <c r="G83" s="25" t="s">
        <v>1889</v>
      </c>
      <c r="H83" s="25">
        <v>11.74</v>
      </c>
      <c r="I83" s="25">
        <v>11.74</v>
      </c>
      <c r="J83" s="25" t="s">
        <v>1891</v>
      </c>
      <c r="K83" s="25" t="str">
        <f>VLOOKUP(E83,[1]PrelimAssignPOP!$I$1:$J$947,2,FALSE)</f>
        <v>ART</v>
      </c>
      <c r="L83" s="25" t="s">
        <v>210</v>
      </c>
      <c r="M83" s="25" t="s">
        <v>160</v>
      </c>
      <c r="N83" s="25" t="s">
        <v>1972</v>
      </c>
    </row>
    <row r="84" spans="1:14" x14ac:dyDescent="0.55000000000000004">
      <c r="A84">
        <v>83</v>
      </c>
      <c r="B84" s="25" t="s">
        <v>9</v>
      </c>
      <c r="C84" s="25">
        <v>25</v>
      </c>
      <c r="D84" s="25" t="s">
        <v>3446</v>
      </c>
      <c r="E84" s="25" t="s">
        <v>3454</v>
      </c>
      <c r="F84" s="25">
        <v>12.16</v>
      </c>
      <c r="G84" s="25" t="s">
        <v>1889</v>
      </c>
      <c r="H84" s="25">
        <f>5.48+2.3+4.35</f>
        <v>12.129999999999999</v>
      </c>
      <c r="I84" s="25">
        <f>5.48+2.3+4.35</f>
        <v>12.129999999999999</v>
      </c>
      <c r="J84" s="25" t="s">
        <v>1891</v>
      </c>
      <c r="K84" s="25" t="str">
        <f>VLOOKUP(E84,[1]PrelimAssignPOP!$I$1:$J$947,2,FALSE)</f>
        <v>ART</v>
      </c>
      <c r="L84" s="25" t="s">
        <v>210</v>
      </c>
      <c r="M84" s="25" t="s">
        <v>161</v>
      </c>
      <c r="N84" s="25" t="s">
        <v>1973</v>
      </c>
    </row>
    <row r="85" spans="1:14" x14ac:dyDescent="0.55000000000000004">
      <c r="A85">
        <v>84</v>
      </c>
      <c r="B85" s="25" t="s">
        <v>9</v>
      </c>
      <c r="C85" s="25">
        <v>25</v>
      </c>
      <c r="D85" s="25" t="s">
        <v>3446</v>
      </c>
      <c r="E85" s="25" t="s">
        <v>3455</v>
      </c>
      <c r="F85" s="25">
        <v>11.32</v>
      </c>
      <c r="G85" s="25" t="s">
        <v>1889</v>
      </c>
      <c r="H85" s="25">
        <f>2.65+8.78</f>
        <v>11.43</v>
      </c>
      <c r="I85" s="25">
        <f>2.65+8.78</f>
        <v>11.43</v>
      </c>
      <c r="J85" s="25" t="s">
        <v>1891</v>
      </c>
      <c r="K85" s="25" t="str">
        <f>VLOOKUP(E85,[1]PrelimAssignPOP!$I$1:$J$947,2,FALSE)</f>
        <v>ART</v>
      </c>
      <c r="L85" s="25" t="s">
        <v>210</v>
      </c>
      <c r="M85" s="25" t="s">
        <v>162</v>
      </c>
      <c r="N85" s="25" t="s">
        <v>1974</v>
      </c>
    </row>
    <row r="86" spans="1:14" x14ac:dyDescent="0.55000000000000004">
      <c r="A86">
        <v>85</v>
      </c>
      <c r="B86" s="25" t="s">
        <v>9</v>
      </c>
      <c r="C86" s="25">
        <v>25</v>
      </c>
      <c r="D86" s="25" t="s">
        <v>3446</v>
      </c>
      <c r="E86" s="25" t="s">
        <v>3456</v>
      </c>
      <c r="F86" s="25">
        <v>10.47</v>
      </c>
      <c r="G86" s="25" t="s">
        <v>1889</v>
      </c>
      <c r="H86" s="25">
        <f>1.74+4.44+1.58+2.91</f>
        <v>10.670000000000002</v>
      </c>
      <c r="I86" s="25">
        <f>1.74+4.44+1.58+2.91</f>
        <v>10.670000000000002</v>
      </c>
      <c r="J86" s="25" t="s">
        <v>1891</v>
      </c>
      <c r="K86" s="25" t="str">
        <f>VLOOKUP(E86,[1]PrelimAssignPOP!$I$1:$J$947,2,FALSE)</f>
        <v>ART</v>
      </c>
      <c r="L86" s="25" t="s">
        <v>210</v>
      </c>
      <c r="M86" s="25" t="s">
        <v>163</v>
      </c>
      <c r="N86" s="25" t="s">
        <v>1975</v>
      </c>
    </row>
    <row r="87" spans="1:14" x14ac:dyDescent="0.55000000000000004">
      <c r="A87">
        <v>86</v>
      </c>
      <c r="B87" s="25" t="s">
        <v>9</v>
      </c>
      <c r="C87" s="25">
        <v>25</v>
      </c>
      <c r="D87" s="25" t="s">
        <v>3446</v>
      </c>
      <c r="E87" s="25" t="s">
        <v>3457</v>
      </c>
      <c r="F87" s="25">
        <v>11.43</v>
      </c>
      <c r="G87" s="25" t="s">
        <v>1889</v>
      </c>
      <c r="H87" s="25">
        <f>3.81+4.85+2.79</f>
        <v>11.45</v>
      </c>
      <c r="I87" s="25">
        <f>3.81+4.85+2.79</f>
        <v>11.45</v>
      </c>
      <c r="J87" s="25" t="s">
        <v>1891</v>
      </c>
      <c r="K87" s="25" t="str">
        <f>VLOOKUP(E87,[1]PrelimAssignPOP!$I$1:$J$947,2,FALSE)</f>
        <v>ART</v>
      </c>
      <c r="L87" s="25" t="s">
        <v>210</v>
      </c>
      <c r="M87" s="25" t="s">
        <v>164</v>
      </c>
      <c r="N87" s="25" t="s">
        <v>1976</v>
      </c>
    </row>
    <row r="88" spans="1:14" x14ac:dyDescent="0.55000000000000004">
      <c r="A88">
        <v>87</v>
      </c>
      <c r="B88" s="25" t="s">
        <v>9</v>
      </c>
      <c r="C88" s="25">
        <v>25</v>
      </c>
      <c r="D88" s="25" t="s">
        <v>3446</v>
      </c>
      <c r="E88" s="25" t="s">
        <v>3458</v>
      </c>
      <c r="F88" s="25">
        <v>11.8</v>
      </c>
      <c r="G88" s="25" t="s">
        <v>1889</v>
      </c>
      <c r="H88" s="25">
        <f>4.02+5.55+2.33</f>
        <v>11.9</v>
      </c>
      <c r="I88" s="25">
        <f>4.02+5.55+2.33</f>
        <v>11.9</v>
      </c>
      <c r="J88" s="25" t="s">
        <v>1891</v>
      </c>
      <c r="K88" s="25" t="str">
        <f>VLOOKUP(E88,[1]PrelimAssignPOP!$I$1:$J$947,2,FALSE)</f>
        <v>ART</v>
      </c>
      <c r="L88" s="25" t="s">
        <v>210</v>
      </c>
      <c r="M88" s="25" t="s">
        <v>165</v>
      </c>
      <c r="N88" s="25" t="s">
        <v>1977</v>
      </c>
    </row>
    <row r="89" spans="1:14" x14ac:dyDescent="0.55000000000000004">
      <c r="A89">
        <v>88</v>
      </c>
      <c r="B89" s="25" t="s">
        <v>9</v>
      </c>
      <c r="C89" s="25">
        <v>25</v>
      </c>
      <c r="D89" s="25" t="s">
        <v>3446</v>
      </c>
      <c r="E89" s="25" t="s">
        <v>3459</v>
      </c>
      <c r="F89" s="25">
        <v>10.43</v>
      </c>
      <c r="G89" s="25" t="s">
        <v>1889</v>
      </c>
      <c r="H89" s="25">
        <f>2.79+4.7+3.41</f>
        <v>10.9</v>
      </c>
      <c r="I89" s="25">
        <f>2.79+4.7+3.41</f>
        <v>10.9</v>
      </c>
      <c r="J89" s="25" t="s">
        <v>1891</v>
      </c>
      <c r="N89" s="25" t="s">
        <v>1978</v>
      </c>
    </row>
    <row r="90" spans="1:14" x14ac:dyDescent="0.55000000000000004">
      <c r="A90">
        <v>89</v>
      </c>
      <c r="B90" s="25" t="s">
        <v>9</v>
      </c>
      <c r="C90" s="25">
        <v>25</v>
      </c>
      <c r="D90" s="25" t="s">
        <v>3446</v>
      </c>
      <c r="E90" s="25" t="s">
        <v>3460</v>
      </c>
      <c r="F90" s="25">
        <v>12.63</v>
      </c>
      <c r="G90" s="25" t="s">
        <v>1889</v>
      </c>
      <c r="H90" s="25">
        <f>3.07+2.62+3.06+4.47</f>
        <v>13.219999999999999</v>
      </c>
      <c r="I90" s="25">
        <f>3.07+2.62+3.06+4.47</f>
        <v>13.219999999999999</v>
      </c>
      <c r="J90" s="25" t="s">
        <v>1891</v>
      </c>
      <c r="N90" s="25" t="s">
        <v>1979</v>
      </c>
    </row>
    <row r="91" spans="1:14" x14ac:dyDescent="0.55000000000000004">
      <c r="A91">
        <v>90</v>
      </c>
      <c r="B91" s="25" t="s">
        <v>9</v>
      </c>
      <c r="C91" s="25">
        <v>25</v>
      </c>
      <c r="D91" s="25" t="s">
        <v>3446</v>
      </c>
      <c r="E91" s="25" t="s">
        <v>3461</v>
      </c>
      <c r="F91" s="25">
        <v>11.08</v>
      </c>
      <c r="G91" s="25" t="s">
        <v>1889</v>
      </c>
      <c r="H91" s="25">
        <f>7.93+3.4</f>
        <v>11.33</v>
      </c>
      <c r="I91" s="25">
        <f>7.93+3.4</f>
        <v>11.33</v>
      </c>
      <c r="J91" s="25" t="s">
        <v>1891</v>
      </c>
      <c r="N91" s="25" t="s">
        <v>1980</v>
      </c>
    </row>
    <row r="92" spans="1:14" x14ac:dyDescent="0.55000000000000004">
      <c r="A92">
        <v>91</v>
      </c>
      <c r="B92" s="25" t="s">
        <v>9</v>
      </c>
      <c r="C92" s="25">
        <v>25</v>
      </c>
      <c r="D92" s="25" t="s">
        <v>3446</v>
      </c>
      <c r="E92" s="25" t="s">
        <v>3462</v>
      </c>
      <c r="F92" s="25">
        <v>11.17</v>
      </c>
      <c r="G92" s="25" t="s">
        <v>1889</v>
      </c>
      <c r="H92" s="25">
        <f>3+5.5+3.15</f>
        <v>11.65</v>
      </c>
      <c r="I92" s="25">
        <f>3+5.5+3.15</f>
        <v>11.65</v>
      </c>
      <c r="J92" s="25" t="s">
        <v>1891</v>
      </c>
      <c r="N92" s="25" t="s">
        <v>1981</v>
      </c>
    </row>
    <row r="93" spans="1:14" x14ac:dyDescent="0.55000000000000004">
      <c r="A93">
        <v>92</v>
      </c>
      <c r="B93" s="25" t="s">
        <v>9</v>
      </c>
      <c r="C93" s="25">
        <v>25</v>
      </c>
      <c r="D93" s="25" t="s">
        <v>3446</v>
      </c>
      <c r="E93" s="25" t="s">
        <v>3463</v>
      </c>
      <c r="F93" s="25">
        <v>11.94</v>
      </c>
      <c r="G93" s="25" t="s">
        <v>1889</v>
      </c>
      <c r="H93" s="25">
        <f>4.25+3.83+4</f>
        <v>12.08</v>
      </c>
      <c r="I93" s="25">
        <f>4.25+3.83+4</f>
        <v>12.08</v>
      </c>
      <c r="J93" s="25" t="s">
        <v>1891</v>
      </c>
      <c r="N93" s="25" t="s">
        <v>1982</v>
      </c>
    </row>
    <row r="94" spans="1:14" x14ac:dyDescent="0.55000000000000004">
      <c r="A94">
        <v>93</v>
      </c>
      <c r="B94" s="25" t="s">
        <v>9</v>
      </c>
      <c r="C94" s="25">
        <v>25</v>
      </c>
      <c r="D94" s="25" t="s">
        <v>3446</v>
      </c>
      <c r="E94" s="25" t="s">
        <v>3464</v>
      </c>
      <c r="F94" s="25">
        <v>11.18</v>
      </c>
      <c r="G94" s="25" t="s">
        <v>1889</v>
      </c>
      <c r="H94" s="25">
        <f>3.41+1.48+4.3+2.51</f>
        <v>11.700000000000001</v>
      </c>
      <c r="I94" s="25">
        <f>3.41+1.48+4.3+2.51</f>
        <v>11.700000000000001</v>
      </c>
      <c r="J94" s="25" t="s">
        <v>1891</v>
      </c>
      <c r="N94" s="25" t="s">
        <v>1983</v>
      </c>
    </row>
    <row r="95" spans="1:14" x14ac:dyDescent="0.55000000000000004">
      <c r="A95">
        <v>94</v>
      </c>
      <c r="B95" s="25" t="s">
        <v>9</v>
      </c>
      <c r="C95" s="25">
        <v>25</v>
      </c>
      <c r="D95" s="25" t="s">
        <v>3446</v>
      </c>
      <c r="E95" s="25" t="s">
        <v>3465</v>
      </c>
      <c r="F95" s="25">
        <v>13.85</v>
      </c>
      <c r="G95" s="25" t="s">
        <v>1889</v>
      </c>
      <c r="H95" s="25">
        <f>4.07+6.22+3.81</f>
        <v>14.1</v>
      </c>
      <c r="I95" s="25">
        <f>4.07+6.22+3.81</f>
        <v>14.1</v>
      </c>
      <c r="J95" s="25" t="s">
        <v>1891</v>
      </c>
      <c r="N95" s="25" t="s">
        <v>1984</v>
      </c>
    </row>
    <row r="96" spans="1:14" x14ac:dyDescent="0.55000000000000004">
      <c r="A96">
        <v>95</v>
      </c>
      <c r="B96" s="25" t="s">
        <v>9</v>
      </c>
      <c r="C96" s="25">
        <v>25</v>
      </c>
      <c r="D96" s="25" t="s">
        <v>3446</v>
      </c>
      <c r="E96" s="25" t="s">
        <v>3466</v>
      </c>
      <c r="F96" s="25">
        <v>14.56</v>
      </c>
      <c r="G96" s="25" t="s">
        <v>1889</v>
      </c>
      <c r="H96" s="25">
        <f>8.6+6.2</f>
        <v>14.8</v>
      </c>
      <c r="I96" s="25">
        <f>8.6+6.2</f>
        <v>14.8</v>
      </c>
      <c r="J96" s="25" t="s">
        <v>1891</v>
      </c>
      <c r="N96" s="25" t="s">
        <v>1985</v>
      </c>
    </row>
    <row r="97" spans="1:14" x14ac:dyDescent="0.55000000000000004">
      <c r="A97">
        <v>96</v>
      </c>
      <c r="B97" s="25" t="s">
        <v>9</v>
      </c>
      <c r="C97" s="25">
        <v>25</v>
      </c>
      <c r="D97" s="25" t="s">
        <v>3446</v>
      </c>
      <c r="E97" s="25" t="s">
        <v>3467</v>
      </c>
      <c r="F97" s="25">
        <v>11.36</v>
      </c>
      <c r="G97" s="25" t="s">
        <v>1889</v>
      </c>
      <c r="H97" s="25">
        <f>4.39+4.58+2.82</f>
        <v>11.79</v>
      </c>
      <c r="I97" s="25">
        <f>4.39+4.58+2.82</f>
        <v>11.79</v>
      </c>
      <c r="J97" s="25" t="s">
        <v>1891</v>
      </c>
      <c r="N97" s="25" t="s">
        <v>1986</v>
      </c>
    </row>
    <row r="98" spans="1:14" x14ac:dyDescent="0.55000000000000004">
      <c r="A98">
        <v>97</v>
      </c>
      <c r="B98" s="25" t="s">
        <v>9</v>
      </c>
      <c r="C98" s="25">
        <v>25</v>
      </c>
      <c r="D98" s="25" t="s">
        <v>3446</v>
      </c>
      <c r="E98" s="25" t="s">
        <v>3468</v>
      </c>
      <c r="F98" s="25">
        <v>10.56</v>
      </c>
      <c r="G98" s="25" t="s">
        <v>1889</v>
      </c>
      <c r="H98" s="25">
        <f>2.2+2.8+3.7+2.03</f>
        <v>10.729999999999999</v>
      </c>
      <c r="I98" s="25">
        <f>2.2+2.8+3.7+2.03</f>
        <v>10.729999999999999</v>
      </c>
      <c r="J98" s="25" t="s">
        <v>1891</v>
      </c>
      <c r="N98" s="25" t="s">
        <v>1987</v>
      </c>
    </row>
    <row r="99" spans="1:14" x14ac:dyDescent="0.55000000000000004">
      <c r="A99">
        <v>98</v>
      </c>
      <c r="B99" s="25" t="s">
        <v>9</v>
      </c>
      <c r="C99" s="25">
        <v>25</v>
      </c>
      <c r="D99" s="25" t="s">
        <v>3446</v>
      </c>
      <c r="E99" s="25" t="s">
        <v>3469</v>
      </c>
      <c r="F99" s="25">
        <v>10.89</v>
      </c>
      <c r="G99" s="25" t="s">
        <v>1889</v>
      </c>
      <c r="H99" s="25">
        <f>3.17+4.44+3.74</f>
        <v>11.350000000000001</v>
      </c>
      <c r="I99" s="25">
        <f>3.17+4.44+3.74</f>
        <v>11.350000000000001</v>
      </c>
      <c r="J99" s="25" t="s">
        <v>1891</v>
      </c>
      <c r="N99" s="25" t="s">
        <v>1988</v>
      </c>
    </row>
    <row r="100" spans="1:14" x14ac:dyDescent="0.55000000000000004">
      <c r="A100">
        <v>99</v>
      </c>
      <c r="B100" s="25" t="s">
        <v>9</v>
      </c>
      <c r="C100" s="25">
        <v>25</v>
      </c>
      <c r="D100" s="25" t="s">
        <v>3446</v>
      </c>
      <c r="E100" s="25" t="s">
        <v>3470</v>
      </c>
      <c r="F100" s="25">
        <v>11.76</v>
      </c>
      <c r="G100" s="25" t="s">
        <v>1889</v>
      </c>
      <c r="H100" s="25">
        <f>2.38+1.75+3.73+3.91</f>
        <v>11.77</v>
      </c>
      <c r="I100" s="25">
        <f>2.38+1.75+3.73+3.91</f>
        <v>11.77</v>
      </c>
      <c r="J100" s="25" t="s">
        <v>1891</v>
      </c>
      <c r="N100" s="25" t="s">
        <v>1989</v>
      </c>
    </row>
    <row r="101" spans="1:14" x14ac:dyDescent="0.55000000000000004">
      <c r="A101">
        <v>100</v>
      </c>
      <c r="B101" s="25" t="s">
        <v>9</v>
      </c>
      <c r="C101" s="25">
        <v>25</v>
      </c>
      <c r="D101" s="25" t="s">
        <v>3446</v>
      </c>
      <c r="E101" s="25" t="s">
        <v>3471</v>
      </c>
      <c r="F101" s="25">
        <v>10.49</v>
      </c>
      <c r="G101" s="25" t="s">
        <v>1889</v>
      </c>
      <c r="H101" s="25">
        <f>3.53+1.82+3.45+1.73</f>
        <v>10.530000000000001</v>
      </c>
      <c r="I101" s="25">
        <f>3.53+1.82+3.45+1.73</f>
        <v>10.530000000000001</v>
      </c>
      <c r="J101" s="25" t="s">
        <v>1891</v>
      </c>
      <c r="N101" s="25" t="s">
        <v>1990</v>
      </c>
    </row>
    <row r="102" spans="1:14" x14ac:dyDescent="0.55000000000000004">
      <c r="A102">
        <v>101</v>
      </c>
      <c r="B102" s="25" t="s">
        <v>10</v>
      </c>
      <c r="C102" s="25">
        <v>25</v>
      </c>
      <c r="D102" s="25" t="s">
        <v>3472</v>
      </c>
      <c r="E102" s="25" t="s">
        <v>3473</v>
      </c>
      <c r="F102" s="25">
        <v>11.06</v>
      </c>
      <c r="G102" s="25" t="s">
        <v>1889</v>
      </c>
      <c r="H102" s="25">
        <f>4.09+3.17+3.91</f>
        <v>11.17</v>
      </c>
      <c r="I102" s="25">
        <f>4.09+3.17+3.91</f>
        <v>11.17</v>
      </c>
      <c r="J102" s="25" t="s">
        <v>1891</v>
      </c>
      <c r="K102" s="25" t="str">
        <f>VLOOKUP(E102,[1]PrelimAssignPOP!$I$1:$J$947,2,FALSE)</f>
        <v>ART</v>
      </c>
      <c r="L102" s="25" t="s">
        <v>210</v>
      </c>
      <c r="M102" s="25" t="s">
        <v>118</v>
      </c>
      <c r="N102" s="25" t="s">
        <v>1991</v>
      </c>
    </row>
    <row r="103" spans="1:14" x14ac:dyDescent="0.55000000000000004">
      <c r="A103">
        <v>102</v>
      </c>
      <c r="B103" s="25" t="s">
        <v>10</v>
      </c>
      <c r="C103" s="25">
        <v>25</v>
      </c>
      <c r="D103" s="25" t="s">
        <v>3472</v>
      </c>
      <c r="E103" s="25" t="s">
        <v>3474</v>
      </c>
      <c r="F103" s="25">
        <v>11</v>
      </c>
      <c r="G103" s="25" t="s">
        <v>1889</v>
      </c>
      <c r="H103" s="25">
        <f>2.28+1.84+7.07</f>
        <v>11.190000000000001</v>
      </c>
      <c r="I103" s="25">
        <f>2.28+1.84+7.07</f>
        <v>11.190000000000001</v>
      </c>
      <c r="J103" s="25" t="s">
        <v>1891</v>
      </c>
      <c r="K103" s="25" t="str">
        <f>VLOOKUP(E103,[1]PrelimAssignPOP!$I$1:$J$947,2,FALSE)</f>
        <v>ART</v>
      </c>
      <c r="L103" s="25" t="s">
        <v>210</v>
      </c>
      <c r="M103" s="25" t="s">
        <v>166</v>
      </c>
      <c r="N103" s="25" t="s">
        <v>1992</v>
      </c>
    </row>
    <row r="104" spans="1:14" x14ac:dyDescent="0.55000000000000004">
      <c r="A104">
        <v>103</v>
      </c>
      <c r="B104" s="25" t="s">
        <v>10</v>
      </c>
      <c r="C104" s="25">
        <v>25</v>
      </c>
      <c r="D104" s="25" t="s">
        <v>3472</v>
      </c>
      <c r="E104" s="25" t="s">
        <v>3475</v>
      </c>
      <c r="F104" s="25">
        <v>9.6999999999999993</v>
      </c>
      <c r="G104" s="25" t="s">
        <v>1889</v>
      </c>
      <c r="H104" s="25">
        <f>3.36+2.54+1.26+2.78</f>
        <v>9.94</v>
      </c>
      <c r="I104" s="25">
        <f>3.36+2.54+1.26+2.78</f>
        <v>9.94</v>
      </c>
      <c r="J104" s="25" t="s">
        <v>1891</v>
      </c>
      <c r="K104" s="25" t="str">
        <f>VLOOKUP(E104,[1]PrelimAssignPOP!$I$1:$J$947,2,FALSE)</f>
        <v>ART</v>
      </c>
      <c r="L104" s="25" t="s">
        <v>210</v>
      </c>
      <c r="M104" s="25" t="s">
        <v>167</v>
      </c>
      <c r="N104" s="25" t="s">
        <v>1993</v>
      </c>
    </row>
    <row r="105" spans="1:14" x14ac:dyDescent="0.55000000000000004">
      <c r="A105">
        <v>104</v>
      </c>
      <c r="B105" s="25" t="s">
        <v>10</v>
      </c>
      <c r="C105" s="25">
        <v>25</v>
      </c>
      <c r="D105" s="25" t="s">
        <v>3472</v>
      </c>
      <c r="E105" s="25" t="s">
        <v>3476</v>
      </c>
      <c r="F105" s="25">
        <v>9.24</v>
      </c>
      <c r="G105" s="25" t="s">
        <v>1889</v>
      </c>
      <c r="H105" s="25">
        <f>5.45+2.08+2.03</f>
        <v>9.56</v>
      </c>
      <c r="I105" s="25">
        <f>5.45+2.08+2.03</f>
        <v>9.56</v>
      </c>
      <c r="J105" s="25" t="s">
        <v>1891</v>
      </c>
      <c r="K105" s="25" t="str">
        <f>VLOOKUP(E105,[1]PrelimAssignPOP!$I$1:$J$947,2,FALSE)</f>
        <v>ART</v>
      </c>
      <c r="L105" s="25" t="s">
        <v>210</v>
      </c>
      <c r="M105" s="25" t="s">
        <v>168</v>
      </c>
      <c r="N105" s="25" t="s">
        <v>1994</v>
      </c>
    </row>
    <row r="106" spans="1:14" x14ac:dyDescent="0.55000000000000004">
      <c r="A106">
        <v>105</v>
      </c>
      <c r="B106" s="25" t="s">
        <v>10</v>
      </c>
      <c r="C106" s="25">
        <v>25</v>
      </c>
      <c r="D106" s="25" t="s">
        <v>3472</v>
      </c>
      <c r="E106" s="25" t="s">
        <v>3477</v>
      </c>
      <c r="F106" s="25">
        <v>14.15</v>
      </c>
      <c r="G106" s="25" t="s">
        <v>1889</v>
      </c>
      <c r="H106" s="25">
        <f>3.19+2.04+8.91</f>
        <v>14.14</v>
      </c>
      <c r="I106" s="25">
        <f>3.19+2.04+8.91</f>
        <v>14.14</v>
      </c>
      <c r="J106" s="25" t="s">
        <v>1891</v>
      </c>
      <c r="K106" s="25" t="str">
        <f>VLOOKUP(E106,[1]PrelimAssignPOP!$I$1:$J$947,2,FALSE)</f>
        <v>KIY</v>
      </c>
      <c r="L106" s="25" t="s">
        <v>210</v>
      </c>
      <c r="M106" s="25" t="s">
        <v>169</v>
      </c>
      <c r="N106" s="25" t="s">
        <v>1995</v>
      </c>
    </row>
    <row r="107" spans="1:14" x14ac:dyDescent="0.55000000000000004">
      <c r="A107">
        <v>106</v>
      </c>
      <c r="B107" s="25" t="s">
        <v>10</v>
      </c>
      <c r="C107" s="25">
        <v>25</v>
      </c>
      <c r="D107" s="25" t="s">
        <v>3472</v>
      </c>
      <c r="E107" s="25" t="s">
        <v>3478</v>
      </c>
      <c r="F107" s="25">
        <v>10.61</v>
      </c>
      <c r="G107" s="25" t="s">
        <v>1889</v>
      </c>
      <c r="H107" s="25">
        <f>5.19+3.3+2.12</f>
        <v>10.61</v>
      </c>
      <c r="I107" s="25">
        <f>5.19+3.3+2.12</f>
        <v>10.61</v>
      </c>
      <c r="J107" s="25" t="s">
        <v>1891</v>
      </c>
      <c r="K107" s="25" t="str">
        <f>VLOOKUP(E107,[1]PrelimAssignPOP!$I$1:$J$947,2,FALSE)</f>
        <v>ART</v>
      </c>
      <c r="L107" s="25" t="s">
        <v>210</v>
      </c>
      <c r="M107" s="25" t="s">
        <v>170</v>
      </c>
      <c r="N107" s="25" t="s">
        <v>1996</v>
      </c>
    </row>
    <row r="108" spans="1:14" x14ac:dyDescent="0.55000000000000004">
      <c r="A108">
        <v>107</v>
      </c>
      <c r="B108" s="25" t="s">
        <v>10</v>
      </c>
      <c r="C108" s="25">
        <v>25</v>
      </c>
      <c r="D108" s="25" t="s">
        <v>3472</v>
      </c>
      <c r="E108" s="25" t="s">
        <v>3479</v>
      </c>
      <c r="F108" s="25">
        <v>11.53</v>
      </c>
      <c r="G108" s="25" t="s">
        <v>1889</v>
      </c>
      <c r="H108" s="25">
        <f>3.73+4.14+3.91</f>
        <v>11.78</v>
      </c>
      <c r="I108" s="25">
        <f>3.73+4.14+3.91</f>
        <v>11.78</v>
      </c>
      <c r="J108" s="25" t="s">
        <v>1891</v>
      </c>
      <c r="K108" s="25" t="str">
        <f>VLOOKUP(E108,[1]PrelimAssignPOP!$I$1:$J$947,2,FALSE)</f>
        <v>ART</v>
      </c>
      <c r="L108" s="25" t="s">
        <v>210</v>
      </c>
      <c r="M108" s="25" t="s">
        <v>171</v>
      </c>
      <c r="N108" s="25" t="s">
        <v>1997</v>
      </c>
    </row>
    <row r="109" spans="1:14" x14ac:dyDescent="0.55000000000000004">
      <c r="A109">
        <v>108</v>
      </c>
      <c r="B109" s="25" t="s">
        <v>10</v>
      </c>
      <c r="C109" s="25">
        <v>25</v>
      </c>
      <c r="D109" s="25" t="s">
        <v>3472</v>
      </c>
      <c r="E109" s="25" t="s">
        <v>3480</v>
      </c>
      <c r="F109" s="25">
        <v>11.2</v>
      </c>
      <c r="G109" s="25" t="s">
        <v>1889</v>
      </c>
      <c r="H109" s="25">
        <f>3.19+3.83+2.88+1.66</f>
        <v>11.559999999999999</v>
      </c>
      <c r="I109" s="25">
        <f>3.19+3.83+2.88+1.66</f>
        <v>11.559999999999999</v>
      </c>
      <c r="J109" s="25" t="s">
        <v>1891</v>
      </c>
      <c r="K109" s="25" t="str">
        <f>VLOOKUP(E109,[1]PrelimAssignPOP!$I$1:$J$947,2,FALSE)</f>
        <v>ART</v>
      </c>
      <c r="L109" s="25" t="s">
        <v>210</v>
      </c>
      <c r="M109" s="25" t="s">
        <v>172</v>
      </c>
      <c r="N109" s="25" t="s">
        <v>1998</v>
      </c>
    </row>
    <row r="110" spans="1:14" x14ac:dyDescent="0.55000000000000004">
      <c r="A110">
        <v>109</v>
      </c>
      <c r="B110" s="25" t="s">
        <v>10</v>
      </c>
      <c r="C110" s="25">
        <v>25</v>
      </c>
      <c r="D110" s="25" t="s">
        <v>3472</v>
      </c>
      <c r="E110" s="25" t="s">
        <v>3481</v>
      </c>
      <c r="F110" s="25">
        <v>11.77</v>
      </c>
      <c r="G110" s="25" t="s">
        <v>1889</v>
      </c>
      <c r="H110" s="25">
        <f>6.07+3.43+2.52</f>
        <v>12.02</v>
      </c>
      <c r="I110" s="25">
        <f>6.07+3.43+2.52</f>
        <v>12.02</v>
      </c>
      <c r="J110" s="25" t="s">
        <v>1891</v>
      </c>
      <c r="K110" s="25" t="str">
        <f>VLOOKUP(E110,[1]PrelimAssignPOP!$I$1:$J$947,2,FALSE)</f>
        <v>ART</v>
      </c>
      <c r="L110" s="25" t="s">
        <v>210</v>
      </c>
      <c r="M110" s="25" t="s">
        <v>173</v>
      </c>
      <c r="N110" s="25" t="s">
        <v>1999</v>
      </c>
    </row>
    <row r="111" spans="1:14" x14ac:dyDescent="0.55000000000000004">
      <c r="A111">
        <v>110</v>
      </c>
      <c r="B111" s="25" t="s">
        <v>10</v>
      </c>
      <c r="C111" s="25">
        <v>25</v>
      </c>
      <c r="D111" s="25" t="s">
        <v>3472</v>
      </c>
      <c r="E111" s="25" t="s">
        <v>3482</v>
      </c>
      <c r="F111" s="25">
        <v>15.52</v>
      </c>
      <c r="G111" s="25" t="s">
        <v>1889</v>
      </c>
      <c r="H111" s="25">
        <f>3.05+1.8+5.72+5.41</f>
        <v>15.98</v>
      </c>
      <c r="I111" s="25">
        <f>3.05+1.8+5.72+5.41</f>
        <v>15.98</v>
      </c>
      <c r="J111" s="25" t="s">
        <v>1891</v>
      </c>
      <c r="K111" s="25" t="str">
        <f>VLOOKUP(E111,[1]PrelimAssignPOP!$I$1:$J$947,2,FALSE)</f>
        <v>ART</v>
      </c>
      <c r="L111" s="25" t="s">
        <v>210</v>
      </c>
      <c r="M111" s="25" t="s">
        <v>174</v>
      </c>
      <c r="N111" s="25" t="s">
        <v>2000</v>
      </c>
    </row>
    <row r="112" spans="1:14" x14ac:dyDescent="0.55000000000000004">
      <c r="A112">
        <v>111</v>
      </c>
      <c r="B112" s="25" t="s">
        <v>10</v>
      </c>
      <c r="C112" s="25">
        <v>25</v>
      </c>
      <c r="D112" s="25" t="s">
        <v>3472</v>
      </c>
      <c r="E112" s="25" t="s">
        <v>3483</v>
      </c>
      <c r="F112" s="25">
        <v>11.54</v>
      </c>
      <c r="G112" s="25" t="s">
        <v>1889</v>
      </c>
      <c r="H112" s="25">
        <f>2.15+1.88+4.15+3.55</f>
        <v>11.73</v>
      </c>
      <c r="I112" s="25">
        <f>2.15+1.88+4.15+3.55</f>
        <v>11.73</v>
      </c>
      <c r="J112" s="25" t="s">
        <v>1891</v>
      </c>
      <c r="K112" s="25" t="str">
        <f>VLOOKUP(E112,[1]PrelimAssignPOP!$I$1:$J$947,2,FALSE)</f>
        <v>ART</v>
      </c>
      <c r="L112" s="25" t="s">
        <v>210</v>
      </c>
      <c r="M112" s="25" t="s">
        <v>175</v>
      </c>
      <c r="N112" s="25" t="s">
        <v>2001</v>
      </c>
    </row>
    <row r="113" spans="1:14" x14ac:dyDescent="0.55000000000000004">
      <c r="A113">
        <v>112</v>
      </c>
      <c r="B113" s="25" t="s">
        <v>10</v>
      </c>
      <c r="C113" s="25">
        <v>25</v>
      </c>
      <c r="D113" s="25" t="s">
        <v>3472</v>
      </c>
      <c r="E113" s="25" t="s">
        <v>3484</v>
      </c>
      <c r="F113" s="25">
        <v>11.53</v>
      </c>
      <c r="G113" s="25" t="s">
        <v>1889</v>
      </c>
      <c r="H113" s="25">
        <f>4.18+2.12+5.23</f>
        <v>11.530000000000001</v>
      </c>
      <c r="I113" s="25">
        <f>4.18+2.12+5.23</f>
        <v>11.530000000000001</v>
      </c>
      <c r="J113" s="25" t="s">
        <v>1891</v>
      </c>
      <c r="K113" s="25" t="str">
        <f>VLOOKUP(E113,[1]PrelimAssignPOP!$I$1:$J$947,2,FALSE)</f>
        <v>ART</v>
      </c>
      <c r="L113" s="25" t="s">
        <v>210</v>
      </c>
      <c r="M113" s="25" t="s">
        <v>176</v>
      </c>
      <c r="N113" s="25" t="s">
        <v>2002</v>
      </c>
    </row>
    <row r="114" spans="1:14" x14ac:dyDescent="0.55000000000000004">
      <c r="A114">
        <v>113</v>
      </c>
      <c r="B114" s="25" t="s">
        <v>10</v>
      </c>
      <c r="C114" s="25">
        <v>25</v>
      </c>
      <c r="D114" s="25" t="s">
        <v>3472</v>
      </c>
      <c r="E114" s="25" t="s">
        <v>3485</v>
      </c>
      <c r="F114" s="25">
        <v>12.21</v>
      </c>
      <c r="G114" s="25" t="s">
        <v>1889</v>
      </c>
      <c r="H114" s="25">
        <f>12.23</f>
        <v>12.23</v>
      </c>
      <c r="I114" s="25">
        <f>12.23</f>
        <v>12.23</v>
      </c>
      <c r="J114" s="25" t="s">
        <v>1891</v>
      </c>
      <c r="N114" s="25" t="s">
        <v>2003</v>
      </c>
    </row>
    <row r="115" spans="1:14" x14ac:dyDescent="0.55000000000000004">
      <c r="A115">
        <v>114</v>
      </c>
      <c r="B115" s="25" t="s">
        <v>10</v>
      </c>
      <c r="C115" s="25">
        <v>25</v>
      </c>
      <c r="D115" s="25" t="s">
        <v>3472</v>
      </c>
      <c r="E115" s="25" t="s">
        <v>3486</v>
      </c>
      <c r="F115" s="25">
        <v>10.32</v>
      </c>
      <c r="G115" s="25" t="s">
        <v>1889</v>
      </c>
      <c r="H115" s="25">
        <f>3.41+1.84+1.6+3.8</f>
        <v>10.649999999999999</v>
      </c>
      <c r="I115" s="25">
        <f>3.41+1.84+1.6+3.8</f>
        <v>10.649999999999999</v>
      </c>
      <c r="J115" s="25" t="s">
        <v>1891</v>
      </c>
      <c r="N115" s="25" t="s">
        <v>2004</v>
      </c>
    </row>
    <row r="116" spans="1:14" x14ac:dyDescent="0.55000000000000004">
      <c r="A116">
        <v>115</v>
      </c>
      <c r="B116" s="25" t="s">
        <v>10</v>
      </c>
      <c r="C116" s="25">
        <v>25</v>
      </c>
      <c r="D116" s="25" t="s">
        <v>3472</v>
      </c>
      <c r="E116" s="25" t="s">
        <v>3487</v>
      </c>
      <c r="F116" s="25">
        <v>11</v>
      </c>
      <c r="G116" s="25" t="s">
        <v>1889</v>
      </c>
      <c r="H116" s="25">
        <v>11.04</v>
      </c>
      <c r="I116" s="25">
        <v>11.04</v>
      </c>
      <c r="J116" s="25" t="s">
        <v>1891</v>
      </c>
      <c r="N116" s="25" t="s">
        <v>2005</v>
      </c>
    </row>
    <row r="117" spans="1:14" x14ac:dyDescent="0.55000000000000004">
      <c r="A117">
        <v>116</v>
      </c>
      <c r="B117" s="25" t="s">
        <v>10</v>
      </c>
      <c r="C117" s="25">
        <v>25</v>
      </c>
      <c r="D117" s="25" t="s">
        <v>3472</v>
      </c>
      <c r="E117" s="25" t="s">
        <v>3488</v>
      </c>
      <c r="F117" s="25">
        <v>12.19</v>
      </c>
      <c r="G117" s="25" t="s">
        <v>1889</v>
      </c>
      <c r="H117" s="25">
        <f>2.56+6.72+2.96</f>
        <v>12.239999999999998</v>
      </c>
      <c r="I117" s="25">
        <f>2.56+6.72+2.96</f>
        <v>12.239999999999998</v>
      </c>
      <c r="J117" s="25" t="s">
        <v>1891</v>
      </c>
      <c r="N117" s="25" t="s">
        <v>2006</v>
      </c>
    </row>
    <row r="118" spans="1:14" x14ac:dyDescent="0.55000000000000004">
      <c r="A118">
        <v>117</v>
      </c>
      <c r="B118" s="25" t="s">
        <v>10</v>
      </c>
      <c r="C118" s="25">
        <v>25</v>
      </c>
      <c r="D118" s="25" t="s">
        <v>3472</v>
      </c>
      <c r="E118" s="25" t="s">
        <v>3489</v>
      </c>
      <c r="F118" s="25">
        <v>11.13</v>
      </c>
      <c r="G118" s="25" t="s">
        <v>1889</v>
      </c>
      <c r="H118" s="25">
        <f>7.81+1.59+1.96</f>
        <v>11.36</v>
      </c>
      <c r="I118" s="25">
        <f>7.81+1.59+1.96</f>
        <v>11.36</v>
      </c>
      <c r="J118" s="25" t="s">
        <v>1891</v>
      </c>
      <c r="N118" s="25" t="s">
        <v>2007</v>
      </c>
    </row>
    <row r="119" spans="1:14" x14ac:dyDescent="0.55000000000000004">
      <c r="A119">
        <v>118</v>
      </c>
      <c r="B119" s="25" t="s">
        <v>10</v>
      </c>
      <c r="C119" s="25">
        <v>25</v>
      </c>
      <c r="D119" s="25" t="s">
        <v>3472</v>
      </c>
      <c r="E119" s="25" t="s">
        <v>3490</v>
      </c>
      <c r="F119" s="25">
        <v>10.86</v>
      </c>
      <c r="G119" s="25" t="s">
        <v>1889</v>
      </c>
      <c r="H119" s="25">
        <f>1.2+2.3+1.92+2.18+3.51</f>
        <v>11.11</v>
      </c>
      <c r="I119" s="25">
        <f>1.2+2.3+1.92+2.18+3.51</f>
        <v>11.11</v>
      </c>
      <c r="J119" s="25" t="s">
        <v>1891</v>
      </c>
      <c r="N119" s="25" t="s">
        <v>2008</v>
      </c>
    </row>
    <row r="120" spans="1:14" x14ac:dyDescent="0.55000000000000004">
      <c r="A120">
        <v>119</v>
      </c>
      <c r="B120" s="25" t="s">
        <v>10</v>
      </c>
      <c r="C120" s="25">
        <v>25</v>
      </c>
      <c r="D120" s="25" t="s">
        <v>3472</v>
      </c>
      <c r="E120" s="25" t="s">
        <v>3491</v>
      </c>
      <c r="F120" s="25">
        <v>12.19</v>
      </c>
      <c r="G120" s="25" t="s">
        <v>1889</v>
      </c>
      <c r="H120" s="25">
        <v>12.1</v>
      </c>
      <c r="I120" s="25">
        <v>12.1</v>
      </c>
      <c r="J120" s="25" t="s">
        <v>1891</v>
      </c>
      <c r="N120" s="25" t="s">
        <v>2009</v>
      </c>
    </row>
    <row r="121" spans="1:14" x14ac:dyDescent="0.55000000000000004">
      <c r="A121">
        <v>120</v>
      </c>
      <c r="B121" s="25" t="s">
        <v>10</v>
      </c>
      <c r="C121" s="25">
        <v>25</v>
      </c>
      <c r="D121" s="25" t="s">
        <v>3472</v>
      </c>
      <c r="E121" s="25" t="s">
        <v>3492</v>
      </c>
      <c r="F121" s="25">
        <v>12.2</v>
      </c>
      <c r="G121" s="25" t="s">
        <v>1889</v>
      </c>
      <c r="H121" s="25">
        <f>4.81+1.34+4.15+2.18</f>
        <v>12.48</v>
      </c>
      <c r="I121" s="25">
        <f>4.81+1.34+4.15+2.18</f>
        <v>12.48</v>
      </c>
      <c r="J121" s="25" t="s">
        <v>1891</v>
      </c>
      <c r="N121" s="25" t="s">
        <v>2010</v>
      </c>
    </row>
    <row r="122" spans="1:14" x14ac:dyDescent="0.55000000000000004">
      <c r="A122">
        <v>121</v>
      </c>
      <c r="B122" s="25" t="s">
        <v>10</v>
      </c>
      <c r="C122" s="25">
        <v>25</v>
      </c>
      <c r="D122" s="25" t="s">
        <v>3472</v>
      </c>
      <c r="E122" s="25" t="s">
        <v>3493</v>
      </c>
      <c r="F122" s="25">
        <v>11.24</v>
      </c>
      <c r="G122" s="25" t="s">
        <v>1889</v>
      </c>
      <c r="H122" s="25">
        <f>2.42+2.2+6.68</f>
        <v>11.3</v>
      </c>
      <c r="I122" s="25">
        <f>2.42+2.2+6.68</f>
        <v>11.3</v>
      </c>
      <c r="J122" s="25" t="s">
        <v>1891</v>
      </c>
      <c r="N122" s="25" t="s">
        <v>2011</v>
      </c>
    </row>
    <row r="123" spans="1:14" x14ac:dyDescent="0.55000000000000004">
      <c r="A123">
        <v>122</v>
      </c>
      <c r="B123" s="25" t="s">
        <v>10</v>
      </c>
      <c r="C123" s="25">
        <v>25</v>
      </c>
      <c r="D123" s="25" t="s">
        <v>3472</v>
      </c>
      <c r="E123" s="25" t="s">
        <v>3494</v>
      </c>
      <c r="F123" s="25">
        <v>12.67</v>
      </c>
      <c r="G123" s="25" t="s">
        <v>1889</v>
      </c>
      <c r="H123" s="25">
        <f>5.37+2.14+5.05</f>
        <v>12.559999999999999</v>
      </c>
      <c r="I123" s="25">
        <f>5.37+2.14+5.05</f>
        <v>12.559999999999999</v>
      </c>
      <c r="J123" s="25" t="s">
        <v>1891</v>
      </c>
      <c r="N123" s="25" t="s">
        <v>2012</v>
      </c>
    </row>
    <row r="124" spans="1:14" x14ac:dyDescent="0.55000000000000004">
      <c r="A124">
        <v>123</v>
      </c>
      <c r="B124" s="25" t="s">
        <v>10</v>
      </c>
      <c r="C124" s="25">
        <v>25</v>
      </c>
      <c r="D124" s="25" t="s">
        <v>3472</v>
      </c>
      <c r="E124" s="25" t="s">
        <v>3495</v>
      </c>
      <c r="F124" s="25">
        <v>10.9</v>
      </c>
      <c r="G124" s="25" t="s">
        <v>1889</v>
      </c>
      <c r="H124" s="25">
        <f>1.52+5.17+4.4</f>
        <v>11.09</v>
      </c>
      <c r="I124" s="25">
        <f>1.52+5.17+4.4</f>
        <v>11.09</v>
      </c>
      <c r="J124" s="25" t="s">
        <v>1891</v>
      </c>
      <c r="N124" s="25" t="s">
        <v>2013</v>
      </c>
    </row>
    <row r="125" spans="1:14" x14ac:dyDescent="0.55000000000000004">
      <c r="A125">
        <v>124</v>
      </c>
      <c r="B125" s="25" t="s">
        <v>10</v>
      </c>
      <c r="C125" s="25">
        <v>25</v>
      </c>
      <c r="D125" s="25" t="s">
        <v>3472</v>
      </c>
      <c r="E125" s="25" t="s">
        <v>3496</v>
      </c>
      <c r="F125" s="25">
        <v>12.86</v>
      </c>
      <c r="G125" s="25" t="s">
        <v>1889</v>
      </c>
      <c r="H125" s="25">
        <f>2.97+3.12+2.74+4.11</f>
        <v>12.940000000000001</v>
      </c>
      <c r="I125" s="25">
        <f>2.97+3.12+2.74+4.11</f>
        <v>12.940000000000001</v>
      </c>
      <c r="J125" s="25" t="s">
        <v>1891</v>
      </c>
      <c r="N125" s="25" t="s">
        <v>2014</v>
      </c>
    </row>
    <row r="126" spans="1:14" x14ac:dyDescent="0.55000000000000004">
      <c r="A126">
        <v>125</v>
      </c>
      <c r="B126" s="25" t="s">
        <v>10</v>
      </c>
      <c r="C126" s="25">
        <v>25</v>
      </c>
      <c r="D126" s="25" t="s">
        <v>3472</v>
      </c>
      <c r="E126" s="25" t="s">
        <v>3497</v>
      </c>
      <c r="F126" s="25">
        <v>10.39</v>
      </c>
      <c r="G126" s="25" t="s">
        <v>1889</v>
      </c>
      <c r="H126" s="25">
        <f>2.57+4+3.97</f>
        <v>10.540000000000001</v>
      </c>
      <c r="I126" s="25">
        <f>2.57+4+3.97</f>
        <v>10.540000000000001</v>
      </c>
      <c r="J126" s="25" t="s">
        <v>1891</v>
      </c>
      <c r="N126" s="25" t="s">
        <v>2015</v>
      </c>
    </row>
    <row r="127" spans="1:14" x14ac:dyDescent="0.55000000000000004">
      <c r="A127">
        <v>126</v>
      </c>
      <c r="B127" s="25" t="s">
        <v>11</v>
      </c>
      <c r="C127" s="25">
        <v>25</v>
      </c>
      <c r="D127" s="25" t="s">
        <v>3498</v>
      </c>
      <c r="E127" s="25" t="s">
        <v>3499</v>
      </c>
      <c r="F127" s="25">
        <v>13.45</v>
      </c>
      <c r="G127" s="25" t="s">
        <v>1889</v>
      </c>
      <c r="H127" s="25">
        <f>2.63+1.55+4.45+5.1</f>
        <v>13.729999999999999</v>
      </c>
      <c r="I127" s="25">
        <f>2.63+1.55+4.45+5.1</f>
        <v>13.729999999999999</v>
      </c>
      <c r="J127" s="25" t="s">
        <v>1891</v>
      </c>
      <c r="K127" s="25" t="str">
        <f>VLOOKUP(E127,[1]PrelimAssignPOP!$I$1:$J$947,2,FALSE)</f>
        <v>ART</v>
      </c>
      <c r="L127" s="25" t="s">
        <v>210</v>
      </c>
      <c r="M127" s="25" t="s">
        <v>119</v>
      </c>
      <c r="N127" s="25" t="s">
        <v>2016</v>
      </c>
    </row>
    <row r="128" spans="1:14" x14ac:dyDescent="0.55000000000000004">
      <c r="A128">
        <v>127</v>
      </c>
      <c r="B128" s="25" t="s">
        <v>11</v>
      </c>
      <c r="C128" s="25">
        <v>25</v>
      </c>
      <c r="D128" s="25" t="s">
        <v>3498</v>
      </c>
      <c r="E128" s="25" t="s">
        <v>3500</v>
      </c>
      <c r="F128" s="25">
        <v>10.7</v>
      </c>
      <c r="G128" s="25" t="s">
        <v>1889</v>
      </c>
      <c r="H128" s="25">
        <f>4.42+2.87+3.36</f>
        <v>10.65</v>
      </c>
      <c r="I128" s="25">
        <f>4.42+2.87+3.36</f>
        <v>10.65</v>
      </c>
      <c r="J128" s="25" t="s">
        <v>1891</v>
      </c>
      <c r="K128" s="25" t="str">
        <f>VLOOKUP(E128,[1]PrelimAssignPOP!$I$1:$J$947,2,FALSE)</f>
        <v>ART</v>
      </c>
      <c r="L128" s="25" t="s">
        <v>210</v>
      </c>
      <c r="M128" s="25" t="s">
        <v>177</v>
      </c>
      <c r="N128" s="25" t="s">
        <v>2017</v>
      </c>
    </row>
    <row r="129" spans="1:15" x14ac:dyDescent="0.55000000000000004">
      <c r="A129">
        <v>128</v>
      </c>
      <c r="B129" s="25" t="s">
        <v>11</v>
      </c>
      <c r="C129" s="25">
        <v>25</v>
      </c>
      <c r="D129" s="25" t="s">
        <v>3498</v>
      </c>
      <c r="E129" s="25" t="s">
        <v>3501</v>
      </c>
      <c r="F129" s="25">
        <v>13.92</v>
      </c>
      <c r="G129" s="25" t="s">
        <v>1889</v>
      </c>
      <c r="H129" s="25">
        <f>1.98+1.91+9.86</f>
        <v>13.75</v>
      </c>
      <c r="I129" s="25">
        <f>1.98+1.91+9.86</f>
        <v>13.75</v>
      </c>
      <c r="J129" s="25" t="s">
        <v>1891</v>
      </c>
      <c r="K129" s="25" t="str">
        <f>VLOOKUP(E129,[1]PrelimAssignPOP!$I$1:$J$947,2,FALSE)</f>
        <v>ART</v>
      </c>
      <c r="L129" s="25" t="s">
        <v>210</v>
      </c>
      <c r="M129" s="25" t="s">
        <v>178</v>
      </c>
      <c r="N129" s="25" t="s">
        <v>2018</v>
      </c>
    </row>
    <row r="130" spans="1:15" x14ac:dyDescent="0.55000000000000004">
      <c r="A130">
        <v>129</v>
      </c>
      <c r="B130" s="25" t="s">
        <v>11</v>
      </c>
      <c r="C130" s="25">
        <v>25</v>
      </c>
      <c r="D130" s="25" t="s">
        <v>3498</v>
      </c>
      <c r="E130" s="25" t="s">
        <v>3502</v>
      </c>
      <c r="F130" s="25">
        <v>11.36</v>
      </c>
      <c r="G130" s="25" t="s">
        <v>1889</v>
      </c>
      <c r="H130" s="25">
        <f>2.59+2.29+3.11+3.4</f>
        <v>11.39</v>
      </c>
      <c r="I130" s="25">
        <f>2.59+2.29+3.11+3.4</f>
        <v>11.39</v>
      </c>
      <c r="J130" s="25" t="s">
        <v>1891</v>
      </c>
      <c r="K130" s="25" t="str">
        <f>VLOOKUP(E130,[1]PrelimAssignPOP!$I$1:$J$947,2,FALSE)</f>
        <v>ART</v>
      </c>
      <c r="L130" s="25" t="s">
        <v>210</v>
      </c>
      <c r="M130" s="25" t="s">
        <v>179</v>
      </c>
      <c r="N130" s="25" t="s">
        <v>2019</v>
      </c>
    </row>
    <row r="131" spans="1:15" x14ac:dyDescent="0.55000000000000004">
      <c r="A131">
        <v>130</v>
      </c>
      <c r="B131" s="25" t="s">
        <v>11</v>
      </c>
      <c r="C131" s="25">
        <v>25</v>
      </c>
      <c r="D131" s="25" t="s">
        <v>3498</v>
      </c>
      <c r="E131" s="25" t="s">
        <v>3503</v>
      </c>
      <c r="F131" s="25">
        <v>11.29</v>
      </c>
      <c r="G131" s="25" t="s">
        <v>1889</v>
      </c>
      <c r="H131" s="25">
        <f>1.15+1.79+4.78+3.9</f>
        <v>11.620000000000001</v>
      </c>
      <c r="I131" s="25">
        <f>1.15+1.79+4.78+3.9</f>
        <v>11.620000000000001</v>
      </c>
      <c r="J131" s="25" t="s">
        <v>1891</v>
      </c>
      <c r="K131" s="25" t="str">
        <f>VLOOKUP(E131,[1]PrelimAssignPOP!$I$1:$J$947,2,FALSE)</f>
        <v>ART</v>
      </c>
      <c r="L131" s="25" t="s">
        <v>210</v>
      </c>
      <c r="M131" s="25" t="s">
        <v>180</v>
      </c>
      <c r="N131" s="25" t="s">
        <v>2020</v>
      </c>
    </row>
    <row r="132" spans="1:15" x14ac:dyDescent="0.55000000000000004">
      <c r="A132">
        <v>131</v>
      </c>
      <c r="B132" s="25" t="s">
        <v>11</v>
      </c>
      <c r="C132" s="25">
        <v>25</v>
      </c>
      <c r="D132" s="25" t="s">
        <v>3498</v>
      </c>
      <c r="E132" s="25" t="s">
        <v>3504</v>
      </c>
      <c r="F132" s="25">
        <v>10.54</v>
      </c>
      <c r="G132" s="25" t="s">
        <v>1889</v>
      </c>
      <c r="H132" s="25">
        <f>2.37+1.15+1.19+2.7+3.66</f>
        <v>11.07</v>
      </c>
      <c r="I132" s="25">
        <f>2.37+1.15+1.19+2.7+3.66</f>
        <v>11.07</v>
      </c>
      <c r="J132" s="25" t="s">
        <v>1891</v>
      </c>
      <c r="K132" s="25" t="str">
        <f>VLOOKUP(E132,[1]PrelimAssignPOP!$I$1:$J$947,2,FALSE)</f>
        <v>ART</v>
      </c>
      <c r="L132" s="25" t="s">
        <v>210</v>
      </c>
      <c r="M132" s="25" t="s">
        <v>181</v>
      </c>
      <c r="N132" s="25" t="s">
        <v>2021</v>
      </c>
    </row>
    <row r="133" spans="1:15" x14ac:dyDescent="0.55000000000000004">
      <c r="A133">
        <v>132</v>
      </c>
      <c r="B133" s="25" t="s">
        <v>11</v>
      </c>
      <c r="C133" s="25">
        <v>25</v>
      </c>
      <c r="D133" s="25" t="s">
        <v>3498</v>
      </c>
      <c r="E133" s="25" t="s">
        <v>3505</v>
      </c>
      <c r="F133" s="25">
        <v>14.06</v>
      </c>
      <c r="G133" s="25" t="s">
        <v>1889</v>
      </c>
      <c r="H133" s="25">
        <f>5.19+1.65+7.66</f>
        <v>14.5</v>
      </c>
      <c r="I133" s="25">
        <f>5.19+1.65+7.66</f>
        <v>14.5</v>
      </c>
      <c r="J133" s="25" t="s">
        <v>1891</v>
      </c>
      <c r="K133" s="25" t="str">
        <f>VLOOKUP(E133,[1]PrelimAssignPOP!$I$1:$J$947,2,FALSE)</f>
        <v>KIY</v>
      </c>
      <c r="L133" s="25" t="s">
        <v>210</v>
      </c>
      <c r="M133" s="25" t="s">
        <v>182</v>
      </c>
      <c r="N133" s="25" t="s">
        <v>2022</v>
      </c>
      <c r="O133" s="18" t="s">
        <v>3506</v>
      </c>
    </row>
    <row r="134" spans="1:15" x14ac:dyDescent="0.55000000000000004">
      <c r="A134">
        <v>133</v>
      </c>
      <c r="B134" s="25" t="s">
        <v>11</v>
      </c>
      <c r="C134" s="25">
        <v>25</v>
      </c>
      <c r="D134" s="25" t="s">
        <v>3498</v>
      </c>
      <c r="E134" s="25" t="s">
        <v>3507</v>
      </c>
      <c r="F134" s="25">
        <v>12.22</v>
      </c>
      <c r="G134" s="25" t="s">
        <v>1889</v>
      </c>
      <c r="H134" s="25">
        <f>5.42+4.23+2.6</f>
        <v>12.25</v>
      </c>
      <c r="I134" s="25">
        <f>5.42+4.23+2.6</f>
        <v>12.25</v>
      </c>
      <c r="J134" s="25" t="s">
        <v>1891</v>
      </c>
      <c r="K134" s="25" t="str">
        <f>VLOOKUP(E134,[1]PrelimAssignPOP!$I$1:$J$947,2,FALSE)</f>
        <v>ART</v>
      </c>
      <c r="L134" s="25" t="s">
        <v>210</v>
      </c>
      <c r="M134" s="25" t="s">
        <v>183</v>
      </c>
      <c r="N134" s="25" t="s">
        <v>2023</v>
      </c>
    </row>
    <row r="135" spans="1:15" x14ac:dyDescent="0.55000000000000004">
      <c r="A135">
        <v>134</v>
      </c>
      <c r="B135" s="25" t="s">
        <v>11</v>
      </c>
      <c r="C135" s="25">
        <v>25</v>
      </c>
      <c r="D135" s="25" t="s">
        <v>3498</v>
      </c>
      <c r="E135" s="25" t="s">
        <v>3508</v>
      </c>
      <c r="F135" s="25">
        <v>10.98</v>
      </c>
      <c r="G135" s="25" t="s">
        <v>1889</v>
      </c>
      <c r="H135" s="25">
        <f>3.53+4.68+0.72+2.03</f>
        <v>10.959999999999999</v>
      </c>
      <c r="I135" s="25">
        <f>3.53+4.68+0.72+2.03</f>
        <v>10.959999999999999</v>
      </c>
      <c r="J135" s="25" t="s">
        <v>1891</v>
      </c>
      <c r="K135" s="25" t="str">
        <f>VLOOKUP(E135,[1]PrelimAssignPOP!$I$1:$J$947,2,FALSE)</f>
        <v>ART</v>
      </c>
      <c r="L135" s="25" t="s">
        <v>210</v>
      </c>
      <c r="M135" s="25" t="s">
        <v>184</v>
      </c>
      <c r="N135" s="25" t="s">
        <v>2024</v>
      </c>
    </row>
    <row r="136" spans="1:15" x14ac:dyDescent="0.55000000000000004">
      <c r="A136">
        <v>135</v>
      </c>
      <c r="B136" s="25" t="s">
        <v>11</v>
      </c>
      <c r="C136" s="25">
        <v>25</v>
      </c>
      <c r="D136" s="25" t="s">
        <v>3498</v>
      </c>
      <c r="E136" s="25" t="s">
        <v>3509</v>
      </c>
      <c r="F136" s="25">
        <v>12.58</v>
      </c>
      <c r="G136" s="25" t="s">
        <v>1889</v>
      </c>
      <c r="H136" s="25">
        <f>4.73+4.72+3.45</f>
        <v>12.899999999999999</v>
      </c>
      <c r="I136" s="25">
        <f>4.73+4.72+3.45</f>
        <v>12.899999999999999</v>
      </c>
      <c r="J136" s="25" t="s">
        <v>1891</v>
      </c>
      <c r="K136" s="25" t="str">
        <f>VLOOKUP(E136,[1]PrelimAssignPOP!$I$1:$J$947,2,FALSE)</f>
        <v>ART</v>
      </c>
      <c r="L136" s="25" t="s">
        <v>210</v>
      </c>
      <c r="M136" s="25" t="s">
        <v>185</v>
      </c>
      <c r="N136" s="25" t="s">
        <v>2025</v>
      </c>
    </row>
    <row r="137" spans="1:15" x14ac:dyDescent="0.55000000000000004">
      <c r="A137">
        <v>136</v>
      </c>
      <c r="B137" s="25" t="s">
        <v>11</v>
      </c>
      <c r="C137" s="25">
        <v>25</v>
      </c>
      <c r="D137" s="25" t="s">
        <v>3498</v>
      </c>
      <c r="E137" s="25" t="s">
        <v>3510</v>
      </c>
      <c r="F137" s="25">
        <v>10.84</v>
      </c>
      <c r="G137" s="25" t="s">
        <v>1889</v>
      </c>
      <c r="H137" s="25">
        <f>3.22+5.73+1.3+1.07</f>
        <v>11.320000000000002</v>
      </c>
      <c r="I137" s="25">
        <f>3.22+5.73+1.3+1.07</f>
        <v>11.320000000000002</v>
      </c>
      <c r="J137" s="25" t="s">
        <v>1891</v>
      </c>
      <c r="K137" s="25" t="str">
        <f>VLOOKUP(E137,[1]PrelimAssignPOP!$I$1:$J$947,2,FALSE)</f>
        <v>ART</v>
      </c>
      <c r="L137" s="25" t="s">
        <v>210</v>
      </c>
      <c r="M137" s="25" t="s">
        <v>186</v>
      </c>
      <c r="N137" s="25" t="s">
        <v>2026</v>
      </c>
      <c r="O137" s="18" t="s">
        <v>3511</v>
      </c>
    </row>
    <row r="138" spans="1:15" x14ac:dyDescent="0.55000000000000004">
      <c r="A138">
        <v>137</v>
      </c>
      <c r="B138" s="25" t="s">
        <v>11</v>
      </c>
      <c r="C138" s="25">
        <v>25</v>
      </c>
      <c r="D138" s="25" t="s">
        <v>3498</v>
      </c>
      <c r="E138" s="25" t="s">
        <v>3512</v>
      </c>
      <c r="F138" s="25">
        <v>11.22</v>
      </c>
      <c r="G138" s="25" t="s">
        <v>1889</v>
      </c>
      <c r="H138" s="25">
        <f>1.36+2.68+3.16+3.77</f>
        <v>10.97</v>
      </c>
      <c r="I138" s="25">
        <f>1.36+2.68+3.16+3.77</f>
        <v>10.97</v>
      </c>
      <c r="J138" s="25" t="s">
        <v>1891</v>
      </c>
      <c r="K138" s="25" t="str">
        <f>VLOOKUP(E138,[1]PrelimAssignPOP!$I$1:$J$947,2,FALSE)</f>
        <v>ART</v>
      </c>
      <c r="L138" s="25" t="s">
        <v>210</v>
      </c>
      <c r="M138" s="25" t="s">
        <v>187</v>
      </c>
      <c r="N138" s="25" t="s">
        <v>2027</v>
      </c>
    </row>
    <row r="139" spans="1:15" x14ac:dyDescent="0.55000000000000004">
      <c r="A139">
        <v>138</v>
      </c>
      <c r="B139" s="25" t="s">
        <v>11</v>
      </c>
      <c r="C139" s="25">
        <v>25</v>
      </c>
      <c r="D139" s="25" t="s">
        <v>3498</v>
      </c>
      <c r="E139" s="25" t="s">
        <v>3513</v>
      </c>
      <c r="F139" s="25">
        <v>10.9</v>
      </c>
      <c r="G139" s="25" t="s">
        <v>1889</v>
      </c>
      <c r="H139" s="25">
        <f>3.3+3.13+2.66+2.02</f>
        <v>11.11</v>
      </c>
      <c r="I139" s="25">
        <f>3.3+3.13+2.66+2.02</f>
        <v>11.11</v>
      </c>
      <c r="J139" s="25" t="s">
        <v>1891</v>
      </c>
      <c r="N139" s="25" t="s">
        <v>2028</v>
      </c>
      <c r="O139" s="18" t="s">
        <v>3514</v>
      </c>
    </row>
    <row r="140" spans="1:15" x14ac:dyDescent="0.55000000000000004">
      <c r="A140">
        <v>139</v>
      </c>
      <c r="B140" s="25" t="s">
        <v>11</v>
      </c>
      <c r="C140" s="25">
        <v>25</v>
      </c>
      <c r="D140" s="25" t="s">
        <v>3498</v>
      </c>
      <c r="E140" s="25" t="s">
        <v>3515</v>
      </c>
      <c r="F140" s="25">
        <v>12.58</v>
      </c>
      <c r="G140" s="25" t="s">
        <v>1889</v>
      </c>
      <c r="H140" s="25">
        <f>4.28+2.97+1.37+3.93</f>
        <v>12.55</v>
      </c>
      <c r="I140" s="25">
        <f>4.28+2.97+1.37+3.93</f>
        <v>12.55</v>
      </c>
      <c r="J140" s="25" t="s">
        <v>1891</v>
      </c>
      <c r="N140" s="25" t="s">
        <v>2029</v>
      </c>
    </row>
    <row r="141" spans="1:15" x14ac:dyDescent="0.55000000000000004">
      <c r="A141">
        <v>140</v>
      </c>
      <c r="B141" s="25" t="s">
        <v>11</v>
      </c>
      <c r="C141" s="25">
        <v>25</v>
      </c>
      <c r="D141" s="25" t="s">
        <v>3498</v>
      </c>
      <c r="E141" s="25" t="s">
        <v>3516</v>
      </c>
      <c r="F141" s="25">
        <v>10.15</v>
      </c>
      <c r="G141" s="25" t="s">
        <v>1889</v>
      </c>
      <c r="H141" s="25">
        <f>4+2.41+1.53+2.46</f>
        <v>10.4</v>
      </c>
      <c r="I141" s="25">
        <f>4+2.41+1.53+2.46</f>
        <v>10.4</v>
      </c>
      <c r="J141" s="25" t="s">
        <v>1891</v>
      </c>
      <c r="N141" s="25" t="s">
        <v>2030</v>
      </c>
    </row>
    <row r="142" spans="1:15" x14ac:dyDescent="0.55000000000000004">
      <c r="A142">
        <v>141</v>
      </c>
      <c r="B142" s="25" t="s">
        <v>11</v>
      </c>
      <c r="C142" s="25">
        <v>25</v>
      </c>
      <c r="D142" s="25" t="s">
        <v>3498</v>
      </c>
      <c r="E142" s="25" t="s">
        <v>3517</v>
      </c>
      <c r="F142" s="25">
        <v>10.57</v>
      </c>
      <c r="G142" s="25" t="s">
        <v>1889</v>
      </c>
      <c r="H142" s="25">
        <f>1.59+3.76+3.46+2.19</f>
        <v>10.999999999999998</v>
      </c>
      <c r="I142" s="25">
        <f>1.59+3.76+3.46+2.19</f>
        <v>10.999999999999998</v>
      </c>
      <c r="J142" s="25" t="s">
        <v>1891</v>
      </c>
      <c r="N142" s="25" t="s">
        <v>2031</v>
      </c>
    </row>
    <row r="143" spans="1:15" x14ac:dyDescent="0.55000000000000004">
      <c r="A143">
        <v>142</v>
      </c>
      <c r="B143" s="25" t="s">
        <v>11</v>
      </c>
      <c r="C143" s="25">
        <v>25</v>
      </c>
      <c r="D143" s="25" t="s">
        <v>3498</v>
      </c>
      <c r="E143" s="25" t="s">
        <v>3518</v>
      </c>
      <c r="F143" s="25">
        <v>11.93</v>
      </c>
      <c r="G143" s="25" t="s">
        <v>1889</v>
      </c>
      <c r="H143" s="25">
        <f>1.63+7.72+2.55</f>
        <v>11.899999999999999</v>
      </c>
      <c r="I143" s="25">
        <f>1.63+7.72+2.55</f>
        <v>11.899999999999999</v>
      </c>
      <c r="J143" s="25" t="s">
        <v>1891</v>
      </c>
      <c r="N143" s="25" t="s">
        <v>2032</v>
      </c>
    </row>
    <row r="144" spans="1:15" x14ac:dyDescent="0.55000000000000004">
      <c r="A144">
        <v>143</v>
      </c>
      <c r="B144" s="25" t="s">
        <v>11</v>
      </c>
      <c r="C144" s="25">
        <v>25</v>
      </c>
      <c r="D144" s="25" t="s">
        <v>3498</v>
      </c>
      <c r="E144" s="25" t="s">
        <v>3519</v>
      </c>
      <c r="F144" s="25">
        <v>12.4</v>
      </c>
      <c r="G144" s="25" t="s">
        <v>1889</v>
      </c>
      <c r="H144" s="25">
        <f>2.93+5.51+4.06</f>
        <v>12.5</v>
      </c>
      <c r="I144" s="25">
        <f>2.93+5.51+4.06</f>
        <v>12.5</v>
      </c>
      <c r="J144" s="25" t="s">
        <v>1891</v>
      </c>
      <c r="N144" s="25" t="s">
        <v>2033</v>
      </c>
    </row>
    <row r="145" spans="1:15" x14ac:dyDescent="0.55000000000000004">
      <c r="A145">
        <v>144</v>
      </c>
      <c r="B145" s="25" t="s">
        <v>11</v>
      </c>
      <c r="C145" s="25">
        <v>25</v>
      </c>
      <c r="D145" s="25" t="s">
        <v>3498</v>
      </c>
      <c r="E145" s="25" t="s">
        <v>3520</v>
      </c>
      <c r="F145" s="25">
        <v>12.49</v>
      </c>
      <c r="G145" s="25" t="s">
        <v>1889</v>
      </c>
      <c r="H145" s="25">
        <f>2.6+2.78+2.89+4.28</f>
        <v>12.55</v>
      </c>
      <c r="I145" s="25">
        <f>2.6+2.78+2.89+4.28</f>
        <v>12.55</v>
      </c>
      <c r="J145" s="25" t="s">
        <v>1891</v>
      </c>
      <c r="N145" s="25" t="s">
        <v>2034</v>
      </c>
    </row>
    <row r="146" spans="1:15" x14ac:dyDescent="0.55000000000000004">
      <c r="A146">
        <v>145</v>
      </c>
      <c r="B146" s="25" t="s">
        <v>11</v>
      </c>
      <c r="C146" s="25">
        <v>25</v>
      </c>
      <c r="D146" s="25" t="s">
        <v>3498</v>
      </c>
      <c r="E146" s="25" t="s">
        <v>3521</v>
      </c>
      <c r="F146" s="25">
        <v>12.02</v>
      </c>
      <c r="G146" s="25" t="s">
        <v>1889</v>
      </c>
      <c r="H146" s="25">
        <f>2.59+4.21+4.89</f>
        <v>11.69</v>
      </c>
      <c r="I146" s="25">
        <f>2.59+4.21+4.89</f>
        <v>11.69</v>
      </c>
      <c r="J146" s="25" t="s">
        <v>1891</v>
      </c>
      <c r="N146" s="25" t="s">
        <v>2035</v>
      </c>
    </row>
    <row r="147" spans="1:15" x14ac:dyDescent="0.55000000000000004">
      <c r="A147">
        <v>146</v>
      </c>
      <c r="B147" s="25" t="s">
        <v>11</v>
      </c>
      <c r="C147" s="25">
        <v>25</v>
      </c>
      <c r="D147" s="25" t="s">
        <v>3498</v>
      </c>
      <c r="E147" s="25" t="s">
        <v>3522</v>
      </c>
      <c r="F147" s="25">
        <v>10.97</v>
      </c>
      <c r="G147" s="25" t="s">
        <v>1889</v>
      </c>
      <c r="H147" s="25">
        <f>2.18+1.29+1.23+6.61</f>
        <v>11.31</v>
      </c>
      <c r="I147" s="25">
        <f>2.18+1.29+1.23+6.61</f>
        <v>11.31</v>
      </c>
      <c r="J147" s="25" t="s">
        <v>1891</v>
      </c>
      <c r="N147" s="25" t="s">
        <v>2036</v>
      </c>
    </row>
    <row r="148" spans="1:15" x14ac:dyDescent="0.55000000000000004">
      <c r="A148">
        <v>147</v>
      </c>
      <c r="B148" s="25" t="s">
        <v>11</v>
      </c>
      <c r="C148" s="25">
        <v>25</v>
      </c>
      <c r="D148" s="25" t="s">
        <v>3498</v>
      </c>
      <c r="E148" s="25" t="s">
        <v>3523</v>
      </c>
      <c r="F148" s="25">
        <v>12.32</v>
      </c>
      <c r="G148" s="25" t="s">
        <v>1889</v>
      </c>
      <c r="H148" s="25">
        <f>3.91+3.09+5.54</f>
        <v>12.54</v>
      </c>
      <c r="I148" s="25">
        <f>3.91+3.09+5.54</f>
        <v>12.54</v>
      </c>
      <c r="J148" s="25" t="s">
        <v>1891</v>
      </c>
      <c r="N148" s="25" t="s">
        <v>2037</v>
      </c>
    </row>
    <row r="149" spans="1:15" x14ac:dyDescent="0.55000000000000004">
      <c r="A149">
        <v>148</v>
      </c>
      <c r="B149" s="25" t="s">
        <v>11</v>
      </c>
      <c r="C149" s="25">
        <v>25</v>
      </c>
      <c r="D149" s="25" t="s">
        <v>3498</v>
      </c>
      <c r="E149" s="25" t="s">
        <v>3524</v>
      </c>
      <c r="F149" s="25">
        <v>11.39</v>
      </c>
      <c r="G149" s="25" t="s">
        <v>1889</v>
      </c>
      <c r="H149" s="25">
        <f>3.04+4.6+4.13</f>
        <v>11.77</v>
      </c>
      <c r="I149" s="25">
        <f>3.04+4.6+4.13</f>
        <v>11.77</v>
      </c>
      <c r="J149" s="25" t="s">
        <v>1891</v>
      </c>
      <c r="N149" s="25" t="s">
        <v>2038</v>
      </c>
    </row>
    <row r="150" spans="1:15" x14ac:dyDescent="0.55000000000000004">
      <c r="A150">
        <v>149</v>
      </c>
      <c r="B150" s="25" t="s">
        <v>11</v>
      </c>
      <c r="C150" s="25">
        <v>25</v>
      </c>
      <c r="D150" s="25" t="s">
        <v>3498</v>
      </c>
      <c r="E150" s="25" t="s">
        <v>3525</v>
      </c>
      <c r="F150" s="25">
        <v>10.35</v>
      </c>
      <c r="G150" s="25" t="s">
        <v>1889</v>
      </c>
      <c r="H150" s="25">
        <f>2.13+2.9+1.11+4.48</f>
        <v>10.620000000000001</v>
      </c>
      <c r="I150" s="25">
        <f>2.13+2.9+1.11+4.48</f>
        <v>10.620000000000001</v>
      </c>
      <c r="J150" s="25" t="s">
        <v>1891</v>
      </c>
      <c r="N150" s="25" t="s">
        <v>2039</v>
      </c>
    </row>
    <row r="151" spans="1:15" x14ac:dyDescent="0.55000000000000004">
      <c r="A151">
        <v>150</v>
      </c>
      <c r="B151" s="25" t="s">
        <v>11</v>
      </c>
      <c r="C151" s="25">
        <v>25</v>
      </c>
      <c r="D151" s="25" t="s">
        <v>3498</v>
      </c>
      <c r="E151" s="25" t="s">
        <v>3526</v>
      </c>
      <c r="G151" s="25" t="s">
        <v>1941</v>
      </c>
      <c r="J151" s="25" t="s">
        <v>1941</v>
      </c>
    </row>
    <row r="152" spans="1:15" x14ac:dyDescent="0.55000000000000004">
      <c r="A152">
        <v>151</v>
      </c>
      <c r="B152" s="25" t="s">
        <v>12</v>
      </c>
      <c r="C152" s="25">
        <v>24</v>
      </c>
      <c r="D152" s="25" t="s">
        <v>3527</v>
      </c>
      <c r="E152" s="25" t="s">
        <v>3528</v>
      </c>
      <c r="F152" s="25">
        <v>10.24</v>
      </c>
      <c r="G152" s="25" t="s">
        <v>1889</v>
      </c>
      <c r="H152" s="25">
        <f>2.32+2.66+2.8+1.19+1.57</f>
        <v>10.540000000000001</v>
      </c>
      <c r="I152" s="25">
        <f>2.32+2.66+2.8+1.19+1.57</f>
        <v>10.540000000000001</v>
      </c>
      <c r="J152" s="25" t="s">
        <v>1891</v>
      </c>
      <c r="K152" s="25" t="str">
        <f>VLOOKUP(E152,[1]PrelimAssignPOP!$I$1:$J$947,2,FALSE)</f>
        <v>ART</v>
      </c>
      <c r="L152" s="25" t="s">
        <v>210</v>
      </c>
      <c r="M152" s="25" t="s">
        <v>120</v>
      </c>
      <c r="N152" s="25" t="s">
        <v>2040</v>
      </c>
    </row>
    <row r="153" spans="1:15" x14ac:dyDescent="0.55000000000000004">
      <c r="A153">
        <v>152</v>
      </c>
      <c r="B153" s="25" t="s">
        <v>12</v>
      </c>
      <c r="C153" s="25">
        <v>24</v>
      </c>
      <c r="D153" s="25" t="s">
        <v>3527</v>
      </c>
      <c r="E153" s="25" t="s">
        <v>3529</v>
      </c>
      <c r="F153" s="25">
        <v>12.82</v>
      </c>
      <c r="G153" s="25" t="s">
        <v>1889</v>
      </c>
      <c r="H153" s="25">
        <f>3.13+2.95+3.89+3.13</f>
        <v>13.100000000000001</v>
      </c>
      <c r="I153" s="25">
        <f>3.13+2.95+3.89+3.13</f>
        <v>13.100000000000001</v>
      </c>
      <c r="J153" s="25" t="s">
        <v>1891</v>
      </c>
      <c r="K153" s="25" t="str">
        <f>VLOOKUP(E153,[1]PrelimAssignPOP!$I$1:$J$947,2,FALSE)</f>
        <v>ART</v>
      </c>
      <c r="L153" s="25" t="s">
        <v>210</v>
      </c>
      <c r="M153" s="25" t="s">
        <v>188</v>
      </c>
      <c r="N153" s="25" t="s">
        <v>2041</v>
      </c>
    </row>
    <row r="154" spans="1:15" x14ac:dyDescent="0.55000000000000004">
      <c r="A154">
        <v>153</v>
      </c>
      <c r="B154" s="25" t="s">
        <v>12</v>
      </c>
      <c r="C154" s="25">
        <v>24</v>
      </c>
      <c r="D154" s="25" t="s">
        <v>3527</v>
      </c>
      <c r="E154" s="25" t="s">
        <v>3530</v>
      </c>
      <c r="F154" s="25">
        <v>11.75</v>
      </c>
      <c r="G154" s="25" t="s">
        <v>1889</v>
      </c>
      <c r="H154" s="25">
        <f>3.23+1.99+2.53+4.13</f>
        <v>11.879999999999999</v>
      </c>
      <c r="I154" s="25">
        <f>3.23+1.99+2.53+4.13</f>
        <v>11.879999999999999</v>
      </c>
      <c r="J154" s="25" t="s">
        <v>1891</v>
      </c>
      <c r="K154" s="25" t="str">
        <f>VLOOKUP(E154,[1]PrelimAssignPOP!$I$1:$J$947,2,FALSE)</f>
        <v>ART</v>
      </c>
      <c r="L154" s="25" t="s">
        <v>210</v>
      </c>
      <c r="M154" s="25" t="s">
        <v>189</v>
      </c>
      <c r="N154" s="25" t="s">
        <v>2042</v>
      </c>
    </row>
    <row r="155" spans="1:15" x14ac:dyDescent="0.55000000000000004">
      <c r="A155">
        <v>154</v>
      </c>
      <c r="B155" s="25" t="s">
        <v>12</v>
      </c>
      <c r="C155" s="25">
        <v>24</v>
      </c>
      <c r="D155" s="25" t="s">
        <v>3527</v>
      </c>
      <c r="E155" s="25" t="s">
        <v>3531</v>
      </c>
      <c r="F155" s="25">
        <v>14.05</v>
      </c>
      <c r="G155" s="25" t="s">
        <v>1889</v>
      </c>
      <c r="H155" s="25">
        <f>2.93+2.47+1.39+3.6+3.95</f>
        <v>14.34</v>
      </c>
      <c r="I155" s="25">
        <f>2.93+2.47+1.39+3.6+3.95</f>
        <v>14.34</v>
      </c>
      <c r="J155" s="25" t="s">
        <v>1891</v>
      </c>
      <c r="K155" s="25" t="str">
        <f>VLOOKUP(E155,[1]PrelimAssignPOP!$I$1:$J$947,2,FALSE)</f>
        <v>ART</v>
      </c>
      <c r="L155" s="25" t="s">
        <v>210</v>
      </c>
      <c r="M155" s="25" t="s">
        <v>190</v>
      </c>
      <c r="N155" s="25" t="s">
        <v>2043</v>
      </c>
    </row>
    <row r="156" spans="1:15" x14ac:dyDescent="0.55000000000000004">
      <c r="A156">
        <v>155</v>
      </c>
      <c r="B156" s="25" t="s">
        <v>12</v>
      </c>
      <c r="C156" s="25">
        <v>24</v>
      </c>
      <c r="D156" s="25" t="s">
        <v>3527</v>
      </c>
      <c r="E156" s="25" t="s">
        <v>3532</v>
      </c>
      <c r="F156" s="25">
        <v>11.26</v>
      </c>
      <c r="G156" s="25" t="s">
        <v>1889</v>
      </c>
      <c r="H156" s="25">
        <f>3.28+2.78+1.77+3.97</f>
        <v>11.8</v>
      </c>
      <c r="I156" s="25">
        <f>3.28+2.78+1.77+3.97</f>
        <v>11.8</v>
      </c>
      <c r="J156" s="25" t="s">
        <v>1891</v>
      </c>
      <c r="K156" s="25" t="str">
        <f>VLOOKUP(E156,[1]PrelimAssignPOP!$I$1:$J$947,2,FALSE)</f>
        <v>ART</v>
      </c>
      <c r="L156" s="25" t="s">
        <v>210</v>
      </c>
      <c r="M156" s="25" t="s">
        <v>191</v>
      </c>
      <c r="N156" s="25" t="s">
        <v>2044</v>
      </c>
    </row>
    <row r="157" spans="1:15" x14ac:dyDescent="0.55000000000000004">
      <c r="A157">
        <v>156</v>
      </c>
      <c r="B157" s="25" t="s">
        <v>12</v>
      </c>
      <c r="C157" s="25">
        <v>24</v>
      </c>
      <c r="D157" s="25" t="s">
        <v>3527</v>
      </c>
      <c r="E157" s="25" t="s">
        <v>3533</v>
      </c>
      <c r="F157" s="25">
        <v>12.29</v>
      </c>
      <c r="G157" s="25" t="s">
        <v>1889</v>
      </c>
      <c r="H157" s="25">
        <f>2.3+0.85+4.55+1.37+3.58</f>
        <v>12.65</v>
      </c>
      <c r="I157" s="25">
        <f>2.3+0.85+4.55+1.37+3.58</f>
        <v>12.65</v>
      </c>
      <c r="J157" s="25" t="s">
        <v>1891</v>
      </c>
      <c r="K157" s="25" t="str">
        <f>VLOOKUP(E157,[1]PrelimAssignPOP!$I$1:$J$947,2,FALSE)</f>
        <v>ART</v>
      </c>
      <c r="L157" s="25" t="s">
        <v>210</v>
      </c>
      <c r="M157" s="25" t="s">
        <v>192</v>
      </c>
      <c r="N157" s="25" t="s">
        <v>2045</v>
      </c>
    </row>
    <row r="158" spans="1:15" x14ac:dyDescent="0.55000000000000004">
      <c r="A158">
        <v>157</v>
      </c>
      <c r="B158" s="25" t="s">
        <v>12</v>
      </c>
      <c r="C158" s="25">
        <v>24</v>
      </c>
      <c r="D158" s="25" t="s">
        <v>3527</v>
      </c>
      <c r="E158" s="25" t="s">
        <v>3534</v>
      </c>
      <c r="F158" s="25">
        <v>11.03</v>
      </c>
      <c r="G158" s="25" t="s">
        <v>1889</v>
      </c>
      <c r="H158" s="25">
        <f>2.43+1.3+1.59+5.95</f>
        <v>11.27</v>
      </c>
      <c r="I158" s="25">
        <f>2.43+1.3+1.59+5.95</f>
        <v>11.27</v>
      </c>
      <c r="J158" s="25" t="s">
        <v>1891</v>
      </c>
      <c r="K158" s="25" t="str">
        <f>VLOOKUP(E158,[1]PrelimAssignPOP!$I$1:$J$947,2,FALSE)</f>
        <v>ART</v>
      </c>
      <c r="L158" s="25" t="s">
        <v>210</v>
      </c>
      <c r="M158" s="25" t="s">
        <v>193</v>
      </c>
      <c r="N158" s="25" t="s">
        <v>2046</v>
      </c>
    </row>
    <row r="159" spans="1:15" x14ac:dyDescent="0.55000000000000004">
      <c r="A159">
        <v>158</v>
      </c>
      <c r="B159" s="25" t="s">
        <v>12</v>
      </c>
      <c r="C159" s="25">
        <v>24</v>
      </c>
      <c r="D159" s="25" t="s">
        <v>3527</v>
      </c>
      <c r="E159" s="25" t="s">
        <v>3535</v>
      </c>
      <c r="F159" s="25">
        <v>12.69</v>
      </c>
      <c r="G159" s="25" t="s">
        <v>1889</v>
      </c>
      <c r="H159" s="25">
        <f>2.64+1.35+8.77</f>
        <v>12.76</v>
      </c>
      <c r="I159" s="25">
        <f>2.64+1.35+8.77</f>
        <v>12.76</v>
      </c>
      <c r="J159" s="25" t="s">
        <v>1891</v>
      </c>
      <c r="K159" s="25" t="str">
        <f>VLOOKUP(E159,[1]PrelimAssignPOP!$I$1:$J$947,2,FALSE)</f>
        <v>ART</v>
      </c>
      <c r="L159" s="25" t="s">
        <v>210</v>
      </c>
      <c r="M159" s="25" t="s">
        <v>194</v>
      </c>
      <c r="N159" s="25" t="s">
        <v>2047</v>
      </c>
      <c r="O159" s="18" t="s">
        <v>3536</v>
      </c>
    </row>
    <row r="160" spans="1:15" x14ac:dyDescent="0.55000000000000004">
      <c r="A160">
        <v>159</v>
      </c>
      <c r="B160" s="25" t="s">
        <v>12</v>
      </c>
      <c r="C160" s="25">
        <v>24</v>
      </c>
      <c r="D160" s="25" t="s">
        <v>3527</v>
      </c>
      <c r="E160" s="25" t="s">
        <v>3537</v>
      </c>
      <c r="F160" s="25">
        <v>12.23</v>
      </c>
      <c r="G160" s="25" t="s">
        <v>1889</v>
      </c>
      <c r="H160" s="25">
        <f>2.65+2.05+3.39+1.49+3.49</f>
        <v>13.07</v>
      </c>
      <c r="I160" s="25">
        <f>2.65+2.05+3.39+1.49+3.49</f>
        <v>13.07</v>
      </c>
      <c r="J160" s="25" t="s">
        <v>1891</v>
      </c>
      <c r="K160" s="25" t="str">
        <f>VLOOKUP(E160,[1]PrelimAssignPOP!$I$1:$J$947,2,FALSE)</f>
        <v>ART</v>
      </c>
      <c r="L160" s="25" t="s">
        <v>210</v>
      </c>
      <c r="M160" s="25" t="s">
        <v>195</v>
      </c>
      <c r="N160" s="25" t="s">
        <v>2048</v>
      </c>
    </row>
    <row r="161" spans="1:14" x14ac:dyDescent="0.55000000000000004">
      <c r="A161">
        <v>160</v>
      </c>
      <c r="B161" s="25" t="s">
        <v>12</v>
      </c>
      <c r="C161" s="25">
        <v>24</v>
      </c>
      <c r="D161" s="25" t="s">
        <v>3527</v>
      </c>
      <c r="E161" s="25" t="s">
        <v>3538</v>
      </c>
      <c r="F161" s="25">
        <v>11.38</v>
      </c>
      <c r="G161" s="25" t="s">
        <v>1889</v>
      </c>
      <c r="H161" s="25">
        <f>3.89+3.3+1.76+2.66</f>
        <v>11.61</v>
      </c>
      <c r="I161" s="25">
        <f>3.89+3.3+1.76+2.66</f>
        <v>11.61</v>
      </c>
      <c r="J161" s="25" t="s">
        <v>1891</v>
      </c>
      <c r="K161" s="25" t="str">
        <f>VLOOKUP(E161,[1]PrelimAssignPOP!$I$1:$J$947,2,FALSE)</f>
        <v>ART</v>
      </c>
      <c r="L161" s="25" t="s">
        <v>210</v>
      </c>
      <c r="M161" s="25" t="s">
        <v>196</v>
      </c>
      <c r="N161" s="25" t="s">
        <v>2049</v>
      </c>
    </row>
    <row r="162" spans="1:14" x14ac:dyDescent="0.55000000000000004">
      <c r="A162">
        <v>161</v>
      </c>
      <c r="B162" s="25" t="s">
        <v>12</v>
      </c>
      <c r="C162" s="25">
        <v>24</v>
      </c>
      <c r="D162" s="25" t="s">
        <v>3527</v>
      </c>
      <c r="E162" s="25" t="s">
        <v>3539</v>
      </c>
      <c r="F162" s="25">
        <v>12.15</v>
      </c>
      <c r="G162" s="25" t="s">
        <v>1889</v>
      </c>
      <c r="H162" s="25">
        <f>2.47+3.97+2.82+3.07</f>
        <v>12.33</v>
      </c>
      <c r="I162" s="25">
        <f>2.47+3.97+2.82+3.07</f>
        <v>12.33</v>
      </c>
      <c r="J162" s="25" t="s">
        <v>1891</v>
      </c>
      <c r="K162" s="25" t="str">
        <f>VLOOKUP(E162,[1]PrelimAssignPOP!$I$1:$J$947,2,FALSE)</f>
        <v>ART</v>
      </c>
      <c r="L162" s="25" t="s">
        <v>210</v>
      </c>
      <c r="M162" s="25" t="s">
        <v>197</v>
      </c>
      <c r="N162" s="25" t="s">
        <v>2050</v>
      </c>
    </row>
    <row r="163" spans="1:14" x14ac:dyDescent="0.55000000000000004">
      <c r="A163">
        <v>162</v>
      </c>
      <c r="B163" s="25" t="s">
        <v>12</v>
      </c>
      <c r="C163" s="25">
        <v>24</v>
      </c>
      <c r="D163" s="25" t="s">
        <v>3527</v>
      </c>
      <c r="E163" s="25" t="s">
        <v>3540</v>
      </c>
      <c r="F163" s="25">
        <v>12.39</v>
      </c>
      <c r="G163" s="25" t="s">
        <v>1889</v>
      </c>
      <c r="H163" s="25">
        <f>2.4+1.48+2.92+5.69</f>
        <v>12.49</v>
      </c>
      <c r="I163" s="25">
        <f>2.4+1.48+2.92+5.69</f>
        <v>12.49</v>
      </c>
      <c r="J163" s="25" t="s">
        <v>1891</v>
      </c>
      <c r="K163" s="25" t="str">
        <f>VLOOKUP(E163,[1]PrelimAssignPOP!$I$1:$J$947,2,FALSE)</f>
        <v>ART</v>
      </c>
      <c r="L163" s="25" t="s">
        <v>210</v>
      </c>
      <c r="M163" s="25" t="s">
        <v>198</v>
      </c>
      <c r="N163" s="25" t="s">
        <v>2051</v>
      </c>
    </row>
    <row r="164" spans="1:14" x14ac:dyDescent="0.55000000000000004">
      <c r="A164">
        <v>163</v>
      </c>
      <c r="B164" s="25" t="s">
        <v>12</v>
      </c>
      <c r="C164" s="25">
        <v>24</v>
      </c>
      <c r="D164" s="25" t="s">
        <v>3527</v>
      </c>
      <c r="E164" s="25" t="s">
        <v>3541</v>
      </c>
      <c r="F164" s="25">
        <v>10.85</v>
      </c>
      <c r="G164" s="25" t="s">
        <v>1889</v>
      </c>
      <c r="H164" s="25">
        <f>2.31+1.89+2.63+2.15+2.45</f>
        <v>11.43</v>
      </c>
      <c r="I164" s="25">
        <f>2.31+1.89+2.63+2.15+2.45</f>
        <v>11.43</v>
      </c>
      <c r="J164" s="25" t="s">
        <v>1891</v>
      </c>
      <c r="N164" s="25" t="s">
        <v>2052</v>
      </c>
    </row>
    <row r="165" spans="1:14" x14ac:dyDescent="0.55000000000000004">
      <c r="A165">
        <v>164</v>
      </c>
      <c r="B165" s="25" t="s">
        <v>12</v>
      </c>
      <c r="C165" s="25">
        <v>24</v>
      </c>
      <c r="D165" s="25" t="s">
        <v>3527</v>
      </c>
      <c r="E165" s="25" t="s">
        <v>3542</v>
      </c>
      <c r="F165" s="25">
        <v>12.46</v>
      </c>
      <c r="G165" s="25" t="s">
        <v>1889</v>
      </c>
      <c r="H165" s="25">
        <f>1.94+2.24+4.14+1.97+2.31</f>
        <v>12.600000000000001</v>
      </c>
      <c r="I165" s="25">
        <f>1.94+2.24+4.14+1.97+2.31</f>
        <v>12.600000000000001</v>
      </c>
      <c r="J165" s="25" t="s">
        <v>1891</v>
      </c>
      <c r="N165" s="25" t="s">
        <v>2053</v>
      </c>
    </row>
    <row r="166" spans="1:14" x14ac:dyDescent="0.55000000000000004">
      <c r="A166">
        <v>165</v>
      </c>
      <c r="B166" s="25" t="s">
        <v>12</v>
      </c>
      <c r="C166" s="25">
        <v>24</v>
      </c>
      <c r="D166" s="25" t="s">
        <v>3527</v>
      </c>
      <c r="E166" s="25" t="s">
        <v>3543</v>
      </c>
      <c r="F166" s="25">
        <v>12.73</v>
      </c>
      <c r="G166" s="25" t="s">
        <v>1889</v>
      </c>
      <c r="H166" s="25">
        <f>3.13+2.24+3.34+2.42+2.25</f>
        <v>13.38</v>
      </c>
      <c r="I166" s="25">
        <f>3.13+2.24+3.34+2.42+2.25</f>
        <v>13.38</v>
      </c>
      <c r="J166" s="25" t="s">
        <v>1891</v>
      </c>
      <c r="N166" s="25" t="s">
        <v>2054</v>
      </c>
    </row>
    <row r="167" spans="1:14" x14ac:dyDescent="0.55000000000000004">
      <c r="A167">
        <v>166</v>
      </c>
      <c r="B167" s="25" t="s">
        <v>12</v>
      </c>
      <c r="C167" s="25">
        <v>24</v>
      </c>
      <c r="D167" s="25" t="s">
        <v>3527</v>
      </c>
      <c r="E167" s="25" t="s">
        <v>3544</v>
      </c>
      <c r="F167" s="25">
        <v>13.38</v>
      </c>
      <c r="G167" s="25" t="s">
        <v>1889</v>
      </c>
      <c r="H167" s="25">
        <f>2.56+3.32+0.59+7.37</f>
        <v>13.84</v>
      </c>
      <c r="I167" s="25">
        <f>2.56+3.32+0.59+7.37</f>
        <v>13.84</v>
      </c>
      <c r="J167" s="25" t="s">
        <v>1891</v>
      </c>
      <c r="N167" s="25" t="s">
        <v>2055</v>
      </c>
    </row>
    <row r="168" spans="1:14" x14ac:dyDescent="0.55000000000000004">
      <c r="A168">
        <v>167</v>
      </c>
      <c r="B168" s="25" t="s">
        <v>12</v>
      </c>
      <c r="C168" s="25">
        <v>24</v>
      </c>
      <c r="D168" s="25" t="s">
        <v>3527</v>
      </c>
      <c r="E168" s="25" t="s">
        <v>3545</v>
      </c>
      <c r="F168" s="25">
        <v>14.08</v>
      </c>
      <c r="G168" s="25" t="s">
        <v>1889</v>
      </c>
      <c r="H168" s="25">
        <f>3.77+3.18+1.75+2.88+2.96</f>
        <v>14.54</v>
      </c>
      <c r="I168" s="25">
        <f>3.77+3.18+1.75+2.88+2.96</f>
        <v>14.54</v>
      </c>
      <c r="J168" s="25" t="s">
        <v>1891</v>
      </c>
      <c r="N168" s="25" t="s">
        <v>2056</v>
      </c>
    </row>
    <row r="169" spans="1:14" x14ac:dyDescent="0.55000000000000004">
      <c r="A169">
        <v>168</v>
      </c>
      <c r="B169" s="25" t="s">
        <v>12</v>
      </c>
      <c r="C169" s="25">
        <v>24</v>
      </c>
      <c r="D169" s="25" t="s">
        <v>3527</v>
      </c>
      <c r="E169" s="25" t="s">
        <v>3546</v>
      </c>
      <c r="F169" s="25">
        <v>12.65</v>
      </c>
      <c r="G169" s="25" t="s">
        <v>1889</v>
      </c>
      <c r="H169" s="25">
        <f>2.33+4.09+3.2+2.97</f>
        <v>12.590000000000002</v>
      </c>
      <c r="I169" s="25">
        <f>2.33+4.09+3.2+2.97</f>
        <v>12.590000000000002</v>
      </c>
      <c r="J169" s="25" t="s">
        <v>1891</v>
      </c>
      <c r="N169" s="25" t="s">
        <v>2057</v>
      </c>
    </row>
    <row r="170" spans="1:14" x14ac:dyDescent="0.55000000000000004">
      <c r="A170">
        <v>169</v>
      </c>
      <c r="B170" s="25" t="s">
        <v>12</v>
      </c>
      <c r="C170" s="25">
        <v>24</v>
      </c>
      <c r="D170" s="25" t="s">
        <v>3527</v>
      </c>
      <c r="E170" s="25" t="s">
        <v>3547</v>
      </c>
      <c r="F170" s="25">
        <v>12.95</v>
      </c>
      <c r="G170" s="25" t="s">
        <v>1889</v>
      </c>
      <c r="H170" s="25">
        <f>2.52+1.72+3.2+5.66</f>
        <v>13.100000000000001</v>
      </c>
      <c r="I170" s="25">
        <f>2.52+1.72+3.2+5.66</f>
        <v>13.100000000000001</v>
      </c>
      <c r="J170" s="25" t="s">
        <v>1891</v>
      </c>
      <c r="N170" s="25" t="s">
        <v>2058</v>
      </c>
    </row>
    <row r="171" spans="1:14" x14ac:dyDescent="0.55000000000000004">
      <c r="A171">
        <v>170</v>
      </c>
      <c r="B171" s="25" t="s">
        <v>12</v>
      </c>
      <c r="C171" s="25">
        <v>24</v>
      </c>
      <c r="D171" s="25" t="s">
        <v>3527</v>
      </c>
      <c r="E171" s="25" t="s">
        <v>3548</v>
      </c>
      <c r="F171" s="25">
        <v>12.04</v>
      </c>
      <c r="G171" s="25" t="s">
        <v>1889</v>
      </c>
      <c r="H171" s="25">
        <f>2.83+3.82+4.14+1.71</f>
        <v>12.5</v>
      </c>
      <c r="I171" s="25">
        <f>2.83+3.82+4.14+1.71</f>
        <v>12.5</v>
      </c>
      <c r="J171" s="25" t="s">
        <v>1891</v>
      </c>
      <c r="N171" s="25" t="s">
        <v>2059</v>
      </c>
    </row>
    <row r="172" spans="1:14" x14ac:dyDescent="0.55000000000000004">
      <c r="A172">
        <v>171</v>
      </c>
      <c r="B172" s="25" t="s">
        <v>12</v>
      </c>
      <c r="C172" s="25">
        <v>24</v>
      </c>
      <c r="D172" s="25" t="s">
        <v>3527</v>
      </c>
      <c r="E172" s="25" t="s">
        <v>3549</v>
      </c>
      <c r="F172" s="25">
        <v>10.94</v>
      </c>
      <c r="G172" s="25" t="s">
        <v>1889</v>
      </c>
      <c r="H172" s="25">
        <f>2.06+2.31+2.23+2.68+2.2</f>
        <v>11.48</v>
      </c>
      <c r="I172" s="25">
        <f>2.06+2.31+2.23+2.68+2.2</f>
        <v>11.48</v>
      </c>
      <c r="J172" s="25" t="s">
        <v>1891</v>
      </c>
      <c r="N172" s="25" t="s">
        <v>2060</v>
      </c>
    </row>
    <row r="173" spans="1:14" x14ac:dyDescent="0.55000000000000004">
      <c r="A173">
        <v>172</v>
      </c>
      <c r="B173" s="25" t="s">
        <v>12</v>
      </c>
      <c r="C173" s="25">
        <v>24</v>
      </c>
      <c r="D173" s="25" t="s">
        <v>3527</v>
      </c>
      <c r="E173" s="25" t="s">
        <v>3550</v>
      </c>
      <c r="F173" s="25">
        <v>10.51</v>
      </c>
      <c r="G173" s="25" t="s">
        <v>1889</v>
      </c>
      <c r="H173" s="25">
        <f>3.56+3.44+3.95</f>
        <v>10.95</v>
      </c>
      <c r="I173" s="25">
        <f>3.56+3.44+3.95</f>
        <v>10.95</v>
      </c>
      <c r="J173" s="25" t="s">
        <v>1891</v>
      </c>
      <c r="N173" s="25" t="s">
        <v>2061</v>
      </c>
    </row>
    <row r="174" spans="1:14" x14ac:dyDescent="0.55000000000000004">
      <c r="A174">
        <v>173</v>
      </c>
      <c r="B174" s="25" t="s">
        <v>12</v>
      </c>
      <c r="C174" s="25">
        <v>24</v>
      </c>
      <c r="D174" s="25" t="s">
        <v>3527</v>
      </c>
      <c r="E174" s="25" t="s">
        <v>3551</v>
      </c>
      <c r="F174" s="25">
        <v>12.75</v>
      </c>
      <c r="G174" s="25" t="s">
        <v>1889</v>
      </c>
      <c r="H174" s="25">
        <f>1.82+2.75+2.98+3.05+2.7</f>
        <v>13.3</v>
      </c>
      <c r="I174" s="25">
        <f>1.82+2.75+2.98+3.05+2.7</f>
        <v>13.3</v>
      </c>
      <c r="J174" s="25" t="s">
        <v>1891</v>
      </c>
      <c r="N174" s="25" t="s">
        <v>2062</v>
      </c>
    </row>
    <row r="175" spans="1:14" x14ac:dyDescent="0.55000000000000004">
      <c r="A175">
        <v>174</v>
      </c>
      <c r="B175" s="25" t="s">
        <v>12</v>
      </c>
      <c r="C175" s="25">
        <v>24</v>
      </c>
      <c r="D175" s="25" t="s">
        <v>3527</v>
      </c>
      <c r="E175" s="25" t="s">
        <v>3552</v>
      </c>
      <c r="G175" s="25" t="s">
        <v>1941</v>
      </c>
      <c r="J175" s="25" t="s">
        <v>1941</v>
      </c>
    </row>
    <row r="176" spans="1:14" x14ac:dyDescent="0.55000000000000004">
      <c r="A176">
        <v>175</v>
      </c>
      <c r="B176" s="25" t="s">
        <v>13</v>
      </c>
      <c r="C176" s="25">
        <v>25</v>
      </c>
      <c r="D176" s="25" t="s">
        <v>3553</v>
      </c>
      <c r="E176" s="25" t="s">
        <v>3554</v>
      </c>
      <c r="F176" s="25">
        <v>11.49</v>
      </c>
      <c r="G176" s="25" t="s">
        <v>1889</v>
      </c>
      <c r="H176" s="25">
        <f>1.53+3+3.78+1.7+1.89</f>
        <v>11.9</v>
      </c>
      <c r="I176" s="25">
        <f>1.53+3+3.78+1.7+1.89</f>
        <v>11.9</v>
      </c>
      <c r="J176" s="25" t="s">
        <v>1891</v>
      </c>
      <c r="K176" s="25" t="str">
        <f>VLOOKUP(E176,[1]PrelimAssignPOP!$I$1:$J$947,2,FALSE)</f>
        <v>ART</v>
      </c>
      <c r="L176" s="25" t="s">
        <v>210</v>
      </c>
      <c r="M176" s="25" t="s">
        <v>121</v>
      </c>
      <c r="N176" s="25" t="s">
        <v>2063</v>
      </c>
    </row>
    <row r="177" spans="1:14" x14ac:dyDescent="0.55000000000000004">
      <c r="A177">
        <v>176</v>
      </c>
      <c r="B177" s="25" t="s">
        <v>13</v>
      </c>
      <c r="C177" s="25">
        <v>25</v>
      </c>
      <c r="D177" s="25" t="s">
        <v>3553</v>
      </c>
      <c r="E177" s="25" t="s">
        <v>3555</v>
      </c>
      <c r="F177" s="25">
        <v>12.72</v>
      </c>
      <c r="G177" s="25" t="s">
        <v>1889</v>
      </c>
      <c r="H177" s="25">
        <f>2.59+2.12+8.19</f>
        <v>12.899999999999999</v>
      </c>
      <c r="I177" s="25">
        <f>2.59+2.12+8.19</f>
        <v>12.899999999999999</v>
      </c>
      <c r="J177" s="25" t="s">
        <v>1891</v>
      </c>
      <c r="K177" s="25" t="str">
        <f>VLOOKUP(E177,[1]PrelimAssignPOP!$I$1:$J$947,2,FALSE)</f>
        <v>ART</v>
      </c>
      <c r="L177" s="25" t="s">
        <v>210</v>
      </c>
      <c r="M177" s="25" t="s">
        <v>199</v>
      </c>
      <c r="N177" s="25" t="s">
        <v>2066</v>
      </c>
    </row>
    <row r="178" spans="1:14" x14ac:dyDescent="0.55000000000000004">
      <c r="A178">
        <v>177</v>
      </c>
      <c r="B178" s="25" t="s">
        <v>13</v>
      </c>
      <c r="C178" s="25">
        <v>25</v>
      </c>
      <c r="D178" s="25" t="s">
        <v>3553</v>
      </c>
      <c r="E178" s="25" t="s">
        <v>3556</v>
      </c>
      <c r="F178" s="25">
        <v>12.83</v>
      </c>
      <c r="G178" s="25" t="s">
        <v>1889</v>
      </c>
      <c r="H178" s="25">
        <f>2.68+4.03+2.64+3.57</f>
        <v>12.920000000000002</v>
      </c>
      <c r="I178" s="25">
        <f>2.68+4.03+2.64+3.57</f>
        <v>12.920000000000002</v>
      </c>
      <c r="J178" s="25" t="s">
        <v>1891</v>
      </c>
      <c r="K178" s="25" t="str">
        <f>VLOOKUP(E178,[1]PrelimAssignPOP!$I$1:$J$947,2,FALSE)</f>
        <v>ART</v>
      </c>
      <c r="L178" s="25" t="s">
        <v>210</v>
      </c>
      <c r="M178" s="25" t="s">
        <v>200</v>
      </c>
      <c r="N178" s="25" t="s">
        <v>2067</v>
      </c>
    </row>
    <row r="179" spans="1:14" x14ac:dyDescent="0.55000000000000004">
      <c r="A179">
        <v>178</v>
      </c>
      <c r="B179" s="25" t="s">
        <v>13</v>
      </c>
      <c r="C179" s="25">
        <v>25</v>
      </c>
      <c r="D179" s="25" t="s">
        <v>3553</v>
      </c>
      <c r="E179" s="25" t="s">
        <v>3557</v>
      </c>
      <c r="F179" s="25">
        <v>13.26</v>
      </c>
      <c r="G179" s="25" t="s">
        <v>1889</v>
      </c>
      <c r="H179" s="25">
        <f>9.27+3.96</f>
        <v>13.23</v>
      </c>
      <c r="I179" s="25">
        <f>9.27+3.96</f>
        <v>13.23</v>
      </c>
      <c r="J179" s="25" t="s">
        <v>1891</v>
      </c>
      <c r="K179" s="25" t="str">
        <f>VLOOKUP(E179,[1]PrelimAssignPOP!$I$1:$J$947,2,FALSE)</f>
        <v>ART</v>
      </c>
      <c r="L179" s="25" t="s">
        <v>210</v>
      </c>
      <c r="M179" s="25" t="s">
        <v>201</v>
      </c>
      <c r="N179" s="25" t="s">
        <v>2068</v>
      </c>
    </row>
    <row r="180" spans="1:14" x14ac:dyDescent="0.55000000000000004">
      <c r="A180">
        <v>179</v>
      </c>
      <c r="B180" s="25" t="s">
        <v>13</v>
      </c>
      <c r="C180" s="25">
        <v>25</v>
      </c>
      <c r="D180" s="25" t="s">
        <v>3553</v>
      </c>
      <c r="E180" s="25" t="s">
        <v>3558</v>
      </c>
      <c r="F180" s="25">
        <v>12.43</v>
      </c>
      <c r="G180" s="25" t="s">
        <v>1889</v>
      </c>
      <c r="H180" s="25">
        <f>3.91+2.49+1.42+2.56+2.32</f>
        <v>12.700000000000001</v>
      </c>
      <c r="I180" s="25">
        <f>3.91+2.49+1.42+2.56+2.32</f>
        <v>12.700000000000001</v>
      </c>
      <c r="J180" s="25" t="s">
        <v>1891</v>
      </c>
      <c r="K180" s="25" t="str">
        <f>VLOOKUP(E180,[1]PrelimAssignPOP!$I$1:$J$947,2,FALSE)</f>
        <v>ART</v>
      </c>
      <c r="L180" s="25" t="s">
        <v>210</v>
      </c>
      <c r="M180" s="25" t="s">
        <v>202</v>
      </c>
      <c r="N180" s="25" t="s">
        <v>2069</v>
      </c>
    </row>
    <row r="181" spans="1:14" x14ac:dyDescent="0.55000000000000004">
      <c r="A181">
        <v>180</v>
      </c>
      <c r="B181" s="25" t="s">
        <v>13</v>
      </c>
      <c r="C181" s="25">
        <v>25</v>
      </c>
      <c r="D181" s="25" t="s">
        <v>3553</v>
      </c>
      <c r="E181" s="25" t="s">
        <v>3559</v>
      </c>
      <c r="F181" s="25">
        <v>12.01</v>
      </c>
      <c r="G181" s="25" t="s">
        <v>1889</v>
      </c>
      <c r="H181" s="25">
        <f>3.82+2.34+6.31</f>
        <v>12.469999999999999</v>
      </c>
      <c r="I181" s="25">
        <f>3.82+2.34+6.31</f>
        <v>12.469999999999999</v>
      </c>
      <c r="J181" s="25" t="s">
        <v>1891</v>
      </c>
      <c r="K181" s="25" t="str">
        <f>VLOOKUP(E181,[1]PrelimAssignPOP!$I$1:$J$947,2,FALSE)</f>
        <v>ART</v>
      </c>
      <c r="L181" s="25" t="s">
        <v>210</v>
      </c>
      <c r="M181" s="25" t="s">
        <v>203</v>
      </c>
      <c r="N181" s="25" t="s">
        <v>2070</v>
      </c>
    </row>
    <row r="182" spans="1:14" x14ac:dyDescent="0.55000000000000004">
      <c r="A182">
        <v>181</v>
      </c>
      <c r="B182" s="25" t="s">
        <v>13</v>
      </c>
      <c r="C182" s="25">
        <v>25</v>
      </c>
      <c r="D182" s="25" t="s">
        <v>3553</v>
      </c>
      <c r="E182" s="25" t="s">
        <v>3560</v>
      </c>
      <c r="F182" s="25">
        <v>11.57</v>
      </c>
      <c r="G182" s="25" t="s">
        <v>1889</v>
      </c>
      <c r="H182" s="25">
        <f>4.05+2.44+4.05+1.24</f>
        <v>11.78</v>
      </c>
      <c r="I182" s="25">
        <f>4.05+2.44+4.05+1.24</f>
        <v>11.78</v>
      </c>
      <c r="J182" s="25" t="s">
        <v>1891</v>
      </c>
      <c r="K182" s="25" t="str">
        <f>VLOOKUP(E182,[1]PrelimAssignPOP!$I$1:$J$947,2,FALSE)</f>
        <v>ART</v>
      </c>
      <c r="L182" s="25" t="s">
        <v>210</v>
      </c>
      <c r="M182" s="25" t="s">
        <v>204</v>
      </c>
      <c r="N182" s="25" t="s">
        <v>2071</v>
      </c>
    </row>
    <row r="183" spans="1:14" x14ac:dyDescent="0.55000000000000004">
      <c r="A183">
        <v>182</v>
      </c>
      <c r="B183" s="25" t="s">
        <v>13</v>
      </c>
      <c r="C183" s="25">
        <v>25</v>
      </c>
      <c r="D183" s="25" t="s">
        <v>3553</v>
      </c>
      <c r="E183" s="25" t="s">
        <v>3561</v>
      </c>
      <c r="F183" s="25">
        <v>12.57</v>
      </c>
      <c r="G183" s="25" t="s">
        <v>1889</v>
      </c>
      <c r="H183" s="25">
        <f>2.98+3.49+3.52+2.66</f>
        <v>12.65</v>
      </c>
      <c r="I183" s="25">
        <f>2.98+3.49+3.52+2.66</f>
        <v>12.65</v>
      </c>
      <c r="J183" s="25" t="s">
        <v>1891</v>
      </c>
      <c r="K183" s="25" t="str">
        <f>VLOOKUP(E183,[1]PrelimAssignPOP!$I$1:$J$947,2,FALSE)</f>
        <v>ART</v>
      </c>
      <c r="L183" s="25" t="s">
        <v>210</v>
      </c>
      <c r="M183" s="25" t="s">
        <v>205</v>
      </c>
      <c r="N183" s="25" t="s">
        <v>2072</v>
      </c>
    </row>
    <row r="184" spans="1:14" x14ac:dyDescent="0.55000000000000004">
      <c r="A184">
        <v>183</v>
      </c>
      <c r="B184" s="25" t="s">
        <v>13</v>
      </c>
      <c r="C184" s="25">
        <v>25</v>
      </c>
      <c r="D184" s="25" t="s">
        <v>3553</v>
      </c>
      <c r="E184" s="25" t="s">
        <v>3562</v>
      </c>
      <c r="F184" s="25">
        <v>12.96</v>
      </c>
      <c r="G184" s="25" t="s">
        <v>1889</v>
      </c>
      <c r="H184" s="25">
        <f>2.53+2.3+5.04+1.08+2.53</f>
        <v>13.48</v>
      </c>
      <c r="I184" s="25">
        <f>2.53+2.3+5.04+1.08+2.53</f>
        <v>13.48</v>
      </c>
      <c r="J184" s="25" t="s">
        <v>1891</v>
      </c>
      <c r="K184" s="25" t="str">
        <f>VLOOKUP(E184,[1]PrelimAssignPOP!$I$1:$J$947,2,FALSE)</f>
        <v>ART</v>
      </c>
      <c r="L184" s="25" t="s">
        <v>210</v>
      </c>
      <c r="M184" s="25" t="s">
        <v>206</v>
      </c>
      <c r="N184" s="25" t="s">
        <v>2073</v>
      </c>
    </row>
    <row r="185" spans="1:14" x14ac:dyDescent="0.55000000000000004">
      <c r="A185">
        <v>184</v>
      </c>
      <c r="B185" s="25" t="s">
        <v>13</v>
      </c>
      <c r="C185" s="25">
        <v>25</v>
      </c>
      <c r="D185" s="25" t="s">
        <v>3553</v>
      </c>
      <c r="E185" s="25" t="s">
        <v>3563</v>
      </c>
      <c r="F185" s="25">
        <v>11.09</v>
      </c>
      <c r="G185" s="25" t="s">
        <v>1889</v>
      </c>
      <c r="H185" s="25">
        <f>2.48+1.67+2.83+4.27</f>
        <v>11.25</v>
      </c>
      <c r="I185" s="25">
        <f>2.48+1.67+2.83+4.27</f>
        <v>11.25</v>
      </c>
      <c r="J185" s="25" t="s">
        <v>1891</v>
      </c>
      <c r="K185" s="25" t="str">
        <f>VLOOKUP(E185,[1]PrelimAssignPOP!$I$1:$J$947,2,FALSE)</f>
        <v>ART</v>
      </c>
      <c r="L185" s="25" t="s">
        <v>210</v>
      </c>
      <c r="M185" s="25" t="s">
        <v>207</v>
      </c>
      <c r="N185" s="25" t="s">
        <v>2074</v>
      </c>
    </row>
    <row r="186" spans="1:14" x14ac:dyDescent="0.55000000000000004">
      <c r="A186">
        <v>185</v>
      </c>
      <c r="B186" s="25" t="s">
        <v>13</v>
      </c>
      <c r="C186" s="25">
        <v>25</v>
      </c>
      <c r="D186" s="25" t="s">
        <v>3553</v>
      </c>
      <c r="E186" s="25" t="s">
        <v>3564</v>
      </c>
      <c r="F186" s="25">
        <v>11.42</v>
      </c>
      <c r="G186" s="25" t="s">
        <v>1889</v>
      </c>
      <c r="H186" s="25">
        <f>3.58+4.06+2.19+2</f>
        <v>11.83</v>
      </c>
      <c r="I186" s="25">
        <f>3.58+4.06+2.19+2</f>
        <v>11.83</v>
      </c>
      <c r="J186" s="25" t="s">
        <v>1891</v>
      </c>
      <c r="K186" s="25" t="str">
        <f>VLOOKUP(E186,[1]PrelimAssignPOP!$I$1:$J$947,2,FALSE)</f>
        <v>ART</v>
      </c>
      <c r="L186" s="25" t="s">
        <v>210</v>
      </c>
      <c r="M186" s="25" t="s">
        <v>208</v>
      </c>
      <c r="N186" s="25" t="s">
        <v>2064</v>
      </c>
    </row>
    <row r="187" spans="1:14" x14ac:dyDescent="0.55000000000000004">
      <c r="A187">
        <v>186</v>
      </c>
      <c r="B187" s="25" t="s">
        <v>13</v>
      </c>
      <c r="C187" s="25">
        <v>25</v>
      </c>
      <c r="D187" s="25" t="s">
        <v>3553</v>
      </c>
      <c r="E187" s="25" t="s">
        <v>3565</v>
      </c>
      <c r="F187" s="25">
        <v>12.26</v>
      </c>
      <c r="G187" s="25" t="s">
        <v>1889</v>
      </c>
      <c r="H187" s="25">
        <f>4.45+5.33+2.66</f>
        <v>12.440000000000001</v>
      </c>
      <c r="I187" s="25">
        <f>4.45+5.33+2.66</f>
        <v>12.440000000000001</v>
      </c>
      <c r="J187" s="25" t="s">
        <v>1891</v>
      </c>
      <c r="K187" s="25" t="str">
        <f>VLOOKUP(E187,[1]PrelimAssignPOP!$I$1:$J$947,2,FALSE)</f>
        <v>ART</v>
      </c>
      <c r="L187" s="25" t="s">
        <v>210</v>
      </c>
      <c r="M187" s="25" t="s">
        <v>209</v>
      </c>
      <c r="N187" s="25" t="s">
        <v>2075</v>
      </c>
    </row>
    <row r="188" spans="1:14" x14ac:dyDescent="0.55000000000000004">
      <c r="A188">
        <v>187</v>
      </c>
      <c r="B188" s="25" t="s">
        <v>13</v>
      </c>
      <c r="C188" s="25">
        <v>25</v>
      </c>
      <c r="D188" s="25" t="s">
        <v>3553</v>
      </c>
      <c r="E188" s="25" t="s">
        <v>3566</v>
      </c>
      <c r="F188" s="25">
        <v>11.3</v>
      </c>
      <c r="G188" s="25" t="s">
        <v>1889</v>
      </c>
      <c r="H188" s="25">
        <f>5.34+6.29</f>
        <v>11.629999999999999</v>
      </c>
      <c r="I188" s="25">
        <f>5.34+6.29</f>
        <v>11.629999999999999</v>
      </c>
      <c r="J188" s="25" t="s">
        <v>1891</v>
      </c>
      <c r="N188" s="25" t="s">
        <v>2076</v>
      </c>
    </row>
    <row r="189" spans="1:14" x14ac:dyDescent="0.55000000000000004">
      <c r="A189">
        <v>188</v>
      </c>
      <c r="B189" s="25" t="s">
        <v>13</v>
      </c>
      <c r="C189" s="25">
        <v>25</v>
      </c>
      <c r="D189" s="25" t="s">
        <v>3553</v>
      </c>
      <c r="E189" s="25" t="s">
        <v>3567</v>
      </c>
      <c r="F189" s="25">
        <v>12.01</v>
      </c>
      <c r="G189" s="25" t="s">
        <v>1889</v>
      </c>
      <c r="H189" s="25">
        <f>8.67+3.41</f>
        <v>12.08</v>
      </c>
      <c r="I189" s="25">
        <f>8.67+3.41</f>
        <v>12.08</v>
      </c>
      <c r="J189" s="25" t="s">
        <v>1891</v>
      </c>
      <c r="N189" s="25" t="s">
        <v>2077</v>
      </c>
    </row>
    <row r="190" spans="1:14" x14ac:dyDescent="0.55000000000000004">
      <c r="A190">
        <v>189</v>
      </c>
      <c r="B190" s="25" t="s">
        <v>13</v>
      </c>
      <c r="C190" s="25">
        <v>25</v>
      </c>
      <c r="D190" s="25" t="s">
        <v>3553</v>
      </c>
      <c r="E190" s="25" t="s">
        <v>3568</v>
      </c>
      <c r="F190" s="25">
        <v>12.11</v>
      </c>
      <c r="G190" s="25" t="s">
        <v>1889</v>
      </c>
      <c r="H190" s="25">
        <f>3.05+1.95+4.96+2.6</f>
        <v>12.56</v>
      </c>
      <c r="I190" s="25">
        <f>3.05+1.95+4.96+2.6</f>
        <v>12.56</v>
      </c>
      <c r="J190" s="25" t="s">
        <v>1891</v>
      </c>
      <c r="N190" s="25" t="s">
        <v>2078</v>
      </c>
    </row>
    <row r="191" spans="1:14" x14ac:dyDescent="0.55000000000000004">
      <c r="A191">
        <v>190</v>
      </c>
      <c r="B191" s="25" t="s">
        <v>13</v>
      </c>
      <c r="C191" s="25">
        <v>25</v>
      </c>
      <c r="D191" s="25" t="s">
        <v>3553</v>
      </c>
      <c r="E191" s="25" t="s">
        <v>3569</v>
      </c>
      <c r="F191" s="25">
        <v>11.69</v>
      </c>
      <c r="G191" s="25" t="s">
        <v>1889</v>
      </c>
      <c r="H191" s="25">
        <f>5.56+3.61+2.63</f>
        <v>11.8</v>
      </c>
      <c r="I191" s="25">
        <f>5.56+3.61+2.63</f>
        <v>11.8</v>
      </c>
      <c r="J191" s="25" t="s">
        <v>1891</v>
      </c>
      <c r="N191" s="25" t="s">
        <v>2079</v>
      </c>
    </row>
    <row r="192" spans="1:14" x14ac:dyDescent="0.55000000000000004">
      <c r="A192">
        <v>191</v>
      </c>
      <c r="B192" s="25" t="s">
        <v>13</v>
      </c>
      <c r="C192" s="25">
        <v>25</v>
      </c>
      <c r="D192" s="25" t="s">
        <v>3553</v>
      </c>
      <c r="E192" s="25" t="s">
        <v>3570</v>
      </c>
      <c r="F192" s="25">
        <v>11.23</v>
      </c>
      <c r="G192" s="25" t="s">
        <v>1889</v>
      </c>
      <c r="H192" s="25">
        <f>3.3+1.89+1.37+2.34+2.5</f>
        <v>11.399999999999999</v>
      </c>
      <c r="I192" s="25">
        <f>3.3+1.89+1.37+2.34+2.5</f>
        <v>11.399999999999999</v>
      </c>
      <c r="J192" s="25" t="s">
        <v>1891</v>
      </c>
      <c r="N192" s="25" t="s">
        <v>2080</v>
      </c>
    </row>
    <row r="193" spans="1:15" x14ac:dyDescent="0.55000000000000004">
      <c r="A193">
        <v>192</v>
      </c>
      <c r="B193" s="25" t="s">
        <v>13</v>
      </c>
      <c r="C193" s="25">
        <v>25</v>
      </c>
      <c r="D193" s="25" t="s">
        <v>3553</v>
      </c>
      <c r="E193" s="25" t="s">
        <v>3571</v>
      </c>
      <c r="F193" s="25">
        <v>12.48</v>
      </c>
      <c r="G193" s="25" t="s">
        <v>1889</v>
      </c>
      <c r="H193" s="25">
        <f>6.21+2.26+1.75+2.31</f>
        <v>12.53</v>
      </c>
      <c r="I193" s="25">
        <f>6.21+2.26+1.75+2.31</f>
        <v>12.53</v>
      </c>
      <c r="J193" s="25" t="s">
        <v>1891</v>
      </c>
      <c r="N193" s="25" t="s">
        <v>2081</v>
      </c>
    </row>
    <row r="194" spans="1:15" x14ac:dyDescent="0.55000000000000004">
      <c r="A194">
        <v>193</v>
      </c>
      <c r="B194" s="25" t="s">
        <v>13</v>
      </c>
      <c r="C194" s="25">
        <v>25</v>
      </c>
      <c r="D194" s="25" t="s">
        <v>3553</v>
      </c>
      <c r="E194" s="25" t="s">
        <v>3572</v>
      </c>
      <c r="F194" s="25">
        <v>11.32</v>
      </c>
      <c r="G194" s="25" t="s">
        <v>1889</v>
      </c>
      <c r="H194" s="25">
        <f>3.04+3.01+1.54+1.65+2.22</f>
        <v>11.46</v>
      </c>
      <c r="I194" s="25">
        <f>3.04+3.01+1.54+1.65+2.22</f>
        <v>11.46</v>
      </c>
      <c r="J194" s="25" t="s">
        <v>1891</v>
      </c>
      <c r="N194" s="25" t="s">
        <v>2082</v>
      </c>
    </row>
    <row r="195" spans="1:15" x14ac:dyDescent="0.55000000000000004">
      <c r="A195">
        <v>194</v>
      </c>
      <c r="B195" s="25" t="s">
        <v>13</v>
      </c>
      <c r="C195" s="25">
        <v>25</v>
      </c>
      <c r="D195" s="25" t="s">
        <v>3553</v>
      </c>
      <c r="E195" s="25" t="s">
        <v>3573</v>
      </c>
      <c r="F195" s="25">
        <v>13.29</v>
      </c>
      <c r="G195" s="25" t="s">
        <v>1889</v>
      </c>
      <c r="H195" s="25">
        <f>3.09+3.42+2.39+1.72+2.89</f>
        <v>13.510000000000002</v>
      </c>
      <c r="I195" s="25">
        <f>3.09+3.42+2.39+1.72+2.89</f>
        <v>13.510000000000002</v>
      </c>
      <c r="J195" s="25" t="s">
        <v>1891</v>
      </c>
      <c r="N195" s="25" t="s">
        <v>2083</v>
      </c>
    </row>
    <row r="196" spans="1:15" x14ac:dyDescent="0.55000000000000004">
      <c r="A196">
        <v>195</v>
      </c>
      <c r="B196" s="25" t="s">
        <v>13</v>
      </c>
      <c r="C196" s="25">
        <v>25</v>
      </c>
      <c r="D196" s="25" t="s">
        <v>3553</v>
      </c>
      <c r="E196" s="25" t="s">
        <v>3574</v>
      </c>
      <c r="F196" s="25">
        <v>11.45</v>
      </c>
      <c r="G196" s="25" t="s">
        <v>1889</v>
      </c>
      <c r="H196" s="25">
        <f>2.93+1.68+2.31+4.75</f>
        <v>11.67</v>
      </c>
      <c r="I196" s="25">
        <f>2.93+1.68+2.31+4.75</f>
        <v>11.67</v>
      </c>
      <c r="J196" s="25" t="s">
        <v>1891</v>
      </c>
      <c r="N196" s="25" t="s">
        <v>2065</v>
      </c>
    </row>
    <row r="197" spans="1:15" x14ac:dyDescent="0.55000000000000004">
      <c r="A197">
        <v>196</v>
      </c>
      <c r="B197" s="25" t="s">
        <v>13</v>
      </c>
      <c r="C197" s="25">
        <v>25</v>
      </c>
      <c r="D197" s="25" t="s">
        <v>3553</v>
      </c>
      <c r="E197" s="25" t="s">
        <v>3575</v>
      </c>
      <c r="F197" s="25">
        <v>10.75</v>
      </c>
      <c r="G197" s="25" t="s">
        <v>1889</v>
      </c>
      <c r="H197" s="25">
        <f>2.25+2.77+2.91+3.28</f>
        <v>11.209999999999999</v>
      </c>
      <c r="I197" s="25">
        <f>2.25+2.77+2.91+3.28</f>
        <v>11.209999999999999</v>
      </c>
      <c r="J197" s="25" t="s">
        <v>1891</v>
      </c>
      <c r="N197" s="25" t="s">
        <v>2084</v>
      </c>
    </row>
    <row r="198" spans="1:15" x14ac:dyDescent="0.55000000000000004">
      <c r="A198">
        <v>197</v>
      </c>
      <c r="B198" s="25" t="s">
        <v>13</v>
      </c>
      <c r="C198" s="25">
        <v>25</v>
      </c>
      <c r="D198" s="25" t="s">
        <v>3553</v>
      </c>
      <c r="E198" s="25" t="s">
        <v>3576</v>
      </c>
      <c r="F198" s="25">
        <v>11.14</v>
      </c>
      <c r="G198" s="25" t="s">
        <v>1889</v>
      </c>
      <c r="H198" s="25">
        <f>2.68+1.79+1.08+2.19+4.28</f>
        <v>12.02</v>
      </c>
      <c r="I198" s="25">
        <f>2.68+1.79+1.08+2.19+4.28</f>
        <v>12.02</v>
      </c>
      <c r="J198" s="25" t="s">
        <v>1891</v>
      </c>
      <c r="N198" s="25" t="s">
        <v>2085</v>
      </c>
    </row>
    <row r="199" spans="1:15" x14ac:dyDescent="0.55000000000000004">
      <c r="A199">
        <v>198</v>
      </c>
      <c r="B199" s="25" t="s">
        <v>13</v>
      </c>
      <c r="C199" s="25">
        <v>25</v>
      </c>
      <c r="D199" s="25" t="s">
        <v>3553</v>
      </c>
      <c r="E199" s="25" t="s">
        <v>3577</v>
      </c>
      <c r="F199" s="25">
        <v>13.24</v>
      </c>
      <c r="G199" s="25" t="s">
        <v>1889</v>
      </c>
      <c r="H199" s="25">
        <f>4.1+4.33+4.76</f>
        <v>13.19</v>
      </c>
      <c r="I199" s="25">
        <f>4.1+4.33+4.76</f>
        <v>13.19</v>
      </c>
      <c r="J199" s="25" t="s">
        <v>1891</v>
      </c>
      <c r="N199" s="25" t="s">
        <v>2086</v>
      </c>
    </row>
    <row r="200" spans="1:15" x14ac:dyDescent="0.55000000000000004">
      <c r="A200">
        <v>199</v>
      </c>
      <c r="B200" s="25" t="s">
        <v>13</v>
      </c>
      <c r="C200" s="25">
        <v>25</v>
      </c>
      <c r="D200" s="25" t="s">
        <v>3553</v>
      </c>
      <c r="E200" s="25" t="s">
        <v>3578</v>
      </c>
      <c r="F200" s="25">
        <v>11.68</v>
      </c>
      <c r="G200" s="25" t="s">
        <v>1889</v>
      </c>
      <c r="H200" s="25">
        <f>4.53+5.3+2.2</f>
        <v>12.030000000000001</v>
      </c>
      <c r="I200" s="25">
        <f>4.53+5.3+2.2</f>
        <v>12.030000000000001</v>
      </c>
      <c r="J200" s="25" t="s">
        <v>1891</v>
      </c>
      <c r="N200" s="25" t="s">
        <v>2087</v>
      </c>
      <c r="O200" s="18" t="s">
        <v>3579</v>
      </c>
    </row>
    <row r="201" spans="1:15" x14ac:dyDescent="0.55000000000000004">
      <c r="A201">
        <v>200</v>
      </c>
      <c r="B201" s="25" t="s">
        <v>14</v>
      </c>
      <c r="C201" s="25">
        <v>25</v>
      </c>
      <c r="D201" s="25" t="s">
        <v>3580</v>
      </c>
      <c r="E201" s="25" t="s">
        <v>3581</v>
      </c>
      <c r="F201" s="25">
        <v>10.94</v>
      </c>
      <c r="G201" s="25" t="s">
        <v>1889</v>
      </c>
      <c r="H201" s="25">
        <f>2.88+2.83+5.24</f>
        <v>10.95</v>
      </c>
      <c r="I201" s="25">
        <f>2.88+2.83+5.24</f>
        <v>10.95</v>
      </c>
      <c r="J201" s="25" t="s">
        <v>1891</v>
      </c>
      <c r="K201" s="25" t="str">
        <f>VLOOKUP(E201,[1]PrelimAssignPOP!$I$1:$J$947,2,FALSE)</f>
        <v>ART</v>
      </c>
      <c r="L201" s="25" t="s">
        <v>211</v>
      </c>
      <c r="M201" s="25" t="s">
        <v>114</v>
      </c>
      <c r="N201" s="25" t="s">
        <v>2088</v>
      </c>
    </row>
    <row r="202" spans="1:15" x14ac:dyDescent="0.55000000000000004">
      <c r="A202">
        <v>201</v>
      </c>
      <c r="B202" s="25" t="s">
        <v>14</v>
      </c>
      <c r="C202" s="25">
        <v>25</v>
      </c>
      <c r="D202" s="25" t="s">
        <v>3580</v>
      </c>
      <c r="E202" s="25" t="s">
        <v>3582</v>
      </c>
      <c r="F202" s="25">
        <v>15.83</v>
      </c>
      <c r="G202" s="25" t="s">
        <v>2113</v>
      </c>
      <c r="I202" s="25">
        <v>15.83</v>
      </c>
      <c r="J202" s="25" t="s">
        <v>110</v>
      </c>
      <c r="K202" s="25" t="str">
        <f>VLOOKUP(E202,[1]PrelimAssignPOP!$I$1:$J$947,2,FALSE)</f>
        <v>ART</v>
      </c>
      <c r="L202" s="25" t="s">
        <v>211</v>
      </c>
      <c r="M202" s="25" t="s">
        <v>122</v>
      </c>
    </row>
    <row r="203" spans="1:15" x14ac:dyDescent="0.55000000000000004">
      <c r="A203">
        <v>202</v>
      </c>
      <c r="B203" s="25" t="s">
        <v>14</v>
      </c>
      <c r="C203" s="25">
        <v>25</v>
      </c>
      <c r="D203" s="25" t="s">
        <v>3580</v>
      </c>
      <c r="E203" s="25" t="s">
        <v>3583</v>
      </c>
      <c r="F203" s="25">
        <v>20.61</v>
      </c>
      <c r="G203" s="25" t="s">
        <v>2113</v>
      </c>
      <c r="I203" s="25">
        <v>20.61</v>
      </c>
      <c r="J203" s="25" t="s">
        <v>110</v>
      </c>
      <c r="K203" s="25" t="str">
        <f>VLOOKUP(E203,[1]PrelimAssignPOP!$I$1:$J$947,2,FALSE)</f>
        <v>ART</v>
      </c>
      <c r="L203" s="25" t="s">
        <v>211</v>
      </c>
      <c r="M203" s="25" t="s">
        <v>123</v>
      </c>
    </row>
    <row r="204" spans="1:15" x14ac:dyDescent="0.55000000000000004">
      <c r="A204">
        <v>203</v>
      </c>
      <c r="B204" s="25" t="s">
        <v>14</v>
      </c>
      <c r="C204" s="25">
        <v>25</v>
      </c>
      <c r="D204" s="25" t="s">
        <v>3580</v>
      </c>
      <c r="E204" s="25" t="s">
        <v>3584</v>
      </c>
      <c r="F204" s="25">
        <v>20.64</v>
      </c>
      <c r="G204" s="25" t="s">
        <v>2113</v>
      </c>
      <c r="I204" s="25">
        <v>20.64</v>
      </c>
      <c r="J204" s="25" t="s">
        <v>110</v>
      </c>
      <c r="K204" s="25" t="str">
        <f>VLOOKUP(E204,[1]PrelimAssignPOP!$I$1:$J$947,2,FALSE)</f>
        <v>ART</v>
      </c>
      <c r="L204" s="25" t="s">
        <v>211</v>
      </c>
      <c r="M204" s="25" t="s">
        <v>124</v>
      </c>
    </row>
    <row r="205" spans="1:15" x14ac:dyDescent="0.55000000000000004">
      <c r="A205">
        <v>204</v>
      </c>
      <c r="B205" s="25" t="s">
        <v>14</v>
      </c>
      <c r="C205" s="25">
        <v>25</v>
      </c>
      <c r="D205" s="25" t="s">
        <v>3580</v>
      </c>
      <c r="E205" s="25" t="s">
        <v>3585</v>
      </c>
      <c r="F205" s="25">
        <v>13.73</v>
      </c>
      <c r="G205" s="25" t="s">
        <v>1889</v>
      </c>
      <c r="H205" s="25">
        <f>3+10.95</f>
        <v>13.95</v>
      </c>
      <c r="I205" s="25">
        <f>3+10.95</f>
        <v>13.95</v>
      </c>
      <c r="J205" s="25" t="s">
        <v>1891</v>
      </c>
      <c r="K205" s="25" t="str">
        <f>VLOOKUP(E205,[1]PrelimAssignPOP!$I$1:$J$947,2,FALSE)</f>
        <v>ART</v>
      </c>
      <c r="L205" s="25" t="s">
        <v>211</v>
      </c>
      <c r="M205" s="25" t="s">
        <v>125</v>
      </c>
      <c r="N205" s="25" t="s">
        <v>2089</v>
      </c>
    </row>
    <row r="206" spans="1:15" x14ac:dyDescent="0.55000000000000004">
      <c r="A206">
        <v>205</v>
      </c>
      <c r="B206" s="25" t="s">
        <v>14</v>
      </c>
      <c r="C206" s="25">
        <v>25</v>
      </c>
      <c r="D206" s="25" t="s">
        <v>3580</v>
      </c>
      <c r="E206" s="25" t="s">
        <v>3586</v>
      </c>
      <c r="F206" s="25">
        <v>12.13</v>
      </c>
      <c r="G206" s="25" t="s">
        <v>1889</v>
      </c>
      <c r="H206" s="25">
        <f>2.72+3.34+6.12</f>
        <v>12.18</v>
      </c>
      <c r="I206" s="25">
        <f>2.72+3.34+6.12</f>
        <v>12.18</v>
      </c>
      <c r="J206" s="25" t="s">
        <v>1891</v>
      </c>
      <c r="K206" s="25" t="str">
        <f>VLOOKUP(E206,[1]PrelimAssignPOP!$I$1:$J$947,2,FALSE)</f>
        <v>ART</v>
      </c>
      <c r="L206" s="25" t="s">
        <v>211</v>
      </c>
      <c r="M206" s="25" t="s">
        <v>126</v>
      </c>
      <c r="N206" s="25" t="s">
        <v>2090</v>
      </c>
    </row>
    <row r="207" spans="1:15" x14ac:dyDescent="0.55000000000000004">
      <c r="A207">
        <v>206</v>
      </c>
      <c r="B207" s="25" t="s">
        <v>14</v>
      </c>
      <c r="C207" s="25">
        <v>25</v>
      </c>
      <c r="D207" s="25" t="s">
        <v>3580</v>
      </c>
      <c r="E207" s="25" t="s">
        <v>3587</v>
      </c>
      <c r="F207" s="25">
        <v>13.49</v>
      </c>
      <c r="G207" s="25" t="s">
        <v>1889</v>
      </c>
      <c r="H207" s="25">
        <f>2.88+6.9+0.49+3.26</f>
        <v>13.530000000000001</v>
      </c>
      <c r="I207" s="25">
        <f>2.88+6.9+0.49+3.26</f>
        <v>13.530000000000001</v>
      </c>
      <c r="J207" s="25" t="s">
        <v>1891</v>
      </c>
      <c r="K207" s="25" t="str">
        <f>VLOOKUP(E207,[1]PrelimAssignPOP!$I$1:$J$947,2,FALSE)</f>
        <v>KIY</v>
      </c>
      <c r="L207" s="25" t="s">
        <v>211</v>
      </c>
      <c r="M207" s="25" t="s">
        <v>127</v>
      </c>
      <c r="N207" s="25" t="s">
        <v>2091</v>
      </c>
    </row>
    <row r="208" spans="1:15" x14ac:dyDescent="0.55000000000000004">
      <c r="A208">
        <v>207</v>
      </c>
      <c r="B208" s="25" t="s">
        <v>14</v>
      </c>
      <c r="C208" s="25">
        <v>25</v>
      </c>
      <c r="D208" s="25" t="s">
        <v>3580</v>
      </c>
      <c r="E208" s="25" t="s">
        <v>3588</v>
      </c>
      <c r="F208" s="25">
        <v>10.89</v>
      </c>
      <c r="G208" s="25" t="s">
        <v>1889</v>
      </c>
      <c r="H208" s="25">
        <f>1.98+5.29+3.61</f>
        <v>10.879999999999999</v>
      </c>
      <c r="I208" s="25">
        <f>1.98+5.29+3.61</f>
        <v>10.879999999999999</v>
      </c>
      <c r="J208" s="25" t="s">
        <v>1891</v>
      </c>
      <c r="K208" s="25" t="str">
        <f>VLOOKUP(E208,[1]PrelimAssignPOP!$I$1:$J$947,2,FALSE)</f>
        <v>ART</v>
      </c>
      <c r="L208" s="25" t="s">
        <v>211</v>
      </c>
      <c r="M208" s="25" t="s">
        <v>128</v>
      </c>
      <c r="N208" s="25" t="s">
        <v>2092</v>
      </c>
    </row>
    <row r="209" spans="1:14" x14ac:dyDescent="0.55000000000000004">
      <c r="A209">
        <v>208</v>
      </c>
      <c r="B209" s="25" t="s">
        <v>14</v>
      </c>
      <c r="C209" s="25">
        <v>25</v>
      </c>
      <c r="D209" s="25" t="s">
        <v>3580</v>
      </c>
      <c r="E209" s="25" t="s">
        <v>3589</v>
      </c>
      <c r="F209" s="25">
        <v>11.74</v>
      </c>
      <c r="G209" s="25" t="s">
        <v>1889</v>
      </c>
      <c r="H209" s="25">
        <f>8.51+3.33</f>
        <v>11.84</v>
      </c>
      <c r="I209" s="25">
        <f>8.51+3.33</f>
        <v>11.84</v>
      </c>
      <c r="J209" s="25" t="s">
        <v>1891</v>
      </c>
      <c r="K209" s="25" t="str">
        <f>VLOOKUP(E209,[1]PrelimAssignPOP!$I$1:$J$947,2,FALSE)</f>
        <v>ART</v>
      </c>
      <c r="L209" s="25" t="s">
        <v>211</v>
      </c>
      <c r="M209" s="25" t="s">
        <v>129</v>
      </c>
      <c r="N209" s="25" t="s">
        <v>2093</v>
      </c>
    </row>
    <row r="210" spans="1:14" x14ac:dyDescent="0.55000000000000004">
      <c r="A210">
        <v>209</v>
      </c>
      <c r="B210" s="25" t="s">
        <v>14</v>
      </c>
      <c r="C210" s="25">
        <v>25</v>
      </c>
      <c r="D210" s="25" t="s">
        <v>3580</v>
      </c>
      <c r="E210" s="25" t="s">
        <v>3590</v>
      </c>
      <c r="F210" s="25">
        <v>13.38</v>
      </c>
      <c r="G210" s="25" t="s">
        <v>1889</v>
      </c>
      <c r="H210" s="25">
        <f>4.5+9.02</f>
        <v>13.52</v>
      </c>
      <c r="I210" s="25">
        <f>4.5+9.02</f>
        <v>13.52</v>
      </c>
      <c r="J210" s="25" t="s">
        <v>1891</v>
      </c>
      <c r="K210" s="25" t="str">
        <f>VLOOKUP(E210,[1]PrelimAssignPOP!$I$1:$J$947,2,FALSE)</f>
        <v>KIY</v>
      </c>
      <c r="L210" s="25" t="s">
        <v>211</v>
      </c>
      <c r="M210" s="25" t="s">
        <v>130</v>
      </c>
      <c r="N210" s="25" t="s">
        <v>2094</v>
      </c>
    </row>
    <row r="211" spans="1:14" x14ac:dyDescent="0.55000000000000004">
      <c r="A211">
        <v>210</v>
      </c>
      <c r="B211" s="25" t="s">
        <v>14</v>
      </c>
      <c r="C211" s="25">
        <v>25</v>
      </c>
      <c r="D211" s="25" t="s">
        <v>3580</v>
      </c>
      <c r="E211" s="25" t="s">
        <v>3591</v>
      </c>
      <c r="F211" s="25">
        <v>11.86</v>
      </c>
      <c r="G211" s="25" t="s">
        <v>1889</v>
      </c>
      <c r="H211" s="25">
        <f>2.19+4.8+2.67+2.42</f>
        <v>12.08</v>
      </c>
      <c r="I211" s="25">
        <f>2.19+4.8+2.67+2.42</f>
        <v>12.08</v>
      </c>
      <c r="J211" s="25" t="s">
        <v>1891</v>
      </c>
      <c r="K211" s="25" t="str">
        <f>VLOOKUP(E211,[1]PrelimAssignPOP!$I$1:$J$947,2,FALSE)</f>
        <v>ART</v>
      </c>
      <c r="L211" s="25" t="s">
        <v>211</v>
      </c>
      <c r="M211" s="25" t="s">
        <v>131</v>
      </c>
      <c r="N211" s="25" t="s">
        <v>2095</v>
      </c>
    </row>
    <row r="212" spans="1:14" x14ac:dyDescent="0.55000000000000004">
      <c r="A212">
        <v>211</v>
      </c>
      <c r="B212" s="25" t="s">
        <v>14</v>
      </c>
      <c r="C212" s="25">
        <v>25</v>
      </c>
      <c r="D212" s="25" t="s">
        <v>3580</v>
      </c>
      <c r="E212" s="25" t="s">
        <v>3592</v>
      </c>
      <c r="F212" s="25">
        <v>11.94</v>
      </c>
      <c r="G212" s="25" t="s">
        <v>1889</v>
      </c>
      <c r="H212" s="25">
        <f>5.38+6.71</f>
        <v>12.09</v>
      </c>
      <c r="I212" s="25">
        <f>5.38+6.71</f>
        <v>12.09</v>
      </c>
      <c r="J212" s="25" t="s">
        <v>1891</v>
      </c>
      <c r="K212" s="25" t="str">
        <f>VLOOKUP(E212,[1]PrelimAssignPOP!$I$1:$J$947,2,FALSE)</f>
        <v>ART</v>
      </c>
      <c r="L212" s="25" t="s">
        <v>211</v>
      </c>
      <c r="M212" s="25" t="s">
        <v>132</v>
      </c>
      <c r="N212" s="25" t="s">
        <v>2096</v>
      </c>
    </row>
    <row r="213" spans="1:14" x14ac:dyDescent="0.55000000000000004">
      <c r="A213">
        <v>212</v>
      </c>
      <c r="B213" s="25" t="s">
        <v>14</v>
      </c>
      <c r="C213" s="25">
        <v>25</v>
      </c>
      <c r="D213" s="25" t="s">
        <v>3580</v>
      </c>
      <c r="E213" s="25" t="s">
        <v>3593</v>
      </c>
      <c r="F213" s="25">
        <v>12.83</v>
      </c>
      <c r="G213" s="25" t="s">
        <v>1889</v>
      </c>
      <c r="H213" s="25">
        <f>4.58+4.44+3.82</f>
        <v>12.84</v>
      </c>
      <c r="I213" s="25">
        <f>4.58+4.44+3.82</f>
        <v>12.84</v>
      </c>
      <c r="J213" s="25" t="s">
        <v>1891</v>
      </c>
      <c r="N213" s="25" t="s">
        <v>2097</v>
      </c>
    </row>
    <row r="214" spans="1:14" x14ac:dyDescent="0.55000000000000004">
      <c r="A214">
        <v>213</v>
      </c>
      <c r="B214" s="25" t="s">
        <v>14</v>
      </c>
      <c r="C214" s="25">
        <v>25</v>
      </c>
      <c r="D214" s="25" t="s">
        <v>3580</v>
      </c>
      <c r="E214" s="25" t="s">
        <v>3594</v>
      </c>
      <c r="F214" s="25">
        <v>12.28</v>
      </c>
      <c r="G214" s="25" t="s">
        <v>1889</v>
      </c>
      <c r="H214" s="25">
        <f>2.09+3.41+6.99</f>
        <v>12.49</v>
      </c>
      <c r="I214" s="25">
        <f>2.09+3.41+6.99</f>
        <v>12.49</v>
      </c>
      <c r="J214" s="25" t="s">
        <v>1891</v>
      </c>
      <c r="N214" s="25" t="s">
        <v>2098</v>
      </c>
    </row>
    <row r="215" spans="1:14" x14ac:dyDescent="0.55000000000000004">
      <c r="A215">
        <v>214</v>
      </c>
      <c r="B215" s="25" t="s">
        <v>14</v>
      </c>
      <c r="C215" s="25">
        <v>25</v>
      </c>
      <c r="D215" s="25" t="s">
        <v>3580</v>
      </c>
      <c r="E215" s="25" t="s">
        <v>3595</v>
      </c>
      <c r="F215" s="25">
        <v>12.7</v>
      </c>
      <c r="G215" s="25" t="s">
        <v>1889</v>
      </c>
      <c r="H215" s="25">
        <f>9.84+3</f>
        <v>12.84</v>
      </c>
      <c r="I215" s="25">
        <f>9.84+3</f>
        <v>12.84</v>
      </c>
      <c r="J215" s="25" t="s">
        <v>1891</v>
      </c>
      <c r="N215" s="25" t="s">
        <v>2099</v>
      </c>
    </row>
    <row r="216" spans="1:14" x14ac:dyDescent="0.55000000000000004">
      <c r="A216">
        <v>215</v>
      </c>
      <c r="B216" s="25" t="s">
        <v>14</v>
      </c>
      <c r="C216" s="25">
        <v>25</v>
      </c>
      <c r="D216" s="25" t="s">
        <v>3580</v>
      </c>
      <c r="E216" s="25" t="s">
        <v>3596</v>
      </c>
      <c r="F216" s="25">
        <v>13.46</v>
      </c>
      <c r="G216" s="25" t="s">
        <v>1889</v>
      </c>
      <c r="H216" s="25">
        <f>4.31+6.52+3.07</f>
        <v>13.899999999999999</v>
      </c>
      <c r="I216" s="25">
        <f>4.31+6.52+3.07</f>
        <v>13.899999999999999</v>
      </c>
      <c r="J216" s="25" t="s">
        <v>1891</v>
      </c>
      <c r="N216" s="25" t="s">
        <v>2100</v>
      </c>
    </row>
    <row r="217" spans="1:14" x14ac:dyDescent="0.55000000000000004">
      <c r="A217">
        <v>216</v>
      </c>
      <c r="B217" s="25" t="s">
        <v>14</v>
      </c>
      <c r="C217" s="25">
        <v>25</v>
      </c>
      <c r="D217" s="25" t="s">
        <v>3580</v>
      </c>
      <c r="E217" s="25" t="s">
        <v>3597</v>
      </c>
      <c r="F217" s="25">
        <v>12.46</v>
      </c>
      <c r="G217" s="25" t="s">
        <v>1889</v>
      </c>
      <c r="H217" s="25">
        <f>5.82+6.7</f>
        <v>12.52</v>
      </c>
      <c r="I217" s="25">
        <f>5.82+6.7</f>
        <v>12.52</v>
      </c>
      <c r="J217" s="25" t="s">
        <v>1891</v>
      </c>
      <c r="N217" s="25" t="s">
        <v>2101</v>
      </c>
    </row>
    <row r="218" spans="1:14" x14ac:dyDescent="0.55000000000000004">
      <c r="A218">
        <v>217</v>
      </c>
      <c r="B218" s="25" t="s">
        <v>14</v>
      </c>
      <c r="C218" s="25">
        <v>25</v>
      </c>
      <c r="D218" s="25" t="s">
        <v>3580</v>
      </c>
      <c r="E218" s="25" t="s">
        <v>3598</v>
      </c>
      <c r="F218" s="25">
        <v>11.79</v>
      </c>
      <c r="G218" s="25" t="s">
        <v>1889</v>
      </c>
      <c r="H218" s="25">
        <f>2.25+4.75+4.78</f>
        <v>11.780000000000001</v>
      </c>
      <c r="I218" s="25">
        <f>2.25+4.75+4.78</f>
        <v>11.780000000000001</v>
      </c>
      <c r="J218" s="25" t="s">
        <v>1891</v>
      </c>
      <c r="N218" s="25" t="s">
        <v>2102</v>
      </c>
    </row>
    <row r="219" spans="1:14" x14ac:dyDescent="0.55000000000000004">
      <c r="A219">
        <v>218</v>
      </c>
      <c r="B219" s="25" t="s">
        <v>14</v>
      </c>
      <c r="C219" s="25">
        <v>25</v>
      </c>
      <c r="D219" s="25" t="s">
        <v>3580</v>
      </c>
      <c r="E219" s="25" t="s">
        <v>3599</v>
      </c>
      <c r="F219" s="25">
        <v>12.83</v>
      </c>
      <c r="G219" s="25" t="s">
        <v>1889</v>
      </c>
      <c r="H219" s="25">
        <f>5.82+2.6+4.85</f>
        <v>13.27</v>
      </c>
      <c r="I219" s="25">
        <f>5.82+2.6+4.85</f>
        <v>13.27</v>
      </c>
      <c r="J219" s="25" t="s">
        <v>1891</v>
      </c>
      <c r="N219" s="25" t="s">
        <v>2103</v>
      </c>
    </row>
    <row r="220" spans="1:14" x14ac:dyDescent="0.55000000000000004">
      <c r="A220">
        <v>219</v>
      </c>
      <c r="B220" s="25" t="s">
        <v>14</v>
      </c>
      <c r="C220" s="25">
        <v>25</v>
      </c>
      <c r="D220" s="25" t="s">
        <v>3580</v>
      </c>
      <c r="E220" s="25" t="s">
        <v>3600</v>
      </c>
      <c r="F220" s="25">
        <v>11.03</v>
      </c>
      <c r="G220" s="25" t="s">
        <v>1889</v>
      </c>
      <c r="H220" s="25">
        <f>2.68+4.52+2.64+2.38</f>
        <v>12.219999999999999</v>
      </c>
      <c r="I220" s="25">
        <f>2.68+4.52+2.64+2.38</f>
        <v>12.219999999999999</v>
      </c>
      <c r="J220" s="25" t="s">
        <v>1891</v>
      </c>
      <c r="N220" s="25" t="s">
        <v>2104</v>
      </c>
    </row>
    <row r="221" spans="1:14" x14ac:dyDescent="0.55000000000000004">
      <c r="A221">
        <v>220</v>
      </c>
      <c r="B221" s="25" t="s">
        <v>14</v>
      </c>
      <c r="C221" s="25">
        <v>25</v>
      </c>
      <c r="D221" s="25" t="s">
        <v>3580</v>
      </c>
      <c r="E221" s="25" t="s">
        <v>3601</v>
      </c>
      <c r="F221" s="25">
        <v>12.58</v>
      </c>
      <c r="G221" s="25" t="s">
        <v>1889</v>
      </c>
      <c r="H221" s="25">
        <f>2.84+4.49+2.73+2.62</f>
        <v>12.68</v>
      </c>
      <c r="I221" s="25">
        <f>2.84+4.49+2.73+2.62</f>
        <v>12.68</v>
      </c>
      <c r="J221" s="25" t="s">
        <v>1891</v>
      </c>
      <c r="N221" s="25" t="s">
        <v>2105</v>
      </c>
    </row>
    <row r="222" spans="1:14" x14ac:dyDescent="0.55000000000000004">
      <c r="A222">
        <v>221</v>
      </c>
      <c r="B222" s="25" t="s">
        <v>14</v>
      </c>
      <c r="C222" s="25">
        <v>25</v>
      </c>
      <c r="D222" s="25" t="s">
        <v>3580</v>
      </c>
      <c r="E222" s="25" t="s">
        <v>3602</v>
      </c>
      <c r="F222" s="25">
        <v>13.27</v>
      </c>
      <c r="G222" s="25" t="s">
        <v>1889</v>
      </c>
      <c r="H222" s="25">
        <f>5.17+3.15+5.17</f>
        <v>13.49</v>
      </c>
      <c r="I222" s="25">
        <f>5.17+3.15+5.17</f>
        <v>13.49</v>
      </c>
      <c r="J222" s="25" t="s">
        <v>1891</v>
      </c>
      <c r="N222" s="25" t="s">
        <v>2106</v>
      </c>
    </row>
    <row r="223" spans="1:14" x14ac:dyDescent="0.55000000000000004">
      <c r="A223">
        <v>222</v>
      </c>
      <c r="B223" s="25" t="s">
        <v>14</v>
      </c>
      <c r="C223" s="25">
        <v>25</v>
      </c>
      <c r="D223" s="25" t="s">
        <v>3580</v>
      </c>
      <c r="E223" s="25" t="s">
        <v>3603</v>
      </c>
      <c r="F223" s="25">
        <v>10.050000000000001</v>
      </c>
      <c r="G223" s="25" t="s">
        <v>1889</v>
      </c>
      <c r="H223" s="25">
        <f>2.04+4.87+1.66+1.65</f>
        <v>10.220000000000001</v>
      </c>
      <c r="I223" s="25">
        <f>2.04+4.87+1.66+1.65</f>
        <v>10.220000000000001</v>
      </c>
      <c r="J223" s="25" t="s">
        <v>1891</v>
      </c>
      <c r="N223" s="25" t="s">
        <v>2107</v>
      </c>
    </row>
    <row r="224" spans="1:14" x14ac:dyDescent="0.55000000000000004">
      <c r="A224">
        <v>223</v>
      </c>
      <c r="B224" s="25" t="s">
        <v>14</v>
      </c>
      <c r="C224" s="25">
        <v>25</v>
      </c>
      <c r="D224" s="25" t="s">
        <v>3580</v>
      </c>
      <c r="E224" s="25" t="s">
        <v>3604</v>
      </c>
      <c r="F224" s="25">
        <v>10.86</v>
      </c>
      <c r="G224" s="25" t="s">
        <v>1889</v>
      </c>
      <c r="H224" s="25">
        <f>3.01+1.62+4.45+1.86</f>
        <v>10.94</v>
      </c>
      <c r="I224" s="25">
        <f>3.01+1.62+4.45+1.86</f>
        <v>10.94</v>
      </c>
      <c r="J224" s="25" t="s">
        <v>1891</v>
      </c>
      <c r="N224" s="25" t="s">
        <v>2108</v>
      </c>
    </row>
    <row r="225" spans="1:15" x14ac:dyDescent="0.55000000000000004">
      <c r="A225">
        <v>224</v>
      </c>
      <c r="B225" s="25" t="s">
        <v>14</v>
      </c>
      <c r="C225" s="25">
        <v>25</v>
      </c>
      <c r="D225" s="25" t="s">
        <v>3580</v>
      </c>
      <c r="E225" s="25" t="s">
        <v>3605</v>
      </c>
      <c r="F225" s="25">
        <v>12.62</v>
      </c>
      <c r="G225" s="25" t="s">
        <v>1889</v>
      </c>
      <c r="H225" s="25">
        <f>4.91+3.53+4.13</f>
        <v>12.57</v>
      </c>
      <c r="I225" s="25">
        <f>4.91+3.53+4.13</f>
        <v>12.57</v>
      </c>
      <c r="J225" s="25" t="s">
        <v>1891</v>
      </c>
      <c r="N225" s="25" t="s">
        <v>2109</v>
      </c>
    </row>
    <row r="226" spans="1:15" x14ac:dyDescent="0.55000000000000004">
      <c r="A226">
        <v>225</v>
      </c>
      <c r="B226" s="25" t="s">
        <v>15</v>
      </c>
      <c r="C226" s="25">
        <v>25</v>
      </c>
      <c r="D226" s="25" t="s">
        <v>3606</v>
      </c>
      <c r="E226" s="25" t="s">
        <v>3607</v>
      </c>
      <c r="F226" s="25">
        <v>13.02</v>
      </c>
      <c r="G226" s="25" t="s">
        <v>1889</v>
      </c>
      <c r="H226" s="25">
        <f>3.5+3.73+2.44+3.75</f>
        <v>13.42</v>
      </c>
      <c r="I226" s="25">
        <f>3.5+3.73+2.44+3.75</f>
        <v>13.42</v>
      </c>
      <c r="J226" s="25" t="s">
        <v>1891</v>
      </c>
      <c r="K226" s="25" t="str">
        <f>VLOOKUP(E226,[1]PrelimAssignPOP!$I$1:$J$947,2,FALSE)</f>
        <v>ART</v>
      </c>
      <c r="L226" s="25" t="s">
        <v>211</v>
      </c>
      <c r="M226" s="25" t="s">
        <v>115</v>
      </c>
      <c r="N226" s="25" t="s">
        <v>2110</v>
      </c>
    </row>
    <row r="227" spans="1:15" x14ac:dyDescent="0.55000000000000004">
      <c r="A227">
        <v>226</v>
      </c>
      <c r="B227" s="25" t="s">
        <v>15</v>
      </c>
      <c r="C227" s="25">
        <v>25</v>
      </c>
      <c r="D227" s="25" t="s">
        <v>3606</v>
      </c>
      <c r="E227" s="25" t="s">
        <v>3608</v>
      </c>
      <c r="F227" s="25">
        <v>12.5</v>
      </c>
      <c r="G227" s="25" t="s">
        <v>1889</v>
      </c>
      <c r="H227" s="25">
        <f>2.2+4.1+6.45</f>
        <v>12.75</v>
      </c>
      <c r="I227" s="25">
        <f>2.2+4.1+6.45</f>
        <v>12.75</v>
      </c>
      <c r="J227" s="25" t="s">
        <v>1891</v>
      </c>
      <c r="K227" s="25" t="str">
        <f>VLOOKUP(E227,[1]PrelimAssignPOP!$I$1:$J$947,2,FALSE)</f>
        <v>ART</v>
      </c>
      <c r="L227" s="25" t="s">
        <v>211</v>
      </c>
      <c r="M227" s="25" t="s">
        <v>133</v>
      </c>
      <c r="N227" s="25" t="s">
        <v>2111</v>
      </c>
    </row>
    <row r="228" spans="1:15" x14ac:dyDescent="0.55000000000000004">
      <c r="A228">
        <v>227</v>
      </c>
      <c r="B228" s="25" t="s">
        <v>15</v>
      </c>
      <c r="C228" s="25">
        <v>25</v>
      </c>
      <c r="D228" s="25" t="s">
        <v>3606</v>
      </c>
      <c r="E228" s="25" t="s">
        <v>3609</v>
      </c>
      <c r="F228" s="25">
        <v>12.55</v>
      </c>
      <c r="G228" s="25" t="s">
        <v>1889</v>
      </c>
      <c r="H228" s="25">
        <f>2.23+2.6+3.54+1.46+3.04</f>
        <v>12.870000000000001</v>
      </c>
      <c r="I228" s="25">
        <f>2.23+2.6+3.54+1.46+3.04</f>
        <v>12.870000000000001</v>
      </c>
      <c r="J228" s="25" t="s">
        <v>1891</v>
      </c>
      <c r="K228" s="25" t="str">
        <f>VLOOKUP(E228,[1]PrelimAssignPOP!$I$1:$J$947,2,FALSE)</f>
        <v>ART</v>
      </c>
      <c r="L228" s="25" t="s">
        <v>211</v>
      </c>
      <c r="M228" s="25" t="s">
        <v>134</v>
      </c>
      <c r="N228" s="25" t="s">
        <v>2112</v>
      </c>
    </row>
    <row r="229" spans="1:15" x14ac:dyDescent="0.55000000000000004">
      <c r="A229">
        <v>228</v>
      </c>
      <c r="B229" s="25" t="s">
        <v>15</v>
      </c>
      <c r="C229" s="25">
        <v>25</v>
      </c>
      <c r="D229" s="25" t="s">
        <v>3606</v>
      </c>
      <c r="E229" s="25" t="s">
        <v>3610</v>
      </c>
      <c r="F229" s="25">
        <v>13.28</v>
      </c>
      <c r="G229" s="25" t="s">
        <v>1889</v>
      </c>
      <c r="H229" s="25">
        <f>9.82+3.64</f>
        <v>13.46</v>
      </c>
      <c r="I229" s="25">
        <f>9.82+3.64</f>
        <v>13.46</v>
      </c>
      <c r="J229" s="25" t="s">
        <v>1891</v>
      </c>
      <c r="K229" s="25" t="str">
        <f>VLOOKUP(E229,[1]PrelimAssignPOP!$I$1:$J$947,2,FALSE)</f>
        <v>ART</v>
      </c>
      <c r="L229" s="25" t="s">
        <v>211</v>
      </c>
      <c r="M229" s="25" t="s">
        <v>135</v>
      </c>
      <c r="N229" s="25" t="s">
        <v>2114</v>
      </c>
    </row>
    <row r="230" spans="1:15" x14ac:dyDescent="0.55000000000000004">
      <c r="A230">
        <v>229</v>
      </c>
      <c r="B230" s="25" t="s">
        <v>15</v>
      </c>
      <c r="C230" s="25">
        <v>25</v>
      </c>
      <c r="D230" s="25" t="s">
        <v>3606</v>
      </c>
      <c r="E230" s="25" t="s">
        <v>3611</v>
      </c>
      <c r="F230" s="25">
        <v>13.02</v>
      </c>
      <c r="G230" s="25" t="s">
        <v>1889</v>
      </c>
      <c r="H230" s="25">
        <f>3.22+6.47+4.03</f>
        <v>13.719999999999999</v>
      </c>
      <c r="I230" s="25">
        <f>3.22+6.47+4.03</f>
        <v>13.719999999999999</v>
      </c>
      <c r="J230" s="25" t="s">
        <v>1891</v>
      </c>
      <c r="K230" s="25" t="str">
        <f>VLOOKUP(E230,[1]PrelimAssignPOP!$I$1:$J$947,2,FALSE)</f>
        <v>ART</v>
      </c>
      <c r="L230" s="25" t="s">
        <v>211</v>
      </c>
      <c r="M230" s="25" t="s">
        <v>136</v>
      </c>
      <c r="N230" s="25" t="s">
        <v>2115</v>
      </c>
      <c r="O230" s="18" t="s">
        <v>3612</v>
      </c>
    </row>
    <row r="231" spans="1:15" x14ac:dyDescent="0.55000000000000004">
      <c r="A231">
        <v>230</v>
      </c>
      <c r="B231" s="25" t="s">
        <v>15</v>
      </c>
      <c r="C231" s="25">
        <v>25</v>
      </c>
      <c r="D231" s="25" t="s">
        <v>3606</v>
      </c>
      <c r="E231" s="25" t="s">
        <v>3613</v>
      </c>
      <c r="F231" s="25">
        <v>13.1</v>
      </c>
      <c r="G231" s="25" t="s">
        <v>1889</v>
      </c>
      <c r="H231" s="25">
        <f>2.69+5.27+5.86</f>
        <v>13.82</v>
      </c>
      <c r="I231" s="25">
        <f>2.69+5.27+5.86</f>
        <v>13.82</v>
      </c>
      <c r="J231" s="25" t="s">
        <v>1891</v>
      </c>
      <c r="K231" s="25" t="str">
        <f>VLOOKUP(E231,[1]PrelimAssignPOP!$I$1:$J$947,2,FALSE)</f>
        <v>ART</v>
      </c>
      <c r="L231" s="25" t="s">
        <v>211</v>
      </c>
      <c r="M231" s="25" t="s">
        <v>137</v>
      </c>
      <c r="N231" s="25" t="s">
        <v>2116</v>
      </c>
      <c r="O231" s="18" t="s">
        <v>3614</v>
      </c>
    </row>
    <row r="232" spans="1:15" x14ac:dyDescent="0.55000000000000004">
      <c r="A232">
        <v>231</v>
      </c>
      <c r="B232" s="25" t="s">
        <v>15</v>
      </c>
      <c r="C232" s="25">
        <v>25</v>
      </c>
      <c r="D232" s="25" t="s">
        <v>3606</v>
      </c>
      <c r="E232" s="25" t="s">
        <v>3615</v>
      </c>
      <c r="F232" s="25">
        <v>12.05</v>
      </c>
      <c r="G232" s="25" t="s">
        <v>1889</v>
      </c>
      <c r="H232" s="25">
        <f>2.68+2.28+1.92+3.12+2.73</f>
        <v>12.73</v>
      </c>
      <c r="I232" s="25">
        <f>2.68+2.28+1.92+3.12+2.73</f>
        <v>12.73</v>
      </c>
      <c r="J232" s="25" t="s">
        <v>1891</v>
      </c>
      <c r="K232" s="25" t="str">
        <f>VLOOKUP(E232,[1]PrelimAssignPOP!$I$1:$J$947,2,FALSE)</f>
        <v>ART</v>
      </c>
      <c r="L232" s="25" t="s">
        <v>211</v>
      </c>
      <c r="M232" s="25" t="s">
        <v>138</v>
      </c>
      <c r="N232" s="25" t="s">
        <v>2117</v>
      </c>
    </row>
    <row r="233" spans="1:15" x14ac:dyDescent="0.55000000000000004">
      <c r="A233">
        <v>232</v>
      </c>
      <c r="B233" s="25" t="s">
        <v>15</v>
      </c>
      <c r="C233" s="25">
        <v>25</v>
      </c>
      <c r="D233" s="25" t="s">
        <v>3606</v>
      </c>
      <c r="E233" s="25" t="s">
        <v>3616</v>
      </c>
      <c r="F233" s="25">
        <v>12.34</v>
      </c>
      <c r="G233" s="25" t="s">
        <v>1889</v>
      </c>
      <c r="H233" s="25">
        <f>4.29+3.38+2.62+2.44</f>
        <v>12.729999999999999</v>
      </c>
      <c r="I233" s="25">
        <f>4.29+3.38+2.62+2.44</f>
        <v>12.729999999999999</v>
      </c>
      <c r="J233" s="25" t="s">
        <v>1891</v>
      </c>
      <c r="K233" s="25" t="str">
        <f>VLOOKUP(E233,[1]PrelimAssignPOP!$I$1:$J$947,2,FALSE)</f>
        <v>ART</v>
      </c>
      <c r="L233" s="25" t="s">
        <v>211</v>
      </c>
      <c r="M233" s="25" t="s">
        <v>139</v>
      </c>
      <c r="N233" s="25" t="s">
        <v>2118</v>
      </c>
    </row>
    <row r="234" spans="1:15" x14ac:dyDescent="0.55000000000000004">
      <c r="A234">
        <v>233</v>
      </c>
      <c r="B234" s="25" t="s">
        <v>15</v>
      </c>
      <c r="C234" s="25">
        <v>25</v>
      </c>
      <c r="D234" s="25" t="s">
        <v>3606</v>
      </c>
      <c r="E234" s="25" t="s">
        <v>3617</v>
      </c>
      <c r="F234" s="25">
        <v>13.05</v>
      </c>
      <c r="G234" s="25" t="s">
        <v>1889</v>
      </c>
      <c r="H234" s="25">
        <f>2.87+7.27+3.05</f>
        <v>13.190000000000001</v>
      </c>
      <c r="I234" s="25">
        <f>2.87+7.27+3.05</f>
        <v>13.190000000000001</v>
      </c>
      <c r="J234" s="25" t="s">
        <v>1891</v>
      </c>
      <c r="K234" s="25" t="str">
        <f>VLOOKUP(E234,[1]PrelimAssignPOP!$I$1:$J$947,2,FALSE)</f>
        <v>ART</v>
      </c>
      <c r="L234" s="25" t="s">
        <v>211</v>
      </c>
      <c r="M234" s="25" t="s">
        <v>140</v>
      </c>
      <c r="N234" s="25" t="s">
        <v>2119</v>
      </c>
    </row>
    <row r="235" spans="1:15" x14ac:dyDescent="0.55000000000000004">
      <c r="A235">
        <v>234</v>
      </c>
      <c r="B235" s="25" t="s">
        <v>15</v>
      </c>
      <c r="C235" s="25">
        <v>25</v>
      </c>
      <c r="D235" s="25" t="s">
        <v>3606</v>
      </c>
      <c r="E235" s="25" t="s">
        <v>3618</v>
      </c>
      <c r="F235" s="25">
        <v>10.02</v>
      </c>
      <c r="G235" s="25" t="s">
        <v>1889</v>
      </c>
      <c r="H235" s="25">
        <f>1.25+2.06+2.25+1.88+2.77</f>
        <v>10.210000000000001</v>
      </c>
      <c r="I235" s="25">
        <f>1.25+2.06+2.25+1.88+2.77</f>
        <v>10.210000000000001</v>
      </c>
      <c r="J235" s="25" t="s">
        <v>1891</v>
      </c>
      <c r="K235" s="25" t="str">
        <f>VLOOKUP(E235,[1]PrelimAssignPOP!$I$1:$J$947,2,FALSE)</f>
        <v>ART</v>
      </c>
      <c r="L235" s="25" t="s">
        <v>211</v>
      </c>
      <c r="M235" s="25" t="s">
        <v>141</v>
      </c>
      <c r="N235" s="25" t="s">
        <v>2120</v>
      </c>
    </row>
    <row r="236" spans="1:15" x14ac:dyDescent="0.55000000000000004">
      <c r="A236">
        <v>235</v>
      </c>
      <c r="B236" s="25" t="s">
        <v>15</v>
      </c>
      <c r="C236" s="25">
        <v>25</v>
      </c>
      <c r="D236" s="25" t="s">
        <v>3606</v>
      </c>
      <c r="E236" s="25" t="s">
        <v>3619</v>
      </c>
      <c r="F236" s="25">
        <v>14.18</v>
      </c>
      <c r="G236" s="25" t="s">
        <v>1889</v>
      </c>
      <c r="H236" s="25">
        <f>4.37+5.07+4.77</f>
        <v>14.21</v>
      </c>
      <c r="I236" s="25">
        <f>4.37+5.07+4.77</f>
        <v>14.21</v>
      </c>
      <c r="J236" s="25" t="s">
        <v>1891</v>
      </c>
      <c r="K236" s="25" t="str">
        <f>VLOOKUP(E236,[1]PrelimAssignPOP!$I$1:$J$947,2,FALSE)</f>
        <v>KIY</v>
      </c>
      <c r="L236" s="25" t="s">
        <v>211</v>
      </c>
      <c r="M236" s="25" t="s">
        <v>142</v>
      </c>
      <c r="N236" s="25" t="s">
        <v>2121</v>
      </c>
    </row>
    <row r="237" spans="1:15" x14ac:dyDescent="0.55000000000000004">
      <c r="A237">
        <v>236</v>
      </c>
      <c r="B237" s="25" t="s">
        <v>15</v>
      </c>
      <c r="C237" s="25">
        <v>25</v>
      </c>
      <c r="D237" s="25" t="s">
        <v>3606</v>
      </c>
      <c r="E237" s="25" t="s">
        <v>3620</v>
      </c>
      <c r="F237" s="25">
        <v>13.52</v>
      </c>
      <c r="G237" s="25" t="s">
        <v>1889</v>
      </c>
      <c r="H237" s="25">
        <f>2.15+3.19+3.78+4.74</f>
        <v>13.86</v>
      </c>
      <c r="I237" s="25">
        <f>2.15+3.19+3.78+4.74</f>
        <v>13.86</v>
      </c>
      <c r="J237" s="25" t="s">
        <v>1891</v>
      </c>
      <c r="K237" s="25" t="str">
        <f>VLOOKUP(E237,[1]PrelimAssignPOP!$I$1:$J$947,2,FALSE)</f>
        <v>ART</v>
      </c>
      <c r="L237" s="25" t="s">
        <v>211</v>
      </c>
      <c r="M237" s="25" t="s">
        <v>143</v>
      </c>
      <c r="N237" s="25" t="s">
        <v>2122</v>
      </c>
    </row>
    <row r="238" spans="1:15" x14ac:dyDescent="0.55000000000000004">
      <c r="A238">
        <v>237</v>
      </c>
      <c r="B238" s="25" t="s">
        <v>15</v>
      </c>
      <c r="C238" s="25">
        <v>25</v>
      </c>
      <c r="D238" s="25" t="s">
        <v>3606</v>
      </c>
      <c r="E238" s="25" t="s">
        <v>3621</v>
      </c>
      <c r="F238" s="25">
        <v>13.13</v>
      </c>
      <c r="G238" s="25" t="s">
        <v>1889</v>
      </c>
      <c r="H238" s="25">
        <f>3.2+5.21+4.94</f>
        <v>13.350000000000001</v>
      </c>
      <c r="I238" s="25">
        <f>3.2+5.21+4.94</f>
        <v>13.350000000000001</v>
      </c>
      <c r="J238" s="25" t="s">
        <v>1891</v>
      </c>
      <c r="N238" s="25" t="s">
        <v>2123</v>
      </c>
    </row>
    <row r="239" spans="1:15" x14ac:dyDescent="0.55000000000000004">
      <c r="A239">
        <v>238</v>
      </c>
      <c r="B239" s="25" t="s">
        <v>15</v>
      </c>
      <c r="C239" s="25">
        <v>25</v>
      </c>
      <c r="D239" s="25" t="s">
        <v>3606</v>
      </c>
      <c r="E239" s="25" t="s">
        <v>3622</v>
      </c>
      <c r="F239" s="25">
        <v>12.48</v>
      </c>
      <c r="G239" s="25" t="s">
        <v>1889</v>
      </c>
      <c r="H239" s="26">
        <f>3.13+5.7+4.09</f>
        <v>12.92</v>
      </c>
      <c r="I239" s="26">
        <f>3.13+5.7+4.09</f>
        <v>12.92</v>
      </c>
      <c r="J239" s="25" t="s">
        <v>1891</v>
      </c>
      <c r="N239" s="25" t="s">
        <v>2124</v>
      </c>
      <c r="O239" s="18" t="s">
        <v>3623</v>
      </c>
    </row>
    <row r="240" spans="1:15" x14ac:dyDescent="0.55000000000000004">
      <c r="A240">
        <v>239</v>
      </c>
      <c r="B240" s="25" t="s">
        <v>15</v>
      </c>
      <c r="C240" s="25">
        <v>25</v>
      </c>
      <c r="D240" s="25" t="s">
        <v>3606</v>
      </c>
      <c r="E240" s="25" t="s">
        <v>3624</v>
      </c>
      <c r="F240" s="25">
        <v>12.7</v>
      </c>
      <c r="G240" s="25" t="s">
        <v>1889</v>
      </c>
      <c r="H240" s="26" t="s">
        <v>3625</v>
      </c>
      <c r="I240" s="26" t="s">
        <v>3625</v>
      </c>
      <c r="J240" s="25" t="s">
        <v>1891</v>
      </c>
      <c r="N240" s="25" t="s">
        <v>2125</v>
      </c>
      <c r="O240" s="18" t="s">
        <v>3626</v>
      </c>
    </row>
    <row r="241" spans="1:15" x14ac:dyDescent="0.55000000000000004">
      <c r="A241">
        <v>240</v>
      </c>
      <c r="B241" s="25" t="s">
        <v>15</v>
      </c>
      <c r="C241" s="25">
        <v>25</v>
      </c>
      <c r="D241" s="25" t="s">
        <v>3606</v>
      </c>
      <c r="E241" s="25" t="s">
        <v>3627</v>
      </c>
      <c r="F241" s="25">
        <v>12.65</v>
      </c>
      <c r="G241" s="25" t="s">
        <v>1889</v>
      </c>
      <c r="H241" s="25">
        <f>2.59+1.41+5.58+3.17</f>
        <v>12.75</v>
      </c>
      <c r="I241" s="25">
        <f>2.59+1.41+5.58+3.17</f>
        <v>12.75</v>
      </c>
      <c r="J241" s="25" t="s">
        <v>1891</v>
      </c>
      <c r="N241" s="25" t="s">
        <v>2126</v>
      </c>
    </row>
    <row r="242" spans="1:15" x14ac:dyDescent="0.55000000000000004">
      <c r="A242">
        <v>241</v>
      </c>
      <c r="B242" s="25" t="s">
        <v>15</v>
      </c>
      <c r="C242" s="25">
        <v>25</v>
      </c>
      <c r="D242" s="25" t="s">
        <v>3606</v>
      </c>
      <c r="E242" s="25" t="s">
        <v>3628</v>
      </c>
      <c r="F242" s="25">
        <v>12.17</v>
      </c>
      <c r="G242" s="25" t="s">
        <v>1889</v>
      </c>
      <c r="H242" s="25">
        <f>7.08+1.71+3.58</f>
        <v>12.37</v>
      </c>
      <c r="I242" s="25">
        <f>7.08+1.71+3.58</f>
        <v>12.37</v>
      </c>
      <c r="J242" s="25" t="s">
        <v>1891</v>
      </c>
      <c r="N242" s="25" t="s">
        <v>2127</v>
      </c>
    </row>
    <row r="243" spans="1:15" x14ac:dyDescent="0.55000000000000004">
      <c r="A243">
        <v>242</v>
      </c>
      <c r="B243" s="25" t="s">
        <v>15</v>
      </c>
      <c r="C243" s="25">
        <v>25</v>
      </c>
      <c r="D243" s="25" t="s">
        <v>3606</v>
      </c>
      <c r="E243" s="25" t="s">
        <v>3629</v>
      </c>
      <c r="F243" s="25">
        <v>9.52</v>
      </c>
      <c r="G243" s="25" t="s">
        <v>1889</v>
      </c>
      <c r="H243" s="25">
        <f>3.26+3.67+1.07+1.03+0.9</f>
        <v>9.93</v>
      </c>
      <c r="I243" s="25">
        <f>3.26+3.67+1.07+1.03+0.9</f>
        <v>9.93</v>
      </c>
      <c r="J243" s="25" t="s">
        <v>1891</v>
      </c>
      <c r="N243" s="25" t="s">
        <v>2128</v>
      </c>
    </row>
    <row r="244" spans="1:15" x14ac:dyDescent="0.55000000000000004">
      <c r="A244">
        <v>243</v>
      </c>
      <c r="B244" s="25" t="s">
        <v>15</v>
      </c>
      <c r="C244" s="25">
        <v>25</v>
      </c>
      <c r="D244" s="25" t="s">
        <v>3606</v>
      </c>
      <c r="E244" s="25" t="s">
        <v>3630</v>
      </c>
      <c r="F244" s="25">
        <v>12.63</v>
      </c>
      <c r="G244" s="25" t="s">
        <v>1889</v>
      </c>
      <c r="H244" s="25">
        <f>9.99+2.8</f>
        <v>12.79</v>
      </c>
      <c r="I244" s="25">
        <f>9.99+2.8</f>
        <v>12.79</v>
      </c>
      <c r="J244" s="25" t="s">
        <v>1891</v>
      </c>
      <c r="N244" s="25" t="s">
        <v>2129</v>
      </c>
    </row>
    <row r="245" spans="1:15" x14ac:dyDescent="0.55000000000000004">
      <c r="A245">
        <v>244</v>
      </c>
      <c r="B245" s="25" t="s">
        <v>15</v>
      </c>
      <c r="C245" s="25">
        <v>25</v>
      </c>
      <c r="D245" s="25" t="s">
        <v>3606</v>
      </c>
      <c r="E245" s="25" t="s">
        <v>3631</v>
      </c>
      <c r="F245" s="25">
        <v>13.62</v>
      </c>
      <c r="G245" s="25" t="s">
        <v>1889</v>
      </c>
      <c r="H245" s="25">
        <f>10.29+3.47</f>
        <v>13.76</v>
      </c>
      <c r="I245" s="25">
        <f>10.29+3.47</f>
        <v>13.76</v>
      </c>
      <c r="J245" s="25" t="s">
        <v>1891</v>
      </c>
      <c r="N245" s="25" t="s">
        <v>2130</v>
      </c>
    </row>
    <row r="246" spans="1:15" x14ac:dyDescent="0.55000000000000004">
      <c r="A246">
        <v>245</v>
      </c>
      <c r="B246" s="25" t="s">
        <v>15</v>
      </c>
      <c r="C246" s="25">
        <v>25</v>
      </c>
      <c r="D246" s="25" t="s">
        <v>3606</v>
      </c>
      <c r="E246" s="25" t="s">
        <v>3632</v>
      </c>
      <c r="F246" s="25">
        <v>12.88</v>
      </c>
      <c r="G246" s="25" t="s">
        <v>1889</v>
      </c>
      <c r="H246" s="25">
        <f>3.74+2.44+6.96</f>
        <v>13.14</v>
      </c>
      <c r="I246" s="25">
        <f>3.74+2.44+6.96</f>
        <v>13.14</v>
      </c>
      <c r="J246" s="25" t="s">
        <v>1891</v>
      </c>
      <c r="N246" s="25" t="s">
        <v>2131</v>
      </c>
    </row>
    <row r="247" spans="1:15" x14ac:dyDescent="0.55000000000000004">
      <c r="A247">
        <v>246</v>
      </c>
      <c r="B247" s="25" t="s">
        <v>15</v>
      </c>
      <c r="C247" s="25">
        <v>25</v>
      </c>
      <c r="D247" s="25" t="s">
        <v>3606</v>
      </c>
      <c r="E247" s="25" t="s">
        <v>3633</v>
      </c>
      <c r="F247" s="25">
        <v>12.1</v>
      </c>
      <c r="G247" s="25" t="s">
        <v>1889</v>
      </c>
      <c r="H247" s="25">
        <f>4.74+5.56+1.99</f>
        <v>12.290000000000001</v>
      </c>
      <c r="I247" s="25">
        <f>4.74+5.56+1.99</f>
        <v>12.290000000000001</v>
      </c>
      <c r="J247" s="25" t="s">
        <v>1891</v>
      </c>
      <c r="N247" s="25" t="s">
        <v>2132</v>
      </c>
      <c r="O247" s="18" t="s">
        <v>3514</v>
      </c>
    </row>
    <row r="248" spans="1:15" x14ac:dyDescent="0.55000000000000004">
      <c r="A248">
        <v>247</v>
      </c>
      <c r="B248" s="25" t="s">
        <v>15</v>
      </c>
      <c r="C248" s="25">
        <v>25</v>
      </c>
      <c r="D248" s="25" t="s">
        <v>3606</v>
      </c>
      <c r="E248" s="25" t="s">
        <v>3634</v>
      </c>
      <c r="G248" s="25" t="s">
        <v>1941</v>
      </c>
      <c r="J248" s="25" t="s">
        <v>1941</v>
      </c>
    </row>
    <row r="249" spans="1:15" x14ac:dyDescent="0.55000000000000004">
      <c r="A249">
        <v>248</v>
      </c>
      <c r="B249" s="25" t="s">
        <v>15</v>
      </c>
      <c r="C249" s="25">
        <v>25</v>
      </c>
      <c r="D249" s="25" t="s">
        <v>3606</v>
      </c>
      <c r="E249" s="25" t="s">
        <v>3635</v>
      </c>
      <c r="G249" s="25" t="s">
        <v>1941</v>
      </c>
      <c r="J249" s="25" t="s">
        <v>1941</v>
      </c>
    </row>
    <row r="250" spans="1:15" x14ac:dyDescent="0.55000000000000004">
      <c r="A250">
        <v>249</v>
      </c>
      <c r="B250" s="25" t="s">
        <v>15</v>
      </c>
      <c r="C250" s="25">
        <v>25</v>
      </c>
      <c r="D250" s="25" t="s">
        <v>3606</v>
      </c>
      <c r="E250" s="25" t="s">
        <v>3636</v>
      </c>
      <c r="G250" s="25" t="s">
        <v>1941</v>
      </c>
      <c r="J250" s="25" t="s">
        <v>1941</v>
      </c>
    </row>
    <row r="251" spans="1:15" x14ac:dyDescent="0.55000000000000004">
      <c r="A251">
        <v>250</v>
      </c>
      <c r="B251" s="25" t="s">
        <v>16</v>
      </c>
      <c r="C251" s="25">
        <v>10</v>
      </c>
      <c r="D251" s="25" t="s">
        <v>3637</v>
      </c>
      <c r="E251" s="25" t="s">
        <v>3638</v>
      </c>
      <c r="F251" s="25">
        <v>7.79</v>
      </c>
      <c r="G251" s="25" t="s">
        <v>1889</v>
      </c>
      <c r="H251" s="25">
        <f>3.81+1.23+4.25</f>
        <v>9.2899999999999991</v>
      </c>
      <c r="I251" s="25">
        <f>3.81+1.23+4.25</f>
        <v>9.2899999999999991</v>
      </c>
      <c r="J251" s="25" t="s">
        <v>1891</v>
      </c>
      <c r="K251" s="25" t="str">
        <f>VLOOKUP(E251,[1]PrelimAssignPOP!$I$1:$J$947,2,FALSE)</f>
        <v>ART</v>
      </c>
      <c r="L251" s="25" t="s">
        <v>211</v>
      </c>
      <c r="M251" s="25" t="s">
        <v>116</v>
      </c>
      <c r="N251" s="25" t="s">
        <v>2133</v>
      </c>
    </row>
    <row r="252" spans="1:15" x14ac:dyDescent="0.55000000000000004">
      <c r="A252">
        <v>251</v>
      </c>
      <c r="B252" s="25" t="s">
        <v>16</v>
      </c>
      <c r="C252" s="25">
        <v>10</v>
      </c>
      <c r="D252" s="25" t="s">
        <v>3637</v>
      </c>
      <c r="E252" s="25" t="s">
        <v>3639</v>
      </c>
      <c r="F252" s="25">
        <v>11.06</v>
      </c>
      <c r="G252" s="25" t="s">
        <v>1889</v>
      </c>
      <c r="H252" s="25">
        <f>2.65+4.42+4.19</f>
        <v>11.260000000000002</v>
      </c>
      <c r="I252" s="25">
        <f>2.65+4.42+4.19</f>
        <v>11.260000000000002</v>
      </c>
      <c r="J252" s="25" t="s">
        <v>1891</v>
      </c>
      <c r="K252" s="25" t="str">
        <f>VLOOKUP(E252,[1]PrelimAssignPOP!$I$1:$J$947,2,FALSE)</f>
        <v>ART</v>
      </c>
      <c r="L252" s="25" t="s">
        <v>211</v>
      </c>
      <c r="M252" s="25" t="s">
        <v>144</v>
      </c>
      <c r="N252" s="25" t="s">
        <v>2134</v>
      </c>
    </row>
    <row r="253" spans="1:15" x14ac:dyDescent="0.55000000000000004">
      <c r="A253">
        <v>252</v>
      </c>
      <c r="B253" s="25" t="s">
        <v>16</v>
      </c>
      <c r="C253" s="25">
        <v>10</v>
      </c>
      <c r="D253" s="25" t="s">
        <v>3637</v>
      </c>
      <c r="E253" s="25" t="s">
        <v>3640</v>
      </c>
      <c r="F253" s="25">
        <v>11.91</v>
      </c>
      <c r="G253" s="25" t="s">
        <v>1889</v>
      </c>
      <c r="H253" s="25">
        <f>6.43+2.44+3.17</f>
        <v>12.04</v>
      </c>
      <c r="I253" s="25">
        <f>6.43+2.44+3.17</f>
        <v>12.04</v>
      </c>
      <c r="J253" s="25" t="s">
        <v>1891</v>
      </c>
      <c r="K253" s="25" t="str">
        <f>VLOOKUP(E253,[1]PrelimAssignPOP!$I$1:$J$947,2,FALSE)</f>
        <v>ART</v>
      </c>
      <c r="L253" s="25" t="s">
        <v>211</v>
      </c>
      <c r="M253" s="25" t="s">
        <v>145</v>
      </c>
      <c r="N253" s="25" t="s">
        <v>2135</v>
      </c>
    </row>
    <row r="254" spans="1:15" x14ac:dyDescent="0.55000000000000004">
      <c r="A254">
        <v>253</v>
      </c>
      <c r="B254" s="25" t="s">
        <v>16</v>
      </c>
      <c r="C254" s="25">
        <v>10</v>
      </c>
      <c r="D254" s="25" t="s">
        <v>3637</v>
      </c>
      <c r="E254" s="25" t="s">
        <v>3641</v>
      </c>
      <c r="F254" s="25">
        <v>12.29</v>
      </c>
      <c r="G254" s="25" t="s">
        <v>1889</v>
      </c>
      <c r="H254" s="25">
        <f>4.07+3.36+2.2+2.78</f>
        <v>12.409999999999998</v>
      </c>
      <c r="I254" s="25">
        <f>4.07+3.36+2.2+2.78</f>
        <v>12.409999999999998</v>
      </c>
      <c r="J254" s="25" t="s">
        <v>1891</v>
      </c>
      <c r="K254" s="25" t="str">
        <f>VLOOKUP(E254,[1]PrelimAssignPOP!$I$1:$J$947,2,FALSE)</f>
        <v>ART</v>
      </c>
      <c r="L254" s="25" t="s">
        <v>211</v>
      </c>
      <c r="M254" s="25" t="s">
        <v>146</v>
      </c>
      <c r="N254" s="25" t="s">
        <v>2136</v>
      </c>
    </row>
    <row r="255" spans="1:15" x14ac:dyDescent="0.55000000000000004">
      <c r="A255">
        <v>254</v>
      </c>
      <c r="B255" s="25" t="s">
        <v>16</v>
      </c>
      <c r="C255" s="25">
        <v>10</v>
      </c>
      <c r="D255" s="25" t="s">
        <v>3637</v>
      </c>
      <c r="E255" s="25" t="s">
        <v>3642</v>
      </c>
      <c r="F255" s="25">
        <v>12.7</v>
      </c>
      <c r="G255" s="25" t="s">
        <v>1889</v>
      </c>
      <c r="H255" s="25">
        <f>2.25+3.33+3.26+4.23</f>
        <v>13.07</v>
      </c>
      <c r="I255" s="25">
        <f>2.25+3.33+3.26+4.23</f>
        <v>13.07</v>
      </c>
      <c r="J255" s="25" t="s">
        <v>1891</v>
      </c>
      <c r="K255" s="25" t="str">
        <f>VLOOKUP(E255,[1]PrelimAssignPOP!$I$1:$J$947,2,FALSE)</f>
        <v>ART</v>
      </c>
      <c r="L255" s="25" t="s">
        <v>211</v>
      </c>
      <c r="M255" s="25" t="s">
        <v>147</v>
      </c>
      <c r="N255" s="25" t="s">
        <v>2137</v>
      </c>
      <c r="O255" s="18" t="s">
        <v>3614</v>
      </c>
    </row>
    <row r="256" spans="1:15" x14ac:dyDescent="0.55000000000000004">
      <c r="A256">
        <v>255</v>
      </c>
      <c r="B256" s="25" t="s">
        <v>16</v>
      </c>
      <c r="C256" s="25">
        <v>10</v>
      </c>
      <c r="D256" s="25" t="s">
        <v>3637</v>
      </c>
      <c r="E256" s="25" t="s">
        <v>3643</v>
      </c>
      <c r="F256" s="25">
        <v>12.72</v>
      </c>
      <c r="G256" s="25" t="s">
        <v>1889</v>
      </c>
      <c r="H256" s="25">
        <f>2.67+2.11+4.31+4.18</f>
        <v>13.27</v>
      </c>
      <c r="I256" s="25">
        <f>2.67+2.11+4.31+4.18</f>
        <v>13.27</v>
      </c>
      <c r="J256" s="25" t="s">
        <v>1891</v>
      </c>
      <c r="K256" s="25" t="str">
        <f>VLOOKUP(E256,[1]PrelimAssignPOP!$I$1:$J$947,2,FALSE)</f>
        <v>ART</v>
      </c>
      <c r="L256" s="25" t="s">
        <v>211</v>
      </c>
      <c r="M256" s="25" t="s">
        <v>148</v>
      </c>
      <c r="N256" s="25" t="s">
        <v>2138</v>
      </c>
    </row>
    <row r="257" spans="1:14" x14ac:dyDescent="0.55000000000000004">
      <c r="A257">
        <v>256</v>
      </c>
      <c r="B257" s="25" t="s">
        <v>16</v>
      </c>
      <c r="C257" s="25">
        <v>10</v>
      </c>
      <c r="D257" s="25" t="s">
        <v>3637</v>
      </c>
      <c r="E257" s="25" t="s">
        <v>3644</v>
      </c>
      <c r="F257" s="25">
        <v>12.76</v>
      </c>
      <c r="G257" s="25" t="s">
        <v>1889</v>
      </c>
      <c r="H257" s="25">
        <f>3.81+6.54+2.51</f>
        <v>12.86</v>
      </c>
      <c r="I257" s="25">
        <f>3.81+6.54+2.51</f>
        <v>12.86</v>
      </c>
      <c r="J257" s="25" t="s">
        <v>1891</v>
      </c>
      <c r="K257" s="25" t="str">
        <f>VLOOKUP(E257,[1]PrelimAssignPOP!$I$1:$J$947,2,FALSE)</f>
        <v>ART</v>
      </c>
      <c r="L257" s="25" t="s">
        <v>211</v>
      </c>
      <c r="M257" s="25" t="s">
        <v>149</v>
      </c>
      <c r="N257" s="25" t="s">
        <v>2139</v>
      </c>
    </row>
    <row r="258" spans="1:14" x14ac:dyDescent="0.55000000000000004">
      <c r="A258">
        <v>257</v>
      </c>
      <c r="B258" s="25" t="s">
        <v>16</v>
      </c>
      <c r="C258" s="25">
        <v>10</v>
      </c>
      <c r="D258" s="25" t="s">
        <v>3637</v>
      </c>
      <c r="E258" s="25" t="s">
        <v>3645</v>
      </c>
      <c r="F258" s="25">
        <v>11.85</v>
      </c>
      <c r="G258" s="25" t="s">
        <v>1889</v>
      </c>
      <c r="H258" s="25">
        <f>2.21+1.78+1.66+6.34</f>
        <v>11.99</v>
      </c>
      <c r="I258" s="25">
        <f>2.21+1.78+1.66+6.34</f>
        <v>11.99</v>
      </c>
      <c r="J258" s="25" t="s">
        <v>1891</v>
      </c>
      <c r="K258" s="25" t="str">
        <f>VLOOKUP(E258,[1]PrelimAssignPOP!$I$1:$J$947,2,FALSE)</f>
        <v>ART</v>
      </c>
      <c r="L258" s="25" t="s">
        <v>211</v>
      </c>
      <c r="M258" s="25" t="s">
        <v>150</v>
      </c>
      <c r="N258" s="25" t="s">
        <v>2140</v>
      </c>
    </row>
    <row r="259" spans="1:14" x14ac:dyDescent="0.55000000000000004">
      <c r="A259">
        <v>258</v>
      </c>
      <c r="B259" s="25" t="s">
        <v>16</v>
      </c>
      <c r="C259" s="25">
        <v>10</v>
      </c>
      <c r="D259" s="25" t="s">
        <v>3637</v>
      </c>
      <c r="E259" s="25" t="s">
        <v>3646</v>
      </c>
      <c r="F259" s="25">
        <v>13.51</v>
      </c>
      <c r="G259" s="25" t="s">
        <v>1889</v>
      </c>
      <c r="H259" s="25">
        <f>10.55+3.03</f>
        <v>13.58</v>
      </c>
      <c r="I259" s="25">
        <f>10.55+3.03</f>
        <v>13.58</v>
      </c>
      <c r="J259" s="25" t="s">
        <v>1891</v>
      </c>
      <c r="K259" s="25" t="str">
        <f>VLOOKUP(E259,[1]PrelimAssignPOP!$I$1:$J$947,2,FALSE)</f>
        <v>ART</v>
      </c>
      <c r="L259" s="25" t="s">
        <v>211</v>
      </c>
      <c r="M259" s="25" t="s">
        <v>151</v>
      </c>
      <c r="N259" s="25" t="s">
        <v>2141</v>
      </c>
    </row>
    <row r="260" spans="1:14" x14ac:dyDescent="0.55000000000000004">
      <c r="A260">
        <v>259</v>
      </c>
      <c r="B260" s="25" t="s">
        <v>16</v>
      </c>
      <c r="C260" s="25">
        <v>10</v>
      </c>
      <c r="D260" s="25" t="s">
        <v>3637</v>
      </c>
      <c r="E260" s="25" t="s">
        <v>3647</v>
      </c>
      <c r="G260" s="25" t="s">
        <v>1941</v>
      </c>
      <c r="J260" s="25" t="s">
        <v>1941</v>
      </c>
      <c r="L260" s="25" t="s">
        <v>211</v>
      </c>
      <c r="M260" s="25" t="s">
        <v>152</v>
      </c>
    </row>
    <row r="261" spans="1:14" x14ac:dyDescent="0.55000000000000004">
      <c r="A261">
        <v>260</v>
      </c>
      <c r="B261" s="25" t="s">
        <v>17</v>
      </c>
      <c r="C261" s="25">
        <v>25</v>
      </c>
      <c r="D261" s="25" t="s">
        <v>3648</v>
      </c>
      <c r="E261" s="25" t="s">
        <v>3649</v>
      </c>
      <c r="F261" s="25">
        <v>12.78</v>
      </c>
      <c r="G261" s="25" t="s">
        <v>1889</v>
      </c>
      <c r="H261" s="25">
        <f>4.98+4.38+3.49</f>
        <v>12.85</v>
      </c>
      <c r="I261" s="25">
        <f>4.98+4.38+3.49</f>
        <v>12.85</v>
      </c>
      <c r="J261" s="25" t="s">
        <v>1891</v>
      </c>
      <c r="K261" s="25" t="str">
        <f>VLOOKUP(E261,[1]PrelimAssignPOP!$I$1:$J$947,2,FALSE)</f>
        <v>KIY</v>
      </c>
      <c r="L261" s="25" t="s">
        <v>211</v>
      </c>
      <c r="M261" s="25" t="s">
        <v>153</v>
      </c>
      <c r="N261" s="25" t="s">
        <v>2142</v>
      </c>
    </row>
    <row r="262" spans="1:14" x14ac:dyDescent="0.55000000000000004">
      <c r="A262">
        <v>261</v>
      </c>
      <c r="B262" s="25" t="s">
        <v>17</v>
      </c>
      <c r="C262" s="25">
        <v>25</v>
      </c>
      <c r="D262" s="25" t="s">
        <v>3648</v>
      </c>
      <c r="E262" s="25" t="s">
        <v>3650</v>
      </c>
      <c r="F262" s="25">
        <v>13.54</v>
      </c>
      <c r="G262" s="25" t="s">
        <v>1889</v>
      </c>
      <c r="H262" s="25">
        <f>2.14+2.89+3.77+4.81</f>
        <v>13.61</v>
      </c>
      <c r="I262" s="25">
        <f>2.14+2.89+3.77+4.81</f>
        <v>13.61</v>
      </c>
      <c r="J262" s="25" t="s">
        <v>1891</v>
      </c>
      <c r="K262" s="25" t="str">
        <f>VLOOKUP(E262,[1]PrelimAssignPOP!$I$1:$J$947,2,FALSE)</f>
        <v>KIY</v>
      </c>
      <c r="L262" s="25" t="s">
        <v>211</v>
      </c>
      <c r="M262" s="25" t="s">
        <v>154</v>
      </c>
      <c r="N262" s="25" t="s">
        <v>2143</v>
      </c>
    </row>
    <row r="263" spans="1:14" x14ac:dyDescent="0.55000000000000004">
      <c r="A263">
        <v>262</v>
      </c>
      <c r="B263" s="25" t="s">
        <v>17</v>
      </c>
      <c r="C263" s="25">
        <v>25</v>
      </c>
      <c r="D263" s="25" t="s">
        <v>3648</v>
      </c>
      <c r="E263" s="25" t="s">
        <v>3651</v>
      </c>
      <c r="F263" s="25">
        <v>13.07</v>
      </c>
      <c r="G263" s="25" t="s">
        <v>1889</v>
      </c>
      <c r="H263" s="25">
        <f>3.08+1.11+2.78+2.44+4.07</f>
        <v>13.48</v>
      </c>
      <c r="I263" s="25">
        <f>3.08+1.11+2.78+2.44+4.07</f>
        <v>13.48</v>
      </c>
      <c r="J263" s="25" t="s">
        <v>1891</v>
      </c>
      <c r="K263" s="25" t="str">
        <f>VLOOKUP(E263,[1]PrelimAssignPOP!$I$1:$J$947,2,FALSE)</f>
        <v>ART</v>
      </c>
      <c r="L263" s="25" t="s">
        <v>211</v>
      </c>
      <c r="M263" s="25" t="s">
        <v>117</v>
      </c>
      <c r="N263" s="25" t="s">
        <v>2144</v>
      </c>
    </row>
    <row r="264" spans="1:14" x14ac:dyDescent="0.55000000000000004">
      <c r="A264">
        <v>263</v>
      </c>
      <c r="B264" s="25" t="s">
        <v>17</v>
      </c>
      <c r="C264" s="25">
        <v>25</v>
      </c>
      <c r="D264" s="25" t="s">
        <v>3648</v>
      </c>
      <c r="E264" s="25" t="s">
        <v>3652</v>
      </c>
      <c r="F264" s="25">
        <v>13.29</v>
      </c>
      <c r="G264" s="25" t="s">
        <v>1889</v>
      </c>
      <c r="H264" s="25">
        <f>4.11+5.75+2.1+1.47</f>
        <v>13.43</v>
      </c>
      <c r="I264" s="25">
        <f>4.11+5.75+2.1+1.47</f>
        <v>13.43</v>
      </c>
      <c r="J264" s="25" t="s">
        <v>1891</v>
      </c>
      <c r="K264" s="25" t="str">
        <f>VLOOKUP(E264,[1]PrelimAssignPOP!$I$1:$J$947,2,FALSE)</f>
        <v>KIY</v>
      </c>
      <c r="L264" s="25" t="s">
        <v>211</v>
      </c>
      <c r="M264" s="25" t="s">
        <v>155</v>
      </c>
      <c r="N264" s="25" t="s">
        <v>2145</v>
      </c>
    </row>
    <row r="265" spans="1:14" x14ac:dyDescent="0.55000000000000004">
      <c r="A265">
        <v>264</v>
      </c>
      <c r="B265" s="25" t="s">
        <v>17</v>
      </c>
      <c r="C265" s="25">
        <v>25</v>
      </c>
      <c r="D265" s="25" t="s">
        <v>3648</v>
      </c>
      <c r="E265" s="25" t="s">
        <v>3653</v>
      </c>
      <c r="F265" s="25">
        <v>11.74</v>
      </c>
      <c r="G265" s="25" t="s">
        <v>1889</v>
      </c>
      <c r="H265" s="25">
        <f>3.49+3.01+3.32+2.14</f>
        <v>11.96</v>
      </c>
      <c r="I265" s="25">
        <f>3.49+3.01+3.32+2.14</f>
        <v>11.96</v>
      </c>
      <c r="J265" s="25" t="s">
        <v>1891</v>
      </c>
      <c r="K265" s="25" t="str">
        <f>VLOOKUP(E265,[1]PrelimAssignPOP!$I$1:$J$947,2,FALSE)</f>
        <v>ART</v>
      </c>
      <c r="L265" s="25" t="s">
        <v>211</v>
      </c>
      <c r="M265" s="25" t="s">
        <v>156</v>
      </c>
      <c r="N265" s="25" t="s">
        <v>2146</v>
      </c>
    </row>
    <row r="266" spans="1:14" x14ac:dyDescent="0.55000000000000004">
      <c r="A266">
        <v>265</v>
      </c>
      <c r="B266" s="25" t="s">
        <v>17</v>
      </c>
      <c r="C266" s="25">
        <v>25</v>
      </c>
      <c r="D266" s="25" t="s">
        <v>3648</v>
      </c>
      <c r="E266" s="25" t="s">
        <v>3654</v>
      </c>
      <c r="F266" s="25">
        <v>11.9</v>
      </c>
      <c r="G266" s="25" t="s">
        <v>1889</v>
      </c>
      <c r="H266" s="25">
        <f>4.99+1.97+2.6+2.61</f>
        <v>12.17</v>
      </c>
      <c r="I266" s="25">
        <f>4.99+1.97+2.6+2.61</f>
        <v>12.17</v>
      </c>
      <c r="J266" s="25" t="s">
        <v>1891</v>
      </c>
      <c r="K266" s="25" t="str">
        <f>VLOOKUP(E266,[1]PrelimAssignPOP!$I$1:$J$947,2,FALSE)</f>
        <v>KIY</v>
      </c>
      <c r="L266" s="25" t="s">
        <v>211</v>
      </c>
      <c r="M266" s="25" t="s">
        <v>157</v>
      </c>
      <c r="N266" s="25" t="s">
        <v>2147</v>
      </c>
    </row>
    <row r="267" spans="1:14" x14ac:dyDescent="0.55000000000000004">
      <c r="A267">
        <v>266</v>
      </c>
      <c r="B267" s="25" t="s">
        <v>17</v>
      </c>
      <c r="C267" s="25">
        <v>25</v>
      </c>
      <c r="D267" s="25" t="s">
        <v>3648</v>
      </c>
      <c r="E267" s="25" t="s">
        <v>3655</v>
      </c>
      <c r="F267" s="25">
        <v>12.75</v>
      </c>
      <c r="G267" s="25" t="s">
        <v>1889</v>
      </c>
      <c r="H267" s="25">
        <v>12.84</v>
      </c>
      <c r="I267" s="25">
        <v>12.84</v>
      </c>
      <c r="J267" s="25" t="s">
        <v>1891</v>
      </c>
      <c r="K267" s="25" t="str">
        <f>VLOOKUP(E267,[1]PrelimAssignPOP!$I$1:$J$947,2,FALSE)</f>
        <v>KIY</v>
      </c>
      <c r="L267" s="25" t="s">
        <v>211</v>
      </c>
      <c r="M267" s="25" t="s">
        <v>158</v>
      </c>
      <c r="N267" s="25" t="s">
        <v>2148</v>
      </c>
    </row>
    <row r="268" spans="1:14" x14ac:dyDescent="0.55000000000000004">
      <c r="A268">
        <v>267</v>
      </c>
      <c r="B268" s="25" t="s">
        <v>17</v>
      </c>
      <c r="C268" s="25">
        <v>25</v>
      </c>
      <c r="D268" s="25" t="s">
        <v>3648</v>
      </c>
      <c r="E268" s="25" t="s">
        <v>3656</v>
      </c>
      <c r="F268" s="25">
        <v>12.55</v>
      </c>
      <c r="G268" s="25" t="s">
        <v>1889</v>
      </c>
      <c r="H268" s="25">
        <f>2.73+3.21+6.69</f>
        <v>12.629999999999999</v>
      </c>
      <c r="I268" s="25">
        <f>2.73+3.21+6.69</f>
        <v>12.629999999999999</v>
      </c>
      <c r="J268" s="25" t="s">
        <v>1891</v>
      </c>
      <c r="K268" s="25" t="str">
        <f>VLOOKUP(E268,[1]PrelimAssignPOP!$I$1:$J$947,2,FALSE)</f>
        <v>KIY</v>
      </c>
      <c r="L268" s="25" t="s">
        <v>211</v>
      </c>
      <c r="M268" s="25" t="s">
        <v>159</v>
      </c>
      <c r="N268" s="25" t="s">
        <v>2149</v>
      </c>
    </row>
    <row r="269" spans="1:14" x14ac:dyDescent="0.55000000000000004">
      <c r="A269">
        <v>268</v>
      </c>
      <c r="B269" s="25" t="s">
        <v>17</v>
      </c>
      <c r="C269" s="25">
        <v>25</v>
      </c>
      <c r="D269" s="25" t="s">
        <v>3648</v>
      </c>
      <c r="E269" s="25" t="s">
        <v>3657</v>
      </c>
      <c r="F269" s="25">
        <v>11.99</v>
      </c>
      <c r="G269" s="25" t="s">
        <v>1889</v>
      </c>
      <c r="H269" s="25">
        <f>2.94+5.17+4.08</f>
        <v>12.19</v>
      </c>
      <c r="I269" s="25">
        <f>2.94+5.17+4.08</f>
        <v>12.19</v>
      </c>
      <c r="J269" s="25" t="s">
        <v>1891</v>
      </c>
      <c r="K269" s="25" t="str">
        <f>VLOOKUP(E269,[1]PrelimAssignPOP!$I$1:$J$947,2,FALSE)</f>
        <v>KIY</v>
      </c>
      <c r="L269" s="25" t="s">
        <v>211</v>
      </c>
      <c r="M269" s="25" t="s">
        <v>160</v>
      </c>
      <c r="N269" s="25" t="s">
        <v>2150</v>
      </c>
    </row>
    <row r="270" spans="1:14" x14ac:dyDescent="0.55000000000000004">
      <c r="A270">
        <v>269</v>
      </c>
      <c r="B270" s="25" t="s">
        <v>17</v>
      </c>
      <c r="C270" s="25">
        <v>25</v>
      </c>
      <c r="D270" s="25" t="s">
        <v>3648</v>
      </c>
      <c r="E270" s="25" t="s">
        <v>3658</v>
      </c>
      <c r="F270" s="25">
        <v>12.51</v>
      </c>
      <c r="G270" s="25" t="s">
        <v>1889</v>
      </c>
      <c r="H270" s="25">
        <f>3.4+3.32+3.7+2.36</f>
        <v>12.78</v>
      </c>
      <c r="I270" s="25">
        <f>3.4+3.32+3.7+2.36</f>
        <v>12.78</v>
      </c>
      <c r="J270" s="25" t="s">
        <v>1891</v>
      </c>
      <c r="K270" s="25" t="str">
        <f>VLOOKUP(E270,[1]PrelimAssignPOP!$I$1:$J$947,2,FALSE)</f>
        <v>ART</v>
      </c>
      <c r="L270" s="25" t="s">
        <v>211</v>
      </c>
      <c r="M270" s="25" t="s">
        <v>161</v>
      </c>
      <c r="N270" s="25" t="s">
        <v>2151</v>
      </c>
    </row>
    <row r="271" spans="1:14" x14ac:dyDescent="0.55000000000000004">
      <c r="A271">
        <v>270</v>
      </c>
      <c r="B271" s="25" t="s">
        <v>17</v>
      </c>
      <c r="C271" s="25">
        <v>25</v>
      </c>
      <c r="D271" s="25" t="s">
        <v>3648</v>
      </c>
      <c r="E271" s="25" t="s">
        <v>3659</v>
      </c>
      <c r="F271" s="25">
        <v>12.19</v>
      </c>
      <c r="G271" s="25" t="s">
        <v>1889</v>
      </c>
      <c r="H271" s="25">
        <f>5.01+5.88+1.88</f>
        <v>12.77</v>
      </c>
      <c r="I271" s="25">
        <f>5.01+5.88+1.88</f>
        <v>12.77</v>
      </c>
      <c r="J271" s="25" t="s">
        <v>1891</v>
      </c>
      <c r="K271" s="25" t="str">
        <f>VLOOKUP(E271,[1]PrelimAssignPOP!$I$1:$J$947,2,FALSE)</f>
        <v>ART</v>
      </c>
      <c r="L271" s="25" t="s">
        <v>211</v>
      </c>
      <c r="M271" s="25" t="s">
        <v>162</v>
      </c>
      <c r="N271" s="25" t="s">
        <v>2152</v>
      </c>
    </row>
    <row r="272" spans="1:14" x14ac:dyDescent="0.55000000000000004">
      <c r="A272">
        <v>271</v>
      </c>
      <c r="B272" s="25" t="s">
        <v>17</v>
      </c>
      <c r="C272" s="25">
        <v>25</v>
      </c>
      <c r="D272" s="25" t="s">
        <v>3648</v>
      </c>
      <c r="E272" s="25" t="s">
        <v>3660</v>
      </c>
      <c r="F272" s="25">
        <v>12.01</v>
      </c>
      <c r="G272" s="25" t="s">
        <v>1889</v>
      </c>
      <c r="H272" s="25">
        <f>8.45+2.64+1.27</f>
        <v>12.36</v>
      </c>
      <c r="I272" s="25">
        <f>8.45+2.64+1.27</f>
        <v>12.36</v>
      </c>
      <c r="J272" s="25" t="s">
        <v>1891</v>
      </c>
      <c r="K272" s="25" t="str">
        <f>VLOOKUP(E272,[1]PrelimAssignPOP!$I$1:$J$947,2,FALSE)</f>
        <v>KIY</v>
      </c>
      <c r="L272" s="25" t="s">
        <v>211</v>
      </c>
      <c r="M272" s="25" t="s">
        <v>163</v>
      </c>
      <c r="N272" s="25" t="s">
        <v>2153</v>
      </c>
    </row>
    <row r="273" spans="1:14" x14ac:dyDescent="0.55000000000000004">
      <c r="A273">
        <v>272</v>
      </c>
      <c r="B273" s="25" t="s">
        <v>17</v>
      </c>
      <c r="C273" s="25">
        <v>25</v>
      </c>
      <c r="D273" s="25" t="s">
        <v>3648</v>
      </c>
      <c r="E273" s="25" t="s">
        <v>3661</v>
      </c>
      <c r="F273" s="25">
        <v>10.15</v>
      </c>
      <c r="G273" s="25" t="s">
        <v>1889</v>
      </c>
      <c r="H273" s="25">
        <f>2.3+3.26+4.77</f>
        <v>10.329999999999998</v>
      </c>
      <c r="I273" s="25">
        <f>2.3+3.26+4.77</f>
        <v>10.329999999999998</v>
      </c>
      <c r="J273" s="25" t="s">
        <v>1891</v>
      </c>
      <c r="N273" s="25" t="s">
        <v>2154</v>
      </c>
    </row>
    <row r="274" spans="1:14" x14ac:dyDescent="0.55000000000000004">
      <c r="A274">
        <v>273</v>
      </c>
      <c r="B274" s="25" t="s">
        <v>17</v>
      </c>
      <c r="C274" s="25">
        <v>25</v>
      </c>
      <c r="D274" s="25" t="s">
        <v>3648</v>
      </c>
      <c r="E274" s="25" t="s">
        <v>3662</v>
      </c>
      <c r="F274" s="25">
        <v>14.02</v>
      </c>
      <c r="G274" s="25" t="s">
        <v>1889</v>
      </c>
      <c r="H274" s="25">
        <f>3.24+2.81+8.13</f>
        <v>14.180000000000001</v>
      </c>
      <c r="I274" s="25">
        <f>3.24+2.81+8.13</f>
        <v>14.180000000000001</v>
      </c>
      <c r="J274" s="25" t="s">
        <v>1891</v>
      </c>
      <c r="N274" s="25" t="s">
        <v>2155</v>
      </c>
    </row>
    <row r="275" spans="1:14" x14ac:dyDescent="0.55000000000000004">
      <c r="A275">
        <v>274</v>
      </c>
      <c r="B275" s="25" t="s">
        <v>17</v>
      </c>
      <c r="C275" s="25">
        <v>25</v>
      </c>
      <c r="D275" s="25" t="s">
        <v>3648</v>
      </c>
      <c r="E275" s="25" t="s">
        <v>3663</v>
      </c>
      <c r="F275" s="25">
        <v>13.67</v>
      </c>
      <c r="G275" s="25" t="s">
        <v>1889</v>
      </c>
      <c r="H275" s="25">
        <f>7.82+2.73+2.61</f>
        <v>13.16</v>
      </c>
      <c r="I275" s="25">
        <f>7.82+2.73+2.61</f>
        <v>13.16</v>
      </c>
      <c r="J275" s="25" t="s">
        <v>1891</v>
      </c>
      <c r="N275" s="25" t="s">
        <v>2156</v>
      </c>
    </row>
    <row r="276" spans="1:14" x14ac:dyDescent="0.55000000000000004">
      <c r="A276">
        <v>275</v>
      </c>
      <c r="B276" s="25" t="s">
        <v>17</v>
      </c>
      <c r="C276" s="25">
        <v>25</v>
      </c>
      <c r="D276" s="25" t="s">
        <v>3648</v>
      </c>
      <c r="E276" s="25" t="s">
        <v>3664</v>
      </c>
      <c r="F276" s="25">
        <v>11.96</v>
      </c>
      <c r="G276" s="25" t="s">
        <v>1889</v>
      </c>
      <c r="H276" s="25">
        <f>2.03+2.88+3.23+4.07</f>
        <v>12.21</v>
      </c>
      <c r="I276" s="25">
        <f>2.03+2.88+3.23+4.07</f>
        <v>12.21</v>
      </c>
      <c r="J276" s="25" t="s">
        <v>1891</v>
      </c>
      <c r="N276" s="25" t="s">
        <v>2157</v>
      </c>
    </row>
    <row r="277" spans="1:14" x14ac:dyDescent="0.55000000000000004">
      <c r="A277">
        <v>276</v>
      </c>
      <c r="B277" s="25" t="s">
        <v>17</v>
      </c>
      <c r="C277" s="25">
        <v>25</v>
      </c>
      <c r="D277" s="25" t="s">
        <v>3648</v>
      </c>
      <c r="E277" s="25" t="s">
        <v>3665</v>
      </c>
      <c r="F277" s="25">
        <v>12.43</v>
      </c>
      <c r="G277" s="25" t="s">
        <v>1889</v>
      </c>
      <c r="H277" s="25">
        <f>2.02+2.94+2.51+2.53+3.48</f>
        <v>13.48</v>
      </c>
      <c r="I277" s="25">
        <f>2.02+2.94+2.51+2.53+3.48</f>
        <v>13.48</v>
      </c>
      <c r="J277" s="25" t="s">
        <v>1891</v>
      </c>
      <c r="N277" s="25" t="s">
        <v>2158</v>
      </c>
    </row>
    <row r="278" spans="1:14" x14ac:dyDescent="0.55000000000000004">
      <c r="A278">
        <v>277</v>
      </c>
      <c r="B278" s="25" t="s">
        <v>17</v>
      </c>
      <c r="C278" s="25">
        <v>25</v>
      </c>
      <c r="D278" s="25" t="s">
        <v>3648</v>
      </c>
      <c r="E278" s="25" t="s">
        <v>3666</v>
      </c>
      <c r="F278" s="25">
        <v>12.35</v>
      </c>
      <c r="G278" s="25" t="s">
        <v>1889</v>
      </c>
      <c r="H278" s="25">
        <f>2.78+3.83+2.98+2.73</f>
        <v>12.32</v>
      </c>
      <c r="I278" s="25">
        <f>2.78+3.83+2.98+2.73</f>
        <v>12.32</v>
      </c>
      <c r="J278" s="25" t="s">
        <v>1891</v>
      </c>
      <c r="N278" s="25" t="s">
        <v>2159</v>
      </c>
    </row>
    <row r="279" spans="1:14" x14ac:dyDescent="0.55000000000000004">
      <c r="A279">
        <v>278</v>
      </c>
      <c r="B279" s="25" t="s">
        <v>17</v>
      </c>
      <c r="C279" s="25">
        <v>25</v>
      </c>
      <c r="D279" s="25" t="s">
        <v>3648</v>
      </c>
      <c r="E279" s="25" t="s">
        <v>3667</v>
      </c>
      <c r="F279" s="25">
        <v>12.89</v>
      </c>
      <c r="G279" s="25" t="s">
        <v>1889</v>
      </c>
      <c r="H279" s="25">
        <f>5.02+4.39+3.59</f>
        <v>13</v>
      </c>
      <c r="I279" s="25">
        <f>5.02+4.39+3.59</f>
        <v>13</v>
      </c>
      <c r="J279" s="25" t="s">
        <v>1891</v>
      </c>
      <c r="N279" s="25" t="s">
        <v>2160</v>
      </c>
    </row>
    <row r="280" spans="1:14" x14ac:dyDescent="0.55000000000000004">
      <c r="A280">
        <v>279</v>
      </c>
      <c r="B280" s="25" t="s">
        <v>17</v>
      </c>
      <c r="C280" s="25">
        <v>25</v>
      </c>
      <c r="D280" s="25" t="s">
        <v>3648</v>
      </c>
      <c r="E280" s="25" t="s">
        <v>3668</v>
      </c>
      <c r="F280" s="25">
        <v>11.9</v>
      </c>
      <c r="G280" s="25" t="s">
        <v>1889</v>
      </c>
      <c r="H280" s="25">
        <f>4.54+4.51+2.99</f>
        <v>12.040000000000001</v>
      </c>
      <c r="I280" s="25">
        <f>4.54+4.51+2.99</f>
        <v>12.040000000000001</v>
      </c>
      <c r="J280" s="25" t="s">
        <v>1891</v>
      </c>
      <c r="N280" s="25" t="s">
        <v>2161</v>
      </c>
    </row>
    <row r="281" spans="1:14" x14ac:dyDescent="0.55000000000000004">
      <c r="A281">
        <v>280</v>
      </c>
      <c r="B281" s="25" t="s">
        <v>17</v>
      </c>
      <c r="C281" s="25">
        <v>25</v>
      </c>
      <c r="D281" s="25" t="s">
        <v>3648</v>
      </c>
      <c r="E281" s="25" t="s">
        <v>3669</v>
      </c>
      <c r="F281" s="25">
        <v>13.46</v>
      </c>
      <c r="G281" s="25" t="s">
        <v>1889</v>
      </c>
      <c r="H281" s="25">
        <f>6.29+3.94+3.07</f>
        <v>13.3</v>
      </c>
      <c r="I281" s="25">
        <f>6.29+3.94+3.07</f>
        <v>13.3</v>
      </c>
      <c r="J281" s="25" t="s">
        <v>1891</v>
      </c>
      <c r="N281" s="25" t="s">
        <v>2162</v>
      </c>
    </row>
    <row r="282" spans="1:14" x14ac:dyDescent="0.55000000000000004">
      <c r="A282">
        <v>281</v>
      </c>
      <c r="B282" s="25" t="s">
        <v>17</v>
      </c>
      <c r="C282" s="25">
        <v>25</v>
      </c>
      <c r="D282" s="25" t="s">
        <v>3648</v>
      </c>
      <c r="E282" s="25" t="s">
        <v>3670</v>
      </c>
      <c r="F282" s="25">
        <v>12.98</v>
      </c>
      <c r="G282" s="25" t="s">
        <v>1889</v>
      </c>
      <c r="H282" s="25">
        <f>5.77+3.94+3.33</f>
        <v>13.04</v>
      </c>
      <c r="I282" s="25">
        <f>5.77+3.94+3.33</f>
        <v>13.04</v>
      </c>
      <c r="J282" s="25" t="s">
        <v>1891</v>
      </c>
      <c r="N282" s="25" t="s">
        <v>2163</v>
      </c>
    </row>
    <row r="283" spans="1:14" x14ac:dyDescent="0.55000000000000004">
      <c r="A283">
        <v>282</v>
      </c>
      <c r="B283" s="25" t="s">
        <v>17</v>
      </c>
      <c r="C283" s="25">
        <v>25</v>
      </c>
      <c r="D283" s="25" t="s">
        <v>3648</v>
      </c>
      <c r="E283" s="25" t="s">
        <v>3671</v>
      </c>
      <c r="F283" s="25">
        <v>11.58</v>
      </c>
      <c r="G283" s="25" t="s">
        <v>1889</v>
      </c>
      <c r="H283" s="25">
        <f>4.23+2.82+2.29+2.94</f>
        <v>12.28</v>
      </c>
      <c r="I283" s="25">
        <f>4.23+2.82+2.29+2.94</f>
        <v>12.28</v>
      </c>
      <c r="J283" s="25" t="s">
        <v>1891</v>
      </c>
      <c r="N283" s="25" t="s">
        <v>2164</v>
      </c>
    </row>
    <row r="284" spans="1:14" x14ac:dyDescent="0.55000000000000004">
      <c r="A284">
        <v>283</v>
      </c>
      <c r="B284" s="25" t="s">
        <v>17</v>
      </c>
      <c r="C284" s="25">
        <v>25</v>
      </c>
      <c r="D284" s="25" t="s">
        <v>3648</v>
      </c>
      <c r="E284" s="25" t="s">
        <v>3672</v>
      </c>
      <c r="F284" s="25">
        <v>13.47</v>
      </c>
      <c r="G284" s="25" t="s">
        <v>1889</v>
      </c>
      <c r="H284" s="25">
        <f>4.86+8.19</f>
        <v>13.05</v>
      </c>
      <c r="I284" s="25">
        <f>4.86+8.19</f>
        <v>13.05</v>
      </c>
      <c r="J284" s="25" t="s">
        <v>1891</v>
      </c>
      <c r="N284" s="25" t="s">
        <v>2165</v>
      </c>
    </row>
    <row r="285" spans="1:14" x14ac:dyDescent="0.55000000000000004">
      <c r="A285">
        <v>284</v>
      </c>
      <c r="B285" s="25" t="s">
        <v>17</v>
      </c>
      <c r="C285" s="25">
        <v>25</v>
      </c>
      <c r="D285" s="25" t="s">
        <v>3648</v>
      </c>
      <c r="E285" s="25" t="s">
        <v>3673</v>
      </c>
      <c r="F285" s="25">
        <v>11.86</v>
      </c>
      <c r="G285" s="25" t="s">
        <v>1889</v>
      </c>
      <c r="H285" s="25">
        <f>3.92+3.69+4.78</f>
        <v>12.39</v>
      </c>
      <c r="I285" s="25">
        <f>3.92+3.69+4.78</f>
        <v>12.39</v>
      </c>
      <c r="J285" s="25" t="s">
        <v>1891</v>
      </c>
      <c r="N285" s="25" t="s">
        <v>2166</v>
      </c>
    </row>
    <row r="286" spans="1:14" x14ac:dyDescent="0.55000000000000004">
      <c r="A286">
        <v>285</v>
      </c>
      <c r="B286" s="25" t="s">
        <v>18</v>
      </c>
      <c r="C286" s="25">
        <v>25</v>
      </c>
      <c r="D286" s="25" t="s">
        <v>3674</v>
      </c>
      <c r="E286" s="25" t="s">
        <v>3675</v>
      </c>
      <c r="F286" s="25">
        <v>12.83</v>
      </c>
      <c r="G286" s="25" t="s">
        <v>1889</v>
      </c>
      <c r="H286" s="25">
        <f>2.25+6.83+3.89</f>
        <v>12.97</v>
      </c>
      <c r="I286" s="25">
        <f>2.25+6.83+3.89</f>
        <v>12.97</v>
      </c>
      <c r="J286" s="25" t="s">
        <v>1891</v>
      </c>
      <c r="K286" s="25" t="str">
        <f>VLOOKUP(E286,[1]PrelimAssignPOP!$I$1:$J$947,2,FALSE)</f>
        <v>ART</v>
      </c>
      <c r="L286" s="25" t="s">
        <v>211</v>
      </c>
      <c r="M286" s="25" t="s">
        <v>164</v>
      </c>
      <c r="N286" s="25" t="s">
        <v>2167</v>
      </c>
    </row>
    <row r="287" spans="1:14" x14ac:dyDescent="0.55000000000000004">
      <c r="A287">
        <v>286</v>
      </c>
      <c r="B287" s="25" t="s">
        <v>18</v>
      </c>
      <c r="C287" s="25">
        <v>25</v>
      </c>
      <c r="D287" s="25" t="s">
        <v>3674</v>
      </c>
      <c r="E287" s="25" t="s">
        <v>3676</v>
      </c>
      <c r="F287" s="25">
        <v>13.07</v>
      </c>
      <c r="G287" s="25" t="s">
        <v>1889</v>
      </c>
      <c r="H287" s="25">
        <f>1.87+2.28+4.73+4.42</f>
        <v>13.3</v>
      </c>
      <c r="I287" s="25">
        <f>1.87+2.28+4.73+4.42</f>
        <v>13.3</v>
      </c>
      <c r="J287" s="25" t="s">
        <v>1891</v>
      </c>
      <c r="K287" s="25" t="str">
        <f>VLOOKUP(E287,[1]PrelimAssignPOP!$I$1:$J$947,2,FALSE)</f>
        <v>ART</v>
      </c>
      <c r="L287" s="25" t="s">
        <v>211</v>
      </c>
      <c r="M287" s="25" t="s">
        <v>165</v>
      </c>
      <c r="N287" s="25" t="s">
        <v>2168</v>
      </c>
    </row>
    <row r="288" spans="1:14" x14ac:dyDescent="0.55000000000000004">
      <c r="A288">
        <v>287</v>
      </c>
      <c r="B288" s="25" t="s">
        <v>18</v>
      </c>
      <c r="C288" s="25">
        <v>25</v>
      </c>
      <c r="D288" s="25" t="s">
        <v>3674</v>
      </c>
      <c r="E288" s="25" t="s">
        <v>3677</v>
      </c>
      <c r="F288" s="25">
        <v>12.29</v>
      </c>
      <c r="G288" s="25" t="s">
        <v>1889</v>
      </c>
      <c r="H288" s="25">
        <f>1.76+5.8+5.05</f>
        <v>12.61</v>
      </c>
      <c r="I288" s="25">
        <f>1.76+5.8+5.05</f>
        <v>12.61</v>
      </c>
      <c r="J288" s="25" t="s">
        <v>1891</v>
      </c>
      <c r="K288" s="25" t="str">
        <f>VLOOKUP(E288,[1]PrelimAssignPOP!$I$1:$J$947,2,FALSE)</f>
        <v>ART</v>
      </c>
      <c r="L288" s="25" t="s">
        <v>211</v>
      </c>
      <c r="M288" s="25" t="s">
        <v>118</v>
      </c>
      <c r="N288" s="25" t="s">
        <v>2169</v>
      </c>
    </row>
    <row r="289" spans="1:14" x14ac:dyDescent="0.55000000000000004">
      <c r="A289">
        <v>288</v>
      </c>
      <c r="B289" s="25" t="s">
        <v>18</v>
      </c>
      <c r="C289" s="25">
        <v>25</v>
      </c>
      <c r="D289" s="25" t="s">
        <v>3674</v>
      </c>
      <c r="E289" s="25" t="s">
        <v>3678</v>
      </c>
      <c r="F289" s="25">
        <v>12.49</v>
      </c>
      <c r="G289" s="25" t="s">
        <v>1889</v>
      </c>
      <c r="H289" s="25">
        <f>2.99+3.61+4.24+2.17</f>
        <v>13.01</v>
      </c>
      <c r="I289" s="25">
        <f>2.99+3.61+4.24+2.17</f>
        <v>13.01</v>
      </c>
      <c r="J289" s="25" t="s">
        <v>1891</v>
      </c>
      <c r="K289" s="25" t="str">
        <f>VLOOKUP(E289,[1]PrelimAssignPOP!$I$1:$J$947,2,FALSE)</f>
        <v>KIY</v>
      </c>
      <c r="L289" s="25" t="s">
        <v>211</v>
      </c>
      <c r="M289" s="25" t="s">
        <v>166</v>
      </c>
      <c r="N289" s="25" t="s">
        <v>2170</v>
      </c>
    </row>
    <row r="290" spans="1:14" x14ac:dyDescent="0.55000000000000004">
      <c r="A290">
        <v>289</v>
      </c>
      <c r="B290" s="25" t="s">
        <v>18</v>
      </c>
      <c r="C290" s="25">
        <v>25</v>
      </c>
      <c r="D290" s="25" t="s">
        <v>3674</v>
      </c>
      <c r="E290" s="25" t="s">
        <v>3679</v>
      </c>
      <c r="F290" s="25">
        <v>12.31</v>
      </c>
      <c r="G290" s="25" t="s">
        <v>1889</v>
      </c>
      <c r="H290" s="25">
        <f>2.66+4.38+3.34+2.28</f>
        <v>12.659999999999998</v>
      </c>
      <c r="I290" s="25">
        <f>2.66+4.38+3.34+2.28</f>
        <v>12.659999999999998</v>
      </c>
      <c r="J290" s="25" t="s">
        <v>1891</v>
      </c>
      <c r="K290" s="25" t="str">
        <f>VLOOKUP(E290,[1]PrelimAssignPOP!$I$1:$J$947,2,FALSE)</f>
        <v>ART</v>
      </c>
      <c r="L290" s="25" t="s">
        <v>211</v>
      </c>
      <c r="M290" s="25" t="s">
        <v>167</v>
      </c>
      <c r="N290" s="25" t="s">
        <v>2171</v>
      </c>
    </row>
    <row r="291" spans="1:14" x14ac:dyDescent="0.55000000000000004">
      <c r="A291">
        <v>290</v>
      </c>
      <c r="B291" s="25" t="s">
        <v>18</v>
      </c>
      <c r="C291" s="25">
        <v>25</v>
      </c>
      <c r="D291" s="25" t="s">
        <v>3674</v>
      </c>
      <c r="E291" s="25" t="s">
        <v>3680</v>
      </c>
      <c r="F291" s="25">
        <v>11.69</v>
      </c>
      <c r="G291" s="25" t="s">
        <v>1889</v>
      </c>
      <c r="H291" s="25">
        <f>2.04+3.7+3.46+2.65</f>
        <v>11.85</v>
      </c>
      <c r="I291" s="25">
        <f>2.04+3.7+3.46+2.65</f>
        <v>11.85</v>
      </c>
      <c r="J291" s="25" t="s">
        <v>1891</v>
      </c>
      <c r="K291" s="25" t="str">
        <f>VLOOKUP(E291,[1]PrelimAssignPOP!$I$1:$J$947,2,FALSE)</f>
        <v>ART</v>
      </c>
      <c r="L291" s="25" t="s">
        <v>211</v>
      </c>
      <c r="M291" s="25" t="s">
        <v>168</v>
      </c>
      <c r="N291" s="25" t="s">
        <v>2172</v>
      </c>
    </row>
    <row r="292" spans="1:14" x14ac:dyDescent="0.55000000000000004">
      <c r="A292">
        <v>291</v>
      </c>
      <c r="B292" s="25" t="s">
        <v>18</v>
      </c>
      <c r="C292" s="25">
        <v>25</v>
      </c>
      <c r="D292" s="25" t="s">
        <v>3674</v>
      </c>
      <c r="E292" s="25" t="s">
        <v>3681</v>
      </c>
      <c r="F292" s="25">
        <v>13.58</v>
      </c>
      <c r="G292" s="25" t="s">
        <v>1889</v>
      </c>
      <c r="H292" s="25">
        <f>2.29+2.88+5.13+3.49</f>
        <v>13.790000000000001</v>
      </c>
      <c r="I292" s="25">
        <f>2.29+2.88+5.13+3.49</f>
        <v>13.790000000000001</v>
      </c>
      <c r="J292" s="25" t="s">
        <v>1891</v>
      </c>
      <c r="K292" s="25" t="str">
        <f>VLOOKUP(E292,[1]PrelimAssignPOP!$I$1:$J$947,2,FALSE)</f>
        <v>ART</v>
      </c>
      <c r="L292" s="25" t="s">
        <v>211</v>
      </c>
      <c r="M292" s="25" t="s">
        <v>169</v>
      </c>
      <c r="N292" s="25" t="s">
        <v>2173</v>
      </c>
    </row>
    <row r="293" spans="1:14" x14ac:dyDescent="0.55000000000000004">
      <c r="A293">
        <v>292</v>
      </c>
      <c r="B293" s="25" t="s">
        <v>18</v>
      </c>
      <c r="C293" s="25">
        <v>25</v>
      </c>
      <c r="D293" s="25" t="s">
        <v>3674</v>
      </c>
      <c r="E293" s="25" t="s">
        <v>3682</v>
      </c>
      <c r="F293" s="25">
        <v>11.8</v>
      </c>
      <c r="G293" s="25" t="s">
        <v>1889</v>
      </c>
      <c r="H293" s="25">
        <f>2.44+2.77+4.98+2.85</f>
        <v>13.040000000000001</v>
      </c>
      <c r="I293" s="25">
        <f>2.44+2.77+4.98+2.85</f>
        <v>13.040000000000001</v>
      </c>
      <c r="J293" s="25" t="s">
        <v>1891</v>
      </c>
      <c r="K293" s="25" t="str">
        <f>VLOOKUP(E293,[1]PrelimAssignPOP!$I$1:$J$947,2,FALSE)</f>
        <v>ART</v>
      </c>
      <c r="L293" s="25" t="s">
        <v>211</v>
      </c>
      <c r="M293" s="25" t="s">
        <v>170</v>
      </c>
      <c r="N293" s="25" t="s">
        <v>2174</v>
      </c>
    </row>
    <row r="294" spans="1:14" x14ac:dyDescent="0.55000000000000004">
      <c r="A294">
        <v>293</v>
      </c>
      <c r="B294" s="25" t="s">
        <v>18</v>
      </c>
      <c r="C294" s="25">
        <v>25</v>
      </c>
      <c r="D294" s="25" t="s">
        <v>3674</v>
      </c>
      <c r="E294" s="25" t="s">
        <v>3683</v>
      </c>
      <c r="F294" s="25">
        <v>12.93</v>
      </c>
      <c r="G294" s="25" t="s">
        <v>1889</v>
      </c>
      <c r="H294" s="25">
        <f>3.25+1.77+3.14+2.81+2.1</f>
        <v>13.07</v>
      </c>
      <c r="I294" s="25">
        <f>3.25+1.77+3.14+2.81+2.1</f>
        <v>13.07</v>
      </c>
      <c r="J294" s="25" t="s">
        <v>1891</v>
      </c>
      <c r="K294" s="25" t="str">
        <f>VLOOKUP(E294,[1]PrelimAssignPOP!$I$1:$J$947,2,FALSE)</f>
        <v>ART</v>
      </c>
      <c r="L294" s="25" t="s">
        <v>211</v>
      </c>
      <c r="M294" s="25" t="s">
        <v>171</v>
      </c>
      <c r="N294" s="25" t="s">
        <v>2175</v>
      </c>
    </row>
    <row r="295" spans="1:14" x14ac:dyDescent="0.55000000000000004">
      <c r="A295">
        <v>294</v>
      </c>
      <c r="B295" s="25" t="s">
        <v>18</v>
      </c>
      <c r="C295" s="25">
        <v>25</v>
      </c>
      <c r="D295" s="25" t="s">
        <v>3674</v>
      </c>
      <c r="E295" s="25" t="s">
        <v>3684</v>
      </c>
      <c r="F295" s="25">
        <v>12.67</v>
      </c>
      <c r="G295" s="25" t="s">
        <v>1889</v>
      </c>
      <c r="H295" s="25">
        <f>3.66+6.21+3.68</f>
        <v>13.55</v>
      </c>
      <c r="I295" s="25">
        <f>3.66+6.21+3.68</f>
        <v>13.55</v>
      </c>
      <c r="J295" s="25" t="s">
        <v>1891</v>
      </c>
      <c r="K295" s="25" t="str">
        <f>VLOOKUP(E295,[1]PrelimAssignPOP!$I$1:$J$947,2,FALSE)</f>
        <v>ART</v>
      </c>
      <c r="L295" s="25" t="s">
        <v>211</v>
      </c>
      <c r="M295" s="25" t="s">
        <v>172</v>
      </c>
      <c r="N295" s="25" t="s">
        <v>2176</v>
      </c>
    </row>
    <row r="296" spans="1:14" x14ac:dyDescent="0.55000000000000004">
      <c r="A296">
        <v>295</v>
      </c>
      <c r="B296" s="25" t="s">
        <v>18</v>
      </c>
      <c r="C296" s="25">
        <v>25</v>
      </c>
      <c r="D296" s="25" t="s">
        <v>3674</v>
      </c>
      <c r="E296" s="25" t="s">
        <v>3685</v>
      </c>
      <c r="F296" s="25">
        <v>13.94</v>
      </c>
      <c r="G296" s="25" t="s">
        <v>1889</v>
      </c>
      <c r="H296" s="25">
        <f>4.78+4.52+2.13+2.8</f>
        <v>14.23</v>
      </c>
      <c r="I296" s="25">
        <f>4.78+4.52+2.13+2.8</f>
        <v>14.23</v>
      </c>
      <c r="J296" s="25" t="s">
        <v>1891</v>
      </c>
      <c r="K296" s="25" t="str">
        <f>VLOOKUP(E296,[1]PrelimAssignPOP!$I$1:$J$947,2,FALSE)</f>
        <v>ART</v>
      </c>
      <c r="L296" s="25" t="s">
        <v>211</v>
      </c>
      <c r="M296" s="25" t="s">
        <v>173</v>
      </c>
      <c r="N296" s="25" t="s">
        <v>2177</v>
      </c>
    </row>
    <row r="297" spans="1:14" x14ac:dyDescent="0.55000000000000004">
      <c r="A297">
        <v>296</v>
      </c>
      <c r="B297" s="25" t="s">
        <v>18</v>
      </c>
      <c r="C297" s="25">
        <v>25</v>
      </c>
      <c r="D297" s="25" t="s">
        <v>3674</v>
      </c>
      <c r="E297" s="25" t="s">
        <v>3686</v>
      </c>
      <c r="F297" s="25">
        <v>11.27</v>
      </c>
      <c r="G297" s="25" t="s">
        <v>1889</v>
      </c>
      <c r="H297" s="25">
        <f>2.99+3.2+2.17+0.93+2.53</f>
        <v>11.819999999999999</v>
      </c>
      <c r="I297" s="25">
        <f>2.99+3.2+2.17+0.93+2.53</f>
        <v>11.819999999999999</v>
      </c>
      <c r="J297" s="25" t="s">
        <v>1891</v>
      </c>
      <c r="K297" s="25" t="str">
        <f>VLOOKUP(E297,[1]PrelimAssignPOP!$I$1:$J$947,2,FALSE)</f>
        <v>ART</v>
      </c>
      <c r="L297" s="25" t="s">
        <v>211</v>
      </c>
      <c r="M297" s="25" t="s">
        <v>174</v>
      </c>
      <c r="N297" s="25" t="s">
        <v>2178</v>
      </c>
    </row>
    <row r="298" spans="1:14" x14ac:dyDescent="0.55000000000000004">
      <c r="A298">
        <v>297</v>
      </c>
      <c r="B298" s="25" t="s">
        <v>18</v>
      </c>
      <c r="C298" s="25">
        <v>25</v>
      </c>
      <c r="D298" s="25" t="s">
        <v>3674</v>
      </c>
      <c r="E298" s="25" t="s">
        <v>3687</v>
      </c>
      <c r="F298" s="25">
        <v>13</v>
      </c>
      <c r="G298" s="25" t="s">
        <v>1889</v>
      </c>
      <c r="H298" s="25">
        <f>5.34+3.04+1.02+1.39+2.62</f>
        <v>13.41</v>
      </c>
      <c r="I298" s="25">
        <f>5.34+3.04+1.02+1.39+2.62</f>
        <v>13.41</v>
      </c>
      <c r="J298" s="25" t="s">
        <v>1891</v>
      </c>
      <c r="N298" s="25" t="s">
        <v>2179</v>
      </c>
    </row>
    <row r="299" spans="1:14" x14ac:dyDescent="0.55000000000000004">
      <c r="A299">
        <v>298</v>
      </c>
      <c r="B299" s="25" t="s">
        <v>18</v>
      </c>
      <c r="C299" s="25">
        <v>25</v>
      </c>
      <c r="D299" s="25" t="s">
        <v>3674</v>
      </c>
      <c r="E299" s="25" t="s">
        <v>3688</v>
      </c>
      <c r="F299" s="25">
        <v>13.99</v>
      </c>
      <c r="G299" s="25" t="s">
        <v>1889</v>
      </c>
      <c r="H299" s="25">
        <f>2.96+3.52+5.1+2.44</f>
        <v>14.02</v>
      </c>
      <c r="I299" s="25">
        <f>2.96+3.52+5.1+2.44</f>
        <v>14.02</v>
      </c>
      <c r="J299" s="25" t="s">
        <v>1891</v>
      </c>
      <c r="N299" s="25" t="s">
        <v>2180</v>
      </c>
    </row>
    <row r="300" spans="1:14" x14ac:dyDescent="0.55000000000000004">
      <c r="A300">
        <v>299</v>
      </c>
      <c r="B300" s="25" t="s">
        <v>18</v>
      </c>
      <c r="C300" s="25">
        <v>25</v>
      </c>
      <c r="D300" s="25" t="s">
        <v>3674</v>
      </c>
      <c r="E300" s="25" t="s">
        <v>3689</v>
      </c>
      <c r="F300" s="25">
        <v>12.8</v>
      </c>
      <c r="G300" s="25" t="s">
        <v>1889</v>
      </c>
      <c r="H300" s="25">
        <f>2.21+1.96+3.23+5.53</f>
        <v>12.93</v>
      </c>
      <c r="I300" s="25">
        <f>2.21+1.96+3.23+5.53</f>
        <v>12.93</v>
      </c>
      <c r="J300" s="25" t="s">
        <v>1891</v>
      </c>
      <c r="N300" s="25" t="s">
        <v>2181</v>
      </c>
    </row>
    <row r="301" spans="1:14" x14ac:dyDescent="0.55000000000000004">
      <c r="A301">
        <v>300</v>
      </c>
      <c r="B301" s="25" t="s">
        <v>18</v>
      </c>
      <c r="C301" s="25">
        <v>25</v>
      </c>
      <c r="D301" s="25" t="s">
        <v>3674</v>
      </c>
      <c r="E301" s="25" t="s">
        <v>3690</v>
      </c>
      <c r="F301" s="25">
        <v>13.42</v>
      </c>
      <c r="G301" s="25" t="s">
        <v>1889</v>
      </c>
      <c r="H301" s="25">
        <f>3.56+2.08+5.24+2.82</f>
        <v>13.700000000000001</v>
      </c>
      <c r="I301" s="25">
        <f>3.56+2.08+5.24+2.82</f>
        <v>13.700000000000001</v>
      </c>
      <c r="J301" s="25" t="s">
        <v>1891</v>
      </c>
      <c r="N301" s="25" t="s">
        <v>2182</v>
      </c>
    </row>
    <row r="302" spans="1:14" x14ac:dyDescent="0.55000000000000004">
      <c r="A302">
        <v>301</v>
      </c>
      <c r="B302" s="25" t="s">
        <v>18</v>
      </c>
      <c r="C302" s="25">
        <v>25</v>
      </c>
      <c r="D302" s="25" t="s">
        <v>3674</v>
      </c>
      <c r="E302" s="25" t="s">
        <v>3691</v>
      </c>
      <c r="F302" s="25">
        <v>13.7</v>
      </c>
      <c r="G302" s="25" t="s">
        <v>1889</v>
      </c>
      <c r="H302" s="25">
        <f>3.36+2.25+3.4+3.59+1.92</f>
        <v>14.52</v>
      </c>
      <c r="I302" s="25">
        <f>3.36+2.25+3.4+3.59+1.92</f>
        <v>14.52</v>
      </c>
      <c r="J302" s="25" t="s">
        <v>1891</v>
      </c>
      <c r="N302" s="25" t="s">
        <v>2183</v>
      </c>
    </row>
    <row r="303" spans="1:14" x14ac:dyDescent="0.55000000000000004">
      <c r="A303">
        <v>302</v>
      </c>
      <c r="B303" s="25" t="s">
        <v>18</v>
      </c>
      <c r="C303" s="25">
        <v>25</v>
      </c>
      <c r="D303" s="25" t="s">
        <v>3674</v>
      </c>
      <c r="E303" s="25" t="s">
        <v>3692</v>
      </c>
      <c r="F303" s="25">
        <v>13.46</v>
      </c>
      <c r="G303" s="25" t="s">
        <v>1889</v>
      </c>
      <c r="H303" s="25">
        <f>3.3+1.56+2.96+2.24+3.6</f>
        <v>13.659999999999998</v>
      </c>
      <c r="I303" s="25">
        <f>3.3+1.56+2.96+2.24+3.6</f>
        <v>13.659999999999998</v>
      </c>
      <c r="J303" s="25" t="s">
        <v>1891</v>
      </c>
      <c r="N303" s="25" t="s">
        <v>2184</v>
      </c>
    </row>
    <row r="304" spans="1:14" x14ac:dyDescent="0.55000000000000004">
      <c r="A304">
        <v>303</v>
      </c>
      <c r="B304" s="25" t="s">
        <v>18</v>
      </c>
      <c r="C304" s="25">
        <v>25</v>
      </c>
      <c r="D304" s="25" t="s">
        <v>3674</v>
      </c>
      <c r="E304" s="25" t="s">
        <v>3693</v>
      </c>
      <c r="F304" s="25">
        <v>12.78</v>
      </c>
      <c r="G304" s="25" t="s">
        <v>1889</v>
      </c>
      <c r="H304" s="25">
        <f>3.37+2.97+1.65+1.42+3.75</f>
        <v>13.16</v>
      </c>
      <c r="I304" s="25">
        <f>3.37+2.97+1.65+1.42+3.75</f>
        <v>13.16</v>
      </c>
      <c r="J304" s="25" t="s">
        <v>1891</v>
      </c>
      <c r="N304" s="25" t="s">
        <v>2185</v>
      </c>
    </row>
    <row r="305" spans="1:15" x14ac:dyDescent="0.55000000000000004">
      <c r="A305">
        <v>304</v>
      </c>
      <c r="B305" s="25" t="s">
        <v>18</v>
      </c>
      <c r="C305" s="25">
        <v>25</v>
      </c>
      <c r="D305" s="25" t="s">
        <v>3674</v>
      </c>
      <c r="E305" s="25" t="s">
        <v>3694</v>
      </c>
      <c r="F305" s="25">
        <v>13.5</v>
      </c>
      <c r="G305" s="25" t="s">
        <v>1889</v>
      </c>
      <c r="H305" s="25">
        <f>7.73+2.69+3.22</f>
        <v>13.64</v>
      </c>
      <c r="I305" s="25">
        <f>7.73+2.69+3.22</f>
        <v>13.64</v>
      </c>
      <c r="J305" s="25" t="s">
        <v>1891</v>
      </c>
      <c r="N305" s="25" t="s">
        <v>2186</v>
      </c>
    </row>
    <row r="306" spans="1:15" x14ac:dyDescent="0.55000000000000004">
      <c r="A306">
        <v>305</v>
      </c>
      <c r="B306" s="25" t="s">
        <v>18</v>
      </c>
      <c r="C306" s="25">
        <v>25</v>
      </c>
      <c r="D306" s="25" t="s">
        <v>3674</v>
      </c>
      <c r="E306" s="25" t="s">
        <v>3695</v>
      </c>
      <c r="F306" s="25">
        <v>13.4</v>
      </c>
      <c r="G306" s="25" t="s">
        <v>1889</v>
      </c>
      <c r="H306" s="25">
        <f>2.38+2.67+5.29+3.2</f>
        <v>13.54</v>
      </c>
      <c r="I306" s="25">
        <f>2.38+2.67+5.29+3.2</f>
        <v>13.54</v>
      </c>
      <c r="J306" s="25" t="s">
        <v>1891</v>
      </c>
      <c r="N306" s="25" t="s">
        <v>2187</v>
      </c>
    </row>
    <row r="307" spans="1:15" x14ac:dyDescent="0.55000000000000004">
      <c r="A307">
        <v>306</v>
      </c>
      <c r="B307" s="25" t="s">
        <v>18</v>
      </c>
      <c r="C307" s="25">
        <v>25</v>
      </c>
      <c r="D307" s="25" t="s">
        <v>3674</v>
      </c>
      <c r="E307" s="25" t="s">
        <v>3696</v>
      </c>
      <c r="F307" s="25">
        <v>12.04</v>
      </c>
      <c r="G307" s="25" t="s">
        <v>1889</v>
      </c>
      <c r="H307" s="25">
        <f>4.48+3.82+4.01</f>
        <v>12.31</v>
      </c>
      <c r="I307" s="25">
        <f>4.48+3.82+4.01</f>
        <v>12.31</v>
      </c>
      <c r="J307" s="25" t="s">
        <v>1891</v>
      </c>
      <c r="N307" s="25" t="s">
        <v>2188</v>
      </c>
    </row>
    <row r="308" spans="1:15" x14ac:dyDescent="0.55000000000000004">
      <c r="A308">
        <v>307</v>
      </c>
      <c r="B308" s="25" t="s">
        <v>18</v>
      </c>
      <c r="C308" s="25">
        <v>25</v>
      </c>
      <c r="D308" s="25" t="s">
        <v>3674</v>
      </c>
      <c r="E308" s="25" t="s">
        <v>3697</v>
      </c>
      <c r="F308" s="25">
        <v>13.22</v>
      </c>
      <c r="G308" s="25" t="s">
        <v>1889</v>
      </c>
      <c r="H308" s="25">
        <f>3.77+1.37+3.56+2.55+2.3</f>
        <v>13.55</v>
      </c>
      <c r="I308" s="25">
        <f>3.77+1.37+3.56+2.55+2.3</f>
        <v>13.55</v>
      </c>
      <c r="J308" s="25" t="s">
        <v>1891</v>
      </c>
      <c r="N308" s="25" t="s">
        <v>2189</v>
      </c>
    </row>
    <row r="309" spans="1:15" x14ac:dyDescent="0.55000000000000004">
      <c r="A309">
        <v>308</v>
      </c>
      <c r="B309" s="25" t="s">
        <v>18</v>
      </c>
      <c r="C309" s="25">
        <v>25</v>
      </c>
      <c r="D309" s="25" t="s">
        <v>3674</v>
      </c>
      <c r="E309" s="25" t="s">
        <v>3698</v>
      </c>
      <c r="F309" s="25">
        <v>12.33</v>
      </c>
      <c r="G309" s="25" t="s">
        <v>1889</v>
      </c>
      <c r="H309" s="25">
        <f>2.39+3.92+3.19+1.11+1.83</f>
        <v>12.44</v>
      </c>
      <c r="I309" s="25">
        <f>2.39+3.92+3.19+1.11+1.83</f>
        <v>12.44</v>
      </c>
      <c r="J309" s="25" t="s">
        <v>1891</v>
      </c>
      <c r="N309" s="25" t="s">
        <v>2190</v>
      </c>
    </row>
    <row r="310" spans="1:15" x14ac:dyDescent="0.55000000000000004">
      <c r="A310">
        <v>309</v>
      </c>
      <c r="B310" s="25" t="s">
        <v>18</v>
      </c>
      <c r="C310" s="25">
        <v>25</v>
      </c>
      <c r="D310" s="25" t="s">
        <v>3674</v>
      </c>
      <c r="E310" s="25" t="s">
        <v>3699</v>
      </c>
      <c r="F310" s="25">
        <v>13.43</v>
      </c>
      <c r="G310" s="25" t="s">
        <v>1889</v>
      </c>
      <c r="H310" s="25">
        <f>3.69+4+5.94</f>
        <v>13.629999999999999</v>
      </c>
      <c r="I310" s="25">
        <f>3.69+4+5.94</f>
        <v>13.629999999999999</v>
      </c>
      <c r="J310" s="25" t="s">
        <v>1891</v>
      </c>
      <c r="N310" s="25" t="s">
        <v>2191</v>
      </c>
      <c r="O310" s="18" t="s">
        <v>3612</v>
      </c>
    </row>
    <row r="311" spans="1:15" x14ac:dyDescent="0.55000000000000004">
      <c r="A311">
        <v>310</v>
      </c>
      <c r="B311" s="25" t="s">
        <v>19</v>
      </c>
      <c r="C311" s="25">
        <v>25</v>
      </c>
      <c r="D311" s="25" t="s">
        <v>3700</v>
      </c>
      <c r="E311" s="25" t="s">
        <v>3701</v>
      </c>
      <c r="F311" s="25">
        <v>12.92</v>
      </c>
      <c r="G311" s="25" t="s">
        <v>1889</v>
      </c>
      <c r="H311" s="25">
        <f>4.92+4.35+3.74</f>
        <v>13.01</v>
      </c>
      <c r="I311" s="25">
        <f>4.92+4.35+3.74</f>
        <v>13.01</v>
      </c>
      <c r="J311" s="25" t="s">
        <v>1891</v>
      </c>
      <c r="K311" s="25" t="str">
        <f>VLOOKUP(E311,[1]PrelimAssignPOP!$I$1:$J$947,2,FALSE)</f>
        <v>ART</v>
      </c>
      <c r="L311" s="25" t="s">
        <v>211</v>
      </c>
      <c r="M311" s="25" t="s">
        <v>175</v>
      </c>
      <c r="N311" s="25" t="s">
        <v>2192</v>
      </c>
    </row>
    <row r="312" spans="1:15" x14ac:dyDescent="0.55000000000000004">
      <c r="A312">
        <v>311</v>
      </c>
      <c r="B312" s="25" t="s">
        <v>19</v>
      </c>
      <c r="C312" s="25">
        <v>25</v>
      </c>
      <c r="D312" s="25" t="s">
        <v>3700</v>
      </c>
      <c r="E312" s="25" t="s">
        <v>3702</v>
      </c>
      <c r="F312" s="25">
        <v>11.6</v>
      </c>
      <c r="G312" s="25" t="s">
        <v>1889</v>
      </c>
      <c r="H312" s="25">
        <f>2.36+6.55+2.9</f>
        <v>11.81</v>
      </c>
      <c r="I312" s="25">
        <f>2.36+6.55+2.9</f>
        <v>11.81</v>
      </c>
      <c r="J312" s="25" t="s">
        <v>1891</v>
      </c>
      <c r="K312" s="25" t="str">
        <f>VLOOKUP(E312,[1]PrelimAssignPOP!$I$1:$J$947,2,FALSE)</f>
        <v>KIY</v>
      </c>
      <c r="L312" s="25" t="s">
        <v>211</v>
      </c>
      <c r="M312" s="25" t="s">
        <v>176</v>
      </c>
      <c r="N312" s="25" t="s">
        <v>2193</v>
      </c>
    </row>
    <row r="313" spans="1:15" x14ac:dyDescent="0.55000000000000004">
      <c r="A313">
        <v>312</v>
      </c>
      <c r="B313" s="25" t="s">
        <v>19</v>
      </c>
      <c r="C313" s="25">
        <v>25</v>
      </c>
      <c r="D313" s="25" t="s">
        <v>3700</v>
      </c>
      <c r="E313" s="25" t="s">
        <v>3703</v>
      </c>
      <c r="F313" s="25">
        <v>12.98</v>
      </c>
      <c r="G313" s="25" t="s">
        <v>1889</v>
      </c>
      <c r="H313" s="25">
        <f>2.87+5.96+4.55</f>
        <v>13.379999999999999</v>
      </c>
      <c r="I313" s="25">
        <f>2.87+5.96+4.55</f>
        <v>13.379999999999999</v>
      </c>
      <c r="J313" s="25" t="s">
        <v>1891</v>
      </c>
      <c r="K313" s="25" t="str">
        <f>VLOOKUP(E313,[1]PrelimAssignPOP!$I$1:$J$947,2,FALSE)</f>
        <v>ART</v>
      </c>
      <c r="L313" s="25" t="s">
        <v>211</v>
      </c>
      <c r="M313" s="25" t="s">
        <v>119</v>
      </c>
      <c r="N313" s="25" t="s">
        <v>2194</v>
      </c>
    </row>
    <row r="314" spans="1:15" x14ac:dyDescent="0.55000000000000004">
      <c r="A314">
        <v>313</v>
      </c>
      <c r="B314" s="25" t="s">
        <v>19</v>
      </c>
      <c r="C314" s="25">
        <v>25</v>
      </c>
      <c r="D314" s="25" t="s">
        <v>3700</v>
      </c>
      <c r="E314" s="25" t="s">
        <v>3704</v>
      </c>
      <c r="F314" s="25">
        <v>12.29</v>
      </c>
      <c r="G314" s="25" t="s">
        <v>1889</v>
      </c>
      <c r="H314" s="25">
        <f>4.88+3.47+4.01</f>
        <v>12.36</v>
      </c>
      <c r="I314" s="25">
        <f>4.88+3.47+4.01</f>
        <v>12.36</v>
      </c>
      <c r="J314" s="25" t="s">
        <v>1891</v>
      </c>
      <c r="K314" s="25" t="str">
        <f>VLOOKUP(E314,[1]PrelimAssignPOP!$I$1:$J$947,2,FALSE)</f>
        <v>ART</v>
      </c>
      <c r="L314" s="25" t="s">
        <v>211</v>
      </c>
      <c r="M314" s="25" t="s">
        <v>177</v>
      </c>
      <c r="N314" s="25" t="s">
        <v>2195</v>
      </c>
    </row>
    <row r="315" spans="1:15" x14ac:dyDescent="0.55000000000000004">
      <c r="A315">
        <v>314</v>
      </c>
      <c r="B315" s="25" t="s">
        <v>19</v>
      </c>
      <c r="C315" s="25">
        <v>25</v>
      </c>
      <c r="D315" s="25" t="s">
        <v>3700</v>
      </c>
      <c r="E315" s="25" t="s">
        <v>3705</v>
      </c>
      <c r="F315" s="25">
        <v>12.19</v>
      </c>
      <c r="G315" s="25" t="s">
        <v>1889</v>
      </c>
      <c r="H315" s="25">
        <f>2.64+2.35+7.33</f>
        <v>12.32</v>
      </c>
      <c r="I315" s="25">
        <f>2.64+2.35+7.33</f>
        <v>12.32</v>
      </c>
      <c r="J315" s="25" t="s">
        <v>1891</v>
      </c>
      <c r="K315" s="25" t="str">
        <f>VLOOKUP(E315,[1]PrelimAssignPOP!$I$1:$J$947,2,FALSE)</f>
        <v>ART</v>
      </c>
      <c r="L315" s="25" t="s">
        <v>211</v>
      </c>
      <c r="M315" s="25" t="s">
        <v>178</v>
      </c>
      <c r="N315" s="25" t="s">
        <v>2196</v>
      </c>
    </row>
    <row r="316" spans="1:15" x14ac:dyDescent="0.55000000000000004">
      <c r="A316">
        <v>315</v>
      </c>
      <c r="B316" s="25" t="s">
        <v>19</v>
      </c>
      <c r="C316" s="25">
        <v>25</v>
      </c>
      <c r="D316" s="25" t="s">
        <v>3700</v>
      </c>
      <c r="E316" s="25" t="s">
        <v>3706</v>
      </c>
      <c r="F316" s="25">
        <v>12.7</v>
      </c>
      <c r="G316" s="25" t="s">
        <v>1889</v>
      </c>
      <c r="H316" s="25">
        <f>3.76+9</f>
        <v>12.76</v>
      </c>
      <c r="I316" s="25">
        <f>3.76+9</f>
        <v>12.76</v>
      </c>
      <c r="J316" s="25" t="s">
        <v>1891</v>
      </c>
      <c r="K316" s="25" t="str">
        <f>VLOOKUP(E316,[1]PrelimAssignPOP!$I$1:$J$947,2,FALSE)</f>
        <v>ART</v>
      </c>
      <c r="L316" s="25" t="s">
        <v>211</v>
      </c>
      <c r="M316" s="25" t="s">
        <v>179</v>
      </c>
      <c r="N316" s="25" t="s">
        <v>2197</v>
      </c>
    </row>
    <row r="317" spans="1:15" x14ac:dyDescent="0.55000000000000004">
      <c r="A317">
        <v>316</v>
      </c>
      <c r="B317" s="25" t="s">
        <v>19</v>
      </c>
      <c r="C317" s="25">
        <v>25</v>
      </c>
      <c r="D317" s="25" t="s">
        <v>3700</v>
      </c>
      <c r="E317" s="25" t="s">
        <v>3707</v>
      </c>
      <c r="F317" s="25">
        <v>13.69</v>
      </c>
      <c r="G317" s="25" t="s">
        <v>1889</v>
      </c>
      <c r="H317" s="25">
        <f>4.73+8.9</f>
        <v>13.63</v>
      </c>
      <c r="I317" s="25">
        <f>4.73+8.9</f>
        <v>13.63</v>
      </c>
      <c r="J317" s="25" t="s">
        <v>1891</v>
      </c>
      <c r="K317" s="25" t="str">
        <f>VLOOKUP(E317,[1]PrelimAssignPOP!$I$1:$J$947,2,FALSE)</f>
        <v>ART</v>
      </c>
      <c r="L317" s="25" t="s">
        <v>211</v>
      </c>
      <c r="M317" s="25" t="s">
        <v>180</v>
      </c>
      <c r="N317" s="25" t="s">
        <v>2198</v>
      </c>
    </row>
    <row r="318" spans="1:15" x14ac:dyDescent="0.55000000000000004">
      <c r="A318">
        <v>317</v>
      </c>
      <c r="B318" s="25" t="s">
        <v>19</v>
      </c>
      <c r="C318" s="25">
        <v>25</v>
      </c>
      <c r="D318" s="25" t="s">
        <v>3700</v>
      </c>
      <c r="E318" s="25" t="s">
        <v>3708</v>
      </c>
      <c r="F318" s="25">
        <v>12.9</v>
      </c>
      <c r="G318" s="25" t="s">
        <v>1889</v>
      </c>
      <c r="H318" s="25">
        <f>3.76+6.13+3.43</f>
        <v>13.32</v>
      </c>
      <c r="I318" s="25">
        <f>3.76+6.13+3.43</f>
        <v>13.32</v>
      </c>
      <c r="J318" s="25" t="s">
        <v>1891</v>
      </c>
      <c r="K318" s="25" t="str">
        <f>VLOOKUP(E318,[1]PrelimAssignPOP!$I$1:$J$947,2,FALSE)</f>
        <v>ART</v>
      </c>
      <c r="L318" s="25" t="s">
        <v>211</v>
      </c>
      <c r="M318" s="25" t="s">
        <v>181</v>
      </c>
      <c r="N318" s="25" t="s">
        <v>2199</v>
      </c>
    </row>
    <row r="319" spans="1:15" x14ac:dyDescent="0.55000000000000004">
      <c r="A319">
        <v>318</v>
      </c>
      <c r="B319" s="25" t="s">
        <v>19</v>
      </c>
      <c r="C319" s="25">
        <v>25</v>
      </c>
      <c r="D319" s="25" t="s">
        <v>3700</v>
      </c>
      <c r="E319" s="25" t="s">
        <v>3709</v>
      </c>
      <c r="F319" s="25">
        <v>12.29</v>
      </c>
      <c r="G319" s="25" t="s">
        <v>1889</v>
      </c>
      <c r="H319" s="25">
        <f>3.63+3.84+1.46+1.57+1.95</f>
        <v>12.45</v>
      </c>
      <c r="I319" s="25">
        <f>3.63+3.84+1.46+1.57+1.95</f>
        <v>12.45</v>
      </c>
      <c r="J319" s="25" t="s">
        <v>1891</v>
      </c>
      <c r="K319" s="25" t="str">
        <f>VLOOKUP(E319,[1]PrelimAssignPOP!$I$1:$J$947,2,FALSE)</f>
        <v>ART</v>
      </c>
      <c r="L319" s="25" t="s">
        <v>211</v>
      </c>
      <c r="M319" s="25" t="s">
        <v>182</v>
      </c>
      <c r="N319" s="25" t="s">
        <v>2200</v>
      </c>
    </row>
    <row r="320" spans="1:15" x14ac:dyDescent="0.55000000000000004">
      <c r="A320">
        <v>319</v>
      </c>
      <c r="B320" s="25" t="s">
        <v>19</v>
      </c>
      <c r="C320" s="25">
        <v>25</v>
      </c>
      <c r="D320" s="25" t="s">
        <v>3700</v>
      </c>
      <c r="E320" s="25" t="s">
        <v>3710</v>
      </c>
      <c r="F320" s="25">
        <v>12.81</v>
      </c>
      <c r="G320" s="25" t="s">
        <v>1889</v>
      </c>
      <c r="H320" s="25">
        <f>1.2+2.14+3.29+6.34</f>
        <v>12.969999999999999</v>
      </c>
      <c r="I320" s="25">
        <f>1.2+2.14+3.29+6.34</f>
        <v>12.969999999999999</v>
      </c>
      <c r="J320" s="25" t="s">
        <v>1891</v>
      </c>
      <c r="K320" s="25" t="str">
        <f>VLOOKUP(E320,[1]PrelimAssignPOP!$I$1:$J$947,2,FALSE)</f>
        <v>ART</v>
      </c>
      <c r="L320" s="25" t="s">
        <v>211</v>
      </c>
      <c r="M320" s="25" t="s">
        <v>183</v>
      </c>
      <c r="N320" s="25" t="s">
        <v>2201</v>
      </c>
    </row>
    <row r="321" spans="1:14" x14ac:dyDescent="0.55000000000000004">
      <c r="A321">
        <v>320</v>
      </c>
      <c r="B321" s="25" t="s">
        <v>19</v>
      </c>
      <c r="C321" s="25">
        <v>25</v>
      </c>
      <c r="D321" s="25" t="s">
        <v>3700</v>
      </c>
      <c r="E321" s="25" t="s">
        <v>3711</v>
      </c>
      <c r="F321" s="25">
        <v>12.44</v>
      </c>
      <c r="G321" s="25" t="s">
        <v>1889</v>
      </c>
      <c r="H321" s="25">
        <f>2.32+3.7+3.26+3.18</f>
        <v>12.459999999999999</v>
      </c>
      <c r="I321" s="25">
        <f>2.32+3.7+3.26+3.18</f>
        <v>12.459999999999999</v>
      </c>
      <c r="J321" s="25" t="s">
        <v>1891</v>
      </c>
      <c r="K321" s="25" t="str">
        <f>VLOOKUP(E321,[1]PrelimAssignPOP!$I$1:$J$947,2,FALSE)</f>
        <v>ART</v>
      </c>
      <c r="L321" s="25" t="s">
        <v>211</v>
      </c>
      <c r="M321" s="25" t="s">
        <v>184</v>
      </c>
      <c r="N321" s="25" t="s">
        <v>2202</v>
      </c>
    </row>
    <row r="322" spans="1:14" x14ac:dyDescent="0.55000000000000004">
      <c r="A322">
        <v>321</v>
      </c>
      <c r="B322" s="25" t="s">
        <v>19</v>
      </c>
      <c r="C322" s="25">
        <v>25</v>
      </c>
      <c r="D322" s="25" t="s">
        <v>3700</v>
      </c>
      <c r="E322" s="25" t="s">
        <v>3712</v>
      </c>
      <c r="F322" s="25">
        <v>13.32</v>
      </c>
      <c r="G322" s="25" t="s">
        <v>1889</v>
      </c>
      <c r="H322" s="25">
        <f>1.56+6.66+5.02</f>
        <v>13.24</v>
      </c>
      <c r="I322" s="25">
        <f>1.56+6.66+5.02</f>
        <v>13.24</v>
      </c>
      <c r="J322" s="25" t="s">
        <v>1891</v>
      </c>
      <c r="K322" s="25" t="str">
        <f>VLOOKUP(E322,[1]PrelimAssignPOP!$I$1:$J$947,2,FALSE)</f>
        <v>ART</v>
      </c>
      <c r="L322" s="25" t="s">
        <v>211</v>
      </c>
      <c r="M322" s="25" t="s">
        <v>185</v>
      </c>
      <c r="N322" s="25" t="s">
        <v>2203</v>
      </c>
    </row>
    <row r="323" spans="1:14" x14ac:dyDescent="0.55000000000000004">
      <c r="A323">
        <v>322</v>
      </c>
      <c r="B323" s="25" t="s">
        <v>19</v>
      </c>
      <c r="C323" s="25">
        <v>25</v>
      </c>
      <c r="D323" s="25" t="s">
        <v>3700</v>
      </c>
      <c r="E323" s="25" t="s">
        <v>3713</v>
      </c>
      <c r="F323" s="25">
        <v>12.29</v>
      </c>
      <c r="G323" s="25" t="s">
        <v>1889</v>
      </c>
      <c r="H323" s="25">
        <f>3.38+2.21+1.52+2.12+3.43</f>
        <v>12.66</v>
      </c>
      <c r="I323" s="25">
        <f>3.38+2.21+1.52+2.12+3.43</f>
        <v>12.66</v>
      </c>
      <c r="J323" s="25" t="s">
        <v>1891</v>
      </c>
      <c r="N323" s="25" t="s">
        <v>2204</v>
      </c>
    </row>
    <row r="324" spans="1:14" x14ac:dyDescent="0.55000000000000004">
      <c r="A324">
        <v>323</v>
      </c>
      <c r="B324" s="25" t="s">
        <v>19</v>
      </c>
      <c r="C324" s="25">
        <v>25</v>
      </c>
      <c r="D324" s="25" t="s">
        <v>3700</v>
      </c>
      <c r="E324" s="25" t="s">
        <v>3714</v>
      </c>
      <c r="F324" s="25">
        <v>13.37</v>
      </c>
      <c r="G324" s="25" t="s">
        <v>1889</v>
      </c>
      <c r="H324" s="25">
        <f>4.54+5.87+3.11</f>
        <v>13.52</v>
      </c>
      <c r="I324" s="25">
        <f>4.54+5.87+3.11</f>
        <v>13.52</v>
      </c>
      <c r="J324" s="25" t="s">
        <v>1891</v>
      </c>
      <c r="N324" s="25" t="s">
        <v>2205</v>
      </c>
    </row>
    <row r="325" spans="1:14" x14ac:dyDescent="0.55000000000000004">
      <c r="A325">
        <v>324</v>
      </c>
      <c r="B325" s="25" t="s">
        <v>19</v>
      </c>
      <c r="C325" s="25">
        <v>25</v>
      </c>
      <c r="D325" s="25" t="s">
        <v>3700</v>
      </c>
      <c r="E325" s="25" t="s">
        <v>3715</v>
      </c>
      <c r="F325" s="25">
        <v>11.53</v>
      </c>
      <c r="G325" s="25" t="s">
        <v>1889</v>
      </c>
      <c r="H325" s="25">
        <f>4.61+1.77+2.37+1.9+1.02</f>
        <v>11.67</v>
      </c>
      <c r="I325" s="25">
        <f>4.61+1.77+2.37+1.9+1.02</f>
        <v>11.67</v>
      </c>
      <c r="J325" s="25" t="s">
        <v>1891</v>
      </c>
      <c r="N325" s="25" t="s">
        <v>2206</v>
      </c>
    </row>
    <row r="326" spans="1:14" x14ac:dyDescent="0.55000000000000004">
      <c r="A326">
        <v>325</v>
      </c>
      <c r="B326" s="25" t="s">
        <v>19</v>
      </c>
      <c r="C326" s="25">
        <v>25</v>
      </c>
      <c r="D326" s="25" t="s">
        <v>3700</v>
      </c>
      <c r="E326" s="25" t="s">
        <v>3716</v>
      </c>
      <c r="F326" s="25">
        <v>13.64</v>
      </c>
      <c r="G326" s="25" t="s">
        <v>1889</v>
      </c>
      <c r="H326" s="25">
        <f>8.68+1.67+3.29</f>
        <v>13.64</v>
      </c>
      <c r="I326" s="25">
        <f>8.68+1.67+3.29</f>
        <v>13.64</v>
      </c>
      <c r="J326" s="25" t="s">
        <v>1891</v>
      </c>
      <c r="N326" s="25" t="s">
        <v>2207</v>
      </c>
    </row>
    <row r="327" spans="1:14" x14ac:dyDescent="0.55000000000000004">
      <c r="A327">
        <v>326</v>
      </c>
      <c r="B327" s="25" t="s">
        <v>19</v>
      </c>
      <c r="C327" s="25">
        <v>25</v>
      </c>
      <c r="D327" s="25" t="s">
        <v>3700</v>
      </c>
      <c r="E327" s="25" t="s">
        <v>3717</v>
      </c>
      <c r="F327" s="25">
        <v>13.03</v>
      </c>
      <c r="G327" s="25" t="s">
        <v>1889</v>
      </c>
      <c r="H327" s="25">
        <f>7.87+5.43</f>
        <v>13.3</v>
      </c>
      <c r="I327" s="25">
        <f>7.87+5.43</f>
        <v>13.3</v>
      </c>
      <c r="J327" s="25" t="s">
        <v>1891</v>
      </c>
      <c r="N327" s="25" t="s">
        <v>2208</v>
      </c>
    </row>
    <row r="328" spans="1:14" x14ac:dyDescent="0.55000000000000004">
      <c r="A328">
        <v>327</v>
      </c>
      <c r="B328" s="25" t="s">
        <v>19</v>
      </c>
      <c r="C328" s="25">
        <v>25</v>
      </c>
      <c r="D328" s="25" t="s">
        <v>3700</v>
      </c>
      <c r="E328" s="25" t="s">
        <v>3718</v>
      </c>
      <c r="F328" s="25">
        <v>12.21</v>
      </c>
      <c r="G328" s="25" t="s">
        <v>1889</v>
      </c>
      <c r="H328" s="25">
        <f>3.63+2.22+3.25+3.31</f>
        <v>12.41</v>
      </c>
      <c r="I328" s="25">
        <f>3.63+2.22+3.25+3.31</f>
        <v>12.41</v>
      </c>
      <c r="J328" s="25" t="s">
        <v>1891</v>
      </c>
      <c r="N328" s="25" t="s">
        <v>2209</v>
      </c>
    </row>
    <row r="329" spans="1:14" x14ac:dyDescent="0.55000000000000004">
      <c r="A329">
        <v>328</v>
      </c>
      <c r="B329" s="25" t="s">
        <v>19</v>
      </c>
      <c r="C329" s="25">
        <v>25</v>
      </c>
      <c r="D329" s="25" t="s">
        <v>3700</v>
      </c>
      <c r="E329" s="25" t="s">
        <v>3719</v>
      </c>
      <c r="F329" s="25">
        <v>11.04</v>
      </c>
      <c r="G329" s="25" t="s">
        <v>1889</v>
      </c>
      <c r="H329" s="25">
        <f>2.54+2.78+4.02+1.13+1.11</f>
        <v>11.579999999999998</v>
      </c>
      <c r="I329" s="25">
        <f>2.54+2.78+4.02+1.13+1.11</f>
        <v>11.579999999999998</v>
      </c>
      <c r="J329" s="25" t="s">
        <v>1891</v>
      </c>
      <c r="N329" s="25" t="s">
        <v>2210</v>
      </c>
    </row>
    <row r="330" spans="1:14" x14ac:dyDescent="0.55000000000000004">
      <c r="A330">
        <v>329</v>
      </c>
      <c r="B330" s="25" t="s">
        <v>19</v>
      </c>
      <c r="C330" s="25">
        <v>25</v>
      </c>
      <c r="D330" s="25" t="s">
        <v>3700</v>
      </c>
      <c r="E330" s="25" t="s">
        <v>3720</v>
      </c>
      <c r="F330" s="25">
        <v>11.88</v>
      </c>
      <c r="G330" s="25" t="s">
        <v>1889</v>
      </c>
      <c r="H330" s="25">
        <f>3.29+8.76</f>
        <v>12.05</v>
      </c>
      <c r="I330" s="25">
        <f>3.29+8.76</f>
        <v>12.05</v>
      </c>
      <c r="J330" s="25" t="s">
        <v>1891</v>
      </c>
      <c r="N330" s="25" t="s">
        <v>2211</v>
      </c>
    </row>
    <row r="331" spans="1:14" x14ac:dyDescent="0.55000000000000004">
      <c r="A331">
        <v>330</v>
      </c>
      <c r="B331" s="25" t="s">
        <v>19</v>
      </c>
      <c r="C331" s="25">
        <v>25</v>
      </c>
      <c r="D331" s="25" t="s">
        <v>3700</v>
      </c>
      <c r="E331" s="25" t="s">
        <v>3721</v>
      </c>
      <c r="F331" s="25">
        <v>10.25</v>
      </c>
      <c r="G331" s="25" t="s">
        <v>1889</v>
      </c>
      <c r="H331" s="25">
        <f>4.06+5.56+1</f>
        <v>10.62</v>
      </c>
      <c r="I331" s="25">
        <f>4.06+5.56+1</f>
        <v>10.62</v>
      </c>
      <c r="J331" s="25" t="s">
        <v>1891</v>
      </c>
      <c r="N331" s="25" t="s">
        <v>2212</v>
      </c>
    </row>
    <row r="332" spans="1:14" x14ac:dyDescent="0.55000000000000004">
      <c r="A332">
        <v>331</v>
      </c>
      <c r="B332" s="25" t="s">
        <v>19</v>
      </c>
      <c r="C332" s="25">
        <v>25</v>
      </c>
      <c r="D332" s="25" t="s">
        <v>3700</v>
      </c>
      <c r="E332" s="25" t="s">
        <v>3722</v>
      </c>
      <c r="G332" s="25" t="s">
        <v>1941</v>
      </c>
      <c r="J332" s="25" t="s">
        <v>1941</v>
      </c>
    </row>
    <row r="333" spans="1:14" x14ac:dyDescent="0.55000000000000004">
      <c r="A333">
        <v>332</v>
      </c>
      <c r="B333" s="25" t="s">
        <v>19</v>
      </c>
      <c r="C333" s="25">
        <v>25</v>
      </c>
      <c r="D333" s="25" t="s">
        <v>3700</v>
      </c>
      <c r="E333" s="25" t="s">
        <v>3723</v>
      </c>
      <c r="G333" s="25" t="s">
        <v>1941</v>
      </c>
      <c r="J333" s="25" t="s">
        <v>1941</v>
      </c>
    </row>
    <row r="334" spans="1:14" x14ac:dyDescent="0.55000000000000004">
      <c r="A334">
        <v>333</v>
      </c>
      <c r="B334" s="25" t="s">
        <v>19</v>
      </c>
      <c r="C334" s="25">
        <v>25</v>
      </c>
      <c r="D334" s="25" t="s">
        <v>3700</v>
      </c>
      <c r="E334" s="25" t="s">
        <v>3724</v>
      </c>
      <c r="G334" s="25" t="s">
        <v>1941</v>
      </c>
      <c r="J334" s="25" t="s">
        <v>1941</v>
      </c>
    </row>
    <row r="335" spans="1:14" x14ac:dyDescent="0.55000000000000004">
      <c r="A335">
        <v>334</v>
      </c>
      <c r="B335" s="25" t="s">
        <v>19</v>
      </c>
      <c r="C335" s="25">
        <v>25</v>
      </c>
      <c r="D335" s="25" t="s">
        <v>3700</v>
      </c>
      <c r="E335" s="25" t="s">
        <v>3725</v>
      </c>
      <c r="G335" s="25" t="s">
        <v>1941</v>
      </c>
      <c r="J335" s="25" t="s">
        <v>1941</v>
      </c>
    </row>
    <row r="336" spans="1:14" x14ac:dyDescent="0.55000000000000004">
      <c r="A336">
        <v>335</v>
      </c>
      <c r="B336" s="25" t="s">
        <v>20</v>
      </c>
      <c r="C336" s="25">
        <v>25</v>
      </c>
      <c r="D336" s="25" t="s">
        <v>3726</v>
      </c>
      <c r="E336" s="25" t="s">
        <v>3727</v>
      </c>
      <c r="F336" s="25">
        <v>13.43</v>
      </c>
      <c r="G336" s="25" t="s">
        <v>1889</v>
      </c>
      <c r="H336" s="25">
        <f>4.62+3.19+2.8+3.17</f>
        <v>13.78</v>
      </c>
      <c r="I336" s="25">
        <f>4.62+3.19+2.8+3.17</f>
        <v>13.78</v>
      </c>
      <c r="J336" s="25" t="s">
        <v>1891</v>
      </c>
      <c r="K336" s="25" t="str">
        <f>VLOOKUP(E336,[1]PrelimAssignPOP!$I$1:$J$947,2,FALSE)</f>
        <v>ART</v>
      </c>
      <c r="L336" s="25" t="s">
        <v>211</v>
      </c>
      <c r="M336" s="25" t="s">
        <v>186</v>
      </c>
      <c r="N336" s="25" t="s">
        <v>2213</v>
      </c>
    </row>
    <row r="337" spans="1:14" x14ac:dyDescent="0.55000000000000004">
      <c r="A337">
        <v>336</v>
      </c>
      <c r="B337" s="25" t="s">
        <v>20</v>
      </c>
      <c r="C337" s="25">
        <v>25</v>
      </c>
      <c r="D337" s="25" t="s">
        <v>3726</v>
      </c>
      <c r="E337" s="25" t="s">
        <v>3728</v>
      </c>
      <c r="F337" s="25">
        <v>12.46</v>
      </c>
      <c r="G337" s="25" t="s">
        <v>1889</v>
      </c>
      <c r="H337" s="25">
        <f>8.36+4.37</f>
        <v>12.73</v>
      </c>
      <c r="I337" s="25">
        <f>8.36+4.37</f>
        <v>12.73</v>
      </c>
      <c r="J337" s="25" t="s">
        <v>1891</v>
      </c>
      <c r="K337" s="25" t="str">
        <f>VLOOKUP(E337,[1]PrelimAssignPOP!$I$1:$J$947,2,FALSE)</f>
        <v>ART</v>
      </c>
      <c r="L337" s="25" t="s">
        <v>211</v>
      </c>
      <c r="M337" s="25" t="s">
        <v>187</v>
      </c>
      <c r="N337" s="25" t="s">
        <v>2214</v>
      </c>
    </row>
    <row r="338" spans="1:14" x14ac:dyDescent="0.55000000000000004">
      <c r="A338">
        <v>337</v>
      </c>
      <c r="B338" s="25" t="s">
        <v>20</v>
      </c>
      <c r="C338" s="25">
        <v>25</v>
      </c>
      <c r="D338" s="25" t="s">
        <v>3726</v>
      </c>
      <c r="E338" s="25" t="s">
        <v>3729</v>
      </c>
      <c r="F338" s="25">
        <v>12.01</v>
      </c>
      <c r="G338" s="25" t="s">
        <v>1889</v>
      </c>
      <c r="H338" s="25">
        <f>2.79+3.16+1.4+4.77</f>
        <v>12.12</v>
      </c>
      <c r="I338" s="25">
        <f>2.79+3.16+1.4+4.77</f>
        <v>12.12</v>
      </c>
      <c r="J338" s="25" t="s">
        <v>1891</v>
      </c>
      <c r="K338" s="25" t="str">
        <f>VLOOKUP(E338,[1]PrelimAssignPOP!$I$1:$J$947,2,FALSE)</f>
        <v>ART</v>
      </c>
      <c r="L338" s="25" t="s">
        <v>211</v>
      </c>
      <c r="M338" s="25" t="s">
        <v>120</v>
      </c>
      <c r="N338" s="25" t="s">
        <v>2215</v>
      </c>
    </row>
    <row r="339" spans="1:14" x14ac:dyDescent="0.55000000000000004">
      <c r="A339">
        <v>338</v>
      </c>
      <c r="B339" s="25" t="s">
        <v>20</v>
      </c>
      <c r="C339" s="25">
        <v>25</v>
      </c>
      <c r="D339" s="25" t="s">
        <v>3726</v>
      </c>
      <c r="E339" s="25" t="s">
        <v>3730</v>
      </c>
      <c r="F339" s="25">
        <v>12.72</v>
      </c>
      <c r="G339" s="25" t="s">
        <v>1889</v>
      </c>
      <c r="H339" s="25">
        <f>1.45+3.85+5.2+2.47</f>
        <v>12.97</v>
      </c>
      <c r="I339" s="25">
        <f>1.45+3.85+5.2+2.47</f>
        <v>12.97</v>
      </c>
      <c r="J339" s="25" t="s">
        <v>1891</v>
      </c>
      <c r="K339" s="25" t="str">
        <f>VLOOKUP(E339,[1]PrelimAssignPOP!$I$1:$J$947,2,FALSE)</f>
        <v>ART</v>
      </c>
      <c r="L339" s="25" t="s">
        <v>211</v>
      </c>
      <c r="M339" s="25" t="s">
        <v>188</v>
      </c>
      <c r="N339" s="25" t="s">
        <v>2216</v>
      </c>
    </row>
    <row r="340" spans="1:14" x14ac:dyDescent="0.55000000000000004">
      <c r="A340">
        <v>339</v>
      </c>
      <c r="B340" s="25" t="s">
        <v>20</v>
      </c>
      <c r="C340" s="25">
        <v>25</v>
      </c>
      <c r="D340" s="25" t="s">
        <v>3726</v>
      </c>
      <c r="E340" s="25" t="s">
        <v>3731</v>
      </c>
      <c r="F340" s="25">
        <v>13.16</v>
      </c>
      <c r="G340" s="25" t="s">
        <v>1889</v>
      </c>
      <c r="H340" s="25">
        <f>4.61+8.76</f>
        <v>13.370000000000001</v>
      </c>
      <c r="I340" s="25">
        <f>4.61+8.76</f>
        <v>13.370000000000001</v>
      </c>
      <c r="J340" s="25" t="s">
        <v>1891</v>
      </c>
      <c r="K340" s="25" t="str">
        <f>VLOOKUP(E340,[1]PrelimAssignPOP!$I$1:$J$947,2,FALSE)</f>
        <v>ART</v>
      </c>
      <c r="L340" s="25" t="s">
        <v>211</v>
      </c>
      <c r="M340" s="25" t="s">
        <v>189</v>
      </c>
      <c r="N340" s="25" t="s">
        <v>2217</v>
      </c>
    </row>
    <row r="341" spans="1:14" x14ac:dyDescent="0.55000000000000004">
      <c r="A341">
        <v>340</v>
      </c>
      <c r="B341" s="25" t="s">
        <v>20</v>
      </c>
      <c r="C341" s="25">
        <v>25</v>
      </c>
      <c r="D341" s="25" t="s">
        <v>3726</v>
      </c>
      <c r="E341" s="25" t="s">
        <v>3732</v>
      </c>
      <c r="F341" s="25">
        <v>12.33</v>
      </c>
      <c r="G341" s="25" t="s">
        <v>1889</v>
      </c>
      <c r="H341" s="25">
        <f>9.42+2.88</f>
        <v>12.3</v>
      </c>
      <c r="I341" s="25">
        <f>9.42+2.88</f>
        <v>12.3</v>
      </c>
      <c r="J341" s="25" t="s">
        <v>1891</v>
      </c>
      <c r="K341" s="25" t="str">
        <f>VLOOKUP(E341,[1]PrelimAssignPOP!$I$1:$J$947,2,FALSE)</f>
        <v>ART</v>
      </c>
      <c r="L341" s="25" t="s">
        <v>211</v>
      </c>
      <c r="M341" s="25" t="s">
        <v>190</v>
      </c>
      <c r="N341" s="25" t="s">
        <v>2218</v>
      </c>
    </row>
    <row r="342" spans="1:14" x14ac:dyDescent="0.55000000000000004">
      <c r="A342">
        <v>341</v>
      </c>
      <c r="B342" s="25" t="s">
        <v>20</v>
      </c>
      <c r="C342" s="25">
        <v>25</v>
      </c>
      <c r="D342" s="25" t="s">
        <v>3726</v>
      </c>
      <c r="E342" s="25" t="s">
        <v>3733</v>
      </c>
      <c r="F342" s="25">
        <v>12.7</v>
      </c>
      <c r="G342" s="25" t="s">
        <v>1889</v>
      </c>
      <c r="H342" s="25">
        <f>4.42+3.01+5.24</f>
        <v>12.67</v>
      </c>
      <c r="I342" s="25">
        <f>4.42+3.01+5.24</f>
        <v>12.67</v>
      </c>
      <c r="J342" s="25" t="s">
        <v>1891</v>
      </c>
      <c r="K342" s="25" t="str">
        <f>VLOOKUP(E342,[1]PrelimAssignPOP!$I$1:$J$947,2,FALSE)</f>
        <v>ART</v>
      </c>
      <c r="L342" s="25" t="s">
        <v>211</v>
      </c>
      <c r="M342" s="25" t="s">
        <v>191</v>
      </c>
      <c r="N342" s="25" t="s">
        <v>2219</v>
      </c>
    </row>
    <row r="343" spans="1:14" x14ac:dyDescent="0.55000000000000004">
      <c r="A343">
        <v>342</v>
      </c>
      <c r="B343" s="25" t="s">
        <v>20</v>
      </c>
      <c r="C343" s="25">
        <v>25</v>
      </c>
      <c r="D343" s="25" t="s">
        <v>3726</v>
      </c>
      <c r="E343" s="25" t="s">
        <v>3734</v>
      </c>
      <c r="F343" s="25">
        <v>11.36</v>
      </c>
      <c r="G343" s="25" t="s">
        <v>1889</v>
      </c>
      <c r="H343" s="25">
        <f>1.8+1.34+4.12+3.67</f>
        <v>10.93</v>
      </c>
      <c r="I343" s="25">
        <f>1.8+1.34+4.12+3.67</f>
        <v>10.93</v>
      </c>
      <c r="J343" s="25" t="s">
        <v>1891</v>
      </c>
      <c r="K343" s="25" t="str">
        <f>VLOOKUP(E343,[1]PrelimAssignPOP!$I$1:$J$947,2,FALSE)</f>
        <v>ART</v>
      </c>
      <c r="L343" s="25" t="s">
        <v>211</v>
      </c>
      <c r="M343" s="25" t="s">
        <v>192</v>
      </c>
      <c r="N343" s="25" t="s">
        <v>2220</v>
      </c>
    </row>
    <row r="344" spans="1:14" x14ac:dyDescent="0.55000000000000004">
      <c r="A344">
        <v>343</v>
      </c>
      <c r="B344" s="25" t="s">
        <v>20</v>
      </c>
      <c r="C344" s="25">
        <v>25</v>
      </c>
      <c r="D344" s="25" t="s">
        <v>3726</v>
      </c>
      <c r="E344" s="25" t="s">
        <v>3735</v>
      </c>
      <c r="F344" s="25">
        <v>13.17</v>
      </c>
      <c r="G344" s="25" t="s">
        <v>1889</v>
      </c>
      <c r="H344" s="25">
        <f>2.27+2.36+2.3+2.76+3.69</f>
        <v>13.379999999999999</v>
      </c>
      <c r="I344" s="25">
        <f>2.27+2.36+2.3+2.76+3.69</f>
        <v>13.379999999999999</v>
      </c>
      <c r="J344" s="25" t="s">
        <v>1891</v>
      </c>
      <c r="K344" s="25" t="str">
        <f>VLOOKUP(E344,[1]PrelimAssignPOP!$I$1:$J$947,2,FALSE)</f>
        <v>ART</v>
      </c>
      <c r="L344" s="25" t="s">
        <v>211</v>
      </c>
      <c r="M344" s="25" t="s">
        <v>193</v>
      </c>
      <c r="N344" s="25" t="s">
        <v>2221</v>
      </c>
    </row>
    <row r="345" spans="1:14" x14ac:dyDescent="0.55000000000000004">
      <c r="A345">
        <v>344</v>
      </c>
      <c r="B345" s="25" t="s">
        <v>20</v>
      </c>
      <c r="C345" s="25">
        <v>25</v>
      </c>
      <c r="D345" s="25" t="s">
        <v>3726</v>
      </c>
      <c r="E345" s="25" t="s">
        <v>3736</v>
      </c>
      <c r="F345" s="25">
        <v>12.76</v>
      </c>
      <c r="G345" s="25" t="s">
        <v>1889</v>
      </c>
      <c r="H345" s="25">
        <f>5.27+3.6+2.72+1.32</f>
        <v>12.91</v>
      </c>
      <c r="I345" s="25">
        <f>5.27+3.6+2.72+1.32</f>
        <v>12.91</v>
      </c>
      <c r="J345" s="25" t="s">
        <v>1891</v>
      </c>
      <c r="K345" s="25" t="str">
        <f>VLOOKUP(E345,[1]PrelimAssignPOP!$I$1:$J$947,2,FALSE)</f>
        <v>ART</v>
      </c>
      <c r="L345" s="25" t="s">
        <v>211</v>
      </c>
      <c r="M345" s="25" t="s">
        <v>194</v>
      </c>
      <c r="N345" s="25" t="s">
        <v>2222</v>
      </c>
    </row>
    <row r="346" spans="1:14" x14ac:dyDescent="0.55000000000000004">
      <c r="A346">
        <v>345</v>
      </c>
      <c r="B346" s="25" t="s">
        <v>20</v>
      </c>
      <c r="C346" s="25">
        <v>25</v>
      </c>
      <c r="D346" s="25" t="s">
        <v>3726</v>
      </c>
      <c r="E346" s="25" t="s">
        <v>3737</v>
      </c>
      <c r="F346" s="25">
        <v>12.8</v>
      </c>
      <c r="G346" s="25" t="s">
        <v>1889</v>
      </c>
      <c r="H346" s="25">
        <f>5.27+2.55+2.2+2.7</f>
        <v>12.719999999999999</v>
      </c>
      <c r="I346" s="25">
        <f>5.27+2.55+2.2+2.7</f>
        <v>12.719999999999999</v>
      </c>
      <c r="J346" s="25" t="s">
        <v>1891</v>
      </c>
      <c r="K346" s="25" t="str">
        <f>VLOOKUP(E346,[1]PrelimAssignPOP!$I$1:$J$947,2,FALSE)</f>
        <v>ART</v>
      </c>
      <c r="L346" s="25" t="s">
        <v>211</v>
      </c>
      <c r="M346" s="25" t="s">
        <v>195</v>
      </c>
      <c r="N346" s="25" t="s">
        <v>2223</v>
      </c>
    </row>
    <row r="347" spans="1:14" x14ac:dyDescent="0.55000000000000004">
      <c r="A347">
        <v>346</v>
      </c>
      <c r="B347" s="25" t="s">
        <v>20</v>
      </c>
      <c r="C347" s="25">
        <v>25</v>
      </c>
      <c r="D347" s="25" t="s">
        <v>3726</v>
      </c>
      <c r="E347" s="25" t="s">
        <v>3738</v>
      </c>
      <c r="F347" s="25">
        <v>12.94</v>
      </c>
      <c r="G347" s="25" t="s">
        <v>1889</v>
      </c>
      <c r="H347" s="25">
        <f>2.95+3.25+3.48+3.52</f>
        <v>13.2</v>
      </c>
      <c r="I347" s="25">
        <f>2.95+3.25+3.48+3.52</f>
        <v>13.2</v>
      </c>
      <c r="J347" s="25" t="s">
        <v>1891</v>
      </c>
      <c r="K347" s="25" t="str">
        <f>VLOOKUP(E347,[1]PrelimAssignPOP!$I$1:$J$947,2,FALSE)</f>
        <v>ART</v>
      </c>
      <c r="L347" s="25" t="s">
        <v>211</v>
      </c>
      <c r="M347" s="25" t="s">
        <v>196</v>
      </c>
      <c r="N347" s="25" t="s">
        <v>2224</v>
      </c>
    </row>
    <row r="348" spans="1:14" x14ac:dyDescent="0.55000000000000004">
      <c r="A348">
        <v>347</v>
      </c>
      <c r="B348" s="25" t="s">
        <v>20</v>
      </c>
      <c r="C348" s="25">
        <v>25</v>
      </c>
      <c r="D348" s="25" t="s">
        <v>3726</v>
      </c>
      <c r="E348" s="25" t="s">
        <v>3739</v>
      </c>
      <c r="F348" s="25">
        <v>13.15</v>
      </c>
      <c r="G348" s="25" t="s">
        <v>1889</v>
      </c>
      <c r="H348" s="25">
        <f>3.52+5.06+4.7</f>
        <v>13.280000000000001</v>
      </c>
      <c r="I348" s="25">
        <f>3.52+5.06+4.7</f>
        <v>13.280000000000001</v>
      </c>
      <c r="J348" s="25" t="s">
        <v>1891</v>
      </c>
      <c r="N348" s="25" t="s">
        <v>2225</v>
      </c>
    </row>
    <row r="349" spans="1:14" x14ac:dyDescent="0.55000000000000004">
      <c r="A349">
        <v>348</v>
      </c>
      <c r="B349" s="25" t="s">
        <v>20</v>
      </c>
      <c r="C349" s="25">
        <v>25</v>
      </c>
      <c r="D349" s="25" t="s">
        <v>3726</v>
      </c>
      <c r="E349" s="25" t="s">
        <v>3740</v>
      </c>
      <c r="F349" s="25">
        <v>12.74</v>
      </c>
      <c r="G349" s="25" t="s">
        <v>1889</v>
      </c>
      <c r="H349" s="25">
        <f>1.52+2.29+3.9+2.82+2.67</f>
        <v>13.2</v>
      </c>
      <c r="I349" s="25">
        <f>1.52+2.29+3.9+2.82+2.67</f>
        <v>13.2</v>
      </c>
      <c r="J349" s="25" t="s">
        <v>1891</v>
      </c>
      <c r="N349" s="25" t="s">
        <v>2226</v>
      </c>
    </row>
    <row r="350" spans="1:14" x14ac:dyDescent="0.55000000000000004">
      <c r="A350">
        <v>349</v>
      </c>
      <c r="B350" s="25" t="s">
        <v>20</v>
      </c>
      <c r="C350" s="25">
        <v>25</v>
      </c>
      <c r="D350" s="25" t="s">
        <v>3726</v>
      </c>
      <c r="E350" s="25" t="s">
        <v>3741</v>
      </c>
      <c r="F350" s="25">
        <v>13.63</v>
      </c>
      <c r="G350" s="25" t="s">
        <v>1889</v>
      </c>
      <c r="H350" s="25">
        <f>7.21+6.42</f>
        <v>13.629999999999999</v>
      </c>
      <c r="I350" s="25">
        <f>7.21+6.42</f>
        <v>13.629999999999999</v>
      </c>
      <c r="J350" s="25" t="s">
        <v>1891</v>
      </c>
      <c r="N350" s="25" t="s">
        <v>2227</v>
      </c>
    </row>
    <row r="351" spans="1:14" x14ac:dyDescent="0.55000000000000004">
      <c r="A351">
        <v>350</v>
      </c>
      <c r="B351" s="25" t="s">
        <v>20</v>
      </c>
      <c r="C351" s="25">
        <v>25</v>
      </c>
      <c r="D351" s="25" t="s">
        <v>3726</v>
      </c>
      <c r="E351" s="25" t="s">
        <v>3742</v>
      </c>
      <c r="F351" s="25">
        <v>12.48</v>
      </c>
      <c r="G351" s="25" t="s">
        <v>1889</v>
      </c>
      <c r="H351" s="25">
        <f>6.82+2.96+2.78</f>
        <v>12.56</v>
      </c>
      <c r="I351" s="25">
        <f>6.82+2.96+2.78</f>
        <v>12.56</v>
      </c>
      <c r="J351" s="25" t="s">
        <v>1891</v>
      </c>
      <c r="N351" s="25" t="s">
        <v>2228</v>
      </c>
    </row>
    <row r="352" spans="1:14" x14ac:dyDescent="0.55000000000000004">
      <c r="A352">
        <v>351</v>
      </c>
      <c r="B352" s="25" t="s">
        <v>20</v>
      </c>
      <c r="C352" s="25">
        <v>25</v>
      </c>
      <c r="D352" s="25" t="s">
        <v>3726</v>
      </c>
      <c r="E352" s="25" t="s">
        <v>3743</v>
      </c>
      <c r="F352" s="25">
        <v>13.21</v>
      </c>
      <c r="G352" s="25" t="s">
        <v>1889</v>
      </c>
      <c r="H352" s="25">
        <f>1.28+1.25+2.95+4.49+3.82</f>
        <v>13.790000000000001</v>
      </c>
      <c r="I352" s="25">
        <f>1.28+1.25+2.95+4.49+3.82</f>
        <v>13.790000000000001</v>
      </c>
      <c r="J352" s="25" t="s">
        <v>1891</v>
      </c>
      <c r="N352" s="25" t="s">
        <v>2229</v>
      </c>
    </row>
    <row r="353" spans="1:14" x14ac:dyDescent="0.55000000000000004">
      <c r="A353">
        <v>352</v>
      </c>
      <c r="B353" s="25" t="s">
        <v>20</v>
      </c>
      <c r="C353" s="25">
        <v>25</v>
      </c>
      <c r="D353" s="25" t="s">
        <v>3726</v>
      </c>
      <c r="E353" s="25" t="s">
        <v>3744</v>
      </c>
      <c r="F353" s="25">
        <v>12.78</v>
      </c>
      <c r="G353" s="25" t="s">
        <v>1889</v>
      </c>
      <c r="H353" s="25">
        <f>2.32+2.69+2.59+5.52</f>
        <v>13.12</v>
      </c>
      <c r="I353" s="25">
        <f>2.32+2.69+2.59+5.52</f>
        <v>13.12</v>
      </c>
      <c r="J353" s="25" t="s">
        <v>1891</v>
      </c>
      <c r="N353" s="25" t="s">
        <v>2230</v>
      </c>
    </row>
    <row r="354" spans="1:14" x14ac:dyDescent="0.55000000000000004">
      <c r="A354">
        <v>353</v>
      </c>
      <c r="B354" s="25" t="s">
        <v>20</v>
      </c>
      <c r="C354" s="25">
        <v>25</v>
      </c>
      <c r="D354" s="25" t="s">
        <v>3726</v>
      </c>
      <c r="E354" s="25" t="s">
        <v>3745</v>
      </c>
      <c r="F354" s="25">
        <v>10.19</v>
      </c>
      <c r="G354" s="25" t="s">
        <v>1889</v>
      </c>
      <c r="H354" s="25">
        <f>2.27+1.91+3.02+3.19</f>
        <v>10.389999999999999</v>
      </c>
      <c r="I354" s="25">
        <f>2.27+1.91+3.02+3.19</f>
        <v>10.389999999999999</v>
      </c>
      <c r="J354" s="25" t="s">
        <v>1891</v>
      </c>
      <c r="N354" s="25" t="s">
        <v>2231</v>
      </c>
    </row>
    <row r="355" spans="1:14" x14ac:dyDescent="0.55000000000000004">
      <c r="A355">
        <v>354</v>
      </c>
      <c r="B355" s="25" t="s">
        <v>20</v>
      </c>
      <c r="C355" s="25">
        <v>25</v>
      </c>
      <c r="D355" s="25" t="s">
        <v>3726</v>
      </c>
      <c r="E355" s="25" t="s">
        <v>3746</v>
      </c>
      <c r="F355" s="25">
        <v>12.24</v>
      </c>
      <c r="G355" s="25" t="s">
        <v>1889</v>
      </c>
      <c r="H355" s="25">
        <f>3.51+4.21+4.68</f>
        <v>12.399999999999999</v>
      </c>
      <c r="I355" s="25">
        <f>3.51+4.21+4.68</f>
        <v>12.399999999999999</v>
      </c>
      <c r="J355" s="25" t="s">
        <v>1891</v>
      </c>
      <c r="N355" s="25" t="s">
        <v>2232</v>
      </c>
    </row>
    <row r="356" spans="1:14" x14ac:dyDescent="0.55000000000000004">
      <c r="A356">
        <v>355</v>
      </c>
      <c r="B356" s="25" t="s">
        <v>20</v>
      </c>
      <c r="C356" s="25">
        <v>25</v>
      </c>
      <c r="D356" s="25" t="s">
        <v>3726</v>
      </c>
      <c r="E356" s="25" t="s">
        <v>3747</v>
      </c>
      <c r="F356" s="25">
        <v>11.16</v>
      </c>
      <c r="G356" s="25" t="s">
        <v>1889</v>
      </c>
      <c r="H356" s="25">
        <f>3.33+3.13+2.85+2.02</f>
        <v>11.33</v>
      </c>
      <c r="I356" s="25">
        <f>3.33+3.13+2.85+2.02</f>
        <v>11.33</v>
      </c>
      <c r="J356" s="25" t="s">
        <v>1891</v>
      </c>
      <c r="N356" s="25" t="s">
        <v>2233</v>
      </c>
    </row>
    <row r="357" spans="1:14" x14ac:dyDescent="0.55000000000000004">
      <c r="A357">
        <v>356</v>
      </c>
      <c r="B357" s="25" t="s">
        <v>20</v>
      </c>
      <c r="C357" s="25">
        <v>25</v>
      </c>
      <c r="D357" s="25" t="s">
        <v>3726</v>
      </c>
      <c r="E357" s="25" t="s">
        <v>3748</v>
      </c>
      <c r="F357" s="25">
        <v>12.24</v>
      </c>
      <c r="G357" s="25" t="s">
        <v>1889</v>
      </c>
      <c r="H357" s="25">
        <f>1.77+3.01+1.32+1.15+4.92</f>
        <v>12.17</v>
      </c>
      <c r="I357" s="25">
        <f>1.77+3.01+1.32+1.15+4.92</f>
        <v>12.17</v>
      </c>
      <c r="J357" s="25" t="s">
        <v>1891</v>
      </c>
      <c r="N357" s="25" t="s">
        <v>2234</v>
      </c>
    </row>
    <row r="358" spans="1:14" x14ac:dyDescent="0.55000000000000004">
      <c r="A358">
        <v>357</v>
      </c>
      <c r="B358" s="25" t="s">
        <v>20</v>
      </c>
      <c r="C358" s="25">
        <v>25</v>
      </c>
      <c r="D358" s="25" t="s">
        <v>3726</v>
      </c>
      <c r="E358" s="25" t="s">
        <v>3749</v>
      </c>
      <c r="F358" s="25">
        <v>13.25</v>
      </c>
      <c r="G358" s="25" t="s">
        <v>1889</v>
      </c>
      <c r="H358" s="25">
        <f>2.66+6.48+4.18</f>
        <v>13.32</v>
      </c>
      <c r="I358" s="25">
        <f>2.66+6.48+4.18</f>
        <v>13.32</v>
      </c>
      <c r="J358" s="25" t="s">
        <v>1891</v>
      </c>
      <c r="N358" s="25" t="s">
        <v>2235</v>
      </c>
    </row>
    <row r="359" spans="1:14" x14ac:dyDescent="0.55000000000000004">
      <c r="A359">
        <v>358</v>
      </c>
      <c r="B359" s="25" t="s">
        <v>20</v>
      </c>
      <c r="C359" s="25">
        <v>25</v>
      </c>
      <c r="D359" s="25" t="s">
        <v>3726</v>
      </c>
      <c r="E359" s="25" t="s">
        <v>3750</v>
      </c>
      <c r="F359" s="25">
        <v>13.26</v>
      </c>
      <c r="G359" s="25" t="s">
        <v>1889</v>
      </c>
      <c r="H359" s="25">
        <f>8.66+4.66</f>
        <v>13.32</v>
      </c>
      <c r="I359" s="25">
        <f>8.66+4.66</f>
        <v>13.32</v>
      </c>
      <c r="J359" s="25" t="s">
        <v>1891</v>
      </c>
      <c r="N359" s="25" t="s">
        <v>2236</v>
      </c>
    </row>
    <row r="360" spans="1:14" x14ac:dyDescent="0.55000000000000004">
      <c r="A360">
        <v>359</v>
      </c>
      <c r="B360" s="25" t="s">
        <v>20</v>
      </c>
      <c r="C360" s="25">
        <v>25</v>
      </c>
      <c r="D360" s="25" t="s">
        <v>3726</v>
      </c>
      <c r="E360" s="25" t="s">
        <v>3751</v>
      </c>
      <c r="F360" s="25">
        <v>12.9</v>
      </c>
      <c r="G360" s="25" t="s">
        <v>1889</v>
      </c>
      <c r="H360" s="25">
        <f>8.5+2.24+2.3</f>
        <v>13.04</v>
      </c>
      <c r="I360" s="25">
        <f>8.5+2.24+2.3</f>
        <v>13.04</v>
      </c>
      <c r="J360" s="25" t="s">
        <v>1891</v>
      </c>
      <c r="N360" s="25" t="s">
        <v>2237</v>
      </c>
    </row>
    <row r="361" spans="1:14" x14ac:dyDescent="0.55000000000000004">
      <c r="A361">
        <v>360</v>
      </c>
      <c r="B361" s="25" t="s">
        <v>21</v>
      </c>
      <c r="C361" s="25">
        <v>25</v>
      </c>
      <c r="D361" s="25" t="s">
        <v>3752</v>
      </c>
      <c r="E361" s="25" t="s">
        <v>3753</v>
      </c>
      <c r="F361" s="25">
        <v>14.43</v>
      </c>
      <c r="G361" s="25" t="s">
        <v>1889</v>
      </c>
      <c r="H361" s="25">
        <f>7.48+1.22+6.02</f>
        <v>14.72</v>
      </c>
      <c r="I361" s="25">
        <f>7.48+1.22+6.02</f>
        <v>14.72</v>
      </c>
      <c r="J361" s="25" t="s">
        <v>1891</v>
      </c>
      <c r="K361" s="25" t="str">
        <f>VLOOKUP(E361,[1]PrelimAssignPOP!$I$1:$J$947,2,FALSE)</f>
        <v>KIY</v>
      </c>
      <c r="L361" s="25" t="s">
        <v>211</v>
      </c>
      <c r="M361" s="25" t="s">
        <v>197</v>
      </c>
      <c r="N361" s="25" t="s">
        <v>2238</v>
      </c>
    </row>
    <row r="362" spans="1:14" x14ac:dyDescent="0.55000000000000004">
      <c r="A362">
        <v>361</v>
      </c>
      <c r="B362" s="25" t="s">
        <v>21</v>
      </c>
      <c r="C362" s="25">
        <v>25</v>
      </c>
      <c r="D362" s="25" t="s">
        <v>3752</v>
      </c>
      <c r="E362" s="25" t="s">
        <v>3754</v>
      </c>
      <c r="F362" s="25">
        <v>12.79</v>
      </c>
      <c r="G362" s="25" t="s">
        <v>1889</v>
      </c>
      <c r="H362" s="25">
        <f>3.79+5.18+3.82</f>
        <v>12.79</v>
      </c>
      <c r="I362" s="25">
        <f>3.79+5.18+3.82</f>
        <v>12.79</v>
      </c>
      <c r="J362" s="25" t="s">
        <v>1891</v>
      </c>
      <c r="K362" s="25" t="str">
        <f>VLOOKUP(E362,[1]PrelimAssignPOP!$I$1:$J$947,2,FALSE)</f>
        <v>ART</v>
      </c>
      <c r="L362" s="25" t="s">
        <v>211</v>
      </c>
      <c r="M362" s="25" t="s">
        <v>198</v>
      </c>
      <c r="N362" s="25" t="s">
        <v>2239</v>
      </c>
    </row>
    <row r="363" spans="1:14" x14ac:dyDescent="0.55000000000000004">
      <c r="A363">
        <v>362</v>
      </c>
      <c r="B363" s="25" t="s">
        <v>21</v>
      </c>
      <c r="C363" s="25">
        <v>25</v>
      </c>
      <c r="D363" s="25" t="s">
        <v>3752</v>
      </c>
      <c r="E363" s="25" t="s">
        <v>3755</v>
      </c>
      <c r="F363" s="25">
        <v>12.48</v>
      </c>
      <c r="G363" s="25" t="s">
        <v>1889</v>
      </c>
      <c r="H363" s="25">
        <f>2.66+5.42+4.51</f>
        <v>12.59</v>
      </c>
      <c r="I363" s="25">
        <f>2.66+5.42+4.51</f>
        <v>12.59</v>
      </c>
      <c r="J363" s="25" t="s">
        <v>1891</v>
      </c>
      <c r="K363" s="25" t="str">
        <f>VLOOKUP(E363,[1]PrelimAssignPOP!$I$1:$J$947,2,FALSE)</f>
        <v>ART</v>
      </c>
      <c r="L363" s="25" t="s">
        <v>211</v>
      </c>
      <c r="M363" s="25" t="s">
        <v>121</v>
      </c>
      <c r="N363" s="25" t="s">
        <v>2240</v>
      </c>
    </row>
    <row r="364" spans="1:14" x14ac:dyDescent="0.55000000000000004">
      <c r="A364">
        <v>363</v>
      </c>
      <c r="B364" s="25" t="s">
        <v>21</v>
      </c>
      <c r="C364" s="25">
        <v>25</v>
      </c>
      <c r="D364" s="25" t="s">
        <v>3752</v>
      </c>
      <c r="E364" s="25" t="s">
        <v>3756</v>
      </c>
      <c r="F364" s="25">
        <v>11.7</v>
      </c>
      <c r="G364" s="25" t="s">
        <v>1889</v>
      </c>
      <c r="H364" s="25">
        <f>3.62+4.75+3.54</f>
        <v>11.91</v>
      </c>
      <c r="I364" s="25">
        <f>3.62+4.75+3.54</f>
        <v>11.91</v>
      </c>
      <c r="J364" s="25" t="s">
        <v>1891</v>
      </c>
      <c r="K364" s="25" t="str">
        <f>VLOOKUP(E364,[1]PrelimAssignPOP!$I$1:$J$947,2,FALSE)</f>
        <v>ART</v>
      </c>
      <c r="L364" s="25" t="s">
        <v>211</v>
      </c>
      <c r="M364" s="25" t="s">
        <v>199</v>
      </c>
      <c r="N364" s="25" t="s">
        <v>2241</v>
      </c>
    </row>
    <row r="365" spans="1:14" x14ac:dyDescent="0.55000000000000004">
      <c r="A365">
        <v>364</v>
      </c>
      <c r="B365" s="25" t="s">
        <v>21</v>
      </c>
      <c r="C365" s="25">
        <v>25</v>
      </c>
      <c r="D365" s="25" t="s">
        <v>3752</v>
      </c>
      <c r="E365" s="25" t="s">
        <v>3757</v>
      </c>
      <c r="F365" s="25">
        <v>13.86</v>
      </c>
      <c r="G365" s="25" t="s">
        <v>1889</v>
      </c>
      <c r="H365" s="25">
        <f>6.77+2.77+2.35+2.34</f>
        <v>14.229999999999999</v>
      </c>
      <c r="I365" s="25">
        <f>6.77+2.77+2.35+2.34</f>
        <v>14.229999999999999</v>
      </c>
      <c r="J365" s="25" t="s">
        <v>1891</v>
      </c>
      <c r="K365" s="25" t="str">
        <f>VLOOKUP(E365,[1]PrelimAssignPOP!$I$1:$J$947,2,FALSE)</f>
        <v>KIY</v>
      </c>
      <c r="L365" s="25" t="s">
        <v>211</v>
      </c>
      <c r="M365" s="25" t="s">
        <v>200</v>
      </c>
      <c r="N365" s="25" t="s">
        <v>2242</v>
      </c>
    </row>
    <row r="366" spans="1:14" x14ac:dyDescent="0.55000000000000004">
      <c r="A366">
        <v>365</v>
      </c>
      <c r="B366" s="25" t="s">
        <v>21</v>
      </c>
      <c r="C366" s="25">
        <v>25</v>
      </c>
      <c r="D366" s="25" t="s">
        <v>3752</v>
      </c>
      <c r="E366" s="25" t="s">
        <v>3758</v>
      </c>
      <c r="F366" s="25">
        <v>14.46</v>
      </c>
      <c r="G366" s="25" t="s">
        <v>1889</v>
      </c>
      <c r="H366" s="25">
        <f>7.97+6.57</f>
        <v>14.54</v>
      </c>
      <c r="I366" s="25">
        <f>7.97+6.57</f>
        <v>14.54</v>
      </c>
      <c r="J366" s="25" t="s">
        <v>1891</v>
      </c>
      <c r="K366" s="25" t="str">
        <f>VLOOKUP(E366,[1]PrelimAssignPOP!$I$1:$J$947,2,FALSE)</f>
        <v>ART</v>
      </c>
      <c r="L366" s="25" t="s">
        <v>211</v>
      </c>
      <c r="M366" s="25" t="s">
        <v>201</v>
      </c>
      <c r="N366" s="25" t="s">
        <v>2243</v>
      </c>
    </row>
    <row r="367" spans="1:14" x14ac:dyDescent="0.55000000000000004">
      <c r="A367">
        <v>366</v>
      </c>
      <c r="B367" s="25" t="s">
        <v>21</v>
      </c>
      <c r="C367" s="25">
        <v>25</v>
      </c>
      <c r="D367" s="25" t="s">
        <v>3752</v>
      </c>
      <c r="E367" s="25" t="s">
        <v>3759</v>
      </c>
      <c r="F367" s="25">
        <v>11.06</v>
      </c>
      <c r="G367" s="25" t="s">
        <v>1889</v>
      </c>
      <c r="H367" s="25">
        <f>6.26+3.43+1.45</f>
        <v>11.139999999999999</v>
      </c>
      <c r="I367" s="25">
        <f>6.26+3.43+1.45</f>
        <v>11.139999999999999</v>
      </c>
      <c r="J367" s="25" t="s">
        <v>1891</v>
      </c>
      <c r="K367" s="25" t="str">
        <f>VLOOKUP(E367,[1]PrelimAssignPOP!$I$1:$J$947,2,FALSE)</f>
        <v>ART</v>
      </c>
      <c r="L367" s="25" t="s">
        <v>211</v>
      </c>
      <c r="M367" s="25" t="s">
        <v>202</v>
      </c>
      <c r="N367" s="25" t="s">
        <v>2244</v>
      </c>
    </row>
    <row r="368" spans="1:14" x14ac:dyDescent="0.55000000000000004">
      <c r="A368">
        <v>367</v>
      </c>
      <c r="B368" s="25" t="s">
        <v>21</v>
      </c>
      <c r="C368" s="25">
        <v>25</v>
      </c>
      <c r="D368" s="25" t="s">
        <v>3752</v>
      </c>
      <c r="E368" s="25" t="s">
        <v>3760</v>
      </c>
      <c r="F368" s="25">
        <v>13.15</v>
      </c>
      <c r="G368" s="25" t="s">
        <v>1889</v>
      </c>
      <c r="H368" s="25">
        <f>3.43+5.44+4.43</f>
        <v>13.3</v>
      </c>
      <c r="I368" s="25">
        <f>3.43+5.44+4.43</f>
        <v>13.3</v>
      </c>
      <c r="J368" s="25" t="s">
        <v>1891</v>
      </c>
      <c r="K368" s="25" t="str">
        <f>VLOOKUP(E368,[1]PrelimAssignPOP!$I$1:$J$947,2,FALSE)</f>
        <v>KIY</v>
      </c>
      <c r="L368" s="25" t="s">
        <v>211</v>
      </c>
      <c r="M368" s="25" t="s">
        <v>203</v>
      </c>
      <c r="N368" s="25" t="s">
        <v>2245</v>
      </c>
    </row>
    <row r="369" spans="1:14" x14ac:dyDescent="0.55000000000000004">
      <c r="A369">
        <v>368</v>
      </c>
      <c r="B369" s="25" t="s">
        <v>21</v>
      </c>
      <c r="C369" s="25">
        <v>25</v>
      </c>
      <c r="D369" s="25" t="s">
        <v>3752</v>
      </c>
      <c r="E369" s="25" t="s">
        <v>3761</v>
      </c>
      <c r="F369" s="25">
        <v>11.63</v>
      </c>
      <c r="G369" s="25" t="s">
        <v>1889</v>
      </c>
      <c r="H369" s="25">
        <f>6.59+5.12</f>
        <v>11.71</v>
      </c>
      <c r="I369" s="25">
        <f>6.59+5.12</f>
        <v>11.71</v>
      </c>
      <c r="J369" s="25" t="s">
        <v>1891</v>
      </c>
      <c r="K369" s="25" t="str">
        <f>VLOOKUP(E369,[1]PrelimAssignPOP!$I$1:$J$947,2,FALSE)</f>
        <v>ART</v>
      </c>
      <c r="L369" s="25" t="s">
        <v>211</v>
      </c>
      <c r="M369" s="25" t="s">
        <v>204</v>
      </c>
      <c r="N369" s="25" t="s">
        <v>2246</v>
      </c>
    </row>
    <row r="370" spans="1:14" x14ac:dyDescent="0.55000000000000004">
      <c r="A370">
        <v>369</v>
      </c>
      <c r="B370" s="25" t="s">
        <v>21</v>
      </c>
      <c r="C370" s="25">
        <v>25</v>
      </c>
      <c r="D370" s="25" t="s">
        <v>3752</v>
      </c>
      <c r="E370" s="25" t="s">
        <v>3762</v>
      </c>
      <c r="F370" s="25">
        <v>10.82</v>
      </c>
      <c r="G370" s="25" t="s">
        <v>1889</v>
      </c>
      <c r="H370" s="25">
        <f>3.7+2.42+4.97</f>
        <v>11.09</v>
      </c>
      <c r="I370" s="25">
        <f>3.7+2.42+4.97</f>
        <v>11.09</v>
      </c>
      <c r="J370" s="25" t="s">
        <v>1891</v>
      </c>
      <c r="K370" s="25" t="str">
        <f>VLOOKUP(E370,[1]PrelimAssignPOP!$I$1:$J$947,2,FALSE)</f>
        <v>ART</v>
      </c>
      <c r="L370" s="25" t="s">
        <v>211</v>
      </c>
      <c r="M370" s="25" t="s">
        <v>205</v>
      </c>
      <c r="N370" s="25" t="s">
        <v>2247</v>
      </c>
    </row>
    <row r="371" spans="1:14" x14ac:dyDescent="0.55000000000000004">
      <c r="A371">
        <v>370</v>
      </c>
      <c r="B371" s="25" t="s">
        <v>21</v>
      </c>
      <c r="C371" s="25">
        <v>25</v>
      </c>
      <c r="D371" s="25" t="s">
        <v>3752</v>
      </c>
      <c r="E371" s="25" t="s">
        <v>3763</v>
      </c>
      <c r="F371" s="25">
        <v>12.38</v>
      </c>
      <c r="G371" s="25" t="s">
        <v>1889</v>
      </c>
      <c r="H371" s="25">
        <f>3.29+6.01+3.16</f>
        <v>12.46</v>
      </c>
      <c r="I371" s="25">
        <f>3.29+6.01+3.16</f>
        <v>12.46</v>
      </c>
      <c r="J371" s="25" t="s">
        <v>1891</v>
      </c>
      <c r="K371" s="25" t="str">
        <f>VLOOKUP(E371,[1]PrelimAssignPOP!$I$1:$J$947,2,FALSE)</f>
        <v>KIY</v>
      </c>
      <c r="L371" s="25" t="s">
        <v>211</v>
      </c>
      <c r="M371" s="25" t="s">
        <v>206</v>
      </c>
      <c r="N371" s="25" t="s">
        <v>2248</v>
      </c>
    </row>
    <row r="372" spans="1:14" x14ac:dyDescent="0.55000000000000004">
      <c r="A372">
        <v>371</v>
      </c>
      <c r="B372" s="25" t="s">
        <v>21</v>
      </c>
      <c r="C372" s="25">
        <v>25</v>
      </c>
      <c r="D372" s="25" t="s">
        <v>3752</v>
      </c>
      <c r="E372" s="25" t="s">
        <v>3764</v>
      </c>
      <c r="F372" s="25">
        <v>12.53</v>
      </c>
      <c r="G372" s="25" t="s">
        <v>1889</v>
      </c>
      <c r="H372" s="25">
        <f>4.09+5.07+3.48</f>
        <v>12.64</v>
      </c>
      <c r="I372" s="25">
        <f>4.09+5.07+3.48</f>
        <v>12.64</v>
      </c>
      <c r="J372" s="25" t="s">
        <v>1891</v>
      </c>
      <c r="K372" s="25" t="str">
        <f>VLOOKUP(E372,[1]PrelimAssignPOP!$I$1:$J$947,2,FALSE)</f>
        <v>KIY</v>
      </c>
      <c r="L372" s="25" t="s">
        <v>211</v>
      </c>
      <c r="M372" s="25" t="s">
        <v>207</v>
      </c>
      <c r="N372" s="25" t="s">
        <v>2249</v>
      </c>
    </row>
    <row r="373" spans="1:14" x14ac:dyDescent="0.55000000000000004">
      <c r="A373">
        <v>372</v>
      </c>
      <c r="B373" s="25" t="s">
        <v>21</v>
      </c>
      <c r="C373" s="25">
        <v>25</v>
      </c>
      <c r="D373" s="25" t="s">
        <v>3752</v>
      </c>
      <c r="E373" s="25" t="s">
        <v>3765</v>
      </c>
      <c r="F373" s="25">
        <v>11.55</v>
      </c>
      <c r="G373" s="25" t="s">
        <v>1889</v>
      </c>
      <c r="H373" s="25">
        <f>2.7+2.72+1.02+1.39+4.22</f>
        <v>12.049999999999999</v>
      </c>
      <c r="I373" s="25">
        <f>2.7+2.72+1.02+1.39+4.22</f>
        <v>12.049999999999999</v>
      </c>
      <c r="J373" s="25" t="s">
        <v>1891</v>
      </c>
      <c r="N373" s="25" t="s">
        <v>2250</v>
      </c>
    </row>
    <row r="374" spans="1:14" x14ac:dyDescent="0.55000000000000004">
      <c r="A374">
        <v>373</v>
      </c>
      <c r="B374" s="25" t="s">
        <v>21</v>
      </c>
      <c r="C374" s="25">
        <v>25</v>
      </c>
      <c r="D374" s="25" t="s">
        <v>3752</v>
      </c>
      <c r="E374" s="25" t="s">
        <v>3766</v>
      </c>
      <c r="F374" s="25">
        <v>13.01</v>
      </c>
      <c r="G374" s="25" t="s">
        <v>1889</v>
      </c>
      <c r="H374" s="25">
        <f>2.05+4.74+2.38+4.14</f>
        <v>13.309999999999999</v>
      </c>
      <c r="I374" s="25">
        <f>2.05+4.74+2.38+4.14</f>
        <v>13.309999999999999</v>
      </c>
      <c r="J374" s="25" t="s">
        <v>1891</v>
      </c>
      <c r="N374" s="25" t="s">
        <v>2251</v>
      </c>
    </row>
    <row r="375" spans="1:14" x14ac:dyDescent="0.55000000000000004">
      <c r="A375">
        <v>374</v>
      </c>
      <c r="B375" s="25" t="s">
        <v>21</v>
      </c>
      <c r="C375" s="25">
        <v>25</v>
      </c>
      <c r="D375" s="25" t="s">
        <v>3752</v>
      </c>
      <c r="E375" s="25" t="s">
        <v>3767</v>
      </c>
      <c r="F375" s="25">
        <v>12.11</v>
      </c>
      <c r="G375" s="25" t="s">
        <v>1889</v>
      </c>
      <c r="H375" s="25">
        <f>4.44+4.04+3.56</f>
        <v>12.040000000000001</v>
      </c>
      <c r="I375" s="25">
        <f>4.44+4.04+3.56</f>
        <v>12.040000000000001</v>
      </c>
      <c r="J375" s="25" t="s">
        <v>1891</v>
      </c>
      <c r="N375" s="25" t="s">
        <v>2252</v>
      </c>
    </row>
    <row r="376" spans="1:14" x14ac:dyDescent="0.55000000000000004">
      <c r="A376">
        <v>375</v>
      </c>
      <c r="B376" s="25" t="s">
        <v>21</v>
      </c>
      <c r="C376" s="25">
        <v>25</v>
      </c>
      <c r="D376" s="25" t="s">
        <v>3752</v>
      </c>
      <c r="E376" s="25" t="s">
        <v>3768</v>
      </c>
      <c r="F376" s="25">
        <v>13.14</v>
      </c>
      <c r="G376" s="25" t="s">
        <v>1889</v>
      </c>
      <c r="H376" s="25">
        <f>3.67+3.79+3.51+2.31</f>
        <v>13.28</v>
      </c>
      <c r="I376" s="25">
        <f>3.67+3.79+3.51+2.31</f>
        <v>13.28</v>
      </c>
      <c r="J376" s="25" t="s">
        <v>1891</v>
      </c>
      <c r="N376" s="25" t="s">
        <v>2253</v>
      </c>
    </row>
    <row r="377" spans="1:14" x14ac:dyDescent="0.55000000000000004">
      <c r="A377">
        <v>376</v>
      </c>
      <c r="B377" s="25" t="s">
        <v>21</v>
      </c>
      <c r="C377" s="25">
        <v>25</v>
      </c>
      <c r="D377" s="25" t="s">
        <v>3752</v>
      </c>
      <c r="E377" s="25" t="s">
        <v>3769</v>
      </c>
      <c r="F377" s="25">
        <v>13.63</v>
      </c>
      <c r="G377" s="25" t="s">
        <v>1889</v>
      </c>
      <c r="H377" s="25">
        <f>7.28+6.34</f>
        <v>13.620000000000001</v>
      </c>
      <c r="I377" s="25">
        <f>7.28+6.34</f>
        <v>13.620000000000001</v>
      </c>
      <c r="J377" s="25" t="s">
        <v>1891</v>
      </c>
      <c r="N377" s="25" t="s">
        <v>2254</v>
      </c>
    </row>
    <row r="378" spans="1:14" x14ac:dyDescent="0.55000000000000004">
      <c r="A378">
        <v>377</v>
      </c>
      <c r="B378" s="25" t="s">
        <v>21</v>
      </c>
      <c r="C378" s="25">
        <v>25</v>
      </c>
      <c r="D378" s="25" t="s">
        <v>3752</v>
      </c>
      <c r="E378" s="25" t="s">
        <v>3770</v>
      </c>
      <c r="F378" s="25">
        <v>13.24</v>
      </c>
      <c r="G378" s="25" t="s">
        <v>1889</v>
      </c>
      <c r="H378" s="25">
        <f>5.63+8.01</f>
        <v>13.64</v>
      </c>
      <c r="I378" s="25">
        <f>5.63+8.01</f>
        <v>13.64</v>
      </c>
      <c r="J378" s="25" t="s">
        <v>1891</v>
      </c>
      <c r="N378" s="25" t="s">
        <v>2255</v>
      </c>
    </row>
    <row r="379" spans="1:14" x14ac:dyDescent="0.55000000000000004">
      <c r="A379">
        <v>378</v>
      </c>
      <c r="B379" s="25" t="s">
        <v>21</v>
      </c>
      <c r="C379" s="25">
        <v>25</v>
      </c>
      <c r="D379" s="25" t="s">
        <v>3752</v>
      </c>
      <c r="E379" s="25" t="s">
        <v>3771</v>
      </c>
      <c r="F379" s="25">
        <v>11.06</v>
      </c>
      <c r="G379" s="25" t="s">
        <v>1889</v>
      </c>
      <c r="H379" s="25">
        <f>4.17+2.08+5.05</f>
        <v>11.3</v>
      </c>
      <c r="I379" s="25">
        <f>4.17+2.08+5.05</f>
        <v>11.3</v>
      </c>
      <c r="J379" s="25" t="s">
        <v>1891</v>
      </c>
      <c r="N379" s="25" t="s">
        <v>2256</v>
      </c>
    </row>
    <row r="380" spans="1:14" x14ac:dyDescent="0.55000000000000004">
      <c r="A380">
        <v>379</v>
      </c>
      <c r="B380" s="25" t="s">
        <v>21</v>
      </c>
      <c r="C380" s="25">
        <v>25</v>
      </c>
      <c r="D380" s="25" t="s">
        <v>3752</v>
      </c>
      <c r="E380" s="25" t="s">
        <v>3772</v>
      </c>
      <c r="F380" s="25">
        <v>12.26</v>
      </c>
      <c r="G380" s="25" t="s">
        <v>1889</v>
      </c>
      <c r="H380" s="25">
        <f>8.6+3.76</f>
        <v>12.36</v>
      </c>
      <c r="I380" s="25">
        <f>8.6+3.76</f>
        <v>12.36</v>
      </c>
      <c r="J380" s="25" t="s">
        <v>1891</v>
      </c>
      <c r="N380" s="25" t="s">
        <v>2257</v>
      </c>
    </row>
    <row r="381" spans="1:14" x14ac:dyDescent="0.55000000000000004">
      <c r="A381">
        <v>380</v>
      </c>
      <c r="B381" s="25" t="s">
        <v>21</v>
      </c>
      <c r="C381" s="25">
        <v>25</v>
      </c>
      <c r="D381" s="25" t="s">
        <v>3752</v>
      </c>
      <c r="E381" s="25" t="s">
        <v>3773</v>
      </c>
      <c r="F381" s="25">
        <v>12.21</v>
      </c>
      <c r="G381" s="25" t="s">
        <v>1889</v>
      </c>
      <c r="H381" s="25">
        <f>4.22+1.56+2.62+4.03</f>
        <v>12.43</v>
      </c>
      <c r="I381" s="25">
        <f>4.22+1.56+2.62+4.03</f>
        <v>12.43</v>
      </c>
      <c r="J381" s="25" t="s">
        <v>1891</v>
      </c>
      <c r="N381" s="25" t="s">
        <v>2258</v>
      </c>
    </row>
    <row r="382" spans="1:14" x14ac:dyDescent="0.55000000000000004">
      <c r="A382">
        <v>381</v>
      </c>
      <c r="B382" s="25" t="s">
        <v>21</v>
      </c>
      <c r="C382" s="25">
        <v>25</v>
      </c>
      <c r="D382" s="25" t="s">
        <v>3752</v>
      </c>
      <c r="E382" s="25" t="s">
        <v>3774</v>
      </c>
      <c r="F382" s="25">
        <v>13.6</v>
      </c>
      <c r="G382" s="25" t="s">
        <v>1889</v>
      </c>
      <c r="H382" s="25">
        <f>6.39+7.32</f>
        <v>13.71</v>
      </c>
      <c r="I382" s="25">
        <f>6.39+7.32</f>
        <v>13.71</v>
      </c>
      <c r="J382" s="25" t="s">
        <v>1891</v>
      </c>
      <c r="N382" s="25" t="s">
        <v>2259</v>
      </c>
    </row>
    <row r="383" spans="1:14" x14ac:dyDescent="0.55000000000000004">
      <c r="A383">
        <v>382</v>
      </c>
      <c r="B383" s="25" t="s">
        <v>21</v>
      </c>
      <c r="C383" s="25">
        <v>25</v>
      </c>
      <c r="D383" s="25" t="s">
        <v>3752</v>
      </c>
      <c r="E383" s="25" t="s">
        <v>3775</v>
      </c>
      <c r="F383" s="25">
        <v>12.51</v>
      </c>
      <c r="G383" s="25" t="s">
        <v>1889</v>
      </c>
      <c r="H383" s="25">
        <f>1.72+1.46+3.91+5.79</f>
        <v>12.879999999999999</v>
      </c>
      <c r="I383" s="25">
        <f>1.72+1.46+3.91+5.79</f>
        <v>12.879999999999999</v>
      </c>
      <c r="J383" s="25" t="s">
        <v>1891</v>
      </c>
      <c r="N383" s="25" t="s">
        <v>2260</v>
      </c>
    </row>
    <row r="384" spans="1:14" x14ac:dyDescent="0.55000000000000004">
      <c r="A384">
        <v>383</v>
      </c>
      <c r="B384" s="25" t="s">
        <v>21</v>
      </c>
      <c r="C384" s="25">
        <v>25</v>
      </c>
      <c r="D384" s="25" t="s">
        <v>3752</v>
      </c>
      <c r="E384" s="25" t="s">
        <v>3776</v>
      </c>
      <c r="F384" s="25">
        <v>11.75</v>
      </c>
      <c r="G384" s="25" t="s">
        <v>1889</v>
      </c>
      <c r="H384" s="25">
        <f>3.75+2.25+2.28+3.79</f>
        <v>12.07</v>
      </c>
      <c r="I384" s="25">
        <f>3.75+2.25+2.28+3.79</f>
        <v>12.07</v>
      </c>
      <c r="J384" s="25" t="s">
        <v>1891</v>
      </c>
      <c r="N384" s="25" t="s">
        <v>2261</v>
      </c>
    </row>
    <row r="385" spans="1:14" x14ac:dyDescent="0.55000000000000004">
      <c r="A385">
        <v>384</v>
      </c>
      <c r="B385" s="25" t="s">
        <v>21</v>
      </c>
      <c r="C385" s="25">
        <v>25</v>
      </c>
      <c r="D385" s="25" t="s">
        <v>3752</v>
      </c>
      <c r="E385" s="25" t="s">
        <v>3777</v>
      </c>
      <c r="F385" s="25">
        <v>10.61</v>
      </c>
      <c r="G385" s="25" t="s">
        <v>1889</v>
      </c>
      <c r="H385" s="25">
        <f>3.36+4.61+2.82</f>
        <v>10.790000000000001</v>
      </c>
      <c r="I385" s="25">
        <f>3.36+4.61+2.82</f>
        <v>10.790000000000001</v>
      </c>
      <c r="J385" s="25" t="s">
        <v>1891</v>
      </c>
      <c r="N385" s="25" t="s">
        <v>2262</v>
      </c>
    </row>
    <row r="386" spans="1:14" x14ac:dyDescent="0.55000000000000004">
      <c r="A386">
        <v>385</v>
      </c>
      <c r="B386" s="25" t="s">
        <v>22</v>
      </c>
      <c r="C386" s="25">
        <v>25</v>
      </c>
      <c r="D386" s="25" t="s">
        <v>3778</v>
      </c>
      <c r="E386" s="25" t="s">
        <v>3779</v>
      </c>
      <c r="F386" s="25">
        <v>11.81</v>
      </c>
      <c r="G386" s="25" t="s">
        <v>1889</v>
      </c>
      <c r="H386" s="25">
        <v>11.87</v>
      </c>
      <c r="I386" s="25">
        <v>11.87</v>
      </c>
      <c r="J386" s="25" t="s">
        <v>1891</v>
      </c>
      <c r="K386" s="25" t="str">
        <f>VLOOKUP(E386,[1]PrelimAssignPOP!$I$1:$J$947,2,FALSE)</f>
        <v>ART</v>
      </c>
      <c r="L386" s="25" t="s">
        <v>211</v>
      </c>
      <c r="M386" s="25" t="s">
        <v>208</v>
      </c>
      <c r="N386" s="25" t="s">
        <v>2263</v>
      </c>
    </row>
    <row r="387" spans="1:14" x14ac:dyDescent="0.55000000000000004">
      <c r="A387">
        <v>386</v>
      </c>
      <c r="B387" s="25" t="s">
        <v>22</v>
      </c>
      <c r="C387" s="25">
        <v>25</v>
      </c>
      <c r="D387" s="25" t="s">
        <v>3778</v>
      </c>
      <c r="E387" s="25" t="s">
        <v>3780</v>
      </c>
      <c r="F387" s="25">
        <v>10.99</v>
      </c>
      <c r="G387" s="25" t="s">
        <v>1889</v>
      </c>
      <c r="H387" s="25">
        <f>3.3+3.14+4.75</f>
        <v>11.19</v>
      </c>
      <c r="I387" s="25">
        <f>3.3+3.14+4.75</f>
        <v>11.19</v>
      </c>
      <c r="J387" s="25" t="s">
        <v>1891</v>
      </c>
      <c r="K387" s="25" t="str">
        <f>VLOOKUP(E387,[1]PrelimAssignPOP!$I$1:$J$947,2,FALSE)</f>
        <v>ART</v>
      </c>
      <c r="L387" s="25" t="s">
        <v>211</v>
      </c>
      <c r="M387" s="25" t="s">
        <v>209</v>
      </c>
      <c r="N387" s="25" t="s">
        <v>2264</v>
      </c>
    </row>
    <row r="388" spans="1:14" x14ac:dyDescent="0.55000000000000004">
      <c r="A388">
        <v>387</v>
      </c>
      <c r="B388" s="25" t="s">
        <v>22</v>
      </c>
      <c r="C388" s="25">
        <v>25</v>
      </c>
      <c r="D388" s="25" t="s">
        <v>3778</v>
      </c>
      <c r="E388" s="25" t="s">
        <v>3781</v>
      </c>
      <c r="F388" s="25">
        <v>10.77</v>
      </c>
      <c r="G388" s="25" t="s">
        <v>1889</v>
      </c>
      <c r="H388" s="25">
        <f>4.36+2.35+1.24+3.1</f>
        <v>11.05</v>
      </c>
      <c r="I388" s="25">
        <f>4.36+2.35+1.24+3.1</f>
        <v>11.05</v>
      </c>
      <c r="J388" s="25" t="s">
        <v>1891</v>
      </c>
      <c r="K388" s="25" t="str">
        <f>VLOOKUP(E388,[1]PrelimAssignPOP!$I$1:$J$947,2,FALSE)</f>
        <v>ART</v>
      </c>
      <c r="L388" s="25" t="s">
        <v>212</v>
      </c>
      <c r="M388" s="25" t="s">
        <v>114</v>
      </c>
      <c r="N388" s="25" t="s">
        <v>2265</v>
      </c>
    </row>
    <row r="389" spans="1:14" x14ac:dyDescent="0.55000000000000004">
      <c r="A389">
        <v>388</v>
      </c>
      <c r="B389" s="25" t="s">
        <v>22</v>
      </c>
      <c r="C389" s="25">
        <v>25</v>
      </c>
      <c r="D389" s="25" t="s">
        <v>3778</v>
      </c>
      <c r="E389" s="25" t="s">
        <v>3782</v>
      </c>
      <c r="F389" s="25">
        <v>10.59</v>
      </c>
      <c r="G389" s="25" t="s">
        <v>1889</v>
      </c>
      <c r="H389" s="25">
        <f>2.55+4.42+1.41+2.28</f>
        <v>10.659999999999998</v>
      </c>
      <c r="I389" s="25">
        <f>2.55+4.42+1.41+2.28</f>
        <v>10.659999999999998</v>
      </c>
      <c r="J389" s="25" t="s">
        <v>1891</v>
      </c>
      <c r="K389" s="25" t="str">
        <f>VLOOKUP(E389,[1]PrelimAssignPOP!$I$1:$J$947,2,FALSE)</f>
        <v>ART</v>
      </c>
      <c r="L389" s="25" t="s">
        <v>212</v>
      </c>
      <c r="M389" s="25" t="s">
        <v>122</v>
      </c>
      <c r="N389" s="25" t="s">
        <v>2266</v>
      </c>
    </row>
    <row r="390" spans="1:14" x14ac:dyDescent="0.55000000000000004">
      <c r="A390">
        <v>389</v>
      </c>
      <c r="B390" s="25" t="s">
        <v>22</v>
      </c>
      <c r="C390" s="25">
        <v>25</v>
      </c>
      <c r="D390" s="25" t="s">
        <v>3778</v>
      </c>
      <c r="E390" s="25" t="s">
        <v>3783</v>
      </c>
      <c r="F390" s="25">
        <v>11.48</v>
      </c>
      <c r="G390" s="25" t="s">
        <v>1889</v>
      </c>
      <c r="H390" s="25">
        <f>7.4+2.03+1.99</f>
        <v>11.42</v>
      </c>
      <c r="I390" s="25">
        <f>7.4+2.03+1.99</f>
        <v>11.42</v>
      </c>
      <c r="J390" s="25" t="s">
        <v>1891</v>
      </c>
      <c r="K390" s="25" t="str">
        <f>VLOOKUP(E390,[1]PrelimAssignPOP!$I$1:$J$947,2,FALSE)</f>
        <v>ART</v>
      </c>
      <c r="L390" s="25" t="s">
        <v>212</v>
      </c>
      <c r="M390" s="25" t="s">
        <v>123</v>
      </c>
      <c r="N390" s="25" t="s">
        <v>2267</v>
      </c>
    </row>
    <row r="391" spans="1:14" x14ac:dyDescent="0.55000000000000004">
      <c r="A391">
        <v>390</v>
      </c>
      <c r="B391" s="25" t="s">
        <v>22</v>
      </c>
      <c r="C391" s="25">
        <v>25</v>
      </c>
      <c r="D391" s="25" t="s">
        <v>3778</v>
      </c>
      <c r="E391" s="25" t="s">
        <v>3784</v>
      </c>
      <c r="F391" s="25">
        <v>11.32</v>
      </c>
      <c r="G391" s="25" t="s">
        <v>1889</v>
      </c>
      <c r="H391" s="25">
        <f>3.47+3.63+4.57</f>
        <v>11.67</v>
      </c>
      <c r="I391" s="25">
        <f>3.47+3.63+4.57</f>
        <v>11.67</v>
      </c>
      <c r="J391" s="25" t="s">
        <v>1891</v>
      </c>
      <c r="K391" s="25" t="str">
        <f>VLOOKUP(E391,[1]PrelimAssignPOP!$I$1:$J$947,2,FALSE)</f>
        <v>ART</v>
      </c>
      <c r="L391" s="25" t="s">
        <v>212</v>
      </c>
      <c r="M391" s="25" t="s">
        <v>124</v>
      </c>
      <c r="N391" s="25" t="s">
        <v>2268</v>
      </c>
    </row>
    <row r="392" spans="1:14" x14ac:dyDescent="0.55000000000000004">
      <c r="A392">
        <v>391</v>
      </c>
      <c r="B392" s="25" t="s">
        <v>22</v>
      </c>
      <c r="C392" s="25">
        <v>25</v>
      </c>
      <c r="D392" s="25" t="s">
        <v>3778</v>
      </c>
      <c r="E392" s="25" t="s">
        <v>3785</v>
      </c>
      <c r="F392" s="25">
        <v>11.961</v>
      </c>
      <c r="G392" s="25" t="s">
        <v>1889</v>
      </c>
      <c r="H392" s="25">
        <f>1.6+6.24+2.42+2.08</f>
        <v>12.34</v>
      </c>
      <c r="I392" s="25">
        <f>1.6+6.24+2.42+2.08</f>
        <v>12.34</v>
      </c>
      <c r="J392" s="25" t="s">
        <v>1891</v>
      </c>
      <c r="K392" s="25" t="str">
        <f>VLOOKUP(E392,[1]PrelimAssignPOP!$I$1:$J$947,2,FALSE)</f>
        <v>ART</v>
      </c>
      <c r="L392" s="25" t="s">
        <v>212</v>
      </c>
      <c r="M392" s="25" t="s">
        <v>125</v>
      </c>
      <c r="N392" s="25" t="s">
        <v>2269</v>
      </c>
    </row>
    <row r="393" spans="1:14" x14ac:dyDescent="0.55000000000000004">
      <c r="A393">
        <v>392</v>
      </c>
      <c r="B393" s="25" t="s">
        <v>22</v>
      </c>
      <c r="C393" s="25">
        <v>25</v>
      </c>
      <c r="D393" s="25" t="s">
        <v>3778</v>
      </c>
      <c r="E393" s="25" t="s">
        <v>3786</v>
      </c>
      <c r="F393" s="25">
        <v>12.67</v>
      </c>
      <c r="G393" s="25" t="s">
        <v>1889</v>
      </c>
      <c r="H393" s="25">
        <f>1.08+1.7+1.29+3.45+5.11</f>
        <v>12.63</v>
      </c>
      <c r="I393" s="25">
        <f>1.08+1.7+1.29+3.45+5.11</f>
        <v>12.63</v>
      </c>
      <c r="J393" s="25" t="s">
        <v>1891</v>
      </c>
      <c r="K393" s="25" t="str">
        <f>VLOOKUP(E393,[1]PrelimAssignPOP!$I$1:$J$947,2,FALSE)</f>
        <v>ART</v>
      </c>
      <c r="L393" s="25" t="s">
        <v>212</v>
      </c>
      <c r="M393" s="25" t="s">
        <v>126</v>
      </c>
      <c r="N393" s="25" t="s">
        <v>2270</v>
      </c>
    </row>
    <row r="394" spans="1:14" x14ac:dyDescent="0.55000000000000004">
      <c r="A394">
        <v>393</v>
      </c>
      <c r="B394" s="25" t="s">
        <v>22</v>
      </c>
      <c r="C394" s="25">
        <v>25</v>
      </c>
      <c r="D394" s="25" t="s">
        <v>3778</v>
      </c>
      <c r="E394" s="25" t="s">
        <v>3787</v>
      </c>
      <c r="F394" s="25">
        <v>10.33</v>
      </c>
      <c r="G394" s="25" t="s">
        <v>1889</v>
      </c>
      <c r="H394" s="25">
        <f>4.19+3.93+2.59</f>
        <v>10.71</v>
      </c>
      <c r="I394" s="25">
        <f>4.19+3.93+2.59</f>
        <v>10.71</v>
      </c>
      <c r="J394" s="25" t="s">
        <v>1891</v>
      </c>
      <c r="K394" s="25" t="str">
        <f>VLOOKUP(E394,[1]PrelimAssignPOP!$I$1:$J$947,2,FALSE)</f>
        <v>ART</v>
      </c>
      <c r="L394" s="25" t="s">
        <v>212</v>
      </c>
      <c r="M394" s="25" t="s">
        <v>127</v>
      </c>
      <c r="N394" s="25" t="s">
        <v>2271</v>
      </c>
    </row>
    <row r="395" spans="1:14" x14ac:dyDescent="0.55000000000000004">
      <c r="A395">
        <v>394</v>
      </c>
      <c r="B395" s="25" t="s">
        <v>22</v>
      </c>
      <c r="C395" s="25">
        <v>25</v>
      </c>
      <c r="D395" s="25" t="s">
        <v>3778</v>
      </c>
      <c r="E395" s="25" t="s">
        <v>3788</v>
      </c>
      <c r="F395" s="25">
        <v>12.92</v>
      </c>
      <c r="G395" s="25" t="s">
        <v>1889</v>
      </c>
      <c r="H395" s="25">
        <f>10.22+2.77</f>
        <v>12.99</v>
      </c>
      <c r="I395" s="25">
        <f>10.22+2.77</f>
        <v>12.99</v>
      </c>
      <c r="J395" s="25" t="s">
        <v>1891</v>
      </c>
      <c r="K395" s="25" t="str">
        <f>VLOOKUP(E395,[1]PrelimAssignPOP!$I$1:$J$947,2,FALSE)</f>
        <v>HYB</v>
      </c>
      <c r="L395" s="25" t="s">
        <v>212</v>
      </c>
      <c r="M395" s="25" t="s">
        <v>128</v>
      </c>
      <c r="N395" s="25" t="s">
        <v>2272</v>
      </c>
    </row>
    <row r="396" spans="1:14" x14ac:dyDescent="0.55000000000000004">
      <c r="A396">
        <v>395</v>
      </c>
      <c r="B396" s="25" t="s">
        <v>22</v>
      </c>
      <c r="C396" s="25">
        <v>25</v>
      </c>
      <c r="D396" s="25" t="s">
        <v>3778</v>
      </c>
      <c r="E396" s="25" t="s">
        <v>3789</v>
      </c>
      <c r="F396" s="25">
        <v>11.33</v>
      </c>
      <c r="G396" s="25" t="s">
        <v>1889</v>
      </c>
      <c r="H396" s="25">
        <f>2.79+1.17+2.24+5.33</f>
        <v>11.530000000000001</v>
      </c>
      <c r="I396" s="25">
        <f>2.79+1.17+2.24+5.33</f>
        <v>11.530000000000001</v>
      </c>
      <c r="J396" s="25" t="s">
        <v>1891</v>
      </c>
      <c r="K396" s="25" t="str">
        <f>VLOOKUP(E396,[1]PrelimAssignPOP!$I$1:$J$947,2,FALSE)</f>
        <v>ART</v>
      </c>
      <c r="L396" s="25" t="s">
        <v>212</v>
      </c>
      <c r="M396" s="25" t="s">
        <v>129</v>
      </c>
      <c r="N396" s="25" t="s">
        <v>2273</v>
      </c>
    </row>
    <row r="397" spans="1:14" x14ac:dyDescent="0.55000000000000004">
      <c r="A397">
        <v>396</v>
      </c>
      <c r="B397" s="25" t="s">
        <v>22</v>
      </c>
      <c r="C397" s="25">
        <v>25</v>
      </c>
      <c r="D397" s="25" t="s">
        <v>3778</v>
      </c>
      <c r="E397" s="25" t="s">
        <v>3790</v>
      </c>
      <c r="F397" s="25">
        <v>9.5500000000000007</v>
      </c>
      <c r="G397" s="25" t="s">
        <v>1889</v>
      </c>
      <c r="H397" s="25">
        <f>2.89+1.9+5</f>
        <v>9.7899999999999991</v>
      </c>
      <c r="I397" s="25">
        <f>2.89+1.9+5</f>
        <v>9.7899999999999991</v>
      </c>
      <c r="J397" s="25" t="s">
        <v>1891</v>
      </c>
      <c r="K397" s="25" t="str">
        <f>VLOOKUP(E397,[1]PrelimAssignPOP!$I$1:$J$947,2,FALSE)</f>
        <v>ART</v>
      </c>
      <c r="L397" s="25" t="s">
        <v>212</v>
      </c>
      <c r="M397" s="25" t="s">
        <v>130</v>
      </c>
      <c r="N397" s="25" t="s">
        <v>2274</v>
      </c>
    </row>
    <row r="398" spans="1:14" x14ac:dyDescent="0.55000000000000004">
      <c r="A398">
        <v>397</v>
      </c>
      <c r="B398" s="25" t="s">
        <v>22</v>
      </c>
      <c r="C398" s="25">
        <v>25</v>
      </c>
      <c r="D398" s="25" t="s">
        <v>3778</v>
      </c>
      <c r="E398" s="25" t="s">
        <v>3791</v>
      </c>
      <c r="F398" s="25">
        <v>10.38</v>
      </c>
      <c r="G398" s="25" t="s">
        <v>1889</v>
      </c>
      <c r="H398" s="25">
        <f>4+4.54+2.31</f>
        <v>10.85</v>
      </c>
      <c r="I398" s="25">
        <f>4+4.54+2.31</f>
        <v>10.85</v>
      </c>
      <c r="J398" s="25" t="s">
        <v>1891</v>
      </c>
      <c r="N398" s="25" t="s">
        <v>2275</v>
      </c>
    </row>
    <row r="399" spans="1:14" x14ac:dyDescent="0.55000000000000004">
      <c r="A399">
        <v>398</v>
      </c>
      <c r="B399" s="25" t="s">
        <v>22</v>
      </c>
      <c r="C399" s="25">
        <v>25</v>
      </c>
      <c r="D399" s="25" t="s">
        <v>3778</v>
      </c>
      <c r="E399" s="25" t="s">
        <v>3792</v>
      </c>
      <c r="F399" s="25">
        <v>11.65</v>
      </c>
      <c r="G399" s="25" t="s">
        <v>1889</v>
      </c>
      <c r="H399" s="25">
        <v>11.71</v>
      </c>
      <c r="I399" s="25">
        <v>11.71</v>
      </c>
      <c r="J399" s="25" t="s">
        <v>1891</v>
      </c>
      <c r="N399" s="25" t="s">
        <v>2276</v>
      </c>
    </row>
    <row r="400" spans="1:14" x14ac:dyDescent="0.55000000000000004">
      <c r="A400">
        <v>399</v>
      </c>
      <c r="B400" s="25" t="s">
        <v>22</v>
      </c>
      <c r="C400" s="25">
        <v>25</v>
      </c>
      <c r="D400" s="25" t="s">
        <v>3778</v>
      </c>
      <c r="E400" s="25" t="s">
        <v>3793</v>
      </c>
      <c r="F400" s="25">
        <v>11.97</v>
      </c>
      <c r="G400" s="25" t="s">
        <v>1889</v>
      </c>
      <c r="H400" s="25">
        <f>2.1+2.56+4.07+3.36</f>
        <v>12.09</v>
      </c>
      <c r="I400" s="25">
        <f>2.1+2.56+4.07+3.36</f>
        <v>12.09</v>
      </c>
      <c r="J400" s="25" t="s">
        <v>1891</v>
      </c>
      <c r="N400" s="25" t="s">
        <v>2277</v>
      </c>
    </row>
    <row r="401" spans="1:14" x14ac:dyDescent="0.55000000000000004">
      <c r="A401">
        <v>400</v>
      </c>
      <c r="B401" s="25" t="s">
        <v>22</v>
      </c>
      <c r="C401" s="25">
        <v>25</v>
      </c>
      <c r="D401" s="25" t="s">
        <v>3778</v>
      </c>
      <c r="E401" s="25" t="s">
        <v>3794</v>
      </c>
      <c r="F401" s="25">
        <v>11.1</v>
      </c>
      <c r="G401" s="25" t="s">
        <v>1889</v>
      </c>
      <c r="H401" s="25">
        <f>1.65+1.45+4.8+3.39</f>
        <v>11.29</v>
      </c>
      <c r="I401" s="25">
        <f>1.65+1.45+4.8+3.39</f>
        <v>11.29</v>
      </c>
      <c r="J401" s="25" t="s">
        <v>1891</v>
      </c>
      <c r="N401" s="25" t="s">
        <v>2278</v>
      </c>
    </row>
    <row r="402" spans="1:14" x14ac:dyDescent="0.55000000000000004">
      <c r="A402">
        <v>401</v>
      </c>
      <c r="B402" s="25" t="s">
        <v>22</v>
      </c>
      <c r="C402" s="25">
        <v>25</v>
      </c>
      <c r="D402" s="25" t="s">
        <v>3778</v>
      </c>
      <c r="E402" s="25" t="s">
        <v>3795</v>
      </c>
      <c r="F402" s="25">
        <v>10.81</v>
      </c>
      <c r="G402" s="25" t="s">
        <v>1889</v>
      </c>
      <c r="H402" s="25">
        <f>2.45+3.56+2.34+2.81</f>
        <v>11.16</v>
      </c>
      <c r="I402" s="25">
        <f>2.45+3.56+2.34+2.81</f>
        <v>11.16</v>
      </c>
      <c r="J402" s="25" t="s">
        <v>1891</v>
      </c>
      <c r="N402" s="25" t="s">
        <v>2279</v>
      </c>
    </row>
    <row r="403" spans="1:14" x14ac:dyDescent="0.55000000000000004">
      <c r="A403">
        <v>402</v>
      </c>
      <c r="B403" s="25" t="s">
        <v>22</v>
      </c>
      <c r="C403" s="25">
        <v>25</v>
      </c>
      <c r="D403" s="25" t="s">
        <v>3778</v>
      </c>
      <c r="E403" s="25" t="s">
        <v>3796</v>
      </c>
      <c r="F403" s="25">
        <v>11.28</v>
      </c>
      <c r="G403" s="25" t="s">
        <v>1889</v>
      </c>
      <c r="H403" s="25">
        <v>11.43</v>
      </c>
      <c r="I403" s="25">
        <v>11.43</v>
      </c>
      <c r="J403" s="25" t="s">
        <v>1891</v>
      </c>
      <c r="N403" s="25" t="s">
        <v>2280</v>
      </c>
    </row>
    <row r="404" spans="1:14" x14ac:dyDescent="0.55000000000000004">
      <c r="A404">
        <v>403</v>
      </c>
      <c r="B404" s="25" t="s">
        <v>22</v>
      </c>
      <c r="C404" s="25">
        <v>25</v>
      </c>
      <c r="D404" s="25" t="s">
        <v>3778</v>
      </c>
      <c r="E404" s="25" t="s">
        <v>3797</v>
      </c>
      <c r="F404" s="25">
        <v>12.81</v>
      </c>
      <c r="G404" s="25" t="s">
        <v>1889</v>
      </c>
      <c r="H404" s="25">
        <f>3.08+4.17+2.51+3.41</f>
        <v>13.17</v>
      </c>
      <c r="I404" s="25">
        <f>3.08+4.17+2.51+3.41</f>
        <v>13.17</v>
      </c>
      <c r="J404" s="25" t="s">
        <v>1891</v>
      </c>
      <c r="N404" s="25" t="s">
        <v>2281</v>
      </c>
    </row>
    <row r="405" spans="1:14" x14ac:dyDescent="0.55000000000000004">
      <c r="A405">
        <v>404</v>
      </c>
      <c r="B405" s="25" t="s">
        <v>22</v>
      </c>
      <c r="C405" s="25">
        <v>25</v>
      </c>
      <c r="D405" s="25" t="s">
        <v>3778</v>
      </c>
      <c r="E405" s="25" t="s">
        <v>3798</v>
      </c>
      <c r="F405" s="25">
        <v>12.11</v>
      </c>
      <c r="G405" s="25" t="s">
        <v>1889</v>
      </c>
      <c r="H405" s="25">
        <f>7.45+4.84</f>
        <v>12.29</v>
      </c>
      <c r="I405" s="25">
        <f>7.45+4.84</f>
        <v>12.29</v>
      </c>
      <c r="J405" s="25" t="s">
        <v>1891</v>
      </c>
      <c r="N405" s="25" t="s">
        <v>2282</v>
      </c>
    </row>
    <row r="406" spans="1:14" x14ac:dyDescent="0.55000000000000004">
      <c r="A406">
        <v>405</v>
      </c>
      <c r="B406" s="25" t="s">
        <v>22</v>
      </c>
      <c r="C406" s="25">
        <v>25</v>
      </c>
      <c r="D406" s="25" t="s">
        <v>3778</v>
      </c>
      <c r="E406" s="25" t="s">
        <v>3799</v>
      </c>
      <c r="F406" s="25">
        <v>11.57</v>
      </c>
      <c r="G406" s="25" t="s">
        <v>1889</v>
      </c>
      <c r="H406" s="25">
        <f>2.91+6.1+2.75</f>
        <v>11.76</v>
      </c>
      <c r="I406" s="25">
        <f>2.91+6.1+2.75</f>
        <v>11.76</v>
      </c>
      <c r="J406" s="25" t="s">
        <v>1891</v>
      </c>
      <c r="N406" s="25" t="s">
        <v>2283</v>
      </c>
    </row>
    <row r="407" spans="1:14" x14ac:dyDescent="0.55000000000000004">
      <c r="A407">
        <v>406</v>
      </c>
      <c r="B407" s="25" t="s">
        <v>22</v>
      </c>
      <c r="C407" s="25">
        <v>25</v>
      </c>
      <c r="D407" s="25" t="s">
        <v>3778</v>
      </c>
      <c r="E407" s="25" t="s">
        <v>3800</v>
      </c>
      <c r="F407" s="25">
        <v>12.79</v>
      </c>
      <c r="G407" s="25" t="s">
        <v>1889</v>
      </c>
      <c r="H407" s="25">
        <f>4.68+3.09+2.43+2.82</f>
        <v>13.02</v>
      </c>
      <c r="I407" s="25">
        <f>4.68+3.09+2.43+2.82</f>
        <v>13.02</v>
      </c>
      <c r="J407" s="25" t="s">
        <v>1891</v>
      </c>
      <c r="N407" s="25" t="s">
        <v>2284</v>
      </c>
    </row>
    <row r="408" spans="1:14" x14ac:dyDescent="0.55000000000000004">
      <c r="A408">
        <v>407</v>
      </c>
      <c r="B408" s="25" t="s">
        <v>22</v>
      </c>
      <c r="C408" s="25">
        <v>25</v>
      </c>
      <c r="D408" s="25" t="s">
        <v>3778</v>
      </c>
      <c r="E408" s="25" t="s">
        <v>3801</v>
      </c>
      <c r="F408" s="25">
        <v>13.05</v>
      </c>
      <c r="G408" s="25" t="s">
        <v>1889</v>
      </c>
      <c r="H408" s="25">
        <f>2.77+3.33+6.61</f>
        <v>12.71</v>
      </c>
      <c r="I408" s="25">
        <f>2.77+3.33+6.61</f>
        <v>12.71</v>
      </c>
      <c r="J408" s="25" t="s">
        <v>1891</v>
      </c>
      <c r="N408" s="25" t="s">
        <v>2285</v>
      </c>
    </row>
    <row r="409" spans="1:14" x14ac:dyDescent="0.55000000000000004">
      <c r="A409">
        <v>408</v>
      </c>
      <c r="B409" s="25" t="s">
        <v>22</v>
      </c>
      <c r="C409" s="25">
        <v>25</v>
      </c>
      <c r="D409" s="25" t="s">
        <v>3778</v>
      </c>
      <c r="E409" s="25" t="s">
        <v>3802</v>
      </c>
      <c r="F409" s="25">
        <v>11.87</v>
      </c>
      <c r="G409" s="25" t="s">
        <v>1889</v>
      </c>
      <c r="H409" s="25">
        <f>2.18+3.72+6.58</f>
        <v>12.48</v>
      </c>
      <c r="I409" s="25">
        <f>2.18+3.72+6.58</f>
        <v>12.48</v>
      </c>
      <c r="J409" s="25" t="s">
        <v>1891</v>
      </c>
      <c r="N409" s="25" t="s">
        <v>2286</v>
      </c>
    </row>
    <row r="410" spans="1:14" x14ac:dyDescent="0.55000000000000004">
      <c r="A410">
        <v>409</v>
      </c>
      <c r="B410" s="25" t="s">
        <v>22</v>
      </c>
      <c r="C410" s="25">
        <v>25</v>
      </c>
      <c r="D410" s="25" t="s">
        <v>3778</v>
      </c>
      <c r="E410" s="25" t="s">
        <v>3803</v>
      </c>
      <c r="F410" s="25">
        <v>11.35</v>
      </c>
      <c r="G410" s="25" t="s">
        <v>1889</v>
      </c>
      <c r="H410" s="25">
        <f>6.19+5.19</f>
        <v>11.38</v>
      </c>
      <c r="I410" s="25">
        <f>6.19+5.19</f>
        <v>11.38</v>
      </c>
      <c r="J410" s="25" t="s">
        <v>1891</v>
      </c>
      <c r="N410" s="25" t="s">
        <v>2287</v>
      </c>
    </row>
    <row r="411" spans="1:14" x14ac:dyDescent="0.55000000000000004">
      <c r="A411">
        <v>410</v>
      </c>
      <c r="B411" s="25" t="s">
        <v>23</v>
      </c>
      <c r="C411" s="25">
        <v>10</v>
      </c>
      <c r="D411" s="25" t="s">
        <v>3804</v>
      </c>
      <c r="E411" s="25" t="s">
        <v>3805</v>
      </c>
      <c r="F411" s="25">
        <v>15.56</v>
      </c>
      <c r="G411" s="25" t="s">
        <v>1889</v>
      </c>
      <c r="H411" s="25">
        <v>15.57</v>
      </c>
      <c r="I411" s="25">
        <v>15.57</v>
      </c>
      <c r="J411" s="25" t="s">
        <v>1891</v>
      </c>
      <c r="K411" s="25" t="str">
        <f>VLOOKUP(E411,[1]PrelimAssignPOP!$I$1:$J$947,2,FALSE)</f>
        <v>ART</v>
      </c>
      <c r="L411" s="25" t="s">
        <v>212</v>
      </c>
      <c r="M411" s="25" t="s">
        <v>131</v>
      </c>
      <c r="N411" s="25" t="s">
        <v>2288</v>
      </c>
    </row>
    <row r="412" spans="1:14" x14ac:dyDescent="0.55000000000000004">
      <c r="A412">
        <v>411</v>
      </c>
      <c r="B412" s="25" t="s">
        <v>23</v>
      </c>
      <c r="C412" s="25">
        <v>10</v>
      </c>
      <c r="D412" s="25" t="s">
        <v>3804</v>
      </c>
      <c r="E412" s="25" t="s">
        <v>3806</v>
      </c>
      <c r="F412" s="25">
        <v>9.77</v>
      </c>
      <c r="G412" s="25" t="s">
        <v>1889</v>
      </c>
      <c r="H412" s="25">
        <f>3.24+1.93+4.69</f>
        <v>9.86</v>
      </c>
      <c r="I412" s="25">
        <f>3.24+1.93+4.69</f>
        <v>9.86</v>
      </c>
      <c r="J412" s="25" t="s">
        <v>1891</v>
      </c>
      <c r="K412" s="25" t="str">
        <f>VLOOKUP(E412,[1]PrelimAssignPOP!$I$1:$J$947,2,FALSE)</f>
        <v>ART</v>
      </c>
      <c r="L412" s="25" t="s">
        <v>212</v>
      </c>
      <c r="M412" s="25" t="s">
        <v>132</v>
      </c>
      <c r="N412" s="25" t="s">
        <v>2289</v>
      </c>
    </row>
    <row r="413" spans="1:14" x14ac:dyDescent="0.55000000000000004">
      <c r="A413">
        <v>412</v>
      </c>
      <c r="B413" s="25" t="s">
        <v>23</v>
      </c>
      <c r="C413" s="25">
        <v>10</v>
      </c>
      <c r="D413" s="25" t="s">
        <v>3804</v>
      </c>
      <c r="E413" s="25" t="s">
        <v>3807</v>
      </c>
      <c r="F413" s="25">
        <v>12.33</v>
      </c>
      <c r="G413" s="25" t="s">
        <v>1889</v>
      </c>
      <c r="H413" s="25">
        <f>4.26+6.68+1.51</f>
        <v>12.45</v>
      </c>
      <c r="I413" s="25">
        <f>4.26+6.68+1.51</f>
        <v>12.45</v>
      </c>
      <c r="J413" s="25" t="s">
        <v>1891</v>
      </c>
      <c r="K413" s="25" t="str">
        <f>VLOOKUP(E413,[1]PrelimAssignPOP!$I$1:$J$947,2,FALSE)</f>
        <v>ART</v>
      </c>
      <c r="L413" s="25" t="s">
        <v>212</v>
      </c>
      <c r="M413" s="25" t="s">
        <v>115</v>
      </c>
      <c r="N413" s="25" t="s">
        <v>2290</v>
      </c>
    </row>
    <row r="414" spans="1:14" x14ac:dyDescent="0.55000000000000004">
      <c r="A414">
        <v>413</v>
      </c>
      <c r="B414" s="25" t="s">
        <v>23</v>
      </c>
      <c r="C414" s="25">
        <v>10</v>
      </c>
      <c r="D414" s="25" t="s">
        <v>3804</v>
      </c>
      <c r="E414" s="25" t="s">
        <v>3808</v>
      </c>
      <c r="F414" s="25">
        <v>9.69</v>
      </c>
      <c r="G414" s="25" t="s">
        <v>1889</v>
      </c>
      <c r="H414" s="25">
        <f>3.77+5.94</f>
        <v>9.7100000000000009</v>
      </c>
      <c r="I414" s="25">
        <f>3.77+5.94</f>
        <v>9.7100000000000009</v>
      </c>
      <c r="J414" s="25" t="s">
        <v>1891</v>
      </c>
      <c r="K414" s="25" t="str">
        <f>VLOOKUP(E414,[1]PrelimAssignPOP!$I$1:$J$947,2,FALSE)</f>
        <v>ART</v>
      </c>
      <c r="L414" s="25" t="s">
        <v>212</v>
      </c>
      <c r="M414" s="25" t="s">
        <v>133</v>
      </c>
      <c r="N414" s="25" t="s">
        <v>2291</v>
      </c>
    </row>
    <row r="415" spans="1:14" x14ac:dyDescent="0.55000000000000004">
      <c r="A415">
        <v>414</v>
      </c>
      <c r="B415" s="25" t="s">
        <v>23</v>
      </c>
      <c r="C415" s="25">
        <v>10</v>
      </c>
      <c r="D415" s="25" t="s">
        <v>3804</v>
      </c>
      <c r="E415" s="25" t="s">
        <v>3809</v>
      </c>
      <c r="F415" s="25">
        <v>12.4</v>
      </c>
      <c r="G415" s="25" t="s">
        <v>1889</v>
      </c>
      <c r="H415" s="25">
        <f>5.04+2.71+1.87+2.91</f>
        <v>12.530000000000001</v>
      </c>
      <c r="I415" s="25">
        <f>5.04+2.71+1.87+2.91</f>
        <v>12.530000000000001</v>
      </c>
      <c r="J415" s="25" t="s">
        <v>1891</v>
      </c>
      <c r="K415" s="25" t="str">
        <f>VLOOKUP(E415,[1]PrelimAssignPOP!$I$1:$J$947,2,FALSE)</f>
        <v>ART</v>
      </c>
      <c r="L415" s="25" t="s">
        <v>212</v>
      </c>
      <c r="M415" s="25" t="s">
        <v>134</v>
      </c>
      <c r="N415" s="25" t="s">
        <v>2292</v>
      </c>
    </row>
    <row r="416" spans="1:14" x14ac:dyDescent="0.55000000000000004">
      <c r="A416">
        <v>415</v>
      </c>
      <c r="B416" s="25" t="s">
        <v>23</v>
      </c>
      <c r="C416" s="25">
        <v>10</v>
      </c>
      <c r="D416" s="25" t="s">
        <v>3804</v>
      </c>
      <c r="E416" s="25" t="s">
        <v>3810</v>
      </c>
      <c r="F416" s="25">
        <v>11.05</v>
      </c>
      <c r="G416" s="25" t="s">
        <v>1889</v>
      </c>
      <c r="H416" s="25">
        <f>5.53+2.75+2.99</f>
        <v>11.270000000000001</v>
      </c>
      <c r="I416" s="25">
        <f>5.53+2.75+2.99</f>
        <v>11.270000000000001</v>
      </c>
      <c r="J416" s="25" t="s">
        <v>1891</v>
      </c>
      <c r="K416" s="25" t="str">
        <f>VLOOKUP(E416,[1]PrelimAssignPOP!$I$1:$J$947,2,FALSE)</f>
        <v>ART</v>
      </c>
      <c r="L416" s="25" t="s">
        <v>212</v>
      </c>
      <c r="M416" s="25" t="s">
        <v>135</v>
      </c>
      <c r="N416" s="25" t="s">
        <v>2293</v>
      </c>
    </row>
    <row r="417" spans="1:14" x14ac:dyDescent="0.55000000000000004">
      <c r="A417">
        <v>416</v>
      </c>
      <c r="B417" s="25" t="s">
        <v>23</v>
      </c>
      <c r="C417" s="25">
        <v>10</v>
      </c>
      <c r="D417" s="25" t="s">
        <v>3804</v>
      </c>
      <c r="E417" s="25" t="s">
        <v>3811</v>
      </c>
      <c r="F417" s="25">
        <v>9.93</v>
      </c>
      <c r="G417" s="25" t="s">
        <v>1889</v>
      </c>
      <c r="H417" s="25">
        <f>3.93+6.24</f>
        <v>10.17</v>
      </c>
      <c r="I417" s="25">
        <f>3.93+6.24</f>
        <v>10.17</v>
      </c>
      <c r="J417" s="25" t="s">
        <v>1891</v>
      </c>
      <c r="K417" s="25" t="str">
        <f>VLOOKUP(E417,[1]PrelimAssignPOP!$I$1:$J$947,2,FALSE)</f>
        <v>ART</v>
      </c>
      <c r="L417" s="25" t="s">
        <v>212</v>
      </c>
      <c r="M417" s="25" t="s">
        <v>136</v>
      </c>
      <c r="N417" s="25" t="s">
        <v>2294</v>
      </c>
    </row>
    <row r="418" spans="1:14" x14ac:dyDescent="0.55000000000000004">
      <c r="A418">
        <v>417</v>
      </c>
      <c r="B418" s="25" t="s">
        <v>23</v>
      </c>
      <c r="C418" s="25">
        <v>10</v>
      </c>
      <c r="D418" s="25" t="s">
        <v>3804</v>
      </c>
      <c r="E418" s="25" t="s">
        <v>3812</v>
      </c>
      <c r="F418" s="25">
        <v>10.72</v>
      </c>
      <c r="G418" s="25" t="s">
        <v>1889</v>
      </c>
      <c r="H418" s="25">
        <f>2.69+2.22+2.48+3.45</f>
        <v>10.84</v>
      </c>
      <c r="I418" s="25">
        <f>2.69+2.22+2.48+3.45</f>
        <v>10.84</v>
      </c>
      <c r="J418" s="25" t="s">
        <v>1891</v>
      </c>
      <c r="K418" s="25" t="str">
        <f>VLOOKUP(E418,[1]PrelimAssignPOP!$I$1:$J$947,2,FALSE)</f>
        <v>ART</v>
      </c>
      <c r="L418" s="25" t="s">
        <v>212</v>
      </c>
      <c r="M418" s="25" t="s">
        <v>137</v>
      </c>
      <c r="N418" s="25" t="s">
        <v>2295</v>
      </c>
    </row>
    <row r="419" spans="1:14" x14ac:dyDescent="0.55000000000000004">
      <c r="A419">
        <v>418</v>
      </c>
      <c r="B419" s="25" t="s">
        <v>23</v>
      </c>
      <c r="C419" s="25">
        <v>10</v>
      </c>
      <c r="D419" s="25" t="s">
        <v>3804</v>
      </c>
      <c r="E419" s="25" t="s">
        <v>3813</v>
      </c>
      <c r="F419" s="25">
        <v>12.8</v>
      </c>
      <c r="G419" s="25" t="s">
        <v>1889</v>
      </c>
      <c r="H419" s="25">
        <f>4.4+2.8+5.56</f>
        <v>12.76</v>
      </c>
      <c r="I419" s="25">
        <f>4.4+2.8+5.56</f>
        <v>12.76</v>
      </c>
      <c r="J419" s="25" t="s">
        <v>1891</v>
      </c>
      <c r="K419" s="25" t="str">
        <f>VLOOKUP(E419,[1]PrelimAssignPOP!$I$1:$J$947,2,FALSE)</f>
        <v>ART</v>
      </c>
      <c r="L419" s="25" t="s">
        <v>212</v>
      </c>
      <c r="M419" s="25" t="s">
        <v>138</v>
      </c>
      <c r="N419" s="25" t="s">
        <v>2296</v>
      </c>
    </row>
    <row r="420" spans="1:14" x14ac:dyDescent="0.55000000000000004">
      <c r="A420">
        <v>419</v>
      </c>
      <c r="B420" s="25" t="s">
        <v>23</v>
      </c>
      <c r="C420" s="25">
        <v>10</v>
      </c>
      <c r="D420" s="25" t="s">
        <v>3804</v>
      </c>
      <c r="E420" s="25" t="s">
        <v>3814</v>
      </c>
      <c r="F420" s="25">
        <v>9.5299999999999994</v>
      </c>
      <c r="G420" s="25" t="s">
        <v>1889</v>
      </c>
      <c r="H420" s="25">
        <f>3.73+3.27+2.84</f>
        <v>9.84</v>
      </c>
      <c r="I420" s="25">
        <f>3.73+3.27+2.84</f>
        <v>9.84</v>
      </c>
      <c r="J420" s="25" t="s">
        <v>1891</v>
      </c>
      <c r="K420" s="25" t="str">
        <f>VLOOKUP(E420,[1]PrelimAssignPOP!$I$1:$J$947,2,FALSE)</f>
        <v>ART</v>
      </c>
      <c r="L420" s="25" t="s">
        <v>212</v>
      </c>
      <c r="M420" s="25" t="s">
        <v>139</v>
      </c>
      <c r="N420" s="25" t="s">
        <v>2297</v>
      </c>
    </row>
    <row r="421" spans="1:14" x14ac:dyDescent="0.55000000000000004">
      <c r="A421">
        <v>420</v>
      </c>
      <c r="B421" s="25" t="s">
        <v>24</v>
      </c>
      <c r="C421" s="25">
        <v>25</v>
      </c>
      <c r="D421" s="25" t="s">
        <v>3815</v>
      </c>
      <c r="E421" s="25" t="s">
        <v>3816</v>
      </c>
      <c r="F421" s="25">
        <v>13.08</v>
      </c>
      <c r="G421" s="25" t="s">
        <v>1889</v>
      </c>
      <c r="H421" s="25">
        <f>3.27+2.79+2.85+2.83+1.34</f>
        <v>13.08</v>
      </c>
      <c r="I421" s="25">
        <f>3.27+2.79+2.85+2.83+1.34</f>
        <v>13.08</v>
      </c>
      <c r="J421" s="25" t="s">
        <v>1891</v>
      </c>
      <c r="K421" s="25" t="str">
        <f>VLOOKUP(E421,[1]PrelimAssignPOP!$I$1:$J$947,2,FALSE)</f>
        <v>ART</v>
      </c>
      <c r="L421" s="25" t="s">
        <v>212</v>
      </c>
      <c r="M421" s="25" t="s">
        <v>140</v>
      </c>
      <c r="N421" s="25" t="s">
        <v>2298</v>
      </c>
    </row>
    <row r="422" spans="1:14" x14ac:dyDescent="0.55000000000000004">
      <c r="A422">
        <v>421</v>
      </c>
      <c r="B422" s="25" t="s">
        <v>24</v>
      </c>
      <c r="C422" s="25">
        <v>25</v>
      </c>
      <c r="D422" s="25" t="s">
        <v>3815</v>
      </c>
      <c r="E422" s="25" t="s">
        <v>3817</v>
      </c>
      <c r="F422" s="25">
        <v>11.72</v>
      </c>
      <c r="G422" s="25" t="s">
        <v>1889</v>
      </c>
      <c r="H422" s="25">
        <f>4.62+3.43+3.71</f>
        <v>11.760000000000002</v>
      </c>
      <c r="I422" s="25">
        <f>4.62+3.43+3.71</f>
        <v>11.760000000000002</v>
      </c>
      <c r="J422" s="25" t="s">
        <v>1891</v>
      </c>
      <c r="K422" s="25" t="str">
        <f>VLOOKUP(E422,[1]PrelimAssignPOP!$I$1:$J$947,2,FALSE)</f>
        <v>ART</v>
      </c>
      <c r="L422" s="25" t="s">
        <v>212</v>
      </c>
      <c r="M422" s="25" t="s">
        <v>141</v>
      </c>
      <c r="N422" s="25" t="s">
        <v>2299</v>
      </c>
    </row>
    <row r="423" spans="1:14" x14ac:dyDescent="0.55000000000000004">
      <c r="A423">
        <v>422</v>
      </c>
      <c r="B423" s="25" t="s">
        <v>24</v>
      </c>
      <c r="C423" s="25">
        <v>25</v>
      </c>
      <c r="D423" s="25" t="s">
        <v>3815</v>
      </c>
      <c r="E423" s="25" t="s">
        <v>3818</v>
      </c>
      <c r="F423" s="25">
        <v>10.74</v>
      </c>
      <c r="G423" s="25" t="s">
        <v>1889</v>
      </c>
      <c r="H423" s="25">
        <f>3.57+1.83+1.47+4.04</f>
        <v>10.91</v>
      </c>
      <c r="I423" s="25">
        <f>3.57+1.83+1.47+4.04</f>
        <v>10.91</v>
      </c>
      <c r="J423" s="25" t="s">
        <v>1891</v>
      </c>
      <c r="K423" s="25" t="str">
        <f>VLOOKUP(E423,[1]PrelimAssignPOP!$I$1:$J$947,2,FALSE)</f>
        <v>ART</v>
      </c>
      <c r="L423" s="25" t="s">
        <v>212</v>
      </c>
      <c r="M423" s="25" t="s">
        <v>142</v>
      </c>
      <c r="N423" s="25" t="s">
        <v>2300</v>
      </c>
    </row>
    <row r="424" spans="1:14" x14ac:dyDescent="0.55000000000000004">
      <c r="A424">
        <v>423</v>
      </c>
      <c r="B424" s="25" t="s">
        <v>24</v>
      </c>
      <c r="C424" s="25">
        <v>25</v>
      </c>
      <c r="D424" s="25" t="s">
        <v>3815</v>
      </c>
      <c r="E424" s="25" t="s">
        <v>3819</v>
      </c>
      <c r="F424" s="25">
        <v>12.85</v>
      </c>
      <c r="G424" s="25" t="s">
        <v>1889</v>
      </c>
      <c r="H424" s="25">
        <f>6.33+1.78+1.81+3</f>
        <v>12.92</v>
      </c>
      <c r="I424" s="25">
        <f>6.33+1.78+1.81+3</f>
        <v>12.92</v>
      </c>
      <c r="J424" s="25" t="s">
        <v>1891</v>
      </c>
      <c r="K424" s="25" t="str">
        <f>VLOOKUP(E424,[1]PrelimAssignPOP!$I$1:$J$947,2,FALSE)</f>
        <v>ART</v>
      </c>
      <c r="L424" s="25" t="s">
        <v>212</v>
      </c>
      <c r="M424" s="25" t="s">
        <v>143</v>
      </c>
      <c r="N424" s="25" t="s">
        <v>2301</v>
      </c>
    </row>
    <row r="425" spans="1:14" x14ac:dyDescent="0.55000000000000004">
      <c r="A425">
        <v>424</v>
      </c>
      <c r="B425" s="25" t="s">
        <v>24</v>
      </c>
      <c r="C425" s="25">
        <v>25</v>
      </c>
      <c r="D425" s="25" t="s">
        <v>3815</v>
      </c>
      <c r="E425" s="25" t="s">
        <v>3820</v>
      </c>
      <c r="F425" s="25">
        <v>13.01</v>
      </c>
      <c r="G425" s="25" t="s">
        <v>1889</v>
      </c>
      <c r="H425" s="25">
        <f>10.55+2.76</f>
        <v>13.31</v>
      </c>
      <c r="I425" s="25">
        <f>10.55+2.76</f>
        <v>13.31</v>
      </c>
      <c r="J425" s="25" t="s">
        <v>1891</v>
      </c>
      <c r="K425" s="25" t="str">
        <f>VLOOKUP(E425,[1]PrelimAssignPOP!$I$1:$J$947,2,FALSE)</f>
        <v>ART</v>
      </c>
      <c r="L425" s="25" t="s">
        <v>212</v>
      </c>
      <c r="M425" s="25" t="s">
        <v>116</v>
      </c>
      <c r="N425" s="25" t="s">
        <v>2302</v>
      </c>
    </row>
    <row r="426" spans="1:14" x14ac:dyDescent="0.55000000000000004">
      <c r="A426">
        <v>425</v>
      </c>
      <c r="B426" s="25" t="s">
        <v>24</v>
      </c>
      <c r="C426" s="25">
        <v>25</v>
      </c>
      <c r="D426" s="25" t="s">
        <v>3815</v>
      </c>
      <c r="E426" s="25" t="s">
        <v>3821</v>
      </c>
      <c r="F426" s="25">
        <v>12.57</v>
      </c>
      <c r="G426" s="25" t="s">
        <v>1889</v>
      </c>
      <c r="H426" s="25">
        <f>4.75+5.53+2.6</f>
        <v>12.88</v>
      </c>
      <c r="I426" s="25">
        <f>4.75+5.53+2.6</f>
        <v>12.88</v>
      </c>
      <c r="J426" s="25" t="s">
        <v>1891</v>
      </c>
      <c r="K426" s="25" t="str">
        <f>VLOOKUP(E426,[1]PrelimAssignPOP!$I$1:$J$947,2,FALSE)</f>
        <v>ART</v>
      </c>
      <c r="L426" s="25" t="s">
        <v>212</v>
      </c>
      <c r="M426" s="25" t="s">
        <v>144</v>
      </c>
      <c r="N426" s="25" t="s">
        <v>2303</v>
      </c>
    </row>
    <row r="427" spans="1:14" x14ac:dyDescent="0.55000000000000004">
      <c r="A427">
        <v>426</v>
      </c>
      <c r="B427" s="25" t="s">
        <v>24</v>
      </c>
      <c r="C427" s="25">
        <v>25</v>
      </c>
      <c r="D427" s="25" t="s">
        <v>3815</v>
      </c>
      <c r="E427" s="25" t="s">
        <v>3822</v>
      </c>
      <c r="F427" s="25">
        <v>11.69</v>
      </c>
      <c r="G427" s="25" t="s">
        <v>1889</v>
      </c>
      <c r="H427" s="25">
        <f>4.43+3.85+3.29</f>
        <v>11.57</v>
      </c>
      <c r="I427" s="25">
        <f>4.43+3.85+3.29</f>
        <v>11.57</v>
      </c>
      <c r="J427" s="25" t="s">
        <v>1891</v>
      </c>
      <c r="K427" s="25" t="str">
        <f>VLOOKUP(E427,[1]PrelimAssignPOP!$I$1:$J$947,2,FALSE)</f>
        <v>ART</v>
      </c>
      <c r="L427" s="25" t="s">
        <v>212</v>
      </c>
      <c r="M427" s="25" t="s">
        <v>145</v>
      </c>
      <c r="N427" s="25" t="s">
        <v>2304</v>
      </c>
    </row>
    <row r="428" spans="1:14" x14ac:dyDescent="0.55000000000000004">
      <c r="A428">
        <v>427</v>
      </c>
      <c r="B428" s="25" t="s">
        <v>24</v>
      </c>
      <c r="C428" s="25">
        <v>25</v>
      </c>
      <c r="D428" s="25" t="s">
        <v>3815</v>
      </c>
      <c r="E428" s="25" t="s">
        <v>3823</v>
      </c>
      <c r="F428" s="25">
        <v>12.13</v>
      </c>
      <c r="G428" s="25" t="s">
        <v>1889</v>
      </c>
      <c r="H428" s="25">
        <f>4.41+5.15+2.88</f>
        <v>12.440000000000001</v>
      </c>
      <c r="I428" s="25">
        <f>4.41+5.15+2.88</f>
        <v>12.440000000000001</v>
      </c>
      <c r="J428" s="25" t="s">
        <v>1891</v>
      </c>
      <c r="K428" s="25" t="str">
        <f>VLOOKUP(E428,[1]PrelimAssignPOP!$I$1:$J$947,2,FALSE)</f>
        <v>ART</v>
      </c>
      <c r="L428" s="25" t="s">
        <v>212</v>
      </c>
      <c r="M428" s="25" t="s">
        <v>146</v>
      </c>
      <c r="N428" s="25" t="s">
        <v>2305</v>
      </c>
    </row>
    <row r="429" spans="1:14" x14ac:dyDescent="0.55000000000000004">
      <c r="A429">
        <v>428</v>
      </c>
      <c r="B429" s="25" t="s">
        <v>24</v>
      </c>
      <c r="C429" s="25">
        <v>25</v>
      </c>
      <c r="D429" s="25" t="s">
        <v>3815</v>
      </c>
      <c r="E429" s="25" t="s">
        <v>3824</v>
      </c>
      <c r="F429" s="25">
        <v>12.66</v>
      </c>
      <c r="G429" s="25" t="s">
        <v>1889</v>
      </c>
      <c r="H429" s="25">
        <f>3.22+6.77+2.78</f>
        <v>12.77</v>
      </c>
      <c r="I429" s="25">
        <f>3.22+6.77+2.78</f>
        <v>12.77</v>
      </c>
      <c r="J429" s="25" t="s">
        <v>1891</v>
      </c>
      <c r="K429" s="25" t="str">
        <f>VLOOKUP(E429,[1]PrelimAssignPOP!$I$1:$J$947,2,FALSE)</f>
        <v>ART</v>
      </c>
      <c r="L429" s="25" t="s">
        <v>212</v>
      </c>
      <c r="M429" s="25" t="s">
        <v>147</v>
      </c>
      <c r="N429" s="25" t="s">
        <v>2306</v>
      </c>
    </row>
    <row r="430" spans="1:14" x14ac:dyDescent="0.55000000000000004">
      <c r="A430">
        <v>429</v>
      </c>
      <c r="B430" s="25" t="s">
        <v>24</v>
      </c>
      <c r="C430" s="25">
        <v>25</v>
      </c>
      <c r="D430" s="25" t="s">
        <v>3815</v>
      </c>
      <c r="E430" s="25" t="s">
        <v>3825</v>
      </c>
      <c r="F430" s="25">
        <v>12.63</v>
      </c>
      <c r="G430" s="25" t="s">
        <v>1889</v>
      </c>
      <c r="H430" s="25">
        <f>3.36+3.83+2.44+3.45</f>
        <v>13.079999999999998</v>
      </c>
      <c r="I430" s="25">
        <f>3.36+3.83+2.44+3.45</f>
        <v>13.079999999999998</v>
      </c>
      <c r="J430" s="25" t="s">
        <v>1891</v>
      </c>
      <c r="K430" s="25" t="str">
        <f>VLOOKUP(E430,[1]PrelimAssignPOP!$I$1:$J$947,2,FALSE)</f>
        <v>KIY</v>
      </c>
      <c r="L430" s="25" t="s">
        <v>212</v>
      </c>
      <c r="M430" s="25" t="s">
        <v>148</v>
      </c>
      <c r="N430" s="25" t="s">
        <v>2307</v>
      </c>
    </row>
    <row r="431" spans="1:14" x14ac:dyDescent="0.55000000000000004">
      <c r="A431">
        <v>430</v>
      </c>
      <c r="B431" s="25" t="s">
        <v>24</v>
      </c>
      <c r="C431" s="25">
        <v>25</v>
      </c>
      <c r="D431" s="25" t="s">
        <v>3815</v>
      </c>
      <c r="E431" s="25" t="s">
        <v>3826</v>
      </c>
      <c r="F431" s="25">
        <v>12.96</v>
      </c>
      <c r="G431" s="25" t="s">
        <v>1889</v>
      </c>
      <c r="H431" s="25">
        <f>8.56+4.44</f>
        <v>13</v>
      </c>
      <c r="I431" s="25">
        <f>8.56+4.44</f>
        <v>13</v>
      </c>
      <c r="J431" s="25" t="s">
        <v>1891</v>
      </c>
      <c r="K431" s="25" t="str">
        <f>VLOOKUP(E431,[1]PrelimAssignPOP!$I$1:$J$947,2,FALSE)</f>
        <v>ART</v>
      </c>
      <c r="L431" s="25" t="s">
        <v>212</v>
      </c>
      <c r="M431" s="25" t="s">
        <v>149</v>
      </c>
      <c r="N431" s="25" t="s">
        <v>2308</v>
      </c>
    </row>
    <row r="432" spans="1:14" x14ac:dyDescent="0.55000000000000004">
      <c r="A432">
        <v>431</v>
      </c>
      <c r="B432" s="25" t="s">
        <v>24</v>
      </c>
      <c r="C432" s="25">
        <v>25</v>
      </c>
      <c r="D432" s="25" t="s">
        <v>3815</v>
      </c>
      <c r="E432" s="25" t="s">
        <v>3827</v>
      </c>
      <c r="F432" s="25">
        <v>14.66</v>
      </c>
      <c r="G432" s="25" t="s">
        <v>1889</v>
      </c>
      <c r="H432" s="25">
        <f>8.08+2.92+4.07</f>
        <v>15.07</v>
      </c>
      <c r="I432" s="25">
        <f>8.08+2.92+4.07</f>
        <v>15.07</v>
      </c>
      <c r="J432" s="25" t="s">
        <v>1891</v>
      </c>
      <c r="K432" s="25" t="str">
        <f>VLOOKUP(E432,[1]PrelimAssignPOP!$I$1:$J$947,2,FALSE)</f>
        <v>ART</v>
      </c>
      <c r="L432" s="25" t="s">
        <v>212</v>
      </c>
      <c r="M432" s="25" t="s">
        <v>150</v>
      </c>
      <c r="N432" s="25" t="s">
        <v>2309</v>
      </c>
    </row>
    <row r="433" spans="1:14" x14ac:dyDescent="0.55000000000000004">
      <c r="A433">
        <v>432</v>
      </c>
      <c r="B433" s="25" t="s">
        <v>24</v>
      </c>
      <c r="C433" s="25">
        <v>25</v>
      </c>
      <c r="D433" s="25" t="s">
        <v>3815</v>
      </c>
      <c r="E433" s="25" t="s">
        <v>3828</v>
      </c>
      <c r="F433" s="25">
        <v>13.2</v>
      </c>
      <c r="G433" s="25" t="s">
        <v>1889</v>
      </c>
      <c r="H433" s="25">
        <f>6.74+2.88+2.16+1.57</f>
        <v>13.350000000000001</v>
      </c>
      <c r="I433" s="25">
        <f>6.74+2.88+2.16+1.57</f>
        <v>13.350000000000001</v>
      </c>
      <c r="J433" s="25" t="s">
        <v>1891</v>
      </c>
      <c r="N433" s="25" t="s">
        <v>2310</v>
      </c>
    </row>
    <row r="434" spans="1:14" x14ac:dyDescent="0.55000000000000004">
      <c r="A434">
        <v>433</v>
      </c>
      <c r="B434" s="25" t="s">
        <v>24</v>
      </c>
      <c r="C434" s="25">
        <v>25</v>
      </c>
      <c r="D434" s="25" t="s">
        <v>3815</v>
      </c>
      <c r="E434" s="25" t="s">
        <v>3829</v>
      </c>
      <c r="F434" s="25">
        <v>14.5</v>
      </c>
      <c r="G434" s="25" t="s">
        <v>1889</v>
      </c>
      <c r="H434" s="25">
        <f>4.89+6.75+3.26</f>
        <v>14.9</v>
      </c>
      <c r="I434" s="25">
        <f>4.89+6.75+3.26</f>
        <v>14.9</v>
      </c>
      <c r="J434" s="25" t="s">
        <v>1891</v>
      </c>
      <c r="N434" s="25" t="s">
        <v>2311</v>
      </c>
    </row>
    <row r="435" spans="1:14" x14ac:dyDescent="0.55000000000000004">
      <c r="A435">
        <v>434</v>
      </c>
      <c r="B435" s="25" t="s">
        <v>24</v>
      </c>
      <c r="C435" s="25">
        <v>25</v>
      </c>
      <c r="D435" s="25" t="s">
        <v>3815</v>
      </c>
      <c r="E435" s="25" t="s">
        <v>3830</v>
      </c>
      <c r="F435" s="25">
        <v>11.5</v>
      </c>
      <c r="G435" s="25" t="s">
        <v>1889</v>
      </c>
      <c r="H435" s="25">
        <f>3.22+1.54+2.29+4.69</f>
        <v>11.74</v>
      </c>
      <c r="I435" s="25">
        <f>3.22+1.54+2.29+4.69</f>
        <v>11.74</v>
      </c>
      <c r="J435" s="25" t="s">
        <v>1891</v>
      </c>
      <c r="N435" s="25" t="s">
        <v>2312</v>
      </c>
    </row>
    <row r="436" spans="1:14" x14ac:dyDescent="0.55000000000000004">
      <c r="A436">
        <v>435</v>
      </c>
      <c r="B436" s="25" t="s">
        <v>24</v>
      </c>
      <c r="C436" s="25">
        <v>25</v>
      </c>
      <c r="D436" s="25" t="s">
        <v>3815</v>
      </c>
      <c r="E436" s="25" t="s">
        <v>3831</v>
      </c>
      <c r="F436" s="25">
        <v>12.31</v>
      </c>
      <c r="G436" s="25" t="s">
        <v>1889</v>
      </c>
      <c r="H436" s="25">
        <f>3.36+4.22+4.76</f>
        <v>12.34</v>
      </c>
      <c r="I436" s="25">
        <f>3.36+4.22+4.76</f>
        <v>12.34</v>
      </c>
      <c r="J436" s="25" t="s">
        <v>1891</v>
      </c>
      <c r="N436" s="25" t="s">
        <v>2313</v>
      </c>
    </row>
    <row r="437" spans="1:14" x14ac:dyDescent="0.55000000000000004">
      <c r="A437">
        <v>436</v>
      </c>
      <c r="B437" s="25" t="s">
        <v>24</v>
      </c>
      <c r="C437" s="25">
        <v>25</v>
      </c>
      <c r="D437" s="25" t="s">
        <v>3815</v>
      </c>
      <c r="E437" s="25" t="s">
        <v>3832</v>
      </c>
      <c r="F437" s="25">
        <v>12.09</v>
      </c>
      <c r="G437" s="25" t="s">
        <v>1889</v>
      </c>
      <c r="H437" s="25">
        <f>4.44+3.64+4.03</f>
        <v>12.11</v>
      </c>
      <c r="I437" s="25">
        <f>4.44+3.64+4.03</f>
        <v>12.11</v>
      </c>
      <c r="J437" s="25" t="s">
        <v>1891</v>
      </c>
      <c r="N437" s="25" t="s">
        <v>2314</v>
      </c>
    </row>
    <row r="438" spans="1:14" x14ac:dyDescent="0.55000000000000004">
      <c r="A438">
        <v>437</v>
      </c>
      <c r="B438" s="25" t="s">
        <v>24</v>
      </c>
      <c r="C438" s="25">
        <v>25</v>
      </c>
      <c r="D438" s="25" t="s">
        <v>3815</v>
      </c>
      <c r="E438" s="25" t="s">
        <v>3833</v>
      </c>
      <c r="F438" s="25">
        <v>13.64</v>
      </c>
      <c r="G438" s="25" t="s">
        <v>1889</v>
      </c>
      <c r="H438" s="25">
        <f>5.84+3.36+4.52</f>
        <v>13.719999999999999</v>
      </c>
      <c r="I438" s="25">
        <f>5.84+3.36+4.52</f>
        <v>13.719999999999999</v>
      </c>
      <c r="J438" s="25" t="s">
        <v>1891</v>
      </c>
      <c r="N438" s="25" t="s">
        <v>2315</v>
      </c>
    </row>
    <row r="439" spans="1:14" x14ac:dyDescent="0.55000000000000004">
      <c r="A439">
        <v>438</v>
      </c>
      <c r="B439" s="25" t="s">
        <v>24</v>
      </c>
      <c r="C439" s="25">
        <v>25</v>
      </c>
      <c r="D439" s="25" t="s">
        <v>3815</v>
      </c>
      <c r="E439" s="25" t="s">
        <v>3834</v>
      </c>
      <c r="F439" s="25">
        <v>12.46</v>
      </c>
      <c r="G439" s="25" t="s">
        <v>1889</v>
      </c>
      <c r="H439" s="25">
        <f>9.22+3.18</f>
        <v>12.4</v>
      </c>
      <c r="I439" s="25">
        <f>9.22+3.18</f>
        <v>12.4</v>
      </c>
      <c r="J439" s="25" t="s">
        <v>1891</v>
      </c>
      <c r="N439" s="25" t="s">
        <v>2316</v>
      </c>
    </row>
    <row r="440" spans="1:14" x14ac:dyDescent="0.55000000000000004">
      <c r="A440">
        <v>439</v>
      </c>
      <c r="B440" s="25" t="s">
        <v>24</v>
      </c>
      <c r="C440" s="25">
        <v>25</v>
      </c>
      <c r="D440" s="25" t="s">
        <v>3815</v>
      </c>
      <c r="E440" s="25" t="s">
        <v>3835</v>
      </c>
      <c r="F440" s="25">
        <v>13.79</v>
      </c>
      <c r="G440" s="25" t="s">
        <v>1889</v>
      </c>
      <c r="H440" s="25">
        <f>4.26+2.63+3.12+3.82</f>
        <v>13.83</v>
      </c>
      <c r="I440" s="25">
        <f>4.26+2.63+3.12+3.82</f>
        <v>13.83</v>
      </c>
      <c r="J440" s="25" t="s">
        <v>1891</v>
      </c>
      <c r="N440" s="25" t="s">
        <v>2317</v>
      </c>
    </row>
    <row r="441" spans="1:14" x14ac:dyDescent="0.55000000000000004">
      <c r="A441">
        <v>440</v>
      </c>
      <c r="B441" s="25" t="s">
        <v>24</v>
      </c>
      <c r="C441" s="25">
        <v>25</v>
      </c>
      <c r="D441" s="25" t="s">
        <v>3815</v>
      </c>
      <c r="E441" s="25" t="s">
        <v>3836</v>
      </c>
      <c r="F441" s="25">
        <v>9.6</v>
      </c>
      <c r="G441" s="25" t="s">
        <v>1889</v>
      </c>
      <c r="H441" s="25">
        <f>2.66+3.08+2.09+2.38</f>
        <v>10.210000000000001</v>
      </c>
      <c r="I441" s="25">
        <f>2.66+3.08+2.09+2.38</f>
        <v>10.210000000000001</v>
      </c>
      <c r="J441" s="25" t="s">
        <v>1891</v>
      </c>
      <c r="N441" s="25" t="s">
        <v>2318</v>
      </c>
    </row>
    <row r="442" spans="1:14" x14ac:dyDescent="0.55000000000000004">
      <c r="A442">
        <v>441</v>
      </c>
      <c r="B442" s="25" t="s">
        <v>24</v>
      </c>
      <c r="C442" s="25">
        <v>25</v>
      </c>
      <c r="D442" s="25" t="s">
        <v>3815</v>
      </c>
      <c r="E442" s="25" t="s">
        <v>3837</v>
      </c>
      <c r="F442" s="25">
        <v>12.1</v>
      </c>
      <c r="G442" s="25" t="s">
        <v>1889</v>
      </c>
      <c r="H442" s="25">
        <f>3.31+4.51+4.73</f>
        <v>12.55</v>
      </c>
      <c r="I442" s="25">
        <f>3.31+4.51+4.73</f>
        <v>12.55</v>
      </c>
      <c r="J442" s="25" t="s">
        <v>1891</v>
      </c>
      <c r="N442" s="25" t="s">
        <v>2319</v>
      </c>
    </row>
    <row r="443" spans="1:14" x14ac:dyDescent="0.55000000000000004">
      <c r="A443">
        <v>442</v>
      </c>
      <c r="B443" s="25" t="s">
        <v>24</v>
      </c>
      <c r="C443" s="25">
        <v>25</v>
      </c>
      <c r="D443" s="25" t="s">
        <v>3815</v>
      </c>
      <c r="E443" s="25" t="s">
        <v>3838</v>
      </c>
      <c r="F443" s="25">
        <v>13.53</v>
      </c>
      <c r="G443" s="25" t="s">
        <v>1889</v>
      </c>
      <c r="H443" s="25">
        <f>2.64+10.97</f>
        <v>13.610000000000001</v>
      </c>
      <c r="I443" s="25">
        <f>2.64+10.97</f>
        <v>13.610000000000001</v>
      </c>
      <c r="J443" s="25" t="s">
        <v>1891</v>
      </c>
      <c r="N443" s="25" t="s">
        <v>2320</v>
      </c>
    </row>
    <row r="444" spans="1:14" x14ac:dyDescent="0.55000000000000004">
      <c r="A444">
        <v>443</v>
      </c>
      <c r="B444" s="25" t="s">
        <v>24</v>
      </c>
      <c r="C444" s="25">
        <v>25</v>
      </c>
      <c r="D444" s="25" t="s">
        <v>3815</v>
      </c>
      <c r="E444" s="25" t="s">
        <v>3839</v>
      </c>
      <c r="F444" s="25">
        <v>12.3</v>
      </c>
      <c r="G444" s="25" t="s">
        <v>1889</v>
      </c>
      <c r="H444" s="25">
        <f>4.21+2.89+2.43+3.13</f>
        <v>12.66</v>
      </c>
      <c r="I444" s="25">
        <f>4.21+2.89+2.43+3.13</f>
        <v>12.66</v>
      </c>
      <c r="J444" s="25" t="s">
        <v>1891</v>
      </c>
      <c r="N444" s="25" t="s">
        <v>2321</v>
      </c>
    </row>
    <row r="445" spans="1:14" x14ac:dyDescent="0.55000000000000004">
      <c r="A445">
        <v>444</v>
      </c>
      <c r="B445" s="25" t="s">
        <v>24</v>
      </c>
      <c r="C445" s="25">
        <v>25</v>
      </c>
      <c r="D445" s="25" t="s">
        <v>3815</v>
      </c>
      <c r="E445" s="25" t="s">
        <v>3840</v>
      </c>
      <c r="F445" s="25">
        <v>20.05</v>
      </c>
      <c r="G445" s="25" t="s">
        <v>2113</v>
      </c>
      <c r="I445" s="25">
        <v>20.05</v>
      </c>
      <c r="J445" s="25" t="s">
        <v>110</v>
      </c>
    </row>
    <row r="446" spans="1:14" x14ac:dyDescent="0.55000000000000004">
      <c r="A446">
        <v>445</v>
      </c>
      <c r="B446" s="25" t="s">
        <v>25</v>
      </c>
      <c r="C446" s="25">
        <v>25</v>
      </c>
      <c r="D446" s="25" t="s">
        <v>3841</v>
      </c>
      <c r="E446" s="25" t="s">
        <v>3842</v>
      </c>
      <c r="F446" s="25">
        <v>11.33</v>
      </c>
      <c r="G446" s="25" t="s">
        <v>1889</v>
      </c>
      <c r="H446" s="25">
        <f>4.37+3.65+3.38</f>
        <v>11.399999999999999</v>
      </c>
      <c r="I446" s="25">
        <f>4.37+3.65+3.38</f>
        <v>11.399999999999999</v>
      </c>
      <c r="J446" s="25" t="s">
        <v>1891</v>
      </c>
      <c r="K446" s="25" t="str">
        <f>VLOOKUP(E446,[1]PrelimAssignPOP!$I$1:$J$947,2,FALSE)</f>
        <v>ART</v>
      </c>
      <c r="L446" s="25" t="s">
        <v>212</v>
      </c>
      <c r="M446" s="25" t="s">
        <v>151</v>
      </c>
      <c r="N446" s="25" t="s">
        <v>2322</v>
      </c>
    </row>
    <row r="447" spans="1:14" x14ac:dyDescent="0.55000000000000004">
      <c r="A447">
        <v>446</v>
      </c>
      <c r="B447" s="25" t="s">
        <v>25</v>
      </c>
      <c r="C447" s="25">
        <v>25</v>
      </c>
      <c r="D447" s="25" t="s">
        <v>3841</v>
      </c>
      <c r="E447" s="25" t="s">
        <v>3843</v>
      </c>
      <c r="F447" s="25">
        <v>10.72</v>
      </c>
      <c r="G447" s="25" t="s">
        <v>1889</v>
      </c>
      <c r="H447" s="25">
        <f>2+1.85+1.69+2.35+3.05</f>
        <v>10.940000000000001</v>
      </c>
      <c r="I447" s="25">
        <f>2+1.85+1.69+2.35+3.05</f>
        <v>10.940000000000001</v>
      </c>
      <c r="J447" s="25" t="s">
        <v>1891</v>
      </c>
      <c r="K447" s="25" t="str">
        <f>VLOOKUP(E447,[1]PrelimAssignPOP!$I$1:$J$947,2,FALSE)</f>
        <v>ART</v>
      </c>
      <c r="L447" s="25" t="s">
        <v>212</v>
      </c>
      <c r="M447" s="25" t="s">
        <v>152</v>
      </c>
      <c r="N447" s="25" t="s">
        <v>2323</v>
      </c>
    </row>
    <row r="448" spans="1:14" x14ac:dyDescent="0.55000000000000004">
      <c r="A448">
        <v>447</v>
      </c>
      <c r="B448" s="25" t="s">
        <v>25</v>
      </c>
      <c r="C448" s="25">
        <v>25</v>
      </c>
      <c r="D448" s="25" t="s">
        <v>3841</v>
      </c>
      <c r="E448" s="25" t="s">
        <v>3844</v>
      </c>
      <c r="F448" s="25">
        <v>11.62</v>
      </c>
      <c r="G448" s="25" t="s">
        <v>1889</v>
      </c>
      <c r="H448" s="25">
        <f>6.01+5.96</f>
        <v>11.969999999999999</v>
      </c>
      <c r="I448" s="25">
        <f>6.01+5.96</f>
        <v>11.969999999999999</v>
      </c>
      <c r="J448" s="25" t="s">
        <v>1891</v>
      </c>
      <c r="K448" s="25" t="str">
        <f>VLOOKUP(E448,[1]PrelimAssignPOP!$I$1:$J$947,2,FALSE)</f>
        <v>ART</v>
      </c>
      <c r="L448" s="25" t="s">
        <v>212</v>
      </c>
      <c r="M448" s="25" t="s">
        <v>153</v>
      </c>
      <c r="N448" s="25" t="s">
        <v>2324</v>
      </c>
    </row>
    <row r="449" spans="1:14" x14ac:dyDescent="0.55000000000000004">
      <c r="A449">
        <v>448</v>
      </c>
      <c r="B449" s="25" t="s">
        <v>25</v>
      </c>
      <c r="C449" s="25">
        <v>25</v>
      </c>
      <c r="D449" s="25" t="s">
        <v>3841</v>
      </c>
      <c r="E449" s="25" t="s">
        <v>3845</v>
      </c>
      <c r="F449" s="25">
        <v>10.91</v>
      </c>
      <c r="G449" s="25" t="s">
        <v>1889</v>
      </c>
      <c r="H449" s="25">
        <f>3.45+3.05+4.82</f>
        <v>11.32</v>
      </c>
      <c r="I449" s="25">
        <f>3.45+3.05+4.82</f>
        <v>11.32</v>
      </c>
      <c r="J449" s="25" t="s">
        <v>1891</v>
      </c>
      <c r="K449" s="25" t="str">
        <f>VLOOKUP(E449,[1]PrelimAssignPOP!$I$1:$J$947,2,FALSE)</f>
        <v>ART</v>
      </c>
      <c r="L449" s="25" t="s">
        <v>212</v>
      </c>
      <c r="M449" s="25" t="s">
        <v>154</v>
      </c>
      <c r="N449" s="25" t="s">
        <v>2325</v>
      </c>
    </row>
    <row r="450" spans="1:14" x14ac:dyDescent="0.55000000000000004">
      <c r="A450">
        <v>449</v>
      </c>
      <c r="B450" s="25" t="s">
        <v>25</v>
      </c>
      <c r="C450" s="25">
        <v>25</v>
      </c>
      <c r="D450" s="25" t="s">
        <v>3841</v>
      </c>
      <c r="E450" s="25" t="s">
        <v>3846</v>
      </c>
      <c r="F450" s="25">
        <v>10.5</v>
      </c>
      <c r="G450" s="25" t="s">
        <v>1889</v>
      </c>
      <c r="H450" s="25">
        <f>5.48+5.16</f>
        <v>10.64</v>
      </c>
      <c r="I450" s="25">
        <f>5.48+5.16</f>
        <v>10.64</v>
      </c>
      <c r="J450" s="25" t="s">
        <v>1891</v>
      </c>
      <c r="K450" s="25" t="str">
        <f>VLOOKUP(E450,[1]PrelimAssignPOP!$I$1:$J$947,2,FALSE)</f>
        <v>ART</v>
      </c>
      <c r="L450" s="25" t="s">
        <v>212</v>
      </c>
      <c r="M450" s="25" t="s">
        <v>117</v>
      </c>
      <c r="N450" s="25" t="s">
        <v>2326</v>
      </c>
    </row>
    <row r="451" spans="1:14" x14ac:dyDescent="0.55000000000000004">
      <c r="A451">
        <v>450</v>
      </c>
      <c r="B451" s="25" t="s">
        <v>25</v>
      </c>
      <c r="C451" s="25">
        <v>25</v>
      </c>
      <c r="D451" s="25" t="s">
        <v>3841</v>
      </c>
      <c r="E451" s="25" t="s">
        <v>3847</v>
      </c>
      <c r="F451" s="25">
        <v>12.99</v>
      </c>
      <c r="G451" s="25" t="s">
        <v>1889</v>
      </c>
      <c r="H451" s="25">
        <f>5.29+2.77+5.28</f>
        <v>13.34</v>
      </c>
      <c r="I451" s="25">
        <f>5.29+2.77+5.28</f>
        <v>13.34</v>
      </c>
      <c r="J451" s="25" t="s">
        <v>1891</v>
      </c>
      <c r="K451" s="25" t="str">
        <f>VLOOKUP(E451,[1]PrelimAssignPOP!$I$1:$J$947,2,FALSE)</f>
        <v>ART</v>
      </c>
      <c r="L451" s="25" t="s">
        <v>212</v>
      </c>
      <c r="M451" s="25" t="s">
        <v>155</v>
      </c>
      <c r="N451" s="25" t="s">
        <v>2327</v>
      </c>
    </row>
    <row r="452" spans="1:14" x14ac:dyDescent="0.55000000000000004">
      <c r="A452">
        <v>451</v>
      </c>
      <c r="B452" s="25" t="s">
        <v>25</v>
      </c>
      <c r="C452" s="25">
        <v>25</v>
      </c>
      <c r="D452" s="25" t="s">
        <v>3841</v>
      </c>
      <c r="E452" s="25" t="s">
        <v>3848</v>
      </c>
      <c r="F452" s="25">
        <v>9.43</v>
      </c>
      <c r="G452" s="25" t="s">
        <v>1889</v>
      </c>
      <c r="H452" s="25">
        <f>1.97+2.53+4.98</f>
        <v>9.48</v>
      </c>
      <c r="I452" s="25">
        <f>1.97+2.53+4.98</f>
        <v>9.48</v>
      </c>
      <c r="J452" s="25" t="s">
        <v>1891</v>
      </c>
      <c r="K452" s="25" t="str">
        <f>VLOOKUP(E452,[1]PrelimAssignPOP!$I$1:$J$947,2,FALSE)</f>
        <v>ART</v>
      </c>
      <c r="L452" s="25" t="s">
        <v>212</v>
      </c>
      <c r="M452" s="25" t="s">
        <v>156</v>
      </c>
      <c r="N452" s="25" t="s">
        <v>2328</v>
      </c>
    </row>
    <row r="453" spans="1:14" x14ac:dyDescent="0.55000000000000004">
      <c r="A453">
        <v>452</v>
      </c>
      <c r="B453" s="25" t="s">
        <v>25</v>
      </c>
      <c r="C453" s="25">
        <v>25</v>
      </c>
      <c r="D453" s="25" t="s">
        <v>3841</v>
      </c>
      <c r="E453" s="25" t="s">
        <v>3849</v>
      </c>
      <c r="F453" s="25">
        <v>11.48</v>
      </c>
      <c r="G453" s="25" t="s">
        <v>1889</v>
      </c>
      <c r="H453" s="25">
        <f>7.27+4.25</f>
        <v>11.52</v>
      </c>
      <c r="I453" s="25">
        <f>7.27+4.25</f>
        <v>11.52</v>
      </c>
      <c r="J453" s="25" t="s">
        <v>1891</v>
      </c>
      <c r="K453" s="25" t="str">
        <f>VLOOKUP(E453,[1]PrelimAssignPOP!$I$1:$J$947,2,FALSE)</f>
        <v>ART</v>
      </c>
      <c r="L453" s="25" t="s">
        <v>212</v>
      </c>
      <c r="M453" s="25" t="s">
        <v>157</v>
      </c>
      <c r="N453" s="25" t="s">
        <v>2329</v>
      </c>
    </row>
    <row r="454" spans="1:14" x14ac:dyDescent="0.55000000000000004">
      <c r="A454">
        <v>453</v>
      </c>
      <c r="B454" s="25" t="s">
        <v>25</v>
      </c>
      <c r="C454" s="25">
        <v>25</v>
      </c>
      <c r="D454" s="25" t="s">
        <v>3841</v>
      </c>
      <c r="E454" s="25" t="s">
        <v>3850</v>
      </c>
      <c r="F454" s="25">
        <v>14.14</v>
      </c>
      <c r="G454" s="25" t="s">
        <v>1889</v>
      </c>
      <c r="H454" s="25">
        <f>5.44+2.89+5.98</f>
        <v>14.31</v>
      </c>
      <c r="I454" s="25">
        <f>5.44+2.89+5.98</f>
        <v>14.31</v>
      </c>
      <c r="J454" s="25" t="s">
        <v>1891</v>
      </c>
      <c r="K454" s="25" t="str">
        <f>VLOOKUP(E454,[1]PrelimAssignPOP!$I$1:$J$947,2,FALSE)</f>
        <v>KIY</v>
      </c>
      <c r="L454" s="25" t="s">
        <v>212</v>
      </c>
      <c r="M454" s="25" t="s">
        <v>158</v>
      </c>
      <c r="N454" s="25" t="s">
        <v>2330</v>
      </c>
    </row>
    <row r="455" spans="1:14" x14ac:dyDescent="0.55000000000000004">
      <c r="A455">
        <v>454</v>
      </c>
      <c r="B455" s="25" t="s">
        <v>25</v>
      </c>
      <c r="C455" s="25">
        <v>25</v>
      </c>
      <c r="D455" s="25" t="s">
        <v>3841</v>
      </c>
      <c r="E455" s="25" t="s">
        <v>3851</v>
      </c>
      <c r="F455" s="25">
        <v>12.33</v>
      </c>
      <c r="G455" s="25" t="s">
        <v>1889</v>
      </c>
      <c r="H455" s="25">
        <f>3.33+5.83+3.2</f>
        <v>12.36</v>
      </c>
      <c r="I455" s="25">
        <f>3.33+5.83+3.2</f>
        <v>12.36</v>
      </c>
      <c r="J455" s="25" t="s">
        <v>1891</v>
      </c>
      <c r="K455" s="25" t="str">
        <f>VLOOKUP(E455,[1]PrelimAssignPOP!$I$1:$J$947,2,FALSE)</f>
        <v>ART</v>
      </c>
      <c r="L455" s="25" t="s">
        <v>212</v>
      </c>
      <c r="M455" s="25" t="s">
        <v>159</v>
      </c>
      <c r="N455" s="25" t="s">
        <v>2331</v>
      </c>
    </row>
    <row r="456" spans="1:14" x14ac:dyDescent="0.55000000000000004">
      <c r="A456">
        <v>455</v>
      </c>
      <c r="B456" s="25" t="s">
        <v>25</v>
      </c>
      <c r="C456" s="25">
        <v>25</v>
      </c>
      <c r="D456" s="25" t="s">
        <v>3841</v>
      </c>
      <c r="E456" s="25" t="s">
        <v>3852</v>
      </c>
      <c r="F456" s="25">
        <v>13.27</v>
      </c>
      <c r="G456" s="25" t="s">
        <v>1889</v>
      </c>
      <c r="H456" s="25">
        <f>4.89+3.38+5.19</f>
        <v>13.46</v>
      </c>
      <c r="I456" s="25">
        <f>4.89+3.38+5.19</f>
        <v>13.46</v>
      </c>
      <c r="J456" s="25" t="s">
        <v>1891</v>
      </c>
      <c r="K456" s="25" t="str">
        <f>VLOOKUP(E456,[1]PrelimAssignPOP!$I$1:$J$947,2,FALSE)</f>
        <v>KIY</v>
      </c>
      <c r="L456" s="25" t="s">
        <v>212</v>
      </c>
      <c r="M456" s="25" t="s">
        <v>160</v>
      </c>
      <c r="N456" s="25" t="s">
        <v>2332</v>
      </c>
    </row>
    <row r="457" spans="1:14" x14ac:dyDescent="0.55000000000000004">
      <c r="A457">
        <v>456</v>
      </c>
      <c r="B457" s="25" t="s">
        <v>25</v>
      </c>
      <c r="C457" s="25">
        <v>25</v>
      </c>
      <c r="D457" s="25" t="s">
        <v>3841</v>
      </c>
      <c r="E457" s="25" t="s">
        <v>3853</v>
      </c>
      <c r="F457" s="25">
        <v>10.7</v>
      </c>
      <c r="G457" s="25" t="s">
        <v>1889</v>
      </c>
      <c r="H457" s="25">
        <f>1.34+2.27+1.91+2.28+2.95</f>
        <v>10.75</v>
      </c>
      <c r="I457" s="25">
        <f>1.34+2.27+1.91+2.28+2.95</f>
        <v>10.75</v>
      </c>
      <c r="J457" s="25" t="s">
        <v>1891</v>
      </c>
      <c r="K457" s="25" t="str">
        <f>VLOOKUP(E457,[1]PrelimAssignPOP!$I$1:$J$947,2,FALSE)</f>
        <v>ART</v>
      </c>
      <c r="L457" s="25" t="s">
        <v>212</v>
      </c>
      <c r="M457" s="25" t="s">
        <v>161</v>
      </c>
      <c r="N457" s="25" t="s">
        <v>2333</v>
      </c>
    </row>
    <row r="458" spans="1:14" x14ac:dyDescent="0.55000000000000004">
      <c r="A458">
        <v>457</v>
      </c>
      <c r="B458" s="25" t="s">
        <v>25</v>
      </c>
      <c r="C458" s="25">
        <v>25</v>
      </c>
      <c r="D458" s="25" t="s">
        <v>3841</v>
      </c>
      <c r="E458" s="25" t="s">
        <v>3854</v>
      </c>
      <c r="F458" s="25">
        <v>10.54</v>
      </c>
      <c r="G458" s="25" t="s">
        <v>1889</v>
      </c>
      <c r="H458" s="25">
        <f>3.31+4.05+3.19</f>
        <v>10.549999999999999</v>
      </c>
      <c r="I458" s="25">
        <f>3.31+4.05+3.19</f>
        <v>10.549999999999999</v>
      </c>
      <c r="J458" s="25" t="s">
        <v>1891</v>
      </c>
      <c r="N458" s="25" t="s">
        <v>2334</v>
      </c>
    </row>
    <row r="459" spans="1:14" x14ac:dyDescent="0.55000000000000004">
      <c r="A459">
        <v>458</v>
      </c>
      <c r="B459" s="25" t="s">
        <v>25</v>
      </c>
      <c r="C459" s="25">
        <v>25</v>
      </c>
      <c r="D459" s="25" t="s">
        <v>3841</v>
      </c>
      <c r="E459" s="25" t="s">
        <v>3855</v>
      </c>
      <c r="F459" s="25">
        <v>12.63</v>
      </c>
      <c r="G459" s="25" t="s">
        <v>1889</v>
      </c>
      <c r="H459" s="25">
        <f>2.05+1.85+2.44+4.13+2.27</f>
        <v>12.739999999999998</v>
      </c>
      <c r="I459" s="25">
        <f>2.05+1.85+2.44+4.13+2.27</f>
        <v>12.739999999999998</v>
      </c>
      <c r="J459" s="25" t="s">
        <v>1891</v>
      </c>
      <c r="N459" s="25" t="s">
        <v>2335</v>
      </c>
    </row>
    <row r="460" spans="1:14" x14ac:dyDescent="0.55000000000000004">
      <c r="A460">
        <v>459</v>
      </c>
      <c r="B460" s="25" t="s">
        <v>25</v>
      </c>
      <c r="C460" s="25">
        <v>25</v>
      </c>
      <c r="D460" s="25" t="s">
        <v>3841</v>
      </c>
      <c r="E460" s="25" t="s">
        <v>3856</v>
      </c>
      <c r="F460" s="25">
        <v>12.29</v>
      </c>
      <c r="G460" s="25" t="s">
        <v>1889</v>
      </c>
      <c r="H460" s="25">
        <f>7.49+4.81</f>
        <v>12.3</v>
      </c>
      <c r="I460" s="25">
        <f>7.49+4.81</f>
        <v>12.3</v>
      </c>
      <c r="J460" s="25" t="s">
        <v>1891</v>
      </c>
      <c r="N460" s="25" t="s">
        <v>2336</v>
      </c>
    </row>
    <row r="461" spans="1:14" x14ac:dyDescent="0.55000000000000004">
      <c r="A461">
        <v>460</v>
      </c>
      <c r="B461" s="25" t="s">
        <v>25</v>
      </c>
      <c r="C461" s="25">
        <v>25</v>
      </c>
      <c r="D461" s="25" t="s">
        <v>3841</v>
      </c>
      <c r="E461" s="25" t="s">
        <v>3857</v>
      </c>
      <c r="F461" s="25">
        <v>15.01</v>
      </c>
      <c r="G461" s="25" t="s">
        <v>1889</v>
      </c>
      <c r="H461" s="25">
        <f>2.01+2.27+3.42+3.96+3.48</f>
        <v>15.14</v>
      </c>
      <c r="I461" s="25">
        <f>2.01+2.27+3.42+3.96+3.48</f>
        <v>15.14</v>
      </c>
      <c r="J461" s="25" t="s">
        <v>1891</v>
      </c>
      <c r="N461" s="25" t="s">
        <v>2337</v>
      </c>
    </row>
    <row r="462" spans="1:14" x14ac:dyDescent="0.55000000000000004">
      <c r="A462">
        <v>461</v>
      </c>
      <c r="B462" s="25" t="s">
        <v>25</v>
      </c>
      <c r="C462" s="25">
        <v>25</v>
      </c>
      <c r="D462" s="25" t="s">
        <v>3841</v>
      </c>
      <c r="E462" s="25" t="s">
        <v>3858</v>
      </c>
      <c r="F462" s="25">
        <v>10.73</v>
      </c>
      <c r="G462" s="25" t="s">
        <v>1889</v>
      </c>
      <c r="H462" s="25">
        <f>2.39+2.47+1.93+3.91</f>
        <v>10.7</v>
      </c>
      <c r="I462" s="25">
        <f>2.39+2.47+1.93+3.91</f>
        <v>10.7</v>
      </c>
      <c r="J462" s="25" t="s">
        <v>1891</v>
      </c>
      <c r="N462" s="25" t="s">
        <v>2338</v>
      </c>
    </row>
    <row r="463" spans="1:14" x14ac:dyDescent="0.55000000000000004">
      <c r="A463">
        <v>462</v>
      </c>
      <c r="B463" s="25" t="s">
        <v>25</v>
      </c>
      <c r="C463" s="25">
        <v>25</v>
      </c>
      <c r="D463" s="25" t="s">
        <v>3841</v>
      </c>
      <c r="E463" s="25" t="s">
        <v>3859</v>
      </c>
      <c r="F463" s="25">
        <v>11.75</v>
      </c>
      <c r="G463" s="25" t="s">
        <v>1889</v>
      </c>
      <c r="H463" s="25">
        <f>2.53+2.1+4.87+2.69</f>
        <v>12.19</v>
      </c>
      <c r="I463" s="25">
        <f>2.53+2.1+4.87+2.69</f>
        <v>12.19</v>
      </c>
      <c r="J463" s="25" t="s">
        <v>1891</v>
      </c>
      <c r="N463" s="25" t="s">
        <v>2339</v>
      </c>
    </row>
    <row r="464" spans="1:14" x14ac:dyDescent="0.55000000000000004">
      <c r="A464">
        <v>463</v>
      </c>
      <c r="B464" s="25" t="s">
        <v>25</v>
      </c>
      <c r="C464" s="25">
        <v>25</v>
      </c>
      <c r="D464" s="25" t="s">
        <v>3841</v>
      </c>
      <c r="E464" s="25" t="s">
        <v>3860</v>
      </c>
      <c r="F464" s="25">
        <v>11.7</v>
      </c>
      <c r="G464" s="25" t="s">
        <v>1889</v>
      </c>
      <c r="H464" s="25">
        <f>6.08+3.09+2.76</f>
        <v>11.93</v>
      </c>
      <c r="I464" s="25">
        <f>6.08+3.09+2.76</f>
        <v>11.93</v>
      </c>
      <c r="J464" s="25" t="s">
        <v>1891</v>
      </c>
      <c r="N464" s="25" t="s">
        <v>2340</v>
      </c>
    </row>
    <row r="465" spans="1:14" x14ac:dyDescent="0.55000000000000004">
      <c r="A465">
        <v>464</v>
      </c>
      <c r="B465" s="25" t="s">
        <v>25</v>
      </c>
      <c r="C465" s="25">
        <v>25</v>
      </c>
      <c r="D465" s="25" t="s">
        <v>3841</v>
      </c>
      <c r="E465" s="25" t="s">
        <v>3861</v>
      </c>
      <c r="F465" s="25">
        <v>11.57</v>
      </c>
      <c r="G465" s="25" t="s">
        <v>1889</v>
      </c>
      <c r="H465" s="25">
        <f>9.14+2.95</f>
        <v>12.09</v>
      </c>
      <c r="I465" s="25">
        <f>9.14+2.95</f>
        <v>12.09</v>
      </c>
      <c r="J465" s="25" t="s">
        <v>1891</v>
      </c>
      <c r="N465" s="25" t="s">
        <v>2341</v>
      </c>
    </row>
    <row r="466" spans="1:14" x14ac:dyDescent="0.55000000000000004">
      <c r="A466">
        <v>465</v>
      </c>
      <c r="B466" s="25" t="s">
        <v>25</v>
      </c>
      <c r="C466" s="25">
        <v>25</v>
      </c>
      <c r="D466" s="25" t="s">
        <v>3841</v>
      </c>
      <c r="E466" s="25" t="s">
        <v>3862</v>
      </c>
      <c r="F466" s="25">
        <v>10.46</v>
      </c>
      <c r="G466" s="25" t="s">
        <v>1889</v>
      </c>
      <c r="H466" s="25">
        <f>3.42+1.91+2.97+2.8</f>
        <v>11.100000000000001</v>
      </c>
      <c r="I466" s="25">
        <f>3.42+1.91+2.97+2.8</f>
        <v>11.100000000000001</v>
      </c>
      <c r="J466" s="25" t="s">
        <v>1891</v>
      </c>
      <c r="N466" s="25" t="s">
        <v>2342</v>
      </c>
    </row>
    <row r="467" spans="1:14" x14ac:dyDescent="0.55000000000000004">
      <c r="A467">
        <v>466</v>
      </c>
      <c r="B467" s="25" t="s">
        <v>25</v>
      </c>
      <c r="C467" s="25">
        <v>25</v>
      </c>
      <c r="D467" s="25" t="s">
        <v>3841</v>
      </c>
      <c r="E467" s="25" t="s">
        <v>3863</v>
      </c>
      <c r="F467" s="25">
        <v>12.69</v>
      </c>
      <c r="G467" s="25" t="s">
        <v>1889</v>
      </c>
      <c r="H467" s="25">
        <f>5.09+7.73</f>
        <v>12.82</v>
      </c>
      <c r="I467" s="25">
        <f>5.09+7.73</f>
        <v>12.82</v>
      </c>
      <c r="J467" s="25" t="s">
        <v>1891</v>
      </c>
      <c r="N467" s="25" t="s">
        <v>2343</v>
      </c>
    </row>
    <row r="468" spans="1:14" x14ac:dyDescent="0.55000000000000004">
      <c r="A468">
        <v>467</v>
      </c>
      <c r="B468" s="25" t="s">
        <v>25</v>
      </c>
      <c r="C468" s="25">
        <v>25</v>
      </c>
      <c r="D468" s="25" t="s">
        <v>3841</v>
      </c>
      <c r="E468" s="25" t="s">
        <v>3864</v>
      </c>
      <c r="F468" s="25">
        <v>11.68</v>
      </c>
      <c r="G468" s="25" t="s">
        <v>1889</v>
      </c>
      <c r="H468" s="25">
        <f>7.46+4.12</f>
        <v>11.58</v>
      </c>
      <c r="I468" s="25">
        <f>7.46+4.12</f>
        <v>11.58</v>
      </c>
      <c r="J468" s="25" t="s">
        <v>1891</v>
      </c>
      <c r="N468" s="25" t="s">
        <v>2344</v>
      </c>
    </row>
    <row r="469" spans="1:14" x14ac:dyDescent="0.55000000000000004">
      <c r="A469">
        <v>468</v>
      </c>
      <c r="B469" s="25" t="s">
        <v>25</v>
      </c>
      <c r="C469" s="25">
        <v>25</v>
      </c>
      <c r="D469" s="25" t="s">
        <v>3841</v>
      </c>
      <c r="E469" s="25" t="s">
        <v>3865</v>
      </c>
      <c r="F469" s="25">
        <v>14.59</v>
      </c>
      <c r="G469" s="25" t="s">
        <v>1889</v>
      </c>
      <c r="H469" s="25">
        <f>3.13+11.59</f>
        <v>14.719999999999999</v>
      </c>
      <c r="I469" s="25">
        <f>3.13+11.59</f>
        <v>14.719999999999999</v>
      </c>
      <c r="J469" s="25" t="s">
        <v>1891</v>
      </c>
      <c r="N469" s="25" t="s">
        <v>2345</v>
      </c>
    </row>
    <row r="470" spans="1:14" x14ac:dyDescent="0.55000000000000004">
      <c r="A470">
        <v>469</v>
      </c>
      <c r="B470" s="25" t="s">
        <v>25</v>
      </c>
      <c r="C470" s="25">
        <v>25</v>
      </c>
      <c r="D470" s="25" t="s">
        <v>3841</v>
      </c>
      <c r="E470" s="25" t="s">
        <v>3866</v>
      </c>
      <c r="F470" s="25">
        <v>11.31</v>
      </c>
      <c r="G470" s="25" t="s">
        <v>1889</v>
      </c>
      <c r="H470" s="25">
        <f>2.87+2.47+6.12</f>
        <v>11.46</v>
      </c>
      <c r="I470" s="25">
        <f>2.87+2.47+6.12</f>
        <v>11.46</v>
      </c>
      <c r="J470" s="25" t="s">
        <v>1891</v>
      </c>
      <c r="N470" s="25" t="s">
        <v>2346</v>
      </c>
    </row>
    <row r="471" spans="1:14" x14ac:dyDescent="0.55000000000000004">
      <c r="A471">
        <v>470</v>
      </c>
      <c r="B471" s="25" t="s">
        <v>26</v>
      </c>
      <c r="C471" s="25">
        <v>25</v>
      </c>
      <c r="D471" s="25" t="s">
        <v>3867</v>
      </c>
      <c r="E471" s="25" t="s">
        <v>3868</v>
      </c>
      <c r="F471" s="25">
        <v>9.7899999999999991</v>
      </c>
      <c r="G471" s="25" t="s">
        <v>1889</v>
      </c>
      <c r="H471" s="25">
        <f>3.51+3.35+3</f>
        <v>9.86</v>
      </c>
      <c r="I471" s="25">
        <f>3.51+3.35+3</f>
        <v>9.86</v>
      </c>
      <c r="J471" s="25" t="s">
        <v>1891</v>
      </c>
      <c r="K471" s="25" t="str">
        <f>VLOOKUP(E471,[1]PrelimAssignPOP!$I$1:$J$947,2,FALSE)</f>
        <v>ART</v>
      </c>
      <c r="L471" s="25" t="s">
        <v>212</v>
      </c>
      <c r="M471" s="25" t="s">
        <v>162</v>
      </c>
      <c r="N471" s="25" t="s">
        <v>2347</v>
      </c>
    </row>
    <row r="472" spans="1:14" x14ac:dyDescent="0.55000000000000004">
      <c r="A472">
        <v>471</v>
      </c>
      <c r="B472" s="25" t="s">
        <v>26</v>
      </c>
      <c r="C472" s="25">
        <v>25</v>
      </c>
      <c r="D472" s="25" t="s">
        <v>3867</v>
      </c>
      <c r="E472" s="25" t="s">
        <v>3869</v>
      </c>
      <c r="F472" s="25">
        <v>10.98</v>
      </c>
      <c r="G472" s="25" t="s">
        <v>1889</v>
      </c>
      <c r="H472" s="25">
        <f>2.22+1.77+7.1</f>
        <v>11.09</v>
      </c>
      <c r="I472" s="25">
        <f>2.22+1.77+7.1</f>
        <v>11.09</v>
      </c>
      <c r="J472" s="25" t="s">
        <v>1891</v>
      </c>
      <c r="K472" s="25" t="str">
        <f>VLOOKUP(E472,[1]PrelimAssignPOP!$I$1:$J$947,2,FALSE)</f>
        <v>ART</v>
      </c>
      <c r="L472" s="25" t="s">
        <v>212</v>
      </c>
      <c r="M472" s="25" t="s">
        <v>163</v>
      </c>
      <c r="N472" s="25" t="s">
        <v>2348</v>
      </c>
    </row>
    <row r="473" spans="1:14" x14ac:dyDescent="0.55000000000000004">
      <c r="A473">
        <v>472</v>
      </c>
      <c r="B473" s="25" t="s">
        <v>26</v>
      </c>
      <c r="C473" s="25">
        <v>25</v>
      </c>
      <c r="D473" s="25" t="s">
        <v>3867</v>
      </c>
      <c r="E473" s="25" t="s">
        <v>3870</v>
      </c>
      <c r="F473" s="25">
        <v>11.34</v>
      </c>
      <c r="G473" s="25" t="s">
        <v>1889</v>
      </c>
      <c r="H473" s="25">
        <f>1.8+1.97+3.5+1.31+2.95</f>
        <v>11.530000000000001</v>
      </c>
      <c r="I473" s="25">
        <f>1.8+1.97+3.5+1.31+2.95</f>
        <v>11.530000000000001</v>
      </c>
      <c r="J473" s="25" t="s">
        <v>1891</v>
      </c>
      <c r="L473" s="25" t="s">
        <v>212</v>
      </c>
      <c r="M473" s="25" t="s">
        <v>164</v>
      </c>
      <c r="N473" s="25" t="s">
        <v>2349</v>
      </c>
    </row>
    <row r="474" spans="1:14" x14ac:dyDescent="0.55000000000000004">
      <c r="A474">
        <v>473</v>
      </c>
      <c r="B474" s="25" t="s">
        <v>26</v>
      </c>
      <c r="C474" s="25">
        <v>25</v>
      </c>
      <c r="D474" s="25" t="s">
        <v>3867</v>
      </c>
      <c r="E474" s="25" t="s">
        <v>3871</v>
      </c>
      <c r="F474" s="25">
        <v>9.3800000000000008</v>
      </c>
      <c r="G474" s="25" t="s">
        <v>1889</v>
      </c>
      <c r="H474" s="25">
        <f>2.59+2.04+3.15+2.05</f>
        <v>9.8299999999999983</v>
      </c>
      <c r="I474" s="25">
        <f>2.59+2.04+3.15+2.05</f>
        <v>9.8299999999999983</v>
      </c>
      <c r="J474" s="25" t="s">
        <v>1891</v>
      </c>
      <c r="K474" s="25" t="str">
        <f>VLOOKUP(E474,[1]PrelimAssignPOP!$I$1:$J$947,2,FALSE)</f>
        <v>ART</v>
      </c>
      <c r="L474" s="25" t="s">
        <v>212</v>
      </c>
      <c r="M474" s="25" t="s">
        <v>165</v>
      </c>
      <c r="N474" s="25" t="s">
        <v>2350</v>
      </c>
    </row>
    <row r="475" spans="1:14" x14ac:dyDescent="0.55000000000000004">
      <c r="A475">
        <v>474</v>
      </c>
      <c r="B475" s="25" t="s">
        <v>26</v>
      </c>
      <c r="C475" s="25">
        <v>25</v>
      </c>
      <c r="D475" s="25" t="s">
        <v>3867</v>
      </c>
      <c r="E475" s="25" t="s">
        <v>3872</v>
      </c>
      <c r="F475" s="25">
        <v>11.22</v>
      </c>
      <c r="G475" s="25" t="s">
        <v>1889</v>
      </c>
      <c r="H475" s="25">
        <f>2.2+1.32+4.31+1.68+1.84</f>
        <v>11.35</v>
      </c>
      <c r="I475" s="25">
        <f>2.2+1.32+4.31+1.68+1.84</f>
        <v>11.35</v>
      </c>
      <c r="J475" s="25" t="s">
        <v>1891</v>
      </c>
      <c r="K475" s="25" t="str">
        <f>VLOOKUP(E475,[1]PrelimAssignPOP!$I$1:$J$947,2,FALSE)</f>
        <v>ART</v>
      </c>
      <c r="L475" s="25" t="s">
        <v>212</v>
      </c>
      <c r="M475" s="25" t="s">
        <v>118</v>
      </c>
      <c r="N475" s="25" t="s">
        <v>2351</v>
      </c>
    </row>
    <row r="476" spans="1:14" x14ac:dyDescent="0.55000000000000004">
      <c r="A476">
        <v>475</v>
      </c>
      <c r="B476" s="25" t="s">
        <v>26</v>
      </c>
      <c r="C476" s="25">
        <v>25</v>
      </c>
      <c r="D476" s="25" t="s">
        <v>3867</v>
      </c>
      <c r="E476" s="25" t="s">
        <v>3873</v>
      </c>
      <c r="F476" s="25">
        <v>10.31</v>
      </c>
      <c r="G476" s="25" t="s">
        <v>1889</v>
      </c>
      <c r="H476" s="25">
        <f>3.68+1.84+1.29+3.84</f>
        <v>10.65</v>
      </c>
      <c r="I476" s="25">
        <f>3.68+1.84+1.29+3.84</f>
        <v>10.65</v>
      </c>
      <c r="J476" s="25" t="s">
        <v>1891</v>
      </c>
      <c r="K476" s="25" t="str">
        <f>VLOOKUP(E476,[1]PrelimAssignPOP!$I$1:$J$947,2,FALSE)</f>
        <v>ART</v>
      </c>
      <c r="L476" s="25" t="s">
        <v>212</v>
      </c>
      <c r="M476" s="25" t="s">
        <v>166</v>
      </c>
      <c r="N476" s="25" t="s">
        <v>2352</v>
      </c>
    </row>
    <row r="477" spans="1:14" x14ac:dyDescent="0.55000000000000004">
      <c r="A477">
        <v>476</v>
      </c>
      <c r="B477" s="25" t="s">
        <v>26</v>
      </c>
      <c r="C477" s="25">
        <v>25</v>
      </c>
      <c r="D477" s="25" t="s">
        <v>3867</v>
      </c>
      <c r="E477" s="25" t="s">
        <v>3874</v>
      </c>
      <c r="F477" s="25">
        <v>9.9700000000000006</v>
      </c>
      <c r="G477" s="25" t="s">
        <v>1889</v>
      </c>
      <c r="H477" s="25">
        <f>2.94+1.73+5.79</f>
        <v>10.46</v>
      </c>
      <c r="I477" s="25">
        <f>2.94+1.73+5.79</f>
        <v>10.46</v>
      </c>
      <c r="J477" s="25" t="s">
        <v>1891</v>
      </c>
      <c r="K477" s="25" t="str">
        <f>VLOOKUP(E477,[1]PrelimAssignPOP!$I$1:$J$947,2,FALSE)</f>
        <v>ART</v>
      </c>
      <c r="L477" s="25" t="s">
        <v>212</v>
      </c>
      <c r="M477" s="25" t="s">
        <v>167</v>
      </c>
      <c r="N477" s="25" t="s">
        <v>2353</v>
      </c>
    </row>
    <row r="478" spans="1:14" x14ac:dyDescent="0.55000000000000004">
      <c r="A478">
        <v>477</v>
      </c>
      <c r="B478" s="25" t="s">
        <v>26</v>
      </c>
      <c r="C478" s="25">
        <v>25</v>
      </c>
      <c r="D478" s="25" t="s">
        <v>3867</v>
      </c>
      <c r="E478" s="25" t="s">
        <v>3875</v>
      </c>
      <c r="F478" s="25">
        <v>12.37</v>
      </c>
      <c r="G478" s="25" t="s">
        <v>1889</v>
      </c>
      <c r="H478" s="25">
        <f>4.46+2.51+2.08+3.41</f>
        <v>12.46</v>
      </c>
      <c r="I478" s="25">
        <f>4.46+2.51+2.08+3.41</f>
        <v>12.46</v>
      </c>
      <c r="J478" s="25" t="s">
        <v>1891</v>
      </c>
      <c r="K478" s="25" t="str">
        <f>VLOOKUP(E478,[1]PrelimAssignPOP!$I$1:$J$947,2,FALSE)</f>
        <v>ART</v>
      </c>
      <c r="L478" s="25" t="s">
        <v>212</v>
      </c>
      <c r="M478" s="25" t="s">
        <v>168</v>
      </c>
      <c r="N478" s="25" t="s">
        <v>2354</v>
      </c>
    </row>
    <row r="479" spans="1:14" x14ac:dyDescent="0.55000000000000004">
      <c r="A479">
        <v>478</v>
      </c>
      <c r="B479" s="25" t="s">
        <v>26</v>
      </c>
      <c r="C479" s="25">
        <v>25</v>
      </c>
      <c r="D479" s="25" t="s">
        <v>3867</v>
      </c>
      <c r="E479" s="25" t="s">
        <v>3876</v>
      </c>
      <c r="F479" s="25">
        <v>11.06</v>
      </c>
      <c r="G479" s="25" t="s">
        <v>1889</v>
      </c>
      <c r="H479" s="25">
        <f>2.47+4.27+1.44+3.27</f>
        <v>11.45</v>
      </c>
      <c r="I479" s="25">
        <f>2.47+4.27+1.44+3.27</f>
        <v>11.45</v>
      </c>
      <c r="J479" s="25" t="s">
        <v>1891</v>
      </c>
      <c r="K479" s="25" t="str">
        <f>VLOOKUP(E479,[1]PrelimAssignPOP!$I$1:$J$947,2,FALSE)</f>
        <v>ART</v>
      </c>
      <c r="L479" s="25" t="s">
        <v>212</v>
      </c>
      <c r="M479" s="25" t="s">
        <v>169</v>
      </c>
      <c r="N479" s="25" t="s">
        <v>2355</v>
      </c>
    </row>
    <row r="480" spans="1:14" x14ac:dyDescent="0.55000000000000004">
      <c r="A480">
        <v>479</v>
      </c>
      <c r="B480" s="25" t="s">
        <v>26</v>
      </c>
      <c r="C480" s="25">
        <v>25</v>
      </c>
      <c r="D480" s="25" t="s">
        <v>3867</v>
      </c>
      <c r="E480" s="25" t="s">
        <v>3877</v>
      </c>
      <c r="F480" s="25">
        <v>10.27</v>
      </c>
      <c r="G480" s="25" t="s">
        <v>1889</v>
      </c>
      <c r="H480" s="25">
        <f>2.5+3.98+4.02</f>
        <v>10.5</v>
      </c>
      <c r="I480" s="25">
        <f>2.5+3.98+4.02</f>
        <v>10.5</v>
      </c>
      <c r="J480" s="25" t="s">
        <v>1891</v>
      </c>
      <c r="K480" s="25" t="str">
        <f>VLOOKUP(E480,[1]PrelimAssignPOP!$I$1:$J$947,2,FALSE)</f>
        <v>ART</v>
      </c>
      <c r="L480" s="25" t="s">
        <v>212</v>
      </c>
      <c r="M480" s="25" t="s">
        <v>170</v>
      </c>
      <c r="N480" s="25" t="s">
        <v>2356</v>
      </c>
    </row>
    <row r="481" spans="1:15" x14ac:dyDescent="0.55000000000000004">
      <c r="A481">
        <v>480</v>
      </c>
      <c r="B481" s="25" t="s">
        <v>26</v>
      </c>
      <c r="C481" s="25">
        <v>25</v>
      </c>
      <c r="D481" s="25" t="s">
        <v>3867</v>
      </c>
      <c r="E481" s="25" t="s">
        <v>3878</v>
      </c>
      <c r="F481" s="25">
        <v>10.65</v>
      </c>
      <c r="G481" s="25" t="s">
        <v>1889</v>
      </c>
      <c r="H481" s="25">
        <f>4.63+2.85+3.13</f>
        <v>10.61</v>
      </c>
      <c r="I481" s="25">
        <f>4.63+2.85+3.13</f>
        <v>10.61</v>
      </c>
      <c r="J481" s="25" t="s">
        <v>1891</v>
      </c>
      <c r="K481" s="25" t="str">
        <f>VLOOKUP(E481,[1]PrelimAssignPOP!$I$1:$J$947,2,FALSE)</f>
        <v>ART</v>
      </c>
      <c r="L481" s="25" t="s">
        <v>212</v>
      </c>
      <c r="M481" s="25" t="s">
        <v>171</v>
      </c>
      <c r="N481" s="25" t="s">
        <v>2357</v>
      </c>
    </row>
    <row r="482" spans="1:15" x14ac:dyDescent="0.55000000000000004">
      <c r="A482">
        <v>481</v>
      </c>
      <c r="B482" s="25" t="s">
        <v>26</v>
      </c>
      <c r="C482" s="25">
        <v>25</v>
      </c>
      <c r="D482" s="25" t="s">
        <v>3867</v>
      </c>
      <c r="E482" s="25" t="s">
        <v>3879</v>
      </c>
      <c r="F482" s="25">
        <v>9.6</v>
      </c>
      <c r="G482" s="25" t="s">
        <v>1889</v>
      </c>
      <c r="H482" s="25">
        <f>3.12+5.55+1.18</f>
        <v>9.85</v>
      </c>
      <c r="I482" s="25">
        <f>3.12+5.55+1.18</f>
        <v>9.85</v>
      </c>
      <c r="J482" s="25" t="s">
        <v>1891</v>
      </c>
      <c r="K482" s="25" t="str">
        <f>VLOOKUP(E482,[1]PrelimAssignPOP!$I$1:$J$947,2,FALSE)</f>
        <v>ART</v>
      </c>
      <c r="L482" s="25" t="s">
        <v>212</v>
      </c>
      <c r="M482" s="25" t="s">
        <v>172</v>
      </c>
      <c r="N482" s="25" t="s">
        <v>2358</v>
      </c>
    </row>
    <row r="483" spans="1:15" x14ac:dyDescent="0.55000000000000004">
      <c r="A483">
        <v>482</v>
      </c>
      <c r="B483" s="25" t="s">
        <v>26</v>
      </c>
      <c r="C483" s="25">
        <v>25</v>
      </c>
      <c r="D483" s="25" t="s">
        <v>3867</v>
      </c>
      <c r="E483" s="25" t="s">
        <v>3880</v>
      </c>
      <c r="F483" s="25">
        <v>12.56</v>
      </c>
      <c r="G483" s="25" t="s">
        <v>1889</v>
      </c>
      <c r="H483" s="25">
        <f>1.39+2.4+2.53+2.9+3.33</f>
        <v>12.55</v>
      </c>
      <c r="I483" s="25">
        <f>1.39+2.4+2.53+2.9+3.33</f>
        <v>12.55</v>
      </c>
      <c r="J483" s="25" t="s">
        <v>1891</v>
      </c>
      <c r="N483" s="25" t="s">
        <v>2359</v>
      </c>
    </row>
    <row r="484" spans="1:15" x14ac:dyDescent="0.55000000000000004">
      <c r="A484">
        <v>483</v>
      </c>
      <c r="B484" s="25" t="s">
        <v>26</v>
      </c>
      <c r="C484" s="25">
        <v>25</v>
      </c>
      <c r="D484" s="25" t="s">
        <v>3867</v>
      </c>
      <c r="E484" s="25" t="s">
        <v>3881</v>
      </c>
      <c r="F484" s="25">
        <v>13.1</v>
      </c>
      <c r="G484" s="25" t="s">
        <v>1889</v>
      </c>
      <c r="H484" s="25">
        <f>4.03+3.19+2.8+3.44</f>
        <v>13.459999999999999</v>
      </c>
      <c r="I484" s="25">
        <f>4.03+3.19+2.8+3.44</f>
        <v>13.459999999999999</v>
      </c>
      <c r="J484" s="25" t="s">
        <v>1891</v>
      </c>
      <c r="N484" s="25" t="s">
        <v>2360</v>
      </c>
    </row>
    <row r="485" spans="1:15" x14ac:dyDescent="0.55000000000000004">
      <c r="A485">
        <v>484</v>
      </c>
      <c r="B485" s="25" t="s">
        <v>26</v>
      </c>
      <c r="C485" s="25">
        <v>25</v>
      </c>
      <c r="D485" s="25" t="s">
        <v>3867</v>
      </c>
      <c r="E485" s="25" t="s">
        <v>3882</v>
      </c>
      <c r="F485" s="25">
        <v>9.36</v>
      </c>
      <c r="G485" s="25" t="s">
        <v>1889</v>
      </c>
      <c r="H485" s="25">
        <f>1.72+1.18+3.93+2.99</f>
        <v>9.82</v>
      </c>
      <c r="I485" s="25">
        <f>1.72+1.18+3.93+2.99</f>
        <v>9.82</v>
      </c>
      <c r="J485" s="25" t="s">
        <v>1891</v>
      </c>
      <c r="N485" s="25" t="s">
        <v>2361</v>
      </c>
    </row>
    <row r="486" spans="1:15" x14ac:dyDescent="0.55000000000000004">
      <c r="A486">
        <v>485</v>
      </c>
      <c r="B486" s="25" t="s">
        <v>26</v>
      </c>
      <c r="C486" s="25">
        <v>25</v>
      </c>
      <c r="D486" s="25" t="s">
        <v>3867</v>
      </c>
      <c r="E486" s="25" t="s">
        <v>3883</v>
      </c>
      <c r="F486" s="25">
        <v>11.2</v>
      </c>
      <c r="G486" s="25" t="s">
        <v>1889</v>
      </c>
      <c r="H486" s="25">
        <f>1.79+1.9+3.36+0.56+3.28</f>
        <v>10.889999999999999</v>
      </c>
      <c r="I486" s="25">
        <f>1.79+1.9+3.36+0.56+3.28</f>
        <v>10.889999999999999</v>
      </c>
      <c r="J486" s="25" t="s">
        <v>1891</v>
      </c>
      <c r="N486" s="25" t="s">
        <v>2362</v>
      </c>
    </row>
    <row r="487" spans="1:15" x14ac:dyDescent="0.55000000000000004">
      <c r="A487">
        <v>486</v>
      </c>
      <c r="B487" s="25" t="s">
        <v>26</v>
      </c>
      <c r="C487" s="25">
        <v>25</v>
      </c>
      <c r="D487" s="25" t="s">
        <v>3867</v>
      </c>
      <c r="E487" s="25" t="s">
        <v>3884</v>
      </c>
      <c r="F487" s="25">
        <v>13.92</v>
      </c>
      <c r="G487" s="25" t="s">
        <v>1889</v>
      </c>
      <c r="H487" s="25">
        <f>3.46+3.26+1.76+2.52+2.91</f>
        <v>13.91</v>
      </c>
      <c r="I487" s="25">
        <f>3.46+3.26+1.76+2.52+2.91</f>
        <v>13.91</v>
      </c>
      <c r="J487" s="25" t="s">
        <v>1891</v>
      </c>
      <c r="N487" s="25" t="s">
        <v>2363</v>
      </c>
    </row>
    <row r="488" spans="1:15" x14ac:dyDescent="0.55000000000000004">
      <c r="A488">
        <v>487</v>
      </c>
      <c r="B488" s="25" t="s">
        <v>26</v>
      </c>
      <c r="C488" s="25">
        <v>25</v>
      </c>
      <c r="D488" s="25" t="s">
        <v>3867</v>
      </c>
      <c r="E488" s="25" t="s">
        <v>3885</v>
      </c>
      <c r="F488" s="25">
        <v>14.4</v>
      </c>
      <c r="G488" s="25" t="s">
        <v>1889</v>
      </c>
      <c r="H488" s="25">
        <f>7.86+2.64+4.31</f>
        <v>14.809999999999999</v>
      </c>
      <c r="I488" s="25">
        <f>7.86+2.64+4.31</f>
        <v>14.809999999999999</v>
      </c>
      <c r="J488" s="25" t="s">
        <v>1891</v>
      </c>
      <c r="N488" s="25" t="s">
        <v>2364</v>
      </c>
    </row>
    <row r="489" spans="1:15" x14ac:dyDescent="0.55000000000000004">
      <c r="A489">
        <v>488</v>
      </c>
      <c r="B489" s="25" t="s">
        <v>26</v>
      </c>
      <c r="C489" s="25">
        <v>25</v>
      </c>
      <c r="D489" s="25" t="s">
        <v>3867</v>
      </c>
      <c r="E489" s="25" t="s">
        <v>3886</v>
      </c>
      <c r="F489" s="25">
        <v>10.68</v>
      </c>
      <c r="G489" s="25" t="s">
        <v>1889</v>
      </c>
      <c r="H489" s="25">
        <f>2.41+2.64+2.42+3.27</f>
        <v>10.74</v>
      </c>
      <c r="I489" s="25">
        <f>2.41+2.64+2.42+3.27</f>
        <v>10.74</v>
      </c>
      <c r="J489" s="25" t="s">
        <v>1891</v>
      </c>
      <c r="N489" s="25" t="s">
        <v>2365</v>
      </c>
    </row>
    <row r="490" spans="1:15" x14ac:dyDescent="0.55000000000000004">
      <c r="A490">
        <v>489</v>
      </c>
      <c r="B490" s="25" t="s">
        <v>26</v>
      </c>
      <c r="C490" s="25">
        <v>25</v>
      </c>
      <c r="D490" s="25" t="s">
        <v>3867</v>
      </c>
      <c r="E490" s="25" t="s">
        <v>3887</v>
      </c>
      <c r="F490" s="25">
        <v>10.16</v>
      </c>
      <c r="G490" s="25" t="s">
        <v>1889</v>
      </c>
      <c r="H490" s="25">
        <f>2.25+2.49+2.45+2+1.26</f>
        <v>10.450000000000001</v>
      </c>
      <c r="I490" s="25">
        <f>2.25+2.49+2.45+2+1.26</f>
        <v>10.450000000000001</v>
      </c>
      <c r="J490" s="25" t="s">
        <v>1891</v>
      </c>
      <c r="N490" s="25" t="s">
        <v>2366</v>
      </c>
    </row>
    <row r="491" spans="1:15" x14ac:dyDescent="0.55000000000000004">
      <c r="A491">
        <v>490</v>
      </c>
      <c r="B491" s="25" t="s">
        <v>26</v>
      </c>
      <c r="C491" s="25">
        <v>25</v>
      </c>
      <c r="D491" s="25" t="s">
        <v>3867</v>
      </c>
      <c r="E491" s="25" t="s">
        <v>3888</v>
      </c>
      <c r="F491" s="25">
        <v>9.98</v>
      </c>
      <c r="G491" s="25" t="s">
        <v>1889</v>
      </c>
      <c r="H491" s="25">
        <f>3.98+2.96+1.75+1.6</f>
        <v>10.29</v>
      </c>
      <c r="I491" s="25">
        <f>3.98+2.96+1.75+1.6</f>
        <v>10.29</v>
      </c>
      <c r="J491" s="25" t="s">
        <v>1891</v>
      </c>
      <c r="N491" s="25" t="s">
        <v>2367</v>
      </c>
    </row>
    <row r="492" spans="1:15" x14ac:dyDescent="0.55000000000000004">
      <c r="A492">
        <v>491</v>
      </c>
      <c r="B492" s="25" t="s">
        <v>26</v>
      </c>
      <c r="C492" s="25">
        <v>25</v>
      </c>
      <c r="D492" s="25" t="s">
        <v>3867</v>
      </c>
      <c r="E492" s="25" t="s">
        <v>3889</v>
      </c>
      <c r="F492" s="25">
        <v>11.76</v>
      </c>
      <c r="G492" s="25" t="s">
        <v>1889</v>
      </c>
      <c r="H492" s="25">
        <f>1.79+2.62+4.65+2.94</f>
        <v>12</v>
      </c>
      <c r="I492" s="25">
        <f>1.79+2.62+4.65+2.94</f>
        <v>12</v>
      </c>
      <c r="J492" s="25" t="s">
        <v>1891</v>
      </c>
      <c r="N492" s="25" t="s">
        <v>2368</v>
      </c>
    </row>
    <row r="493" spans="1:15" x14ac:dyDescent="0.55000000000000004">
      <c r="A493">
        <v>492</v>
      </c>
      <c r="B493" s="25" t="s">
        <v>26</v>
      </c>
      <c r="C493" s="25">
        <v>25</v>
      </c>
      <c r="D493" s="25" t="s">
        <v>3867</v>
      </c>
      <c r="E493" s="25" t="s">
        <v>3890</v>
      </c>
      <c r="F493" s="25">
        <v>10.54</v>
      </c>
      <c r="G493" s="25" t="s">
        <v>1889</v>
      </c>
      <c r="H493" s="25">
        <f>2.28+6.59+2.08</f>
        <v>10.95</v>
      </c>
      <c r="I493" s="25">
        <f>2.28+6.59+2.08</f>
        <v>10.95</v>
      </c>
      <c r="J493" s="25" t="s">
        <v>1891</v>
      </c>
      <c r="N493" s="25" t="s">
        <v>2369</v>
      </c>
    </row>
    <row r="494" spans="1:15" x14ac:dyDescent="0.55000000000000004">
      <c r="A494">
        <v>493</v>
      </c>
      <c r="B494" s="25" t="s">
        <v>26</v>
      </c>
      <c r="C494" s="25">
        <v>25</v>
      </c>
      <c r="D494" s="25" t="s">
        <v>3867</v>
      </c>
      <c r="E494" s="25" t="s">
        <v>3891</v>
      </c>
      <c r="F494" s="25">
        <v>11.21</v>
      </c>
      <c r="G494" s="25" t="s">
        <v>1889</v>
      </c>
      <c r="H494" s="25">
        <f>2.57+5.01+1.64+2.21</f>
        <v>11.43</v>
      </c>
      <c r="I494" s="25">
        <f>2.57+5.01+1.64+2.21</f>
        <v>11.43</v>
      </c>
      <c r="J494" s="25" t="s">
        <v>1891</v>
      </c>
      <c r="N494" s="25" t="s">
        <v>2370</v>
      </c>
    </row>
    <row r="495" spans="1:15" x14ac:dyDescent="0.55000000000000004">
      <c r="A495">
        <v>494</v>
      </c>
      <c r="B495" s="25" t="s">
        <v>26</v>
      </c>
      <c r="C495" s="25">
        <v>25</v>
      </c>
      <c r="D495" s="25" t="s">
        <v>3867</v>
      </c>
      <c r="E495" s="25" t="s">
        <v>3892</v>
      </c>
      <c r="F495" s="25">
        <v>14.02</v>
      </c>
      <c r="G495" s="25" t="s">
        <v>1889</v>
      </c>
      <c r="H495" s="25">
        <f>3.15+1.78+6.22+3.16</f>
        <v>14.309999999999999</v>
      </c>
      <c r="I495" s="25">
        <f>3.15+1.78+6.22+3.16</f>
        <v>14.309999999999999</v>
      </c>
      <c r="J495" s="25" t="s">
        <v>1891</v>
      </c>
      <c r="N495" s="25" t="s">
        <v>2371</v>
      </c>
    </row>
    <row r="496" spans="1:15" x14ac:dyDescent="0.55000000000000004">
      <c r="A496">
        <v>495</v>
      </c>
      <c r="B496" s="25" t="s">
        <v>27</v>
      </c>
      <c r="C496" s="25">
        <v>25</v>
      </c>
      <c r="D496" s="25" t="s">
        <v>3893</v>
      </c>
      <c r="E496" s="25" t="s">
        <v>3894</v>
      </c>
      <c r="F496" s="25">
        <v>10.3</v>
      </c>
      <c r="G496" s="25" t="s">
        <v>1889</v>
      </c>
      <c r="H496" s="25">
        <f>3.18+1.82+3.08+2.57</f>
        <v>10.65</v>
      </c>
      <c r="I496" s="25">
        <f>3.18+1.82+3.08+2.57</f>
        <v>10.65</v>
      </c>
      <c r="J496" s="25" t="s">
        <v>1891</v>
      </c>
      <c r="K496" s="25" t="str">
        <f>VLOOKUP(E496,[1]PrelimAssignPOP!$I$1:$J$947,2,FALSE)</f>
        <v>HYB</v>
      </c>
      <c r="L496" s="25" t="s">
        <v>212</v>
      </c>
      <c r="M496" s="25" t="s">
        <v>173</v>
      </c>
      <c r="N496" s="25" t="s">
        <v>2372</v>
      </c>
      <c r="O496" s="18" t="s">
        <v>3895</v>
      </c>
    </row>
    <row r="497" spans="1:15" x14ac:dyDescent="0.55000000000000004">
      <c r="A497">
        <v>496</v>
      </c>
      <c r="B497" s="25" t="s">
        <v>27</v>
      </c>
      <c r="C497" s="25">
        <v>25</v>
      </c>
      <c r="D497" s="25" t="s">
        <v>3893</v>
      </c>
      <c r="E497" s="25" t="s">
        <v>3896</v>
      </c>
      <c r="F497" s="25">
        <v>10.77</v>
      </c>
      <c r="G497" s="25" t="s">
        <v>1889</v>
      </c>
      <c r="H497" s="25">
        <f>3.04+3.43+2.22+3.18</f>
        <v>11.870000000000001</v>
      </c>
      <c r="I497" s="25">
        <f>3.04+3.43+2.22+3.18</f>
        <v>11.870000000000001</v>
      </c>
      <c r="J497" s="25" t="s">
        <v>1891</v>
      </c>
      <c r="K497" s="25" t="str">
        <f>VLOOKUP(E497,[1]PrelimAssignPOP!$I$1:$J$947,2,FALSE)</f>
        <v>HYB</v>
      </c>
      <c r="L497" s="25" t="s">
        <v>212</v>
      </c>
      <c r="M497" s="25" t="s">
        <v>174</v>
      </c>
      <c r="N497" s="25" t="s">
        <v>2373</v>
      </c>
      <c r="O497" s="18" t="s">
        <v>3895</v>
      </c>
    </row>
    <row r="498" spans="1:15" x14ac:dyDescent="0.55000000000000004">
      <c r="A498">
        <v>497</v>
      </c>
      <c r="B498" s="25" t="s">
        <v>27</v>
      </c>
      <c r="C498" s="25">
        <v>25</v>
      </c>
      <c r="D498" s="25" t="s">
        <v>3893</v>
      </c>
      <c r="E498" s="25" t="s">
        <v>3897</v>
      </c>
      <c r="F498" s="25">
        <v>10.84</v>
      </c>
      <c r="G498" s="25" t="s">
        <v>1889</v>
      </c>
      <c r="H498" s="25">
        <f>2.97+8.54</f>
        <v>11.51</v>
      </c>
      <c r="I498" s="25">
        <f>2.97+8.54</f>
        <v>11.51</v>
      </c>
      <c r="J498" s="25" t="s">
        <v>1891</v>
      </c>
      <c r="K498" s="25" t="str">
        <f>VLOOKUP(E498,[1]PrelimAssignPOP!$I$1:$J$947,2,FALSE)</f>
        <v>HYB</v>
      </c>
      <c r="L498" s="25" t="s">
        <v>212</v>
      </c>
      <c r="M498" s="25" t="s">
        <v>175</v>
      </c>
      <c r="N498" s="25" t="s">
        <v>2374</v>
      </c>
      <c r="O498" s="18" t="s">
        <v>3895</v>
      </c>
    </row>
    <row r="499" spans="1:15" x14ac:dyDescent="0.55000000000000004">
      <c r="A499">
        <v>498</v>
      </c>
      <c r="B499" s="25" t="s">
        <v>27</v>
      </c>
      <c r="C499" s="25">
        <v>25</v>
      </c>
      <c r="D499" s="25" t="s">
        <v>3893</v>
      </c>
      <c r="E499" s="25" t="s">
        <v>3898</v>
      </c>
      <c r="F499" s="25">
        <v>12.07</v>
      </c>
      <c r="G499" s="25" t="s">
        <v>1889</v>
      </c>
      <c r="H499" s="25">
        <f>3.2+2.24+3.94+3.6</f>
        <v>12.98</v>
      </c>
      <c r="I499" s="25">
        <f>3.2+2.24+3.94+3.6</f>
        <v>12.98</v>
      </c>
      <c r="J499" s="25" t="s">
        <v>1891</v>
      </c>
      <c r="L499" s="25" t="s">
        <v>212</v>
      </c>
      <c r="M499" s="25" t="s">
        <v>176</v>
      </c>
      <c r="N499" s="25" t="s">
        <v>2375</v>
      </c>
      <c r="O499" s="18" t="s">
        <v>3895</v>
      </c>
    </row>
    <row r="500" spans="1:15" x14ac:dyDescent="0.55000000000000004">
      <c r="A500">
        <v>499</v>
      </c>
      <c r="B500" s="25" t="s">
        <v>27</v>
      </c>
      <c r="C500" s="25">
        <v>25</v>
      </c>
      <c r="D500" s="25" t="s">
        <v>3893</v>
      </c>
      <c r="E500" s="25" t="s">
        <v>3899</v>
      </c>
      <c r="F500" s="25">
        <v>10.96</v>
      </c>
      <c r="G500" s="25" t="s">
        <v>1889</v>
      </c>
      <c r="H500" s="27">
        <f>2.66+1.81+4.67+2.25</f>
        <v>11.39</v>
      </c>
      <c r="I500" s="27">
        <f>2.66+1.81+4.67+2.25</f>
        <v>11.39</v>
      </c>
      <c r="J500" s="25" t="s">
        <v>1891</v>
      </c>
      <c r="K500" s="25" t="str">
        <f>VLOOKUP(E500,[1]PrelimAssignPOP!$I$1:$J$947,2,FALSE)</f>
        <v>HYB</v>
      </c>
      <c r="L500" s="25" t="s">
        <v>212</v>
      </c>
      <c r="M500" s="25" t="s">
        <v>119</v>
      </c>
      <c r="N500" s="25" t="s">
        <v>2376</v>
      </c>
      <c r="O500" s="18" t="s">
        <v>3895</v>
      </c>
    </row>
    <row r="501" spans="1:15" x14ac:dyDescent="0.55000000000000004">
      <c r="A501">
        <v>500</v>
      </c>
      <c r="B501" s="25" t="s">
        <v>27</v>
      </c>
      <c r="C501" s="25">
        <v>25</v>
      </c>
      <c r="D501" s="25" t="s">
        <v>3893</v>
      </c>
      <c r="E501" s="25" t="s">
        <v>3900</v>
      </c>
      <c r="F501" s="25">
        <v>10.72</v>
      </c>
      <c r="G501" s="25" t="s">
        <v>1889</v>
      </c>
      <c r="H501" s="25">
        <f>1.07+2.02+2.59+5.66</f>
        <v>11.34</v>
      </c>
      <c r="I501" s="25">
        <f>1.07+2.02+2.59+5.66</f>
        <v>11.34</v>
      </c>
      <c r="J501" s="25" t="s">
        <v>1891</v>
      </c>
      <c r="L501" s="25" t="s">
        <v>212</v>
      </c>
      <c r="M501" s="25" t="s">
        <v>177</v>
      </c>
      <c r="N501" s="25" t="s">
        <v>2377</v>
      </c>
      <c r="O501" s="18" t="s">
        <v>3901</v>
      </c>
    </row>
    <row r="502" spans="1:15" x14ac:dyDescent="0.55000000000000004">
      <c r="A502">
        <v>501</v>
      </c>
      <c r="B502" s="25" t="s">
        <v>27</v>
      </c>
      <c r="C502" s="25">
        <v>25</v>
      </c>
      <c r="D502" s="25" t="s">
        <v>3893</v>
      </c>
      <c r="E502" s="25" t="s">
        <v>3902</v>
      </c>
      <c r="F502" s="25">
        <v>10.029999999999999</v>
      </c>
      <c r="G502" s="25" t="s">
        <v>1889</v>
      </c>
      <c r="H502" s="25">
        <f>3.75+3.02+2.16+1.52+1.29</f>
        <v>11.739999999999998</v>
      </c>
      <c r="I502" s="25">
        <f>3.75+3.02+2.16+1.52+1.29</f>
        <v>11.739999999999998</v>
      </c>
      <c r="J502" s="25" t="s">
        <v>1891</v>
      </c>
      <c r="K502" s="25" t="str">
        <f>VLOOKUP(E503,[1]PrelimAssignPOP!$I$1:$J$947,2,FALSE)</f>
        <v>HYB</v>
      </c>
      <c r="L502" s="25" t="s">
        <v>212</v>
      </c>
      <c r="M502" s="25" t="s">
        <v>178</v>
      </c>
      <c r="N502" s="25" t="s">
        <v>2378</v>
      </c>
      <c r="O502" s="18" t="s">
        <v>3895</v>
      </c>
    </row>
    <row r="503" spans="1:15" x14ac:dyDescent="0.55000000000000004">
      <c r="A503">
        <v>502</v>
      </c>
      <c r="B503" s="25" t="s">
        <v>27</v>
      </c>
      <c r="C503" s="25">
        <v>25</v>
      </c>
      <c r="D503" s="25" t="s">
        <v>3893</v>
      </c>
      <c r="E503" s="25" t="s">
        <v>3903</v>
      </c>
      <c r="F503" s="25">
        <v>10.08</v>
      </c>
      <c r="G503" s="25" t="s">
        <v>1889</v>
      </c>
      <c r="H503" s="25">
        <f>4.03+3.46+3.63</f>
        <v>11.120000000000001</v>
      </c>
      <c r="I503" s="25">
        <f>4.03+3.46+3.63</f>
        <v>11.120000000000001</v>
      </c>
      <c r="J503" s="25" t="s">
        <v>1891</v>
      </c>
      <c r="K503" s="25" t="str">
        <f>VLOOKUP(E504,[1]PrelimAssignPOP!$I$1:$J$947,2,FALSE)</f>
        <v>HYB</v>
      </c>
      <c r="L503" s="25" t="s">
        <v>212</v>
      </c>
      <c r="M503" s="25" t="s">
        <v>179</v>
      </c>
      <c r="N503" s="25" t="s">
        <v>2379</v>
      </c>
      <c r="O503" s="18" t="s">
        <v>3895</v>
      </c>
    </row>
    <row r="504" spans="1:15" x14ac:dyDescent="0.55000000000000004">
      <c r="A504">
        <v>503</v>
      </c>
      <c r="B504" s="25" t="s">
        <v>27</v>
      </c>
      <c r="C504" s="25">
        <v>25</v>
      </c>
      <c r="D504" s="25" t="s">
        <v>3893</v>
      </c>
      <c r="E504" s="25" t="s">
        <v>3904</v>
      </c>
      <c r="F504" s="25">
        <v>11.22</v>
      </c>
      <c r="G504" s="25" t="s">
        <v>1889</v>
      </c>
      <c r="H504" s="25">
        <f>3.46+3.2+2.06+3.53</f>
        <v>12.25</v>
      </c>
      <c r="I504" s="25">
        <f>3.46+3.2+2.06+3.53</f>
        <v>12.25</v>
      </c>
      <c r="J504" s="25" t="s">
        <v>1891</v>
      </c>
      <c r="L504" s="25" t="s">
        <v>212</v>
      </c>
      <c r="M504" s="25" t="s">
        <v>180</v>
      </c>
      <c r="N504" s="25" t="s">
        <v>2380</v>
      </c>
      <c r="O504" s="18" t="s">
        <v>3895</v>
      </c>
    </row>
    <row r="505" spans="1:15" x14ac:dyDescent="0.55000000000000004">
      <c r="A505">
        <v>504</v>
      </c>
      <c r="B505" s="25" t="s">
        <v>27</v>
      </c>
      <c r="C505" s="25">
        <v>25</v>
      </c>
      <c r="D505" s="25" t="s">
        <v>3893</v>
      </c>
      <c r="E505" s="25" t="s">
        <v>3905</v>
      </c>
      <c r="F505" s="25">
        <v>12.22</v>
      </c>
      <c r="G505" s="25" t="s">
        <v>1889</v>
      </c>
      <c r="H505" s="25">
        <f>2.22+4.32+2.75+3.65</f>
        <v>12.940000000000001</v>
      </c>
      <c r="I505" s="25">
        <f>2.22+4.32+2.75+3.65</f>
        <v>12.940000000000001</v>
      </c>
      <c r="J505" s="25" t="s">
        <v>1891</v>
      </c>
      <c r="K505" s="25" t="str">
        <f>VLOOKUP(E506,[1]PrelimAssignPOP!$I$1:$J$947,2,FALSE)</f>
        <v>HYB</v>
      </c>
      <c r="L505" s="25" t="s">
        <v>212</v>
      </c>
      <c r="M505" s="25" t="s">
        <v>181</v>
      </c>
      <c r="N505" s="25" t="s">
        <v>2381</v>
      </c>
      <c r="O505" s="18" t="s">
        <v>3895</v>
      </c>
    </row>
    <row r="506" spans="1:15" x14ac:dyDescent="0.55000000000000004">
      <c r="A506">
        <v>505</v>
      </c>
      <c r="B506" s="25" t="s">
        <v>27</v>
      </c>
      <c r="C506" s="25">
        <v>25</v>
      </c>
      <c r="D506" s="25" t="s">
        <v>3893</v>
      </c>
      <c r="E506" s="25" t="s">
        <v>3906</v>
      </c>
      <c r="F506" s="25">
        <v>11.62</v>
      </c>
      <c r="G506" s="25" t="s">
        <v>1889</v>
      </c>
      <c r="H506" s="25">
        <f>3.66+2.53+1.38+4.12</f>
        <v>11.69</v>
      </c>
      <c r="I506" s="25">
        <f>3.66+2.53+1.38+4.12</f>
        <v>11.69</v>
      </c>
      <c r="J506" s="25" t="s">
        <v>1891</v>
      </c>
      <c r="L506" s="25" t="s">
        <v>212</v>
      </c>
      <c r="M506" s="25" t="s">
        <v>182</v>
      </c>
      <c r="N506" s="25" t="s">
        <v>2382</v>
      </c>
      <c r="O506" s="18" t="s">
        <v>3895</v>
      </c>
    </row>
    <row r="507" spans="1:15" x14ac:dyDescent="0.55000000000000004">
      <c r="A507">
        <v>506</v>
      </c>
      <c r="B507" s="25" t="s">
        <v>27</v>
      </c>
      <c r="C507" s="25">
        <v>25</v>
      </c>
      <c r="D507" s="25" t="s">
        <v>3893</v>
      </c>
      <c r="E507" s="25" t="s">
        <v>3907</v>
      </c>
      <c r="F507" s="25">
        <v>11.3</v>
      </c>
      <c r="G507" s="25" t="s">
        <v>1889</v>
      </c>
      <c r="H507" s="25">
        <f>1.97+1.73+2.8+2.39+3.04</f>
        <v>11.93</v>
      </c>
      <c r="I507" s="25">
        <f>1.97+1.73+2.8+2.39+3.04</f>
        <v>11.93</v>
      </c>
      <c r="J507" s="25" t="s">
        <v>1891</v>
      </c>
      <c r="L507" s="25" t="s">
        <v>212</v>
      </c>
      <c r="M507" s="25" t="s">
        <v>183</v>
      </c>
      <c r="N507" s="25" t="s">
        <v>2383</v>
      </c>
      <c r="O507" s="18" t="s">
        <v>3895</v>
      </c>
    </row>
    <row r="508" spans="1:15" x14ac:dyDescent="0.55000000000000004">
      <c r="A508">
        <v>507</v>
      </c>
      <c r="B508" s="25" t="s">
        <v>27</v>
      </c>
      <c r="C508" s="25">
        <v>25</v>
      </c>
      <c r="D508" s="25" t="s">
        <v>3893</v>
      </c>
      <c r="E508" s="25" t="s">
        <v>3908</v>
      </c>
      <c r="F508" s="25">
        <v>11.64</v>
      </c>
      <c r="G508" s="25" t="s">
        <v>1889</v>
      </c>
      <c r="H508" s="25">
        <f>2.42+1.57+3.29+1.83+2.52</f>
        <v>11.629999999999999</v>
      </c>
      <c r="I508" s="25">
        <f>2.42+1.57+3.29+1.83+2.52</f>
        <v>11.629999999999999</v>
      </c>
      <c r="J508" s="25" t="s">
        <v>1891</v>
      </c>
      <c r="N508" s="25" t="s">
        <v>2384</v>
      </c>
      <c r="O508" s="18" t="s">
        <v>3895</v>
      </c>
    </row>
    <row r="509" spans="1:15" x14ac:dyDescent="0.55000000000000004">
      <c r="A509">
        <v>508</v>
      </c>
      <c r="B509" s="25" t="s">
        <v>27</v>
      </c>
      <c r="C509" s="25">
        <v>25</v>
      </c>
      <c r="D509" s="25" t="s">
        <v>3893</v>
      </c>
      <c r="E509" s="25" t="s">
        <v>3909</v>
      </c>
      <c r="F509" s="25">
        <v>10.89</v>
      </c>
      <c r="G509" s="25" t="s">
        <v>1889</v>
      </c>
      <c r="H509" s="25">
        <f>4.18+2.04+2.29+3.85</f>
        <v>12.36</v>
      </c>
      <c r="I509" s="25">
        <f>4.18+2.04+2.29+3.85</f>
        <v>12.36</v>
      </c>
      <c r="J509" s="25" t="s">
        <v>1891</v>
      </c>
      <c r="N509" s="25" t="s">
        <v>2385</v>
      </c>
      <c r="O509" s="18" t="s">
        <v>3895</v>
      </c>
    </row>
    <row r="510" spans="1:15" x14ac:dyDescent="0.55000000000000004">
      <c r="A510">
        <v>509</v>
      </c>
      <c r="B510" s="25" t="s">
        <v>27</v>
      </c>
      <c r="C510" s="25">
        <v>25</v>
      </c>
      <c r="D510" s="25" t="s">
        <v>3893</v>
      </c>
      <c r="E510" s="25" t="s">
        <v>3910</v>
      </c>
      <c r="F510" s="25">
        <v>11.84</v>
      </c>
      <c r="G510" s="25" t="s">
        <v>1889</v>
      </c>
      <c r="H510" s="25" t="s">
        <v>3911</v>
      </c>
      <c r="I510" s="25" t="s">
        <v>3911</v>
      </c>
      <c r="J510" s="25" t="s">
        <v>1891</v>
      </c>
      <c r="N510" s="25" t="s">
        <v>2386</v>
      </c>
      <c r="O510" s="18" t="s">
        <v>3895</v>
      </c>
    </row>
    <row r="511" spans="1:15" x14ac:dyDescent="0.55000000000000004">
      <c r="A511">
        <v>510</v>
      </c>
      <c r="B511" s="25" t="s">
        <v>27</v>
      </c>
      <c r="C511" s="25">
        <v>25</v>
      </c>
      <c r="D511" s="25" t="s">
        <v>3893</v>
      </c>
      <c r="E511" s="25" t="s">
        <v>3912</v>
      </c>
      <c r="G511" s="25" t="s">
        <v>1941</v>
      </c>
      <c r="J511" s="25" t="s">
        <v>1941</v>
      </c>
    </row>
    <row r="512" spans="1:15" x14ac:dyDescent="0.55000000000000004">
      <c r="A512">
        <v>511</v>
      </c>
      <c r="B512" s="25" t="s">
        <v>27</v>
      </c>
      <c r="C512" s="25">
        <v>25</v>
      </c>
      <c r="D512" s="25" t="s">
        <v>3893</v>
      </c>
      <c r="E512" s="25" t="s">
        <v>3913</v>
      </c>
      <c r="G512" s="25" t="s">
        <v>1941</v>
      </c>
      <c r="J512" s="25" t="s">
        <v>1941</v>
      </c>
    </row>
    <row r="513" spans="1:14" x14ac:dyDescent="0.55000000000000004">
      <c r="A513">
        <v>512</v>
      </c>
      <c r="B513" s="25" t="s">
        <v>27</v>
      </c>
      <c r="C513" s="25">
        <v>25</v>
      </c>
      <c r="D513" s="25" t="s">
        <v>3893</v>
      </c>
      <c r="E513" s="25" t="s">
        <v>3914</v>
      </c>
      <c r="G513" s="25" t="s">
        <v>1941</v>
      </c>
      <c r="J513" s="25" t="s">
        <v>1941</v>
      </c>
    </row>
    <row r="514" spans="1:14" x14ac:dyDescent="0.55000000000000004">
      <c r="A514">
        <v>513</v>
      </c>
      <c r="B514" s="25" t="s">
        <v>27</v>
      </c>
      <c r="C514" s="25">
        <v>25</v>
      </c>
      <c r="D514" s="25" t="s">
        <v>3893</v>
      </c>
      <c r="E514" s="25" t="s">
        <v>3915</v>
      </c>
      <c r="G514" s="25" t="s">
        <v>1941</v>
      </c>
      <c r="J514" s="25" t="s">
        <v>1941</v>
      </c>
    </row>
    <row r="515" spans="1:14" x14ac:dyDescent="0.55000000000000004">
      <c r="A515">
        <v>514</v>
      </c>
      <c r="B515" s="25" t="s">
        <v>27</v>
      </c>
      <c r="C515" s="25">
        <v>25</v>
      </c>
      <c r="D515" s="25" t="s">
        <v>3893</v>
      </c>
      <c r="E515" s="25" t="s">
        <v>3916</v>
      </c>
      <c r="G515" s="25" t="s">
        <v>1941</v>
      </c>
      <c r="J515" s="25" t="s">
        <v>1941</v>
      </c>
    </row>
    <row r="516" spans="1:14" x14ac:dyDescent="0.55000000000000004">
      <c r="A516">
        <v>515</v>
      </c>
      <c r="B516" s="25" t="s">
        <v>27</v>
      </c>
      <c r="C516" s="25">
        <v>25</v>
      </c>
      <c r="D516" s="25" t="s">
        <v>3893</v>
      </c>
      <c r="E516" s="25" t="s">
        <v>3917</v>
      </c>
      <c r="G516" s="25" t="s">
        <v>1941</v>
      </c>
      <c r="J516" s="25" t="s">
        <v>1941</v>
      </c>
    </row>
    <row r="517" spans="1:14" x14ac:dyDescent="0.55000000000000004">
      <c r="A517">
        <v>516</v>
      </c>
      <c r="B517" s="25" t="s">
        <v>27</v>
      </c>
      <c r="C517" s="25">
        <v>25</v>
      </c>
      <c r="D517" s="25" t="s">
        <v>3893</v>
      </c>
      <c r="E517" s="25" t="s">
        <v>3918</v>
      </c>
      <c r="G517" s="25" t="s">
        <v>1941</v>
      </c>
      <c r="J517" s="25" t="s">
        <v>1941</v>
      </c>
    </row>
    <row r="518" spans="1:14" x14ac:dyDescent="0.55000000000000004">
      <c r="A518">
        <v>517</v>
      </c>
      <c r="B518" s="25" t="s">
        <v>27</v>
      </c>
      <c r="C518" s="25">
        <v>25</v>
      </c>
      <c r="D518" s="25" t="s">
        <v>3893</v>
      </c>
      <c r="E518" s="25" t="s">
        <v>3919</v>
      </c>
      <c r="G518" s="25" t="s">
        <v>1941</v>
      </c>
      <c r="J518" s="25" t="s">
        <v>1941</v>
      </c>
    </row>
    <row r="519" spans="1:14" x14ac:dyDescent="0.55000000000000004">
      <c r="A519">
        <v>518</v>
      </c>
      <c r="B519" s="25" t="s">
        <v>27</v>
      </c>
      <c r="C519" s="25">
        <v>25</v>
      </c>
      <c r="D519" s="25" t="s">
        <v>3893</v>
      </c>
      <c r="E519" s="25" t="s">
        <v>3920</v>
      </c>
      <c r="G519" s="25" t="s">
        <v>1941</v>
      </c>
      <c r="J519" s="25" t="s">
        <v>1941</v>
      </c>
    </row>
    <row r="520" spans="1:14" x14ac:dyDescent="0.55000000000000004">
      <c r="A520">
        <v>519</v>
      </c>
      <c r="B520" s="25" t="s">
        <v>27</v>
      </c>
      <c r="C520" s="25">
        <v>25</v>
      </c>
      <c r="D520" s="25" t="s">
        <v>3893</v>
      </c>
      <c r="E520" s="25" t="s">
        <v>3921</v>
      </c>
      <c r="G520" s="25" t="s">
        <v>1941</v>
      </c>
      <c r="J520" s="25" t="s">
        <v>1941</v>
      </c>
      <c r="K520" s="25" t="str">
        <f>VLOOKUP(E521,[1]PrelimAssignPOP!$I$1:$J$947,2,FALSE)</f>
        <v>ART</v>
      </c>
    </row>
    <row r="521" spans="1:14" x14ac:dyDescent="0.55000000000000004">
      <c r="A521">
        <v>520</v>
      </c>
      <c r="B521" s="25" t="s">
        <v>29</v>
      </c>
      <c r="C521" s="25">
        <v>25</v>
      </c>
      <c r="D521" s="25" t="s">
        <v>3922</v>
      </c>
      <c r="E521" s="25" t="s">
        <v>3923</v>
      </c>
      <c r="F521" s="25">
        <v>11.13</v>
      </c>
      <c r="G521" s="25" t="s">
        <v>1889</v>
      </c>
      <c r="H521" s="25">
        <f>2.18+1.61+2.15+5.28</f>
        <v>11.219999999999999</v>
      </c>
      <c r="I521" s="25">
        <f>2.18+1.61+2.15+5.28</f>
        <v>11.219999999999999</v>
      </c>
      <c r="J521" s="25" t="s">
        <v>1891</v>
      </c>
      <c r="K521" s="25" t="str">
        <f>VLOOKUP(E522,[1]PrelimAssignPOP!$I$1:$J$947,2,FALSE)</f>
        <v>ART</v>
      </c>
      <c r="L521" s="25" t="s">
        <v>212</v>
      </c>
      <c r="M521" s="25" t="s">
        <v>184</v>
      </c>
      <c r="N521" s="25" t="s">
        <v>2387</v>
      </c>
    </row>
    <row r="522" spans="1:14" x14ac:dyDescent="0.55000000000000004">
      <c r="A522">
        <v>521</v>
      </c>
      <c r="B522" s="25" t="s">
        <v>29</v>
      </c>
      <c r="C522" s="25">
        <v>25</v>
      </c>
      <c r="D522" s="25" t="s">
        <v>3922</v>
      </c>
      <c r="E522" s="25" t="s">
        <v>3924</v>
      </c>
      <c r="F522" s="25">
        <v>14.58</v>
      </c>
      <c r="G522" s="25" t="s">
        <v>1889</v>
      </c>
      <c r="H522" s="25">
        <f>8.68+6.05</f>
        <v>14.73</v>
      </c>
      <c r="I522" s="25">
        <f>8.68+6.05</f>
        <v>14.73</v>
      </c>
      <c r="J522" s="25" t="s">
        <v>1891</v>
      </c>
      <c r="K522" s="25" t="str">
        <f>VLOOKUP(E523,[1]PrelimAssignPOP!$I$1:$J$947,2,FALSE)</f>
        <v>ART</v>
      </c>
      <c r="L522" s="25" t="s">
        <v>212</v>
      </c>
      <c r="M522" s="25" t="s">
        <v>185</v>
      </c>
      <c r="N522" s="25" t="s">
        <v>2388</v>
      </c>
    </row>
    <row r="523" spans="1:14" x14ac:dyDescent="0.55000000000000004">
      <c r="A523">
        <v>522</v>
      </c>
      <c r="B523" s="25" t="s">
        <v>29</v>
      </c>
      <c r="C523" s="25">
        <v>25</v>
      </c>
      <c r="D523" s="25" t="s">
        <v>3922</v>
      </c>
      <c r="E523" s="25" t="s">
        <v>3925</v>
      </c>
      <c r="F523" s="25">
        <v>15.14</v>
      </c>
      <c r="G523" s="25" t="s">
        <v>1889</v>
      </c>
      <c r="H523" s="25">
        <f>1.99+2.99+5.71+4.64</f>
        <v>15.330000000000002</v>
      </c>
      <c r="I523" s="25">
        <f>1.99+2.99+5.71+4.64</f>
        <v>15.330000000000002</v>
      </c>
      <c r="J523" s="25" t="s">
        <v>1891</v>
      </c>
      <c r="K523" s="25" t="str">
        <f>VLOOKUP(E524,[1]PrelimAssignPOP!$I$1:$J$947,2,FALSE)</f>
        <v>ART</v>
      </c>
      <c r="L523" s="25" t="s">
        <v>212</v>
      </c>
      <c r="M523" s="25" t="s">
        <v>186</v>
      </c>
      <c r="N523" s="25" t="s">
        <v>2389</v>
      </c>
    </row>
    <row r="524" spans="1:14" x14ac:dyDescent="0.55000000000000004">
      <c r="A524">
        <v>523</v>
      </c>
      <c r="B524" s="25" t="s">
        <v>29</v>
      </c>
      <c r="C524" s="25">
        <v>25</v>
      </c>
      <c r="D524" s="25" t="s">
        <v>3922</v>
      </c>
      <c r="E524" s="25" t="s">
        <v>3926</v>
      </c>
      <c r="F524" s="25">
        <v>13.18</v>
      </c>
      <c r="G524" s="25" t="s">
        <v>1889</v>
      </c>
      <c r="H524" s="25">
        <f>3.48+2.85+2.88+4.17</f>
        <v>13.38</v>
      </c>
      <c r="I524" s="25">
        <f>3.48+2.85+2.88+4.17</f>
        <v>13.38</v>
      </c>
      <c r="J524" s="25" t="s">
        <v>1891</v>
      </c>
      <c r="K524" s="25" t="str">
        <f>VLOOKUP(E525,[1]PrelimAssignPOP!$I$1:$J$947,2,FALSE)</f>
        <v>ART</v>
      </c>
      <c r="L524" s="25" t="s">
        <v>212</v>
      </c>
      <c r="M524" s="25" t="s">
        <v>187</v>
      </c>
      <c r="N524" s="25" t="s">
        <v>2390</v>
      </c>
    </row>
    <row r="525" spans="1:14" x14ac:dyDescent="0.55000000000000004">
      <c r="A525">
        <v>524</v>
      </c>
      <c r="B525" s="25" t="s">
        <v>29</v>
      </c>
      <c r="C525" s="25">
        <v>25</v>
      </c>
      <c r="D525" s="25" t="s">
        <v>3922</v>
      </c>
      <c r="E525" s="25" t="s">
        <v>3927</v>
      </c>
      <c r="F525" s="25">
        <v>11.33</v>
      </c>
      <c r="G525" s="25" t="s">
        <v>1889</v>
      </c>
      <c r="H525" s="25">
        <f>3+2.77+1.89+1.7+2.27</f>
        <v>11.629999999999999</v>
      </c>
      <c r="I525" s="25">
        <f>3+2.77+1.89+1.7+2.27</f>
        <v>11.629999999999999</v>
      </c>
      <c r="J525" s="25" t="s">
        <v>1891</v>
      </c>
      <c r="K525" s="25" t="str">
        <f>VLOOKUP(E526,[1]PrelimAssignPOP!$I$1:$J$947,2,FALSE)</f>
        <v>ART</v>
      </c>
      <c r="L525" s="25" t="s">
        <v>212</v>
      </c>
      <c r="M525" s="25" t="s">
        <v>120</v>
      </c>
      <c r="N525" s="25" t="s">
        <v>2391</v>
      </c>
    </row>
    <row r="526" spans="1:14" x14ac:dyDescent="0.55000000000000004">
      <c r="A526">
        <v>525</v>
      </c>
      <c r="B526" s="25" t="s">
        <v>29</v>
      </c>
      <c r="C526" s="25">
        <v>25</v>
      </c>
      <c r="D526" s="25" t="s">
        <v>3922</v>
      </c>
      <c r="E526" s="25" t="s">
        <v>3928</v>
      </c>
      <c r="F526" s="25">
        <v>11.09</v>
      </c>
      <c r="G526" s="25" t="s">
        <v>1889</v>
      </c>
      <c r="H526" s="25">
        <f>3.58+1.09+3.73+2.86</f>
        <v>11.26</v>
      </c>
      <c r="I526" s="25">
        <f>3.58+1.09+3.73+2.86</f>
        <v>11.26</v>
      </c>
      <c r="J526" s="25" t="s">
        <v>1891</v>
      </c>
      <c r="K526" s="25" t="str">
        <f>VLOOKUP(E527,[1]PrelimAssignPOP!$I$1:$J$947,2,FALSE)</f>
        <v>ART</v>
      </c>
      <c r="L526" s="25" t="s">
        <v>212</v>
      </c>
      <c r="M526" s="25" t="s">
        <v>188</v>
      </c>
      <c r="N526" s="25" t="s">
        <v>2392</v>
      </c>
    </row>
    <row r="527" spans="1:14" x14ac:dyDescent="0.55000000000000004">
      <c r="A527">
        <v>526</v>
      </c>
      <c r="B527" s="25" t="s">
        <v>29</v>
      </c>
      <c r="C527" s="25">
        <v>25</v>
      </c>
      <c r="D527" s="25" t="s">
        <v>3922</v>
      </c>
      <c r="E527" s="25" t="s">
        <v>3929</v>
      </c>
      <c r="F527" s="25">
        <v>9.3699999999999992</v>
      </c>
      <c r="G527" s="25" t="s">
        <v>1889</v>
      </c>
      <c r="H527" s="25">
        <f>2.67+1.55+3.17+2.25</f>
        <v>9.64</v>
      </c>
      <c r="I527" s="25">
        <f>2.67+1.55+3.17+2.25</f>
        <v>9.64</v>
      </c>
      <c r="J527" s="25" t="s">
        <v>1891</v>
      </c>
      <c r="K527" s="25" t="str">
        <f>VLOOKUP(E528,[1]PrelimAssignPOP!$I$1:$J$947,2,FALSE)</f>
        <v>ART</v>
      </c>
      <c r="L527" s="25" t="s">
        <v>212</v>
      </c>
      <c r="M527" s="25" t="s">
        <v>189</v>
      </c>
      <c r="N527" s="25" t="s">
        <v>2393</v>
      </c>
    </row>
    <row r="528" spans="1:14" x14ac:dyDescent="0.55000000000000004">
      <c r="A528">
        <v>527</v>
      </c>
      <c r="B528" s="25" t="s">
        <v>29</v>
      </c>
      <c r="C528" s="25">
        <v>25</v>
      </c>
      <c r="D528" s="25" t="s">
        <v>3922</v>
      </c>
      <c r="E528" s="25" t="s">
        <v>3930</v>
      </c>
      <c r="F528" s="25">
        <v>12.25</v>
      </c>
      <c r="G528" s="25" t="s">
        <v>1889</v>
      </c>
      <c r="H528" s="25">
        <f>7.13+3.09+2.17</f>
        <v>12.389999999999999</v>
      </c>
      <c r="I528" s="25">
        <f>7.13+3.09+2.17</f>
        <v>12.389999999999999</v>
      </c>
      <c r="J528" s="25" t="s">
        <v>1891</v>
      </c>
      <c r="K528" s="25" t="str">
        <f>VLOOKUP(E529,[1]PrelimAssignPOP!$I$1:$J$947,2,FALSE)</f>
        <v>ART</v>
      </c>
      <c r="L528" s="25" t="s">
        <v>212</v>
      </c>
      <c r="M528" s="25" t="s">
        <v>190</v>
      </c>
      <c r="N528" s="25" t="s">
        <v>2394</v>
      </c>
    </row>
    <row r="529" spans="1:14" x14ac:dyDescent="0.55000000000000004">
      <c r="A529">
        <v>528</v>
      </c>
      <c r="B529" s="25" t="s">
        <v>29</v>
      </c>
      <c r="C529" s="25">
        <v>25</v>
      </c>
      <c r="D529" s="25" t="s">
        <v>3922</v>
      </c>
      <c r="E529" s="25" t="s">
        <v>3931</v>
      </c>
      <c r="F529" s="25">
        <v>13.25</v>
      </c>
      <c r="G529" s="25" t="s">
        <v>1889</v>
      </c>
      <c r="H529" s="25">
        <f>5.83+7.4</f>
        <v>13.23</v>
      </c>
      <c r="I529" s="25">
        <f>5.83+7.4</f>
        <v>13.23</v>
      </c>
      <c r="J529" s="25" t="s">
        <v>1891</v>
      </c>
      <c r="K529" s="25" t="str">
        <f>VLOOKUP(E530,[1]PrelimAssignPOP!$I$1:$J$947,2,FALSE)</f>
        <v>ART</v>
      </c>
      <c r="L529" s="25" t="s">
        <v>212</v>
      </c>
      <c r="M529" s="25" t="s">
        <v>191</v>
      </c>
      <c r="N529" s="25" t="s">
        <v>2395</v>
      </c>
    </row>
    <row r="530" spans="1:14" x14ac:dyDescent="0.55000000000000004">
      <c r="A530">
        <v>529</v>
      </c>
      <c r="B530" s="25" t="s">
        <v>29</v>
      </c>
      <c r="C530" s="25">
        <v>25</v>
      </c>
      <c r="D530" s="25" t="s">
        <v>3922</v>
      </c>
      <c r="E530" s="25" t="s">
        <v>3932</v>
      </c>
      <c r="F530" s="25">
        <v>12.44</v>
      </c>
      <c r="G530" s="25" t="s">
        <v>1889</v>
      </c>
      <c r="H530" s="25">
        <f>5.04+2.59+2.5+2.37</f>
        <v>12.5</v>
      </c>
      <c r="I530" s="25">
        <f>5.04+2.59+2.5+2.37</f>
        <v>12.5</v>
      </c>
      <c r="J530" s="25" t="s">
        <v>1891</v>
      </c>
      <c r="K530" s="25" t="str">
        <f>VLOOKUP(E531,[1]PrelimAssignPOP!$I$1:$J$947,2,FALSE)</f>
        <v>ART</v>
      </c>
      <c r="L530" s="25" t="s">
        <v>212</v>
      </c>
      <c r="M530" s="25" t="s">
        <v>192</v>
      </c>
      <c r="N530" s="25" t="s">
        <v>2396</v>
      </c>
    </row>
    <row r="531" spans="1:14" x14ac:dyDescent="0.55000000000000004">
      <c r="A531">
        <v>530</v>
      </c>
      <c r="B531" s="25" t="s">
        <v>29</v>
      </c>
      <c r="C531" s="25">
        <v>25</v>
      </c>
      <c r="D531" s="25" t="s">
        <v>3922</v>
      </c>
      <c r="E531" s="25" t="s">
        <v>3933</v>
      </c>
      <c r="F531" s="25">
        <v>12.46</v>
      </c>
      <c r="G531" s="25" t="s">
        <v>1889</v>
      </c>
      <c r="H531" s="25">
        <f>7.24+2.35+2.93</f>
        <v>12.52</v>
      </c>
      <c r="I531" s="25">
        <f>7.24+2.35+2.93</f>
        <v>12.52</v>
      </c>
      <c r="J531" s="25" t="s">
        <v>1891</v>
      </c>
      <c r="K531" s="25" t="str">
        <f>VLOOKUP(E532,[1]PrelimAssignPOP!$I$1:$J$947,2,FALSE)</f>
        <v>ART</v>
      </c>
      <c r="L531" s="25" t="s">
        <v>212</v>
      </c>
      <c r="M531" s="25" t="s">
        <v>193</v>
      </c>
      <c r="N531" s="25" t="s">
        <v>2397</v>
      </c>
    </row>
    <row r="532" spans="1:14" x14ac:dyDescent="0.55000000000000004">
      <c r="A532">
        <v>531</v>
      </c>
      <c r="B532" s="25" t="s">
        <v>29</v>
      </c>
      <c r="C532" s="25">
        <v>25</v>
      </c>
      <c r="D532" s="25" t="s">
        <v>3922</v>
      </c>
      <c r="E532" s="25" t="s">
        <v>3934</v>
      </c>
      <c r="F532" s="25">
        <v>10.37</v>
      </c>
      <c r="G532" s="25" t="s">
        <v>1889</v>
      </c>
      <c r="H532" s="25">
        <f>5.76+2.18+2.75</f>
        <v>10.69</v>
      </c>
      <c r="I532" s="25">
        <f>5.76+2.18+2.75</f>
        <v>10.69</v>
      </c>
      <c r="J532" s="25" t="s">
        <v>1891</v>
      </c>
      <c r="L532" s="25" t="s">
        <v>212</v>
      </c>
      <c r="M532" s="25" t="s">
        <v>194</v>
      </c>
      <c r="N532" s="25" t="s">
        <v>2398</v>
      </c>
    </row>
    <row r="533" spans="1:14" x14ac:dyDescent="0.55000000000000004">
      <c r="A533">
        <v>532</v>
      </c>
      <c r="B533" s="25" t="s">
        <v>29</v>
      </c>
      <c r="C533" s="25">
        <v>25</v>
      </c>
      <c r="D533" s="25" t="s">
        <v>3922</v>
      </c>
      <c r="E533" s="25" t="s">
        <v>3935</v>
      </c>
      <c r="F533" s="25">
        <v>12.05</v>
      </c>
      <c r="G533" s="25" t="s">
        <v>1889</v>
      </c>
      <c r="H533" s="25">
        <f>3.02+3.46+2.91+2.63</f>
        <v>12.02</v>
      </c>
      <c r="I533" s="25">
        <f>3.02+3.46+2.91+2.63</f>
        <v>12.02</v>
      </c>
      <c r="J533" s="25" t="s">
        <v>1891</v>
      </c>
      <c r="N533" s="25" t="s">
        <v>2399</v>
      </c>
    </row>
    <row r="534" spans="1:14" x14ac:dyDescent="0.55000000000000004">
      <c r="A534">
        <v>533</v>
      </c>
      <c r="B534" s="25" t="s">
        <v>29</v>
      </c>
      <c r="C534" s="25">
        <v>25</v>
      </c>
      <c r="D534" s="25" t="s">
        <v>3922</v>
      </c>
      <c r="E534" s="25" t="s">
        <v>3936</v>
      </c>
      <c r="F534" s="25">
        <v>14.46</v>
      </c>
      <c r="G534" s="25" t="s">
        <v>1889</v>
      </c>
      <c r="H534" s="25">
        <f>11.49+3.23</f>
        <v>14.72</v>
      </c>
      <c r="I534" s="25">
        <f>11.49+3.23</f>
        <v>14.72</v>
      </c>
      <c r="J534" s="25" t="s">
        <v>1891</v>
      </c>
      <c r="N534" s="25" t="s">
        <v>2400</v>
      </c>
    </row>
    <row r="535" spans="1:14" x14ac:dyDescent="0.55000000000000004">
      <c r="A535">
        <v>534</v>
      </c>
      <c r="B535" s="25" t="s">
        <v>29</v>
      </c>
      <c r="C535" s="25">
        <v>25</v>
      </c>
      <c r="D535" s="25" t="s">
        <v>3922</v>
      </c>
      <c r="E535" s="25" t="s">
        <v>3937</v>
      </c>
      <c r="F535" s="25">
        <v>13.28</v>
      </c>
      <c r="G535" s="25" t="s">
        <v>1889</v>
      </c>
      <c r="H535" s="25">
        <f>3.74+4.78+5.1</f>
        <v>13.62</v>
      </c>
      <c r="I535" s="25">
        <f>3.74+4.78+5.1</f>
        <v>13.62</v>
      </c>
      <c r="J535" s="25" t="s">
        <v>1891</v>
      </c>
      <c r="N535" s="25" t="s">
        <v>2401</v>
      </c>
    </row>
    <row r="536" spans="1:14" x14ac:dyDescent="0.55000000000000004">
      <c r="A536">
        <v>535</v>
      </c>
      <c r="B536" s="25" t="s">
        <v>29</v>
      </c>
      <c r="C536" s="25">
        <v>25</v>
      </c>
      <c r="D536" s="25" t="s">
        <v>3922</v>
      </c>
      <c r="E536" s="25" t="s">
        <v>3938</v>
      </c>
      <c r="F536" s="25">
        <v>9.27</v>
      </c>
      <c r="G536" s="25" t="s">
        <v>1889</v>
      </c>
      <c r="H536" s="25">
        <f>2.49+2.5+2.08+2.4</f>
        <v>9.4700000000000006</v>
      </c>
      <c r="I536" s="25">
        <f>2.49+2.5+2.08+2.4</f>
        <v>9.4700000000000006</v>
      </c>
      <c r="J536" s="25" t="s">
        <v>1891</v>
      </c>
      <c r="N536" s="25" t="s">
        <v>2402</v>
      </c>
    </row>
    <row r="537" spans="1:14" x14ac:dyDescent="0.55000000000000004">
      <c r="A537">
        <v>536</v>
      </c>
      <c r="B537" s="25" t="s">
        <v>29</v>
      </c>
      <c r="C537" s="25">
        <v>25</v>
      </c>
      <c r="D537" s="25" t="s">
        <v>3922</v>
      </c>
      <c r="E537" s="25" t="s">
        <v>3939</v>
      </c>
      <c r="F537" s="25">
        <v>12.57</v>
      </c>
      <c r="G537" s="25" t="s">
        <v>1889</v>
      </c>
      <c r="H537" s="25">
        <f>4.26+1.47+4.03+3.13</f>
        <v>12.89</v>
      </c>
      <c r="I537" s="25">
        <f>4.26+1.47+4.03+3.13</f>
        <v>12.89</v>
      </c>
      <c r="J537" s="25" t="s">
        <v>1891</v>
      </c>
      <c r="N537" s="25" t="s">
        <v>2403</v>
      </c>
    </row>
    <row r="538" spans="1:14" x14ac:dyDescent="0.55000000000000004">
      <c r="A538">
        <v>537</v>
      </c>
      <c r="B538" s="25" t="s">
        <v>29</v>
      </c>
      <c r="C538" s="25">
        <v>25</v>
      </c>
      <c r="D538" s="25" t="s">
        <v>3922</v>
      </c>
      <c r="E538" s="25" t="s">
        <v>3940</v>
      </c>
      <c r="F538" s="25">
        <v>13.45</v>
      </c>
      <c r="G538" s="25" t="s">
        <v>1889</v>
      </c>
      <c r="H538" s="25">
        <f>7.89+5.93</f>
        <v>13.82</v>
      </c>
      <c r="I538" s="25">
        <f>7.89+5.93</f>
        <v>13.82</v>
      </c>
      <c r="J538" s="25" t="s">
        <v>1891</v>
      </c>
      <c r="N538" s="25" t="s">
        <v>2404</v>
      </c>
    </row>
    <row r="539" spans="1:14" x14ac:dyDescent="0.55000000000000004">
      <c r="A539">
        <v>538</v>
      </c>
      <c r="B539" s="25" t="s">
        <v>29</v>
      </c>
      <c r="C539" s="25">
        <v>25</v>
      </c>
      <c r="D539" s="25" t="s">
        <v>3922</v>
      </c>
      <c r="E539" s="25" t="s">
        <v>3941</v>
      </c>
      <c r="F539" s="25">
        <v>12.54</v>
      </c>
      <c r="G539" s="25" t="s">
        <v>1889</v>
      </c>
      <c r="H539" s="25">
        <f>2.46+1.87+3.24+2.59+2.73</f>
        <v>12.89</v>
      </c>
      <c r="I539" s="25">
        <f>2.46+1.87+3.24+2.59+2.73</f>
        <v>12.89</v>
      </c>
      <c r="J539" s="25" t="s">
        <v>1891</v>
      </c>
      <c r="N539" s="25" t="s">
        <v>2405</v>
      </c>
    </row>
    <row r="540" spans="1:14" x14ac:dyDescent="0.55000000000000004">
      <c r="A540">
        <v>539</v>
      </c>
      <c r="B540" s="25" t="s">
        <v>29</v>
      </c>
      <c r="C540" s="25">
        <v>25</v>
      </c>
      <c r="D540" s="25" t="s">
        <v>3922</v>
      </c>
      <c r="E540" s="25" t="s">
        <v>3942</v>
      </c>
      <c r="F540" s="25">
        <v>15.03</v>
      </c>
      <c r="G540" s="25" t="s">
        <v>1889</v>
      </c>
      <c r="H540" s="25">
        <f>4.82+3.11+4.64+3.32</f>
        <v>15.89</v>
      </c>
      <c r="I540" s="25">
        <f>4.82+3.11+4.64+3.32</f>
        <v>15.89</v>
      </c>
      <c r="J540" s="25" t="s">
        <v>1891</v>
      </c>
      <c r="N540" s="25" t="s">
        <v>2406</v>
      </c>
    </row>
    <row r="541" spans="1:14" x14ac:dyDescent="0.55000000000000004">
      <c r="A541">
        <v>540</v>
      </c>
      <c r="B541" s="25" t="s">
        <v>29</v>
      </c>
      <c r="C541" s="25">
        <v>25</v>
      </c>
      <c r="D541" s="25" t="s">
        <v>3922</v>
      </c>
      <c r="E541" s="25" t="s">
        <v>3943</v>
      </c>
      <c r="F541" s="25">
        <v>14.52</v>
      </c>
      <c r="G541" s="25" t="s">
        <v>1889</v>
      </c>
      <c r="H541" s="25">
        <f>3.87+7.12+3.79</f>
        <v>14.780000000000001</v>
      </c>
      <c r="I541" s="25">
        <f>3.87+7.12+3.79</f>
        <v>14.780000000000001</v>
      </c>
      <c r="J541" s="25" t="s">
        <v>1891</v>
      </c>
      <c r="N541" s="25" t="s">
        <v>2407</v>
      </c>
    </row>
    <row r="542" spans="1:14" x14ac:dyDescent="0.55000000000000004">
      <c r="A542">
        <v>541</v>
      </c>
      <c r="B542" s="25" t="s">
        <v>29</v>
      </c>
      <c r="C542" s="25">
        <v>25</v>
      </c>
      <c r="D542" s="25" t="s">
        <v>3922</v>
      </c>
      <c r="E542" s="25" t="s">
        <v>3944</v>
      </c>
      <c r="F542" s="25">
        <v>13.12</v>
      </c>
      <c r="G542" s="25" t="s">
        <v>1889</v>
      </c>
      <c r="H542" s="25">
        <f>3.83+2.25+7.3</f>
        <v>13.379999999999999</v>
      </c>
      <c r="I542" s="25">
        <f>3.83+2.25+7.3</f>
        <v>13.379999999999999</v>
      </c>
      <c r="J542" s="25" t="s">
        <v>1891</v>
      </c>
      <c r="N542" s="25" t="s">
        <v>2408</v>
      </c>
    </row>
    <row r="543" spans="1:14" x14ac:dyDescent="0.55000000000000004">
      <c r="A543">
        <v>542</v>
      </c>
      <c r="B543" s="25" t="s">
        <v>29</v>
      </c>
      <c r="C543" s="25">
        <v>25</v>
      </c>
      <c r="D543" s="25" t="s">
        <v>3922</v>
      </c>
      <c r="E543" s="25" t="s">
        <v>3945</v>
      </c>
      <c r="F543" s="25">
        <v>12.44</v>
      </c>
      <c r="G543" s="25" t="s">
        <v>1889</v>
      </c>
      <c r="H543" s="25">
        <f>3.56+1.43+3.27+2.09+2.12</f>
        <v>12.469999999999999</v>
      </c>
      <c r="I543" s="25">
        <f>3.56+1.43+3.27+2.09+2.12</f>
        <v>12.469999999999999</v>
      </c>
      <c r="J543" s="25" t="s">
        <v>1891</v>
      </c>
      <c r="N543" s="25" t="s">
        <v>2409</v>
      </c>
    </row>
    <row r="544" spans="1:14" x14ac:dyDescent="0.55000000000000004">
      <c r="A544">
        <v>543</v>
      </c>
      <c r="B544" s="25" t="s">
        <v>29</v>
      </c>
      <c r="C544" s="25">
        <v>25</v>
      </c>
      <c r="D544" s="25" t="s">
        <v>3922</v>
      </c>
      <c r="E544" s="25" t="s">
        <v>3946</v>
      </c>
      <c r="F544" s="25">
        <v>11.38</v>
      </c>
      <c r="G544" s="25" t="s">
        <v>1889</v>
      </c>
      <c r="H544" s="25">
        <f>2.4+5.28+4.27</f>
        <v>11.95</v>
      </c>
      <c r="I544" s="25">
        <f>2.4+5.28+4.27</f>
        <v>11.95</v>
      </c>
      <c r="J544" s="25" t="s">
        <v>1891</v>
      </c>
      <c r="N544" s="25" t="s">
        <v>2410</v>
      </c>
    </row>
    <row r="545" spans="1:14" x14ac:dyDescent="0.55000000000000004">
      <c r="A545">
        <v>544</v>
      </c>
      <c r="B545" s="25" t="s">
        <v>29</v>
      </c>
      <c r="C545" s="25">
        <v>25</v>
      </c>
      <c r="D545" s="25" t="s">
        <v>3922</v>
      </c>
      <c r="E545" s="25" t="s">
        <v>3947</v>
      </c>
      <c r="F545" s="25">
        <v>12.64</v>
      </c>
      <c r="G545" s="25" t="s">
        <v>1889</v>
      </c>
      <c r="H545" s="25">
        <f>2.77+2.61+7.5</f>
        <v>12.879999999999999</v>
      </c>
      <c r="I545" s="25">
        <f>2.77+2.61+7.5</f>
        <v>12.879999999999999</v>
      </c>
      <c r="J545" s="25" t="s">
        <v>1891</v>
      </c>
      <c r="K545" s="25" t="str">
        <f>VLOOKUP(E546,[1]PrelimAssignPOP!$I$1:$J$947,2,FALSE)</f>
        <v>HYB</v>
      </c>
      <c r="N545" s="25" t="s">
        <v>2411</v>
      </c>
    </row>
    <row r="546" spans="1:14" x14ac:dyDescent="0.55000000000000004">
      <c r="A546">
        <v>545</v>
      </c>
      <c r="B546" s="25" t="s">
        <v>30</v>
      </c>
      <c r="C546" s="25">
        <v>25</v>
      </c>
      <c r="D546" s="25" t="s">
        <v>3948</v>
      </c>
      <c r="E546" s="25" t="s">
        <v>3949</v>
      </c>
      <c r="F546" s="25">
        <v>13.73</v>
      </c>
      <c r="G546" s="25" t="s">
        <v>1889</v>
      </c>
      <c r="H546" s="25">
        <v>13.94</v>
      </c>
      <c r="I546" s="25">
        <v>13.94</v>
      </c>
      <c r="J546" s="25" t="s">
        <v>1891</v>
      </c>
      <c r="K546" s="25" t="str">
        <f>VLOOKUP(E547,[1]PrelimAssignPOP!$I$1:$J$947,2,FALSE)</f>
        <v>HYB</v>
      </c>
      <c r="L546" s="25" t="s">
        <v>212</v>
      </c>
      <c r="M546" s="25" t="s">
        <v>195</v>
      </c>
      <c r="N546" s="25" t="s">
        <v>2412</v>
      </c>
    </row>
    <row r="547" spans="1:14" x14ac:dyDescent="0.55000000000000004">
      <c r="A547">
        <v>546</v>
      </c>
      <c r="B547" s="25" t="s">
        <v>30</v>
      </c>
      <c r="C547" s="25">
        <v>25</v>
      </c>
      <c r="D547" s="25" t="s">
        <v>3948</v>
      </c>
      <c r="E547" s="25" t="s">
        <v>3950</v>
      </c>
      <c r="F547" s="25">
        <v>15.07</v>
      </c>
      <c r="G547" s="25" t="s">
        <v>1889</v>
      </c>
      <c r="H547" s="25">
        <f>12.4+3.04</f>
        <v>15.440000000000001</v>
      </c>
      <c r="I547" s="25">
        <f>12.4+3.04</f>
        <v>15.440000000000001</v>
      </c>
      <c r="J547" s="25" t="s">
        <v>1891</v>
      </c>
      <c r="K547" s="25" t="str">
        <f>VLOOKUP(E548,[1]PrelimAssignPOP!$I$1:$J$947,2,FALSE)</f>
        <v>HYB</v>
      </c>
      <c r="L547" s="25" t="s">
        <v>212</v>
      </c>
      <c r="M547" s="25" t="s">
        <v>196</v>
      </c>
      <c r="N547" s="25" t="s">
        <v>2413</v>
      </c>
    </row>
    <row r="548" spans="1:14" x14ac:dyDescent="0.55000000000000004">
      <c r="A548">
        <v>547</v>
      </c>
      <c r="B548" s="25" t="s">
        <v>30</v>
      </c>
      <c r="C548" s="25">
        <v>25</v>
      </c>
      <c r="D548" s="25" t="s">
        <v>3948</v>
      </c>
      <c r="E548" s="25" t="s">
        <v>3951</v>
      </c>
      <c r="F548" s="25">
        <v>14.25</v>
      </c>
      <c r="G548" s="25" t="s">
        <v>1889</v>
      </c>
      <c r="H548" s="25">
        <f>3.29+8.59+2.41</f>
        <v>14.29</v>
      </c>
      <c r="I548" s="25">
        <f>3.29+8.59+2.41</f>
        <v>14.29</v>
      </c>
      <c r="J548" s="25" t="s">
        <v>1891</v>
      </c>
      <c r="K548" s="25" t="str">
        <f>VLOOKUP(E549,[1]PrelimAssignPOP!$I$1:$J$947,2,FALSE)</f>
        <v>ART</v>
      </c>
      <c r="L548" s="25" t="s">
        <v>212</v>
      </c>
      <c r="M548" s="25" t="s">
        <v>197</v>
      </c>
      <c r="N548" s="25" t="s">
        <v>2414</v>
      </c>
    </row>
    <row r="549" spans="1:14" x14ac:dyDescent="0.55000000000000004">
      <c r="A549">
        <v>548</v>
      </c>
      <c r="B549" s="25" t="s">
        <v>30</v>
      </c>
      <c r="C549" s="25">
        <v>25</v>
      </c>
      <c r="D549" s="25" t="s">
        <v>3948</v>
      </c>
      <c r="E549" s="25" t="s">
        <v>3952</v>
      </c>
      <c r="F549" s="25">
        <v>10.33</v>
      </c>
      <c r="G549" s="25" t="s">
        <v>1889</v>
      </c>
      <c r="H549" s="25">
        <f>2.46+4.49+3.79</f>
        <v>10.74</v>
      </c>
      <c r="I549" s="25">
        <f>2.46+4.49+3.79</f>
        <v>10.74</v>
      </c>
      <c r="J549" s="25" t="s">
        <v>1891</v>
      </c>
      <c r="K549" s="25" t="str">
        <f>VLOOKUP(E550,[1]PrelimAssignPOP!$I$1:$J$947,2,FALSE)</f>
        <v>HYB</v>
      </c>
      <c r="L549" s="25" t="s">
        <v>212</v>
      </c>
      <c r="M549" s="25" t="s">
        <v>198</v>
      </c>
      <c r="N549" s="25" t="s">
        <v>2415</v>
      </c>
    </row>
    <row r="550" spans="1:14" x14ac:dyDescent="0.55000000000000004">
      <c r="A550">
        <v>549</v>
      </c>
      <c r="B550" s="25" t="s">
        <v>30</v>
      </c>
      <c r="C550" s="25">
        <v>25</v>
      </c>
      <c r="D550" s="25" t="s">
        <v>3948</v>
      </c>
      <c r="E550" s="25" t="s">
        <v>3953</v>
      </c>
      <c r="F550" s="25">
        <v>14.24</v>
      </c>
      <c r="G550" s="25" t="s">
        <v>1889</v>
      </c>
      <c r="H550" s="25">
        <f>6.81+3.02+5.14</f>
        <v>14.969999999999999</v>
      </c>
      <c r="I550" s="25">
        <f>6.81+3.02+5.14</f>
        <v>14.969999999999999</v>
      </c>
      <c r="J550" s="25" t="s">
        <v>1891</v>
      </c>
      <c r="K550" s="25" t="str">
        <f>VLOOKUP(E551,[1]PrelimAssignPOP!$I$1:$J$947,2,FALSE)</f>
        <v>ART</v>
      </c>
      <c r="L550" s="25" t="s">
        <v>212</v>
      </c>
      <c r="M550" s="25" t="s">
        <v>121</v>
      </c>
      <c r="N550" s="25" t="s">
        <v>2416</v>
      </c>
    </row>
    <row r="551" spans="1:14" x14ac:dyDescent="0.55000000000000004">
      <c r="A551">
        <v>550</v>
      </c>
      <c r="B551" s="25" t="s">
        <v>30</v>
      </c>
      <c r="C551" s="25">
        <v>25</v>
      </c>
      <c r="D551" s="25" t="s">
        <v>3948</v>
      </c>
      <c r="E551" s="25" t="s">
        <v>3954</v>
      </c>
      <c r="F551" s="25">
        <v>13.35</v>
      </c>
      <c r="G551" s="25" t="s">
        <v>1889</v>
      </c>
      <c r="H551" s="25">
        <f>2.46+4.17+2.26+1.82+3.05</f>
        <v>13.760000000000002</v>
      </c>
      <c r="I551" s="25">
        <f>2.46+4.17+2.26+1.82+3.05</f>
        <v>13.760000000000002</v>
      </c>
      <c r="J551" s="25" t="s">
        <v>1891</v>
      </c>
      <c r="K551" s="25" t="str">
        <f>VLOOKUP(E552,[1]PrelimAssignPOP!$I$1:$J$947,2,FALSE)</f>
        <v>KIY</v>
      </c>
      <c r="L551" s="25" t="s">
        <v>212</v>
      </c>
      <c r="M551" s="25" t="s">
        <v>199</v>
      </c>
      <c r="N551" s="25" t="s">
        <v>2417</v>
      </c>
    </row>
    <row r="552" spans="1:14" x14ac:dyDescent="0.55000000000000004">
      <c r="A552">
        <v>551</v>
      </c>
      <c r="B552" s="25" t="s">
        <v>30</v>
      </c>
      <c r="C552" s="25">
        <v>25</v>
      </c>
      <c r="D552" s="25" t="s">
        <v>3948</v>
      </c>
      <c r="E552" s="25" t="s">
        <v>3955</v>
      </c>
      <c r="F552" s="25">
        <v>12.85</v>
      </c>
      <c r="G552" s="25" t="s">
        <v>1889</v>
      </c>
      <c r="H552" s="25">
        <f>2.35+6.12+4.65</f>
        <v>13.120000000000001</v>
      </c>
      <c r="I552" s="25">
        <f>2.35+6.12+4.65</f>
        <v>13.120000000000001</v>
      </c>
      <c r="J552" s="25" t="s">
        <v>1891</v>
      </c>
      <c r="K552" s="25" t="str">
        <f>VLOOKUP(E553,[1]PrelimAssignPOP!$I$1:$J$947,2,FALSE)</f>
        <v>ART</v>
      </c>
      <c r="L552" s="25" t="s">
        <v>212</v>
      </c>
      <c r="M552" s="25" t="s">
        <v>200</v>
      </c>
      <c r="N552" s="25" t="s">
        <v>2418</v>
      </c>
    </row>
    <row r="553" spans="1:14" x14ac:dyDescent="0.55000000000000004">
      <c r="A553">
        <v>552</v>
      </c>
      <c r="B553" s="25" t="s">
        <v>30</v>
      </c>
      <c r="C553" s="25">
        <v>25</v>
      </c>
      <c r="D553" s="25" t="s">
        <v>3948</v>
      </c>
      <c r="E553" s="25" t="s">
        <v>3956</v>
      </c>
      <c r="F553" s="25">
        <v>12.2</v>
      </c>
      <c r="G553" s="25" t="s">
        <v>1889</v>
      </c>
      <c r="H553" s="25">
        <f>3.52+3.75+2.56+2.66</f>
        <v>12.49</v>
      </c>
      <c r="I553" s="25">
        <f>3.52+3.75+2.56+2.66</f>
        <v>12.49</v>
      </c>
      <c r="J553" s="25" t="s">
        <v>1891</v>
      </c>
      <c r="K553" s="25" t="str">
        <f>VLOOKUP(E554,[1]PrelimAssignPOP!$I$1:$J$947,2,FALSE)</f>
        <v>HYB</v>
      </c>
      <c r="L553" s="25" t="s">
        <v>212</v>
      </c>
      <c r="M553" s="25" t="s">
        <v>201</v>
      </c>
      <c r="N553" s="25" t="s">
        <v>2419</v>
      </c>
    </row>
    <row r="554" spans="1:14" x14ac:dyDescent="0.55000000000000004">
      <c r="A554">
        <v>553</v>
      </c>
      <c r="B554" s="25" t="s">
        <v>30</v>
      </c>
      <c r="C554" s="25">
        <v>25</v>
      </c>
      <c r="D554" s="25" t="s">
        <v>3948</v>
      </c>
      <c r="E554" s="25" t="s">
        <v>3957</v>
      </c>
      <c r="F554" s="25">
        <v>14.51</v>
      </c>
      <c r="G554" s="25" t="s">
        <v>1889</v>
      </c>
      <c r="H554" s="25">
        <f>4.08+3.5+2.85+4.52</f>
        <v>14.95</v>
      </c>
      <c r="I554" s="25">
        <f>4.08+3.5+2.85+4.52</f>
        <v>14.95</v>
      </c>
      <c r="J554" s="25" t="s">
        <v>1891</v>
      </c>
      <c r="K554" s="25" t="str">
        <f>VLOOKUP(E555,[1]PrelimAssignPOP!$I$1:$J$947,2,FALSE)</f>
        <v>ART</v>
      </c>
      <c r="L554" s="25" t="s">
        <v>212</v>
      </c>
      <c r="M554" s="25" t="s">
        <v>202</v>
      </c>
      <c r="N554" s="25" t="s">
        <v>2420</v>
      </c>
    </row>
    <row r="555" spans="1:14" x14ac:dyDescent="0.55000000000000004">
      <c r="A555">
        <v>554</v>
      </c>
      <c r="B555" s="25" t="s">
        <v>30</v>
      </c>
      <c r="C555" s="25">
        <v>25</v>
      </c>
      <c r="D555" s="25" t="s">
        <v>3948</v>
      </c>
      <c r="E555" s="25" t="s">
        <v>3958</v>
      </c>
      <c r="F555" s="25">
        <v>10.6</v>
      </c>
      <c r="G555" s="25" t="s">
        <v>1889</v>
      </c>
      <c r="H555" s="25">
        <f>1.78+2.13+4.39+2.48</f>
        <v>10.780000000000001</v>
      </c>
      <c r="I555" s="25">
        <f>1.78+2.13+4.39+2.48</f>
        <v>10.780000000000001</v>
      </c>
      <c r="J555" s="25" t="s">
        <v>1891</v>
      </c>
      <c r="K555" s="25" t="str">
        <f>VLOOKUP(E556,[1]PrelimAssignPOP!$I$1:$J$947,2,FALSE)</f>
        <v>ART</v>
      </c>
      <c r="L555" s="25" t="s">
        <v>212</v>
      </c>
      <c r="M555" s="25" t="s">
        <v>203</v>
      </c>
      <c r="N555" s="25" t="s">
        <v>2421</v>
      </c>
    </row>
    <row r="556" spans="1:14" x14ac:dyDescent="0.55000000000000004">
      <c r="A556">
        <v>555</v>
      </c>
      <c r="B556" s="25" t="s">
        <v>30</v>
      </c>
      <c r="C556" s="25">
        <v>25</v>
      </c>
      <c r="D556" s="25" t="s">
        <v>3948</v>
      </c>
      <c r="E556" s="25" t="s">
        <v>3959</v>
      </c>
      <c r="F556" s="25">
        <v>11.46</v>
      </c>
      <c r="G556" s="25" t="s">
        <v>1889</v>
      </c>
      <c r="H556" s="25">
        <f>1.99+2.6+2.57+4.52</f>
        <v>11.68</v>
      </c>
      <c r="I556" s="25">
        <f>1.99+2.6+2.57+4.52</f>
        <v>11.68</v>
      </c>
      <c r="J556" s="25" t="s">
        <v>1891</v>
      </c>
      <c r="K556" s="25" t="str">
        <f>VLOOKUP(E557,[1]PrelimAssignPOP!$I$1:$J$947,2,FALSE)</f>
        <v>ART</v>
      </c>
      <c r="L556" s="25" t="s">
        <v>212</v>
      </c>
      <c r="M556" s="25" t="s">
        <v>204</v>
      </c>
      <c r="N556" s="25" t="s">
        <v>2422</v>
      </c>
    </row>
    <row r="557" spans="1:14" x14ac:dyDescent="0.55000000000000004">
      <c r="A557">
        <v>556</v>
      </c>
      <c r="B557" s="25" t="s">
        <v>30</v>
      </c>
      <c r="C557" s="25">
        <v>25</v>
      </c>
      <c r="D557" s="25" t="s">
        <v>3948</v>
      </c>
      <c r="E557" s="25" t="s">
        <v>3960</v>
      </c>
      <c r="F557" s="25">
        <v>11.51</v>
      </c>
      <c r="G557" s="25" t="s">
        <v>1889</v>
      </c>
      <c r="H557" s="25">
        <f>3.05+2.68+1.91+2.11+1.93</f>
        <v>11.68</v>
      </c>
      <c r="I557" s="25">
        <f>3.05+2.68+1.91+2.11+1.93</f>
        <v>11.68</v>
      </c>
      <c r="J557" s="25" t="s">
        <v>1891</v>
      </c>
      <c r="L557" s="25" t="s">
        <v>212</v>
      </c>
      <c r="M557" s="25" t="s">
        <v>205</v>
      </c>
      <c r="N557" s="25" t="s">
        <v>2423</v>
      </c>
    </row>
    <row r="558" spans="1:14" x14ac:dyDescent="0.55000000000000004">
      <c r="A558">
        <v>557</v>
      </c>
      <c r="B558" s="25" t="s">
        <v>30</v>
      </c>
      <c r="C558" s="25">
        <v>25</v>
      </c>
      <c r="D558" s="25" t="s">
        <v>3948</v>
      </c>
      <c r="E558" s="25" t="s">
        <v>3961</v>
      </c>
      <c r="F558" s="25">
        <v>10.02</v>
      </c>
      <c r="G558" s="25" t="s">
        <v>1889</v>
      </c>
      <c r="H558" s="25">
        <f>3.19+1.29+2.27+1.51+2.14</f>
        <v>10.4</v>
      </c>
      <c r="I558" s="25">
        <f>3.19+1.29+2.27+1.51+2.14</f>
        <v>10.4</v>
      </c>
      <c r="J558" s="25" t="s">
        <v>1891</v>
      </c>
      <c r="N558" s="25" t="s">
        <v>2424</v>
      </c>
    </row>
    <row r="559" spans="1:14" x14ac:dyDescent="0.55000000000000004">
      <c r="A559">
        <v>558</v>
      </c>
      <c r="B559" s="25" t="s">
        <v>30</v>
      </c>
      <c r="C559" s="25">
        <v>25</v>
      </c>
      <c r="D559" s="25" t="s">
        <v>3948</v>
      </c>
      <c r="E559" s="25" t="s">
        <v>3962</v>
      </c>
      <c r="F559" s="25">
        <v>10.95</v>
      </c>
      <c r="G559" s="25" t="s">
        <v>1889</v>
      </c>
      <c r="H559" s="25">
        <f>2.25+3.19+2.6+2.92</f>
        <v>10.959999999999999</v>
      </c>
      <c r="I559" s="25">
        <f>2.25+3.19+2.6+2.92</f>
        <v>10.959999999999999</v>
      </c>
      <c r="J559" s="25" t="s">
        <v>1891</v>
      </c>
      <c r="N559" s="25" t="s">
        <v>2425</v>
      </c>
    </row>
    <row r="560" spans="1:14" x14ac:dyDescent="0.55000000000000004">
      <c r="A560">
        <v>559</v>
      </c>
      <c r="B560" s="25" t="s">
        <v>30</v>
      </c>
      <c r="C560" s="25">
        <v>25</v>
      </c>
      <c r="D560" s="25" t="s">
        <v>3948</v>
      </c>
      <c r="E560" s="25" t="s">
        <v>3963</v>
      </c>
      <c r="F560" s="25">
        <v>11.34</v>
      </c>
      <c r="G560" s="25" t="s">
        <v>1889</v>
      </c>
      <c r="H560" s="25">
        <f>3.56+2.74+3.18+1.98</f>
        <v>11.46</v>
      </c>
      <c r="I560" s="25">
        <f>3.56+2.74+3.18+1.98</f>
        <v>11.46</v>
      </c>
      <c r="J560" s="25" t="s">
        <v>1891</v>
      </c>
      <c r="N560" s="25" t="s">
        <v>2426</v>
      </c>
    </row>
    <row r="561" spans="1:14" x14ac:dyDescent="0.55000000000000004">
      <c r="A561">
        <v>560</v>
      </c>
      <c r="B561" s="25" t="s">
        <v>30</v>
      </c>
      <c r="C561" s="25">
        <v>25</v>
      </c>
      <c r="D561" s="25" t="s">
        <v>3948</v>
      </c>
      <c r="E561" s="25" t="s">
        <v>3964</v>
      </c>
      <c r="F561" s="25">
        <v>11.7</v>
      </c>
      <c r="G561" s="25" t="s">
        <v>1889</v>
      </c>
      <c r="H561" s="25">
        <f>3.91+1.16+2.06+4.91</f>
        <v>12.040000000000001</v>
      </c>
      <c r="I561" s="25">
        <f>3.91+1.16+2.06+4.91</f>
        <v>12.040000000000001</v>
      </c>
      <c r="J561" s="25" t="s">
        <v>1891</v>
      </c>
      <c r="N561" s="25" t="s">
        <v>2427</v>
      </c>
    </row>
    <row r="562" spans="1:14" x14ac:dyDescent="0.55000000000000004">
      <c r="A562">
        <v>561</v>
      </c>
      <c r="B562" s="25" t="s">
        <v>30</v>
      </c>
      <c r="C562" s="25">
        <v>25</v>
      </c>
      <c r="D562" s="25" t="s">
        <v>3948</v>
      </c>
      <c r="E562" s="25" t="s">
        <v>3965</v>
      </c>
      <c r="F562" s="25">
        <v>11.91</v>
      </c>
      <c r="G562" s="25" t="s">
        <v>1889</v>
      </c>
      <c r="H562" s="25">
        <f>3.79+2.51+3.79+2.11</f>
        <v>12.2</v>
      </c>
      <c r="I562" s="25">
        <f>3.79+2.51+3.79+2.11</f>
        <v>12.2</v>
      </c>
      <c r="J562" s="25" t="s">
        <v>1891</v>
      </c>
      <c r="N562" s="25" t="s">
        <v>2428</v>
      </c>
    </row>
    <row r="563" spans="1:14" x14ac:dyDescent="0.55000000000000004">
      <c r="A563">
        <v>562</v>
      </c>
      <c r="B563" s="25" t="s">
        <v>30</v>
      </c>
      <c r="C563" s="25">
        <v>25</v>
      </c>
      <c r="D563" s="25" t="s">
        <v>3948</v>
      </c>
      <c r="E563" s="25" t="s">
        <v>3966</v>
      </c>
      <c r="F563" s="25">
        <v>11.76</v>
      </c>
      <c r="G563" s="25" t="s">
        <v>1889</v>
      </c>
      <c r="H563" s="25">
        <f>3.16+1.67+3.4+3.7</f>
        <v>11.93</v>
      </c>
      <c r="I563" s="25">
        <f>3.16+1.67+3.4+3.7</f>
        <v>11.93</v>
      </c>
      <c r="J563" s="25" t="s">
        <v>1891</v>
      </c>
      <c r="N563" s="25" t="s">
        <v>2429</v>
      </c>
    </row>
    <row r="564" spans="1:14" x14ac:dyDescent="0.55000000000000004">
      <c r="A564">
        <v>563</v>
      </c>
      <c r="B564" s="25" t="s">
        <v>30</v>
      </c>
      <c r="C564" s="25">
        <v>25</v>
      </c>
      <c r="D564" s="25" t="s">
        <v>3948</v>
      </c>
      <c r="E564" s="25" t="s">
        <v>3967</v>
      </c>
      <c r="F564" s="25">
        <v>12.72</v>
      </c>
      <c r="G564" s="25" t="s">
        <v>1889</v>
      </c>
      <c r="H564" s="25">
        <f>2.79+3.44+2.83+4.27</f>
        <v>13.33</v>
      </c>
      <c r="I564" s="25">
        <f>2.79+3.44+2.83+4.27</f>
        <v>13.33</v>
      </c>
      <c r="J564" s="25" t="s">
        <v>1891</v>
      </c>
      <c r="N564" s="25" t="s">
        <v>2430</v>
      </c>
    </row>
    <row r="565" spans="1:14" x14ac:dyDescent="0.55000000000000004">
      <c r="A565">
        <v>564</v>
      </c>
      <c r="B565" s="25" t="s">
        <v>30</v>
      </c>
      <c r="C565" s="25">
        <v>25</v>
      </c>
      <c r="D565" s="25" t="s">
        <v>3948</v>
      </c>
      <c r="E565" s="25" t="s">
        <v>3968</v>
      </c>
      <c r="F565" s="25">
        <v>14.75</v>
      </c>
      <c r="G565" s="25" t="s">
        <v>1889</v>
      </c>
      <c r="H565" s="25">
        <f>6.52+8.39</f>
        <v>14.91</v>
      </c>
      <c r="I565" s="25">
        <f>6.52+8.39</f>
        <v>14.91</v>
      </c>
      <c r="J565" s="25" t="s">
        <v>1891</v>
      </c>
      <c r="N565" s="25" t="s">
        <v>2431</v>
      </c>
    </row>
    <row r="566" spans="1:14" x14ac:dyDescent="0.55000000000000004">
      <c r="A566">
        <v>565</v>
      </c>
      <c r="B566" s="25" t="s">
        <v>30</v>
      </c>
      <c r="C566" s="25">
        <v>25</v>
      </c>
      <c r="D566" s="25" t="s">
        <v>3948</v>
      </c>
      <c r="E566" s="25" t="s">
        <v>3969</v>
      </c>
      <c r="F566" s="25">
        <v>11.3</v>
      </c>
      <c r="G566" s="25" t="s">
        <v>1889</v>
      </c>
      <c r="H566" s="25">
        <f>3.17+3.44+1.5+3.4</f>
        <v>11.51</v>
      </c>
      <c r="I566" s="25">
        <f>3.17+3.44+1.5+3.4</f>
        <v>11.51</v>
      </c>
      <c r="J566" s="25" t="s">
        <v>1891</v>
      </c>
      <c r="N566" s="25" t="s">
        <v>2432</v>
      </c>
    </row>
    <row r="567" spans="1:14" x14ac:dyDescent="0.55000000000000004">
      <c r="A567">
        <v>566</v>
      </c>
      <c r="B567" s="25" t="s">
        <v>30</v>
      </c>
      <c r="C567" s="25">
        <v>25</v>
      </c>
      <c r="D567" s="25" t="s">
        <v>3948</v>
      </c>
      <c r="E567" s="25" t="s">
        <v>3970</v>
      </c>
      <c r="F567" s="25">
        <v>11.04</v>
      </c>
      <c r="G567" s="25" t="s">
        <v>1889</v>
      </c>
      <c r="H567" s="25">
        <f>7.34+3.82</f>
        <v>11.16</v>
      </c>
      <c r="I567" s="25">
        <f>7.34+3.82</f>
        <v>11.16</v>
      </c>
      <c r="J567" s="25" t="s">
        <v>1891</v>
      </c>
      <c r="N567" s="25" t="s">
        <v>2433</v>
      </c>
    </row>
    <row r="568" spans="1:14" x14ac:dyDescent="0.55000000000000004">
      <c r="A568">
        <v>567</v>
      </c>
      <c r="B568" s="25" t="s">
        <v>30</v>
      </c>
      <c r="C568" s="25">
        <v>25</v>
      </c>
      <c r="D568" s="25" t="s">
        <v>3948</v>
      </c>
      <c r="E568" s="25" t="s">
        <v>3971</v>
      </c>
      <c r="F568" s="25">
        <v>12.12</v>
      </c>
      <c r="G568" s="25" t="s">
        <v>1889</v>
      </c>
      <c r="H568" s="25">
        <f>5.24+2.76+4.24</f>
        <v>12.24</v>
      </c>
      <c r="I568" s="25">
        <f>5.24+2.76+4.24</f>
        <v>12.24</v>
      </c>
      <c r="J568" s="25" t="s">
        <v>1891</v>
      </c>
      <c r="N568" s="25" t="s">
        <v>2434</v>
      </c>
    </row>
    <row r="569" spans="1:14" x14ac:dyDescent="0.55000000000000004">
      <c r="A569">
        <v>568</v>
      </c>
      <c r="B569" s="25" t="s">
        <v>30</v>
      </c>
      <c r="C569" s="25">
        <v>25</v>
      </c>
      <c r="D569" s="25" t="s">
        <v>3948</v>
      </c>
      <c r="E569" s="25" t="s">
        <v>3972</v>
      </c>
      <c r="F569" s="25">
        <v>11.39</v>
      </c>
      <c r="G569" s="25" t="s">
        <v>1889</v>
      </c>
      <c r="H569" s="25">
        <f>3.8+3.53+1.78+2.84</f>
        <v>11.95</v>
      </c>
      <c r="I569" s="25">
        <f>3.8+3.53+1.78+2.84</f>
        <v>11.95</v>
      </c>
      <c r="J569" s="25" t="s">
        <v>1891</v>
      </c>
      <c r="N569" s="25" t="s">
        <v>2435</v>
      </c>
    </row>
    <row r="570" spans="1:14" x14ac:dyDescent="0.55000000000000004">
      <c r="A570">
        <v>569</v>
      </c>
      <c r="B570" s="25" t="s">
        <v>30</v>
      </c>
      <c r="C570" s="25">
        <v>25</v>
      </c>
      <c r="D570" s="25" t="s">
        <v>3948</v>
      </c>
      <c r="E570" s="25" t="s">
        <v>3973</v>
      </c>
      <c r="F570" s="25">
        <v>19.649999999999999</v>
      </c>
      <c r="G570" s="25" t="s">
        <v>2113</v>
      </c>
      <c r="I570" s="25">
        <v>19.649999999999999</v>
      </c>
      <c r="J570" s="25" t="s">
        <v>110</v>
      </c>
      <c r="K570" s="25" t="str">
        <f>VLOOKUP(E571,[1]PrelimAssignPOP!$I$1:$J$947,2,FALSE)</f>
        <v>ART</v>
      </c>
    </row>
    <row r="571" spans="1:14" x14ac:dyDescent="0.55000000000000004">
      <c r="A571">
        <v>570</v>
      </c>
      <c r="B571" s="25" t="s">
        <v>31</v>
      </c>
      <c r="C571" s="25">
        <v>25</v>
      </c>
      <c r="D571" s="25" t="s">
        <v>3974</v>
      </c>
      <c r="E571" s="25" t="s">
        <v>3975</v>
      </c>
      <c r="F571" s="25">
        <v>11.48</v>
      </c>
      <c r="G571" s="25" t="s">
        <v>1889</v>
      </c>
      <c r="H571" s="25">
        <f>5.05+6.73</f>
        <v>11.780000000000001</v>
      </c>
      <c r="I571" s="25">
        <f>5.05+6.73</f>
        <v>11.780000000000001</v>
      </c>
      <c r="J571" s="25" t="s">
        <v>1891</v>
      </c>
      <c r="K571" s="25" t="str">
        <f>VLOOKUP(E572,[1]PrelimAssignPOP!$I$1:$J$947,2,FALSE)</f>
        <v>ART</v>
      </c>
      <c r="L571" s="25" t="s">
        <v>212</v>
      </c>
      <c r="M571" s="25" t="s">
        <v>206</v>
      </c>
      <c r="N571" s="25" t="s">
        <v>2436</v>
      </c>
    </row>
    <row r="572" spans="1:14" x14ac:dyDescent="0.55000000000000004">
      <c r="A572">
        <v>571</v>
      </c>
      <c r="B572" s="25" t="s">
        <v>31</v>
      </c>
      <c r="C572" s="25">
        <v>25</v>
      </c>
      <c r="D572" s="25" t="s">
        <v>3974</v>
      </c>
      <c r="E572" s="25" t="s">
        <v>3976</v>
      </c>
      <c r="F572" s="25">
        <v>11.55</v>
      </c>
      <c r="G572" s="25" t="s">
        <v>1889</v>
      </c>
      <c r="H572" s="25">
        <f>4.52+3.31+4.33</f>
        <v>12.16</v>
      </c>
      <c r="I572" s="25">
        <f>4.52+3.31+4.33</f>
        <v>12.16</v>
      </c>
      <c r="J572" s="25" t="s">
        <v>1891</v>
      </c>
      <c r="K572" s="25" t="str">
        <f>VLOOKUP(E573,[1]PrelimAssignPOP!$I$1:$J$947,2,FALSE)</f>
        <v>KIY</v>
      </c>
      <c r="L572" s="25" t="s">
        <v>212</v>
      </c>
      <c r="M572" s="25" t="s">
        <v>207</v>
      </c>
      <c r="N572" s="25" t="s">
        <v>2437</v>
      </c>
    </row>
    <row r="573" spans="1:14" x14ac:dyDescent="0.55000000000000004">
      <c r="A573">
        <v>572</v>
      </c>
      <c r="B573" s="25" t="s">
        <v>31</v>
      </c>
      <c r="C573" s="25">
        <v>25</v>
      </c>
      <c r="D573" s="25" t="s">
        <v>3974</v>
      </c>
      <c r="E573" s="25" t="s">
        <v>3977</v>
      </c>
      <c r="F573" s="25">
        <v>13.64</v>
      </c>
      <c r="G573" s="25" t="s">
        <v>1889</v>
      </c>
      <c r="H573" s="25">
        <f>3.29+2.05+2.36+1.77+5.37</f>
        <v>14.84</v>
      </c>
      <c r="I573" s="25">
        <f>3.29+2.05+2.36+1.77+5.37</f>
        <v>14.84</v>
      </c>
      <c r="J573" s="25" t="s">
        <v>1891</v>
      </c>
      <c r="K573" s="25" t="str">
        <f>VLOOKUP(E574,[1]PrelimAssignPOP!$I$1:$J$947,2,FALSE)</f>
        <v>ART</v>
      </c>
      <c r="L573" s="25" t="s">
        <v>212</v>
      </c>
      <c r="M573" s="25" t="s">
        <v>208</v>
      </c>
      <c r="N573" s="25" t="s">
        <v>2438</v>
      </c>
    </row>
    <row r="574" spans="1:14" x14ac:dyDescent="0.55000000000000004">
      <c r="A574">
        <v>573</v>
      </c>
      <c r="B574" s="25" t="s">
        <v>31</v>
      </c>
      <c r="C574" s="25">
        <v>25</v>
      </c>
      <c r="D574" s="25" t="s">
        <v>3974</v>
      </c>
      <c r="E574" s="25" t="s">
        <v>3978</v>
      </c>
      <c r="F574" s="25">
        <v>10.45</v>
      </c>
      <c r="G574" s="25" t="s">
        <v>1889</v>
      </c>
      <c r="H574" s="25">
        <f>2.89+6.01+2.05</f>
        <v>10.95</v>
      </c>
      <c r="I574" s="25">
        <f>2.89+6.01+2.05</f>
        <v>10.95</v>
      </c>
      <c r="J574" s="25" t="s">
        <v>1891</v>
      </c>
      <c r="K574" s="25" t="str">
        <f>VLOOKUP(E575,[1]PrelimAssignPOP!$I$1:$J$947,2,FALSE)</f>
        <v>ART</v>
      </c>
      <c r="L574" s="25" t="s">
        <v>212</v>
      </c>
      <c r="M574" s="25" t="s">
        <v>209</v>
      </c>
      <c r="N574" s="25" t="s">
        <v>2439</v>
      </c>
    </row>
    <row r="575" spans="1:14" x14ac:dyDescent="0.55000000000000004">
      <c r="A575">
        <v>574</v>
      </c>
      <c r="B575" s="25" t="s">
        <v>31</v>
      </c>
      <c r="C575" s="25">
        <v>25</v>
      </c>
      <c r="D575" s="25" t="s">
        <v>3974</v>
      </c>
      <c r="E575" s="25" t="s">
        <v>3979</v>
      </c>
      <c r="F575" s="25">
        <v>9.5500000000000007</v>
      </c>
      <c r="G575" s="25" t="s">
        <v>1889</v>
      </c>
      <c r="H575" s="25">
        <f>2.71+2.64+1.81+2.78</f>
        <v>9.94</v>
      </c>
      <c r="I575" s="25">
        <f>2.71+2.64+1.81+2.78</f>
        <v>9.94</v>
      </c>
      <c r="J575" s="25" t="s">
        <v>1891</v>
      </c>
      <c r="K575" s="25" t="str">
        <f>VLOOKUP(E576,[1]PrelimAssignPOP!$I$1:$J$947,2,FALSE)</f>
        <v>ART</v>
      </c>
      <c r="L575" s="25" t="s">
        <v>213</v>
      </c>
      <c r="M575" s="25" t="s">
        <v>114</v>
      </c>
      <c r="N575" s="25" t="s">
        <v>2440</v>
      </c>
    </row>
    <row r="576" spans="1:14" x14ac:dyDescent="0.55000000000000004">
      <c r="A576">
        <v>575</v>
      </c>
      <c r="B576" s="25" t="s">
        <v>31</v>
      </c>
      <c r="C576" s="25">
        <v>25</v>
      </c>
      <c r="D576" s="25" t="s">
        <v>3974</v>
      </c>
      <c r="E576" s="25" t="s">
        <v>3980</v>
      </c>
      <c r="F576" s="25">
        <v>10.16</v>
      </c>
      <c r="G576" s="25" t="s">
        <v>1889</v>
      </c>
      <c r="H576" s="25">
        <f>3.6+3.71+3.02</f>
        <v>10.33</v>
      </c>
      <c r="I576" s="25">
        <f>3.6+3.71+3.02</f>
        <v>10.33</v>
      </c>
      <c r="J576" s="25" t="s">
        <v>1891</v>
      </c>
      <c r="K576" s="25" t="str">
        <f>VLOOKUP(E577,[1]PrelimAssignPOP!$I$1:$J$947,2,FALSE)</f>
        <v>ART</v>
      </c>
      <c r="L576" s="25" t="s">
        <v>213</v>
      </c>
      <c r="M576" s="25" t="s">
        <v>122</v>
      </c>
      <c r="N576" s="25" t="s">
        <v>2441</v>
      </c>
    </row>
    <row r="577" spans="1:15" x14ac:dyDescent="0.55000000000000004">
      <c r="A577">
        <v>576</v>
      </c>
      <c r="B577" s="25" t="s">
        <v>31</v>
      </c>
      <c r="C577" s="25">
        <v>25</v>
      </c>
      <c r="D577" s="25" t="s">
        <v>3974</v>
      </c>
      <c r="E577" s="25" t="s">
        <v>3981</v>
      </c>
      <c r="F577" s="25">
        <v>11.32</v>
      </c>
      <c r="G577" s="25" t="s">
        <v>1889</v>
      </c>
      <c r="H577" s="25">
        <f>2.25+3.09+6.19</f>
        <v>11.530000000000001</v>
      </c>
      <c r="I577" s="25">
        <f>2.25+3.09+6.19</f>
        <v>11.530000000000001</v>
      </c>
      <c r="J577" s="25" t="s">
        <v>1891</v>
      </c>
      <c r="K577" s="25" t="str">
        <f>VLOOKUP(E578,[1]PrelimAssignPOP!$I$1:$J$947,2,FALSE)</f>
        <v>ART</v>
      </c>
      <c r="L577" s="25" t="s">
        <v>213</v>
      </c>
      <c r="M577" s="25" t="s">
        <v>123</v>
      </c>
      <c r="N577" s="25" t="s">
        <v>2442</v>
      </c>
    </row>
    <row r="578" spans="1:15" x14ac:dyDescent="0.55000000000000004">
      <c r="A578">
        <v>577</v>
      </c>
      <c r="B578" s="25" t="s">
        <v>31</v>
      </c>
      <c r="C578" s="25">
        <v>25</v>
      </c>
      <c r="D578" s="25" t="s">
        <v>3974</v>
      </c>
      <c r="E578" s="25" t="s">
        <v>3982</v>
      </c>
      <c r="F578" s="25">
        <v>12.11</v>
      </c>
      <c r="G578" s="25" t="s">
        <v>1889</v>
      </c>
      <c r="H578" s="25">
        <f>4.58+2.18+2.9+2.76</f>
        <v>12.42</v>
      </c>
      <c r="I578" s="25">
        <f>4.58+2.18+2.9+2.76</f>
        <v>12.42</v>
      </c>
      <c r="J578" s="25" t="s">
        <v>1891</v>
      </c>
      <c r="K578" s="25" t="str">
        <f>VLOOKUP(E579,[1]PrelimAssignPOP!$I$1:$J$947,2,FALSE)</f>
        <v>ART</v>
      </c>
      <c r="L578" s="25" t="s">
        <v>213</v>
      </c>
      <c r="M578" s="25" t="s">
        <v>124</v>
      </c>
      <c r="N578" s="25" t="s">
        <v>2443</v>
      </c>
    </row>
    <row r="579" spans="1:15" x14ac:dyDescent="0.55000000000000004">
      <c r="A579">
        <v>578</v>
      </c>
      <c r="B579" s="25" t="s">
        <v>31</v>
      </c>
      <c r="C579" s="25">
        <v>25</v>
      </c>
      <c r="D579" s="25" t="s">
        <v>3974</v>
      </c>
      <c r="E579" s="25" t="s">
        <v>3983</v>
      </c>
      <c r="F579" s="25">
        <v>12.13</v>
      </c>
      <c r="G579" s="25" t="s">
        <v>1889</v>
      </c>
      <c r="H579" s="25">
        <f>2.42+2.84+7.07</f>
        <v>12.33</v>
      </c>
      <c r="I579" s="25">
        <f>2.42+2.84+7.07</f>
        <v>12.33</v>
      </c>
      <c r="J579" s="25" t="s">
        <v>1891</v>
      </c>
      <c r="K579" s="25" t="str">
        <f>VLOOKUP(E580,[1]PrelimAssignPOP!$I$1:$J$947,2,FALSE)</f>
        <v>ART</v>
      </c>
      <c r="L579" s="25" t="s">
        <v>213</v>
      </c>
      <c r="M579" s="25" t="s">
        <v>125</v>
      </c>
      <c r="N579" s="25" t="s">
        <v>2444</v>
      </c>
    </row>
    <row r="580" spans="1:15" x14ac:dyDescent="0.55000000000000004">
      <c r="A580">
        <v>579</v>
      </c>
      <c r="B580" s="25" t="s">
        <v>31</v>
      </c>
      <c r="C580" s="25">
        <v>25</v>
      </c>
      <c r="D580" s="25" t="s">
        <v>3974</v>
      </c>
      <c r="E580" s="25" t="s">
        <v>3984</v>
      </c>
      <c r="F580" s="25">
        <v>11.26</v>
      </c>
      <c r="G580" s="25" t="s">
        <v>1889</v>
      </c>
      <c r="H580" s="25">
        <f>3.83+5.17+2.71</f>
        <v>11.71</v>
      </c>
      <c r="I580" s="25">
        <f>3.83+5.17+2.71</f>
        <v>11.71</v>
      </c>
      <c r="J580" s="25" t="s">
        <v>1891</v>
      </c>
      <c r="K580" s="25" t="str">
        <f>VLOOKUP(E581,[1]PrelimAssignPOP!$I$1:$J$947,2,FALSE)</f>
        <v>ART</v>
      </c>
      <c r="L580" s="25" t="s">
        <v>213</v>
      </c>
      <c r="M580" s="25" t="s">
        <v>126</v>
      </c>
      <c r="N580" s="25" t="s">
        <v>2445</v>
      </c>
    </row>
    <row r="581" spans="1:15" x14ac:dyDescent="0.55000000000000004">
      <c r="A581">
        <v>580</v>
      </c>
      <c r="B581" s="25" t="s">
        <v>31</v>
      </c>
      <c r="C581" s="25">
        <v>25</v>
      </c>
      <c r="D581" s="25" t="s">
        <v>3974</v>
      </c>
      <c r="E581" s="25" t="s">
        <v>3985</v>
      </c>
      <c r="F581" s="25">
        <v>10.15</v>
      </c>
      <c r="G581" s="25" t="s">
        <v>1889</v>
      </c>
      <c r="H581" s="25">
        <f>4.35+6.25</f>
        <v>10.6</v>
      </c>
      <c r="I581" s="25">
        <f>4.35+6.25</f>
        <v>10.6</v>
      </c>
      <c r="J581" s="25" t="s">
        <v>1891</v>
      </c>
      <c r="K581" s="25" t="str">
        <f>VLOOKUP(E582,[1]PrelimAssignPOP!$I$1:$J$947,2,FALSE)</f>
        <v>ART</v>
      </c>
      <c r="L581" s="25" t="s">
        <v>213</v>
      </c>
      <c r="M581" s="25" t="s">
        <v>127</v>
      </c>
      <c r="N581" s="25" t="s">
        <v>2446</v>
      </c>
    </row>
    <row r="582" spans="1:15" x14ac:dyDescent="0.55000000000000004">
      <c r="A582">
        <v>581</v>
      </c>
      <c r="B582" s="25" t="s">
        <v>31</v>
      </c>
      <c r="C582" s="25">
        <v>25</v>
      </c>
      <c r="D582" s="25" t="s">
        <v>3974</v>
      </c>
      <c r="E582" s="25" t="s">
        <v>3986</v>
      </c>
      <c r="F582" s="25">
        <v>11.08</v>
      </c>
      <c r="G582" s="25" t="s">
        <v>1889</v>
      </c>
      <c r="H582" s="25">
        <f>3.44+4.13+3.69</f>
        <v>11.26</v>
      </c>
      <c r="I582" s="25">
        <f>3.44+4.13+3.69</f>
        <v>11.26</v>
      </c>
      <c r="J582" s="25" t="s">
        <v>1891</v>
      </c>
      <c r="L582" s="25" t="s">
        <v>213</v>
      </c>
      <c r="M582" s="25" t="s">
        <v>128</v>
      </c>
      <c r="N582" s="25" t="s">
        <v>2447</v>
      </c>
    </row>
    <row r="583" spans="1:15" x14ac:dyDescent="0.55000000000000004">
      <c r="A583">
        <v>582</v>
      </c>
      <c r="B583" s="25" t="s">
        <v>31</v>
      </c>
      <c r="C583" s="25">
        <v>25</v>
      </c>
      <c r="D583" s="25" t="s">
        <v>3974</v>
      </c>
      <c r="E583" s="25" t="s">
        <v>3987</v>
      </c>
      <c r="F583" s="25">
        <v>10.94</v>
      </c>
      <c r="G583" s="25" t="s">
        <v>1889</v>
      </c>
      <c r="H583" s="25">
        <f>2.7+1.36+4.18+3.55</f>
        <v>11.79</v>
      </c>
      <c r="I583" s="25">
        <f>2.7+1.36+4.18+3.55</f>
        <v>11.79</v>
      </c>
      <c r="J583" s="25" t="s">
        <v>1891</v>
      </c>
      <c r="N583" s="25" t="s">
        <v>2448</v>
      </c>
    </row>
    <row r="584" spans="1:15" x14ac:dyDescent="0.55000000000000004">
      <c r="A584">
        <v>583</v>
      </c>
      <c r="B584" s="25" t="s">
        <v>31</v>
      </c>
      <c r="C584" s="25">
        <v>25</v>
      </c>
      <c r="D584" s="25" t="s">
        <v>3974</v>
      </c>
      <c r="E584" s="25" t="s">
        <v>3988</v>
      </c>
      <c r="F584" s="25">
        <v>10.65</v>
      </c>
      <c r="G584" s="25" t="s">
        <v>1889</v>
      </c>
      <c r="H584" s="25">
        <f>7.53+3.41</f>
        <v>10.940000000000001</v>
      </c>
      <c r="I584" s="25">
        <f>7.53+3.41</f>
        <v>10.940000000000001</v>
      </c>
      <c r="J584" s="25" t="s">
        <v>1891</v>
      </c>
      <c r="N584" s="25" t="s">
        <v>2449</v>
      </c>
    </row>
    <row r="585" spans="1:15" x14ac:dyDescent="0.55000000000000004">
      <c r="A585">
        <v>584</v>
      </c>
      <c r="B585" s="25" t="s">
        <v>31</v>
      </c>
      <c r="C585" s="25">
        <v>25</v>
      </c>
      <c r="D585" s="25" t="s">
        <v>3974</v>
      </c>
      <c r="E585" s="25" t="s">
        <v>3989</v>
      </c>
      <c r="F585" s="25">
        <v>9.76</v>
      </c>
      <c r="G585" s="25" t="s">
        <v>1889</v>
      </c>
      <c r="H585" s="26">
        <f>1.94+5.8+2.62</f>
        <v>10.36</v>
      </c>
      <c r="I585" s="26">
        <f>1.94+5.8+2.62</f>
        <v>10.36</v>
      </c>
      <c r="J585" s="25" t="s">
        <v>1891</v>
      </c>
      <c r="N585" s="25" t="s">
        <v>2450</v>
      </c>
    </row>
    <row r="586" spans="1:15" x14ac:dyDescent="0.55000000000000004">
      <c r="A586">
        <v>585</v>
      </c>
      <c r="B586" s="25" t="s">
        <v>31</v>
      </c>
      <c r="C586" s="25">
        <v>25</v>
      </c>
      <c r="D586" s="25" t="s">
        <v>3974</v>
      </c>
      <c r="E586" s="25" t="s">
        <v>3990</v>
      </c>
      <c r="F586" s="25">
        <v>9.86</v>
      </c>
      <c r="G586" s="25" t="s">
        <v>1889</v>
      </c>
      <c r="H586" s="26" t="s">
        <v>3625</v>
      </c>
      <c r="I586" s="26" t="s">
        <v>3625</v>
      </c>
      <c r="J586" s="25" t="s">
        <v>1891</v>
      </c>
      <c r="N586" s="25" t="s">
        <v>2451</v>
      </c>
      <c r="O586" s="18" t="s">
        <v>3991</v>
      </c>
    </row>
    <row r="587" spans="1:15" x14ac:dyDescent="0.55000000000000004">
      <c r="A587">
        <v>586</v>
      </c>
      <c r="B587" s="25" t="s">
        <v>31</v>
      </c>
      <c r="C587" s="25">
        <v>25</v>
      </c>
      <c r="D587" s="25" t="s">
        <v>3974</v>
      </c>
      <c r="E587" s="25" t="s">
        <v>3992</v>
      </c>
      <c r="F587" s="25">
        <v>10.86</v>
      </c>
      <c r="G587" s="25" t="s">
        <v>1889</v>
      </c>
      <c r="H587" s="25">
        <f>4.19+2.18+4.81</f>
        <v>11.18</v>
      </c>
      <c r="I587" s="25">
        <f>4.19+2.18+4.81</f>
        <v>11.18</v>
      </c>
      <c r="J587" s="25" t="s">
        <v>1891</v>
      </c>
      <c r="N587" s="25" t="s">
        <v>2452</v>
      </c>
    </row>
    <row r="588" spans="1:15" x14ac:dyDescent="0.55000000000000004">
      <c r="A588">
        <v>587</v>
      </c>
      <c r="B588" s="25" t="s">
        <v>31</v>
      </c>
      <c r="C588" s="25">
        <v>25</v>
      </c>
      <c r="D588" s="25" t="s">
        <v>3974</v>
      </c>
      <c r="E588" s="25" t="s">
        <v>3993</v>
      </c>
      <c r="F588" s="25">
        <v>11.15</v>
      </c>
      <c r="G588" s="25" t="s">
        <v>1889</v>
      </c>
      <c r="H588" s="25">
        <f>7.99+3.23</f>
        <v>11.22</v>
      </c>
      <c r="I588" s="25">
        <f>7.99+3.23</f>
        <v>11.22</v>
      </c>
      <c r="J588" s="25" t="s">
        <v>1891</v>
      </c>
      <c r="N588" s="25" t="s">
        <v>2453</v>
      </c>
    </row>
    <row r="589" spans="1:15" x14ac:dyDescent="0.55000000000000004">
      <c r="A589">
        <v>588</v>
      </c>
      <c r="B589" s="25" t="s">
        <v>31</v>
      </c>
      <c r="C589" s="25">
        <v>25</v>
      </c>
      <c r="D589" s="25" t="s">
        <v>3974</v>
      </c>
      <c r="E589" s="25" t="s">
        <v>3994</v>
      </c>
      <c r="F589" s="25">
        <v>10.220000000000001</v>
      </c>
      <c r="G589" s="25" t="s">
        <v>1889</v>
      </c>
      <c r="H589" s="25">
        <f>2.91+1.74+5.58</f>
        <v>10.23</v>
      </c>
      <c r="I589" s="25">
        <f>2.91+1.74+5.58</f>
        <v>10.23</v>
      </c>
      <c r="J589" s="25" t="s">
        <v>1891</v>
      </c>
      <c r="N589" s="25" t="s">
        <v>2454</v>
      </c>
    </row>
    <row r="590" spans="1:15" x14ac:dyDescent="0.55000000000000004">
      <c r="A590">
        <v>589</v>
      </c>
      <c r="B590" s="25" t="s">
        <v>31</v>
      </c>
      <c r="C590" s="25">
        <v>25</v>
      </c>
      <c r="D590" s="25" t="s">
        <v>3974</v>
      </c>
      <c r="E590" s="25" t="s">
        <v>3995</v>
      </c>
      <c r="F590" s="25">
        <v>11.68</v>
      </c>
      <c r="G590" s="25" t="s">
        <v>1889</v>
      </c>
      <c r="H590" s="25">
        <f>2.97+2.6+6.15</f>
        <v>11.72</v>
      </c>
      <c r="I590" s="25">
        <f>2.97+2.6+6.15</f>
        <v>11.72</v>
      </c>
      <c r="J590" s="25" t="s">
        <v>1891</v>
      </c>
      <c r="N590" s="25" t="s">
        <v>2455</v>
      </c>
    </row>
    <row r="591" spans="1:15" x14ac:dyDescent="0.55000000000000004">
      <c r="A591">
        <v>590</v>
      </c>
      <c r="B591" s="25" t="s">
        <v>31</v>
      </c>
      <c r="C591" s="25">
        <v>25</v>
      </c>
      <c r="D591" s="25" t="s">
        <v>3974</v>
      </c>
      <c r="E591" s="25" t="s">
        <v>3996</v>
      </c>
      <c r="F591" s="25">
        <v>10.78</v>
      </c>
      <c r="G591" s="25" t="s">
        <v>1889</v>
      </c>
      <c r="H591" s="25">
        <f>3.15+2.07+2.43+3.55</f>
        <v>11.2</v>
      </c>
      <c r="I591" s="25">
        <f>3.15+2.07+2.43+3.55</f>
        <v>11.2</v>
      </c>
      <c r="J591" s="25" t="s">
        <v>1891</v>
      </c>
      <c r="N591" s="25" t="s">
        <v>2456</v>
      </c>
    </row>
    <row r="592" spans="1:15" x14ac:dyDescent="0.55000000000000004">
      <c r="A592">
        <v>591</v>
      </c>
      <c r="B592" s="25" t="s">
        <v>31</v>
      </c>
      <c r="C592" s="25">
        <v>25</v>
      </c>
      <c r="D592" s="25" t="s">
        <v>3974</v>
      </c>
      <c r="E592" s="25" t="s">
        <v>3997</v>
      </c>
      <c r="F592" s="25">
        <v>13.07</v>
      </c>
      <c r="G592" s="25" t="s">
        <v>1889</v>
      </c>
      <c r="H592" s="25">
        <f>3.57+4.36+5.06</f>
        <v>12.989999999999998</v>
      </c>
      <c r="I592" s="25">
        <f>3.57+4.36+5.06</f>
        <v>12.989999999999998</v>
      </c>
      <c r="J592" s="25" t="s">
        <v>1891</v>
      </c>
      <c r="N592" s="25" t="s">
        <v>2457</v>
      </c>
    </row>
    <row r="593" spans="1:14" x14ac:dyDescent="0.55000000000000004">
      <c r="A593">
        <v>592</v>
      </c>
      <c r="B593" s="25" t="s">
        <v>31</v>
      </c>
      <c r="C593" s="25">
        <v>25</v>
      </c>
      <c r="D593" s="25" t="s">
        <v>3974</v>
      </c>
      <c r="E593" s="25" t="s">
        <v>3998</v>
      </c>
      <c r="F593" s="25">
        <v>10.210000000000001</v>
      </c>
      <c r="G593" s="25" t="s">
        <v>1889</v>
      </c>
      <c r="H593" s="25">
        <f>7.69+2.55</f>
        <v>10.24</v>
      </c>
      <c r="I593" s="25">
        <f>7.69+2.55</f>
        <v>10.24</v>
      </c>
      <c r="J593" s="25" t="s">
        <v>1891</v>
      </c>
      <c r="N593" s="25" t="s">
        <v>2458</v>
      </c>
    </row>
    <row r="594" spans="1:14" x14ac:dyDescent="0.55000000000000004">
      <c r="A594">
        <v>593</v>
      </c>
      <c r="B594" s="25" t="s">
        <v>31</v>
      </c>
      <c r="C594" s="25">
        <v>25</v>
      </c>
      <c r="D594" s="25" t="s">
        <v>3974</v>
      </c>
      <c r="E594" s="25" t="s">
        <v>3999</v>
      </c>
      <c r="F594" s="25">
        <v>12.38</v>
      </c>
      <c r="G594" s="25" t="s">
        <v>1889</v>
      </c>
      <c r="H594" s="25">
        <f>3.23+5.8+3.83</f>
        <v>12.86</v>
      </c>
      <c r="I594" s="25">
        <f>3.23+5.8+3.83</f>
        <v>12.86</v>
      </c>
      <c r="J594" s="25" t="s">
        <v>1891</v>
      </c>
      <c r="N594" s="25" t="s">
        <v>2459</v>
      </c>
    </row>
    <row r="595" spans="1:14" x14ac:dyDescent="0.55000000000000004">
      <c r="A595">
        <v>594</v>
      </c>
      <c r="B595" s="25" t="s">
        <v>31</v>
      </c>
      <c r="C595" s="25">
        <v>25</v>
      </c>
      <c r="D595" s="25" t="s">
        <v>3974</v>
      </c>
      <c r="E595" s="25" t="s">
        <v>4000</v>
      </c>
      <c r="F595" s="25">
        <v>10.26</v>
      </c>
      <c r="G595" s="25" t="s">
        <v>1889</v>
      </c>
      <c r="H595" s="25">
        <f>2.43+2.93+2.36+2.9</f>
        <v>10.620000000000001</v>
      </c>
      <c r="I595" s="25">
        <f>2.43+2.93+2.36+2.9</f>
        <v>10.620000000000001</v>
      </c>
      <c r="J595" s="25" t="s">
        <v>1891</v>
      </c>
      <c r="K595" s="25" t="str">
        <f>VLOOKUP(E596,[1]PrelimAssignPOP!$I$1:$J$947,2,FALSE)</f>
        <v>ART</v>
      </c>
      <c r="N595" s="25" t="s">
        <v>2460</v>
      </c>
    </row>
    <row r="596" spans="1:14" x14ac:dyDescent="0.55000000000000004">
      <c r="A596">
        <v>595</v>
      </c>
      <c r="B596" s="25" t="s">
        <v>32</v>
      </c>
      <c r="C596" s="25">
        <v>25</v>
      </c>
      <c r="D596" s="25" t="s">
        <v>4001</v>
      </c>
      <c r="E596" s="25" t="s">
        <v>4002</v>
      </c>
      <c r="F596" s="25">
        <v>11.3</v>
      </c>
      <c r="G596" s="25" t="s">
        <v>1889</v>
      </c>
      <c r="H596" s="25">
        <f>2.89+5.8+3.17</f>
        <v>11.86</v>
      </c>
      <c r="I596" s="25">
        <f>2.89+5.8+3.17</f>
        <v>11.86</v>
      </c>
      <c r="J596" s="25" t="s">
        <v>1891</v>
      </c>
      <c r="K596" s="25" t="str">
        <f>VLOOKUP(E597,[1]PrelimAssignPOP!$I$1:$J$947,2,FALSE)</f>
        <v>ART</v>
      </c>
      <c r="L596" s="25" t="s">
        <v>213</v>
      </c>
      <c r="M596" s="25" t="s">
        <v>129</v>
      </c>
      <c r="N596" s="25" t="s">
        <v>2461</v>
      </c>
    </row>
    <row r="597" spans="1:14" x14ac:dyDescent="0.55000000000000004">
      <c r="A597">
        <v>596</v>
      </c>
      <c r="B597" s="25" t="s">
        <v>32</v>
      </c>
      <c r="C597" s="25">
        <v>25</v>
      </c>
      <c r="D597" s="25" t="s">
        <v>4001</v>
      </c>
      <c r="E597" s="25" t="s">
        <v>4003</v>
      </c>
      <c r="F597" s="25">
        <v>13.8</v>
      </c>
      <c r="G597" s="25" t="s">
        <v>1889</v>
      </c>
      <c r="H597" s="25">
        <f>8.33+2.37+3.39</f>
        <v>14.09</v>
      </c>
      <c r="I597" s="25">
        <f>8.33+2.37+3.39</f>
        <v>14.09</v>
      </c>
      <c r="J597" s="25" t="s">
        <v>1891</v>
      </c>
      <c r="K597" s="25" t="str">
        <f>VLOOKUP(E598,[1]PrelimAssignPOP!$I$1:$J$947,2,FALSE)</f>
        <v>ART</v>
      </c>
      <c r="L597" s="25" t="s">
        <v>213</v>
      </c>
      <c r="M597" s="25" t="s">
        <v>130</v>
      </c>
      <c r="N597" s="25" t="s">
        <v>2462</v>
      </c>
    </row>
    <row r="598" spans="1:14" x14ac:dyDescent="0.55000000000000004">
      <c r="A598">
        <v>597</v>
      </c>
      <c r="B598" s="25" t="s">
        <v>32</v>
      </c>
      <c r="C598" s="25">
        <v>25</v>
      </c>
      <c r="D598" s="25" t="s">
        <v>4001</v>
      </c>
      <c r="E598" s="25" t="s">
        <v>4004</v>
      </c>
      <c r="F598" s="25">
        <v>10.56</v>
      </c>
      <c r="G598" s="25" t="s">
        <v>1889</v>
      </c>
      <c r="H598" s="25">
        <f>7.02+3.69</f>
        <v>10.709999999999999</v>
      </c>
      <c r="I598" s="25">
        <f>7.02+3.69</f>
        <v>10.709999999999999</v>
      </c>
      <c r="J598" s="25" t="s">
        <v>1891</v>
      </c>
      <c r="K598" s="25" t="str">
        <f>VLOOKUP(E599,[1]PrelimAssignPOP!$I$1:$J$947,2,FALSE)</f>
        <v>ART</v>
      </c>
      <c r="L598" s="25" t="s">
        <v>213</v>
      </c>
      <c r="M598" s="25" t="s">
        <v>131</v>
      </c>
      <c r="N598" s="25" t="s">
        <v>2463</v>
      </c>
    </row>
    <row r="599" spans="1:14" x14ac:dyDescent="0.55000000000000004">
      <c r="A599">
        <v>598</v>
      </c>
      <c r="B599" s="25" t="s">
        <v>32</v>
      </c>
      <c r="C599" s="25">
        <v>25</v>
      </c>
      <c r="D599" s="25" t="s">
        <v>4001</v>
      </c>
      <c r="E599" s="25" t="s">
        <v>4005</v>
      </c>
      <c r="F599" s="25">
        <v>12.7</v>
      </c>
      <c r="G599" s="25" t="s">
        <v>1889</v>
      </c>
      <c r="H599" s="25">
        <f>1.37+2.11+2.66+6.85</f>
        <v>12.99</v>
      </c>
      <c r="I599" s="25">
        <f>1.37+2.11+2.66+6.85</f>
        <v>12.99</v>
      </c>
      <c r="J599" s="25" t="s">
        <v>1891</v>
      </c>
      <c r="K599" s="25" t="str">
        <f>VLOOKUP(E600,[1]PrelimAssignPOP!$I$1:$J$947,2,FALSE)</f>
        <v>ART</v>
      </c>
      <c r="L599" s="25" t="s">
        <v>213</v>
      </c>
      <c r="M599" s="25" t="s">
        <v>132</v>
      </c>
      <c r="N599" s="25" t="s">
        <v>2464</v>
      </c>
    </row>
    <row r="600" spans="1:14" x14ac:dyDescent="0.55000000000000004">
      <c r="A600">
        <v>599</v>
      </c>
      <c r="B600" s="25" t="s">
        <v>32</v>
      </c>
      <c r="C600" s="25">
        <v>25</v>
      </c>
      <c r="D600" s="25" t="s">
        <v>4001</v>
      </c>
      <c r="E600" s="25" t="s">
        <v>4006</v>
      </c>
      <c r="F600" s="25">
        <v>12.14</v>
      </c>
      <c r="G600" s="25" t="s">
        <v>1889</v>
      </c>
      <c r="H600" s="25">
        <f>3.22+9.04</f>
        <v>12.26</v>
      </c>
      <c r="I600" s="25">
        <f>3.22+9.04</f>
        <v>12.26</v>
      </c>
      <c r="J600" s="25" t="s">
        <v>1891</v>
      </c>
      <c r="K600" s="25" t="str">
        <f>VLOOKUP(E601,[1]PrelimAssignPOP!$I$1:$J$947,2,FALSE)</f>
        <v>ART</v>
      </c>
      <c r="L600" s="25" t="s">
        <v>213</v>
      </c>
      <c r="M600" s="25" t="s">
        <v>115</v>
      </c>
      <c r="N600" s="25" t="s">
        <v>2465</v>
      </c>
    </row>
    <row r="601" spans="1:14" x14ac:dyDescent="0.55000000000000004">
      <c r="A601">
        <v>600</v>
      </c>
      <c r="B601" s="25" t="s">
        <v>32</v>
      </c>
      <c r="C601" s="25">
        <v>25</v>
      </c>
      <c r="D601" s="25" t="s">
        <v>4001</v>
      </c>
      <c r="E601" s="25" t="s">
        <v>4007</v>
      </c>
      <c r="F601" s="25">
        <v>15.49</v>
      </c>
      <c r="G601" s="25" t="s">
        <v>1889</v>
      </c>
      <c r="H601" s="25">
        <f>1.39+1.63+3.32+9.08</f>
        <v>15.42</v>
      </c>
      <c r="I601" s="25">
        <f>1.39+1.63+3.32+9.08</f>
        <v>15.42</v>
      </c>
      <c r="J601" s="25" t="s">
        <v>1891</v>
      </c>
      <c r="K601" s="25" t="str">
        <f>VLOOKUP(E602,[1]PrelimAssignPOP!$I$1:$J$947,2,FALSE)</f>
        <v>ART</v>
      </c>
      <c r="L601" s="25" t="s">
        <v>213</v>
      </c>
      <c r="M601" s="25" t="s">
        <v>133</v>
      </c>
      <c r="N601" s="25" t="s">
        <v>2466</v>
      </c>
    </row>
    <row r="602" spans="1:14" x14ac:dyDescent="0.55000000000000004">
      <c r="A602">
        <v>601</v>
      </c>
      <c r="B602" s="25" t="s">
        <v>32</v>
      </c>
      <c r="C602" s="25">
        <v>25</v>
      </c>
      <c r="D602" s="25" t="s">
        <v>4001</v>
      </c>
      <c r="E602" s="25" t="s">
        <v>4008</v>
      </c>
      <c r="F602" s="25">
        <v>12.11</v>
      </c>
      <c r="G602" s="25" t="s">
        <v>1889</v>
      </c>
      <c r="H602" s="25">
        <f>2.47+1.55+3.26+5.07</f>
        <v>12.350000000000001</v>
      </c>
      <c r="I602" s="25">
        <f>2.47+1.55+3.26+5.07</f>
        <v>12.350000000000001</v>
      </c>
      <c r="J602" s="25" t="s">
        <v>1891</v>
      </c>
      <c r="K602" s="25" t="str">
        <f>VLOOKUP(E603,[1]PrelimAssignPOP!$I$1:$J$947,2,FALSE)</f>
        <v>ART</v>
      </c>
      <c r="L602" s="25" t="s">
        <v>213</v>
      </c>
      <c r="M602" s="25" t="s">
        <v>134</v>
      </c>
      <c r="N602" s="25" t="s">
        <v>2467</v>
      </c>
    </row>
    <row r="603" spans="1:14" x14ac:dyDescent="0.55000000000000004">
      <c r="A603">
        <v>602</v>
      </c>
      <c r="B603" s="25" t="s">
        <v>32</v>
      </c>
      <c r="C603" s="25">
        <v>25</v>
      </c>
      <c r="D603" s="25" t="s">
        <v>4001</v>
      </c>
      <c r="E603" s="25" t="s">
        <v>4009</v>
      </c>
      <c r="F603" s="25">
        <v>11.68</v>
      </c>
      <c r="G603" s="25" t="s">
        <v>1889</v>
      </c>
      <c r="H603" s="25">
        <f>4.5+3.94+3.59</f>
        <v>12.03</v>
      </c>
      <c r="I603" s="25">
        <f>4.5+3.94+3.59</f>
        <v>12.03</v>
      </c>
      <c r="J603" s="25" t="s">
        <v>1891</v>
      </c>
      <c r="K603" s="25" t="str">
        <f>VLOOKUP(E604,[1]PrelimAssignPOP!$I$1:$J$947,2,FALSE)</f>
        <v>ART</v>
      </c>
      <c r="L603" s="25" t="s">
        <v>213</v>
      </c>
      <c r="M603" s="25" t="s">
        <v>135</v>
      </c>
      <c r="N603" s="25" t="s">
        <v>2468</v>
      </c>
    </row>
    <row r="604" spans="1:14" x14ac:dyDescent="0.55000000000000004">
      <c r="A604">
        <v>603</v>
      </c>
      <c r="B604" s="25" t="s">
        <v>32</v>
      </c>
      <c r="C604" s="25">
        <v>25</v>
      </c>
      <c r="D604" s="25" t="s">
        <v>4001</v>
      </c>
      <c r="E604" s="25" t="s">
        <v>4010</v>
      </c>
      <c r="F604" s="25">
        <v>10.95</v>
      </c>
      <c r="G604" s="25" t="s">
        <v>1889</v>
      </c>
      <c r="H604" s="25">
        <f>2.82+1.95+3.47+3.37</f>
        <v>11.61</v>
      </c>
      <c r="I604" s="25">
        <f>2.82+1.95+3.47+3.37</f>
        <v>11.61</v>
      </c>
      <c r="J604" s="25" t="s">
        <v>1891</v>
      </c>
      <c r="K604" s="25" t="str">
        <f>VLOOKUP(E605,[1]PrelimAssignPOP!$I$1:$J$947,2,FALSE)</f>
        <v>ART</v>
      </c>
      <c r="L604" s="25" t="s">
        <v>213</v>
      </c>
      <c r="M604" s="25" t="s">
        <v>136</v>
      </c>
      <c r="N604" s="25" t="s">
        <v>2469</v>
      </c>
    </row>
    <row r="605" spans="1:14" x14ac:dyDescent="0.55000000000000004">
      <c r="A605">
        <v>604</v>
      </c>
      <c r="B605" s="25" t="s">
        <v>32</v>
      </c>
      <c r="C605" s="25">
        <v>25</v>
      </c>
      <c r="D605" s="25" t="s">
        <v>4001</v>
      </c>
      <c r="E605" s="25" t="s">
        <v>4011</v>
      </c>
      <c r="F605" s="25">
        <v>13.09</v>
      </c>
      <c r="G605" s="25" t="s">
        <v>1889</v>
      </c>
      <c r="H605" s="25">
        <f>4.7+4.05+4.42</f>
        <v>13.17</v>
      </c>
      <c r="I605" s="25">
        <f>4.7+4.05+4.42</f>
        <v>13.17</v>
      </c>
      <c r="J605" s="25" t="s">
        <v>1891</v>
      </c>
      <c r="K605" s="25" t="str">
        <f>VLOOKUP(E606,[1]PrelimAssignPOP!$I$1:$J$947,2,FALSE)</f>
        <v>ART</v>
      </c>
      <c r="L605" s="25" t="s">
        <v>213</v>
      </c>
      <c r="M605" s="25" t="s">
        <v>137</v>
      </c>
      <c r="N605" s="25" t="s">
        <v>2470</v>
      </c>
    </row>
    <row r="606" spans="1:14" x14ac:dyDescent="0.55000000000000004">
      <c r="A606">
        <v>605</v>
      </c>
      <c r="B606" s="25" t="s">
        <v>32</v>
      </c>
      <c r="C606" s="25">
        <v>25</v>
      </c>
      <c r="D606" s="25" t="s">
        <v>4001</v>
      </c>
      <c r="E606" s="25" t="s">
        <v>4012</v>
      </c>
      <c r="F606" s="25">
        <v>10.26</v>
      </c>
      <c r="G606" s="25" t="s">
        <v>1889</v>
      </c>
      <c r="H606" s="25">
        <f>3.63+1.93+2.41+2.49</f>
        <v>10.46</v>
      </c>
      <c r="I606" s="25">
        <f>3.63+1.93+2.41+2.49</f>
        <v>10.46</v>
      </c>
      <c r="J606" s="25" t="s">
        <v>1891</v>
      </c>
      <c r="K606" s="25" t="str">
        <f>VLOOKUP(E607,[1]PrelimAssignPOP!$I$1:$J$947,2,FALSE)</f>
        <v>ART</v>
      </c>
      <c r="L606" s="25" t="s">
        <v>213</v>
      </c>
      <c r="M606" s="25" t="s">
        <v>138</v>
      </c>
      <c r="N606" s="25" t="s">
        <v>2471</v>
      </c>
    </row>
    <row r="607" spans="1:14" x14ac:dyDescent="0.55000000000000004">
      <c r="A607">
        <v>606</v>
      </c>
      <c r="B607" s="25" t="s">
        <v>32</v>
      </c>
      <c r="C607" s="25">
        <v>25</v>
      </c>
      <c r="D607" s="25" t="s">
        <v>4001</v>
      </c>
      <c r="E607" s="25" t="s">
        <v>4013</v>
      </c>
      <c r="F607" s="25">
        <v>12.22</v>
      </c>
      <c r="G607" s="25" t="s">
        <v>1889</v>
      </c>
      <c r="H607" s="25">
        <f>4.82+1.63+2.29+3.71</f>
        <v>12.45</v>
      </c>
      <c r="I607" s="25">
        <f>4.82+1.63+2.29+3.71</f>
        <v>12.45</v>
      </c>
      <c r="J607" s="25" t="s">
        <v>1891</v>
      </c>
      <c r="L607" s="25" t="s">
        <v>213</v>
      </c>
      <c r="M607" s="25" t="s">
        <v>139</v>
      </c>
      <c r="N607" s="25" t="s">
        <v>2472</v>
      </c>
    </row>
    <row r="608" spans="1:14" x14ac:dyDescent="0.55000000000000004">
      <c r="A608">
        <v>607</v>
      </c>
      <c r="B608" s="25" t="s">
        <v>32</v>
      </c>
      <c r="C608" s="25">
        <v>25</v>
      </c>
      <c r="D608" s="25" t="s">
        <v>4001</v>
      </c>
      <c r="E608" s="25" t="s">
        <v>4014</v>
      </c>
      <c r="F608" s="25">
        <v>12.34</v>
      </c>
      <c r="G608" s="25" t="s">
        <v>1889</v>
      </c>
      <c r="H608" s="25">
        <f>6.44+3.27+2.66</f>
        <v>12.370000000000001</v>
      </c>
      <c r="I608" s="25">
        <f>6.44+3.27+2.66</f>
        <v>12.370000000000001</v>
      </c>
      <c r="J608" s="25" t="s">
        <v>1891</v>
      </c>
      <c r="N608" s="25" t="s">
        <v>2473</v>
      </c>
    </row>
    <row r="609" spans="1:14" x14ac:dyDescent="0.55000000000000004">
      <c r="A609">
        <v>608</v>
      </c>
      <c r="B609" s="25" t="s">
        <v>32</v>
      </c>
      <c r="C609" s="25">
        <v>25</v>
      </c>
      <c r="D609" s="25" t="s">
        <v>4001</v>
      </c>
      <c r="E609" s="25" t="s">
        <v>4015</v>
      </c>
      <c r="F609" s="25">
        <v>13.23</v>
      </c>
      <c r="G609" s="25" t="s">
        <v>1889</v>
      </c>
      <c r="H609" s="25">
        <f>3.81+5.93+3.8</f>
        <v>13.54</v>
      </c>
      <c r="I609" s="25">
        <f>3.81+5.93+3.8</f>
        <v>13.54</v>
      </c>
      <c r="J609" s="25" t="s">
        <v>1891</v>
      </c>
      <c r="N609" s="25" t="s">
        <v>2474</v>
      </c>
    </row>
    <row r="610" spans="1:14" x14ac:dyDescent="0.55000000000000004">
      <c r="A610">
        <v>609</v>
      </c>
      <c r="B610" s="25" t="s">
        <v>32</v>
      </c>
      <c r="C610" s="25">
        <v>25</v>
      </c>
      <c r="D610" s="25" t="s">
        <v>4001</v>
      </c>
      <c r="E610" s="25" t="s">
        <v>4016</v>
      </c>
      <c r="F610" s="25">
        <v>14.19</v>
      </c>
      <c r="G610" s="25" t="s">
        <v>1889</v>
      </c>
      <c r="H610" s="25">
        <f>4.61+9.75</f>
        <v>14.36</v>
      </c>
      <c r="I610" s="25">
        <f>4.61+9.75</f>
        <v>14.36</v>
      </c>
      <c r="J610" s="25" t="s">
        <v>1891</v>
      </c>
      <c r="N610" s="25" t="s">
        <v>2475</v>
      </c>
    </row>
    <row r="611" spans="1:14" x14ac:dyDescent="0.55000000000000004">
      <c r="A611">
        <v>610</v>
      </c>
      <c r="B611" s="25" t="s">
        <v>32</v>
      </c>
      <c r="C611" s="25">
        <v>25</v>
      </c>
      <c r="D611" s="25" t="s">
        <v>4001</v>
      </c>
      <c r="E611" s="25" t="s">
        <v>4017</v>
      </c>
      <c r="F611" s="25">
        <v>13.55</v>
      </c>
      <c r="G611" s="25" t="s">
        <v>1889</v>
      </c>
      <c r="H611" s="25">
        <f>5.21+5.04+3.65</f>
        <v>13.9</v>
      </c>
      <c r="I611" s="25">
        <f>5.21+5.04+3.65</f>
        <v>13.9</v>
      </c>
      <c r="J611" s="25" t="s">
        <v>1891</v>
      </c>
      <c r="N611" s="25" t="s">
        <v>2476</v>
      </c>
    </row>
    <row r="612" spans="1:14" x14ac:dyDescent="0.55000000000000004">
      <c r="A612">
        <v>611</v>
      </c>
      <c r="B612" s="25" t="s">
        <v>32</v>
      </c>
      <c r="C612" s="25">
        <v>25</v>
      </c>
      <c r="D612" s="25" t="s">
        <v>4001</v>
      </c>
      <c r="E612" s="25" t="s">
        <v>4018</v>
      </c>
      <c r="F612" s="25">
        <v>14.09</v>
      </c>
      <c r="G612" s="25" t="s">
        <v>1889</v>
      </c>
      <c r="H612" s="25">
        <f>3.22+1.67+2.81+3.14+3.86</f>
        <v>14.700000000000001</v>
      </c>
      <c r="I612" s="25">
        <f>3.22+1.67+2.81+3.14+3.86</f>
        <v>14.700000000000001</v>
      </c>
      <c r="J612" s="25" t="s">
        <v>1891</v>
      </c>
      <c r="N612" s="25" t="s">
        <v>2477</v>
      </c>
    </row>
    <row r="613" spans="1:14" x14ac:dyDescent="0.55000000000000004">
      <c r="A613">
        <v>612</v>
      </c>
      <c r="B613" s="25" t="s">
        <v>32</v>
      </c>
      <c r="C613" s="25">
        <v>25</v>
      </c>
      <c r="D613" s="25" t="s">
        <v>4001</v>
      </c>
      <c r="E613" s="25" t="s">
        <v>4019</v>
      </c>
      <c r="F613" s="25">
        <v>13.16</v>
      </c>
      <c r="G613" s="25" t="s">
        <v>1889</v>
      </c>
      <c r="H613" s="25">
        <f>1.39+2.52+4.08+1.71+3.72</f>
        <v>13.42</v>
      </c>
      <c r="I613" s="25">
        <f>1.39+2.52+4.08+1.71+3.72</f>
        <v>13.42</v>
      </c>
      <c r="J613" s="25" t="s">
        <v>1891</v>
      </c>
      <c r="N613" s="25" t="s">
        <v>2478</v>
      </c>
    </row>
    <row r="614" spans="1:14" x14ac:dyDescent="0.55000000000000004">
      <c r="A614">
        <v>613</v>
      </c>
      <c r="B614" s="25" t="s">
        <v>32</v>
      </c>
      <c r="C614" s="25">
        <v>25</v>
      </c>
      <c r="D614" s="25" t="s">
        <v>4001</v>
      </c>
      <c r="E614" s="25" t="s">
        <v>4020</v>
      </c>
      <c r="F614" s="25">
        <v>11.86</v>
      </c>
      <c r="G614" s="25" t="s">
        <v>1889</v>
      </c>
      <c r="H614" s="25">
        <f>3.46+4.47+4.24</f>
        <v>12.17</v>
      </c>
      <c r="I614" s="25">
        <f>3.46+4.47+4.24</f>
        <v>12.17</v>
      </c>
      <c r="J614" s="25" t="s">
        <v>1891</v>
      </c>
      <c r="N614" s="25" t="s">
        <v>2479</v>
      </c>
    </row>
    <row r="615" spans="1:14" x14ac:dyDescent="0.55000000000000004">
      <c r="A615">
        <v>614</v>
      </c>
      <c r="B615" s="25" t="s">
        <v>32</v>
      </c>
      <c r="C615" s="25">
        <v>25</v>
      </c>
      <c r="D615" s="25" t="s">
        <v>4001</v>
      </c>
      <c r="E615" s="25" t="s">
        <v>4021</v>
      </c>
      <c r="F615" s="25">
        <v>14.5</v>
      </c>
      <c r="G615" s="25" t="s">
        <v>1889</v>
      </c>
      <c r="H615" s="25">
        <f>11.93+3.21</f>
        <v>15.14</v>
      </c>
      <c r="I615" s="25">
        <f>11.93+3.21</f>
        <v>15.14</v>
      </c>
      <c r="J615" s="25" t="s">
        <v>1891</v>
      </c>
      <c r="N615" s="25" t="s">
        <v>2480</v>
      </c>
    </row>
    <row r="616" spans="1:14" x14ac:dyDescent="0.55000000000000004">
      <c r="A616">
        <v>615</v>
      </c>
      <c r="B616" s="25" t="s">
        <v>32</v>
      </c>
      <c r="C616" s="25">
        <v>25</v>
      </c>
      <c r="D616" s="25" t="s">
        <v>4001</v>
      </c>
      <c r="E616" s="25" t="s">
        <v>4022</v>
      </c>
      <c r="F616" s="25">
        <v>12.29</v>
      </c>
      <c r="G616" s="25" t="s">
        <v>1889</v>
      </c>
      <c r="H616" s="25">
        <f>4.73+4.52+3.13</f>
        <v>12.379999999999999</v>
      </c>
      <c r="I616" s="25">
        <f>4.73+4.52+3.13</f>
        <v>12.379999999999999</v>
      </c>
      <c r="J616" s="25" t="s">
        <v>1891</v>
      </c>
      <c r="N616" s="25" t="s">
        <v>2481</v>
      </c>
    </row>
    <row r="617" spans="1:14" x14ac:dyDescent="0.55000000000000004">
      <c r="A617">
        <v>616</v>
      </c>
      <c r="B617" s="25" t="s">
        <v>32</v>
      </c>
      <c r="C617" s="25">
        <v>25</v>
      </c>
      <c r="D617" s="25" t="s">
        <v>4001</v>
      </c>
      <c r="E617" s="25" t="s">
        <v>4023</v>
      </c>
      <c r="F617" s="25">
        <v>12.66</v>
      </c>
      <c r="G617" s="25" t="s">
        <v>1889</v>
      </c>
      <c r="H617" s="25">
        <v>12.67</v>
      </c>
      <c r="I617" s="25">
        <v>12.67</v>
      </c>
      <c r="J617" s="25" t="s">
        <v>1891</v>
      </c>
      <c r="N617" s="25" t="s">
        <v>2482</v>
      </c>
    </row>
    <row r="618" spans="1:14" x14ac:dyDescent="0.55000000000000004">
      <c r="A618">
        <v>617</v>
      </c>
      <c r="B618" s="25" t="s">
        <v>32</v>
      </c>
      <c r="C618" s="25">
        <v>25</v>
      </c>
      <c r="D618" s="25" t="s">
        <v>4001</v>
      </c>
      <c r="E618" s="25" t="s">
        <v>4024</v>
      </c>
      <c r="F618" s="25">
        <v>15.09</v>
      </c>
      <c r="G618" s="25" t="s">
        <v>1889</v>
      </c>
      <c r="H618" s="25">
        <f>3.35+6.32+2.3+3.4</f>
        <v>15.37</v>
      </c>
      <c r="I618" s="25">
        <f>3.35+6.32+2.3+3.4</f>
        <v>15.37</v>
      </c>
      <c r="J618" s="25" t="s">
        <v>1891</v>
      </c>
      <c r="N618" s="25" t="s">
        <v>2483</v>
      </c>
    </row>
    <row r="619" spans="1:14" x14ac:dyDescent="0.55000000000000004">
      <c r="A619">
        <v>618</v>
      </c>
      <c r="B619" s="25" t="s">
        <v>32</v>
      </c>
      <c r="C619" s="25">
        <v>25</v>
      </c>
      <c r="D619" s="25" t="s">
        <v>4001</v>
      </c>
      <c r="E619" s="25" t="s">
        <v>4025</v>
      </c>
      <c r="F619" s="25">
        <v>13.48</v>
      </c>
      <c r="G619" s="25" t="s">
        <v>1889</v>
      </c>
      <c r="H619" s="25">
        <f>10.37+3.08</f>
        <v>13.45</v>
      </c>
      <c r="I619" s="25">
        <f>10.37+3.08</f>
        <v>13.45</v>
      </c>
      <c r="J619" s="25" t="s">
        <v>1891</v>
      </c>
      <c r="N619" s="25" t="s">
        <v>2484</v>
      </c>
    </row>
    <row r="620" spans="1:14" x14ac:dyDescent="0.55000000000000004">
      <c r="A620">
        <v>619</v>
      </c>
      <c r="B620" s="25" t="s">
        <v>32</v>
      </c>
      <c r="C620" s="25">
        <v>25</v>
      </c>
      <c r="D620" s="25" t="s">
        <v>4001</v>
      </c>
      <c r="E620" s="25" t="s">
        <v>4026</v>
      </c>
      <c r="F620" s="25">
        <v>10.53</v>
      </c>
      <c r="G620" s="25" t="s">
        <v>1889</v>
      </c>
      <c r="H620" s="25">
        <f>3.35+2.14+2.98+2.46</f>
        <v>10.93</v>
      </c>
      <c r="I620" s="25">
        <f>3.35+2.14+2.98+2.46</f>
        <v>10.93</v>
      </c>
      <c r="J620" s="25" t="s">
        <v>1891</v>
      </c>
      <c r="K620" s="25" t="str">
        <f>VLOOKUP(E621,[1]PrelimAssignPOP!$I$1:$J$947,2,FALSE)</f>
        <v>ART</v>
      </c>
      <c r="N620" s="25" t="s">
        <v>2485</v>
      </c>
    </row>
    <row r="621" spans="1:14" x14ac:dyDescent="0.55000000000000004">
      <c r="A621">
        <v>620</v>
      </c>
      <c r="B621" s="25" t="s">
        <v>33</v>
      </c>
      <c r="C621" s="25">
        <v>5</v>
      </c>
      <c r="D621" s="25" t="s">
        <v>4027</v>
      </c>
      <c r="E621" s="25" t="s">
        <v>4028</v>
      </c>
      <c r="F621" s="25">
        <v>10.39</v>
      </c>
      <c r="G621" s="25" t="s">
        <v>1889</v>
      </c>
      <c r="H621" s="25">
        <f>5.25+3.36+1.94</f>
        <v>10.549999999999999</v>
      </c>
      <c r="I621" s="25">
        <f>5.25+3.36+1.94</f>
        <v>10.549999999999999</v>
      </c>
      <c r="J621" s="25" t="s">
        <v>1891</v>
      </c>
      <c r="K621" s="25" t="str">
        <f>VLOOKUP(E622,[1]PrelimAssignPOP!$I$1:$J$947,2,FALSE)</f>
        <v>ART</v>
      </c>
      <c r="L621" s="25" t="s">
        <v>213</v>
      </c>
      <c r="M621" s="25" t="s">
        <v>140</v>
      </c>
      <c r="N621" s="25" t="s">
        <v>2486</v>
      </c>
    </row>
    <row r="622" spans="1:14" x14ac:dyDescent="0.55000000000000004">
      <c r="A622">
        <v>621</v>
      </c>
      <c r="B622" s="25" t="s">
        <v>33</v>
      </c>
      <c r="C622" s="25">
        <v>5</v>
      </c>
      <c r="D622" s="25" t="s">
        <v>4027</v>
      </c>
      <c r="E622" s="25" t="s">
        <v>4029</v>
      </c>
      <c r="F622" s="25">
        <v>9.9700000000000006</v>
      </c>
      <c r="G622" s="25" t="s">
        <v>1889</v>
      </c>
      <c r="H622" s="25">
        <f>3.62+2.54+4.11</f>
        <v>10.27</v>
      </c>
      <c r="I622" s="25">
        <f>3.62+2.54+4.11</f>
        <v>10.27</v>
      </c>
      <c r="J622" s="25" t="s">
        <v>1891</v>
      </c>
      <c r="K622" s="25" t="str">
        <f>VLOOKUP(E623,[1]PrelimAssignPOP!$I$1:$J$947,2,FALSE)</f>
        <v>ART</v>
      </c>
      <c r="L622" s="25" t="s">
        <v>213</v>
      </c>
      <c r="M622" s="25" t="s">
        <v>141</v>
      </c>
      <c r="N622" s="25" t="s">
        <v>2487</v>
      </c>
    </row>
    <row r="623" spans="1:14" x14ac:dyDescent="0.55000000000000004">
      <c r="A623">
        <v>622</v>
      </c>
      <c r="B623" s="25" t="s">
        <v>33</v>
      </c>
      <c r="C623" s="25">
        <v>5</v>
      </c>
      <c r="D623" s="25" t="s">
        <v>4027</v>
      </c>
      <c r="E623" s="25" t="s">
        <v>4030</v>
      </c>
      <c r="F623" s="25">
        <v>9.8000000000000007</v>
      </c>
      <c r="G623" s="25" t="s">
        <v>1889</v>
      </c>
      <c r="H623" s="25">
        <f>2.27+4.57+3.05</f>
        <v>9.89</v>
      </c>
      <c r="I623" s="25">
        <f>2.27+4.57+3.05</f>
        <v>9.89</v>
      </c>
      <c r="J623" s="25" t="s">
        <v>1891</v>
      </c>
      <c r="K623" s="25" t="str">
        <f>VLOOKUP(E624,[1]PrelimAssignPOP!$I$1:$J$947,2,FALSE)</f>
        <v>ART</v>
      </c>
      <c r="L623" s="25" t="s">
        <v>213</v>
      </c>
      <c r="M623" s="25" t="s">
        <v>142</v>
      </c>
      <c r="N623" s="25" t="s">
        <v>2488</v>
      </c>
    </row>
    <row r="624" spans="1:14" x14ac:dyDescent="0.55000000000000004">
      <c r="A624">
        <v>623</v>
      </c>
      <c r="B624" s="25" t="s">
        <v>33</v>
      </c>
      <c r="C624" s="25">
        <v>5</v>
      </c>
      <c r="D624" s="25" t="s">
        <v>4027</v>
      </c>
      <c r="E624" s="25" t="s">
        <v>4031</v>
      </c>
      <c r="F624" s="25">
        <v>11.52</v>
      </c>
      <c r="G624" s="25" t="s">
        <v>1889</v>
      </c>
      <c r="H624" s="25">
        <f>8.55+3.1</f>
        <v>11.65</v>
      </c>
      <c r="I624" s="25">
        <f>8.55+3.1</f>
        <v>11.65</v>
      </c>
      <c r="J624" s="25" t="s">
        <v>1891</v>
      </c>
      <c r="K624" s="25" t="str">
        <f>VLOOKUP(E625,[1]PrelimAssignPOP!$I$1:$J$947,2,FALSE)</f>
        <v>ART</v>
      </c>
      <c r="L624" s="25" t="s">
        <v>213</v>
      </c>
      <c r="M624" s="25" t="s">
        <v>143</v>
      </c>
      <c r="N624" s="25" t="s">
        <v>2489</v>
      </c>
    </row>
    <row r="625" spans="1:15" x14ac:dyDescent="0.55000000000000004">
      <c r="A625">
        <v>624</v>
      </c>
      <c r="B625" s="25" t="s">
        <v>33</v>
      </c>
      <c r="C625" s="25">
        <v>5</v>
      </c>
      <c r="D625" s="25" t="s">
        <v>4027</v>
      </c>
      <c r="E625" s="25" t="s">
        <v>4032</v>
      </c>
      <c r="F625" s="25">
        <v>10.77</v>
      </c>
      <c r="G625" s="25" t="s">
        <v>1889</v>
      </c>
      <c r="H625" s="25">
        <f>2.58+2.28+2.03+3.97</f>
        <v>10.86</v>
      </c>
      <c r="I625" s="25">
        <f>2.58+2.28+2.03+3.97</f>
        <v>10.86</v>
      </c>
      <c r="J625" s="25" t="s">
        <v>1891</v>
      </c>
      <c r="K625" s="25" t="str">
        <f>VLOOKUP(E626,[1]PrelimAssignPOP!$I$1:$J$947,2,FALSE)</f>
        <v>ART</v>
      </c>
      <c r="L625" s="25" t="s">
        <v>213</v>
      </c>
      <c r="M625" s="25" t="s">
        <v>116</v>
      </c>
      <c r="N625" s="25" t="s">
        <v>2490</v>
      </c>
    </row>
    <row r="626" spans="1:15" x14ac:dyDescent="0.55000000000000004">
      <c r="A626">
        <v>625</v>
      </c>
      <c r="B626" s="25" t="s">
        <v>34</v>
      </c>
      <c r="C626" s="25">
        <v>25</v>
      </c>
      <c r="D626" s="25" t="s">
        <v>4033</v>
      </c>
      <c r="E626" s="25" t="s">
        <v>4034</v>
      </c>
      <c r="F626" s="25">
        <v>13.19</v>
      </c>
      <c r="G626" s="25" t="s">
        <v>1889</v>
      </c>
      <c r="H626" s="25">
        <f>4.31+1.77+1.52+5.92</f>
        <v>13.52</v>
      </c>
      <c r="I626" s="25">
        <f>4.31+1.77+1.52+5.92</f>
        <v>13.52</v>
      </c>
      <c r="J626" s="25" t="s">
        <v>1891</v>
      </c>
      <c r="K626" s="25" t="str">
        <f>VLOOKUP(E627,[1]PrelimAssignPOP!$I$1:$J$947,2,FALSE)</f>
        <v>ART</v>
      </c>
      <c r="L626" s="25" t="s">
        <v>213</v>
      </c>
      <c r="M626" s="25" t="s">
        <v>144</v>
      </c>
      <c r="N626" s="25" t="s">
        <v>2491</v>
      </c>
    </row>
    <row r="627" spans="1:15" x14ac:dyDescent="0.55000000000000004">
      <c r="A627">
        <v>626</v>
      </c>
      <c r="B627" s="25" t="s">
        <v>34</v>
      </c>
      <c r="C627" s="25">
        <v>25</v>
      </c>
      <c r="D627" s="25" t="s">
        <v>4033</v>
      </c>
      <c r="E627" s="25" t="s">
        <v>4035</v>
      </c>
      <c r="F627" s="25">
        <v>11.9</v>
      </c>
      <c r="G627" s="25" t="s">
        <v>1889</v>
      </c>
      <c r="H627" s="25">
        <f>3.18+1.64+2.42+2.18+2.87</f>
        <v>12.29</v>
      </c>
      <c r="I627" s="25">
        <f>3.18+1.64+2.42+2.18+2.87</f>
        <v>12.29</v>
      </c>
      <c r="J627" s="25" t="s">
        <v>1891</v>
      </c>
      <c r="K627" s="25" t="str">
        <f>VLOOKUP(E628,[1]PrelimAssignPOP!$I$1:$J$947,2,FALSE)</f>
        <v>ART</v>
      </c>
      <c r="L627" s="25" t="s">
        <v>213</v>
      </c>
      <c r="M627" s="25" t="s">
        <v>145</v>
      </c>
      <c r="N627" s="25" t="s">
        <v>2492</v>
      </c>
    </row>
    <row r="628" spans="1:15" x14ac:dyDescent="0.55000000000000004">
      <c r="A628">
        <v>627</v>
      </c>
      <c r="B628" s="25" t="s">
        <v>34</v>
      </c>
      <c r="C628" s="25">
        <v>25</v>
      </c>
      <c r="D628" s="25" t="s">
        <v>4033</v>
      </c>
      <c r="E628" s="25" t="s">
        <v>4036</v>
      </c>
      <c r="F628" s="25">
        <v>12.09</v>
      </c>
      <c r="G628" s="25" t="s">
        <v>1889</v>
      </c>
      <c r="H628" s="25">
        <f>4.23+4.77+3.23</f>
        <v>12.23</v>
      </c>
      <c r="I628" s="25">
        <f>4.23+4.77+3.23</f>
        <v>12.23</v>
      </c>
      <c r="J628" s="25" t="s">
        <v>1891</v>
      </c>
      <c r="K628" s="25" t="str">
        <f>VLOOKUP(E629,[1]PrelimAssignPOP!$I$1:$J$947,2,FALSE)</f>
        <v>ART</v>
      </c>
      <c r="L628" s="25" t="s">
        <v>213</v>
      </c>
      <c r="M628" s="25" t="s">
        <v>146</v>
      </c>
      <c r="N628" s="25" t="s">
        <v>2493</v>
      </c>
    </row>
    <row r="629" spans="1:15" x14ac:dyDescent="0.55000000000000004">
      <c r="A629">
        <v>628</v>
      </c>
      <c r="B629" s="25" t="s">
        <v>34</v>
      </c>
      <c r="C629" s="25">
        <v>25</v>
      </c>
      <c r="D629" s="25" t="s">
        <v>4033</v>
      </c>
      <c r="E629" s="25" t="s">
        <v>4037</v>
      </c>
      <c r="F629" s="25">
        <v>12.17</v>
      </c>
      <c r="G629" s="25" t="s">
        <v>1889</v>
      </c>
      <c r="H629" s="25">
        <f>4.24+5.75+2.35</f>
        <v>12.34</v>
      </c>
      <c r="I629" s="25">
        <f>4.24+5.75+2.35</f>
        <v>12.34</v>
      </c>
      <c r="J629" s="25" t="s">
        <v>1891</v>
      </c>
      <c r="K629" s="25" t="str">
        <f>VLOOKUP(E630,[1]PrelimAssignPOP!$I$1:$J$947,2,FALSE)</f>
        <v>ART</v>
      </c>
      <c r="L629" s="25" t="s">
        <v>213</v>
      </c>
      <c r="M629" s="25" t="s">
        <v>147</v>
      </c>
      <c r="N629" s="25" t="s">
        <v>2494</v>
      </c>
    </row>
    <row r="630" spans="1:15" x14ac:dyDescent="0.55000000000000004">
      <c r="A630">
        <v>629</v>
      </c>
      <c r="B630" s="25" t="s">
        <v>34</v>
      </c>
      <c r="C630" s="25">
        <v>25</v>
      </c>
      <c r="D630" s="25" t="s">
        <v>4033</v>
      </c>
      <c r="E630" s="25" t="s">
        <v>4038</v>
      </c>
      <c r="F630" s="25">
        <v>12</v>
      </c>
      <c r="G630" s="25" t="s">
        <v>1889</v>
      </c>
      <c r="H630" s="25">
        <f>3.68+1.96+2.74+3.74</f>
        <v>12.120000000000001</v>
      </c>
      <c r="I630" s="25">
        <f>3.68+1.96+2.74+3.74</f>
        <v>12.120000000000001</v>
      </c>
      <c r="J630" s="25" t="s">
        <v>1891</v>
      </c>
      <c r="K630" s="25" t="str">
        <f>VLOOKUP(E631,[1]PrelimAssignPOP!$I$1:$J$947,2,FALSE)</f>
        <v>ART</v>
      </c>
      <c r="L630" s="25" t="s">
        <v>213</v>
      </c>
      <c r="M630" s="25" t="s">
        <v>148</v>
      </c>
      <c r="N630" s="25" t="s">
        <v>2495</v>
      </c>
    </row>
    <row r="631" spans="1:15" x14ac:dyDescent="0.55000000000000004">
      <c r="A631">
        <v>630</v>
      </c>
      <c r="B631" s="25" t="s">
        <v>34</v>
      </c>
      <c r="C631" s="25">
        <v>25</v>
      </c>
      <c r="D631" s="25" t="s">
        <v>4033</v>
      </c>
      <c r="E631" s="25" t="s">
        <v>4039</v>
      </c>
      <c r="F631" s="25">
        <v>14.53</v>
      </c>
      <c r="G631" s="25" t="s">
        <v>1889</v>
      </c>
      <c r="H631" s="25">
        <f>3.14+3.13+3.25+5.2</f>
        <v>14.719999999999999</v>
      </c>
      <c r="I631" s="25">
        <f>3.14+3.13+3.25+5.2</f>
        <v>14.719999999999999</v>
      </c>
      <c r="J631" s="25" t="s">
        <v>1891</v>
      </c>
      <c r="K631" s="25" t="str">
        <f>VLOOKUP(E632,[1]PrelimAssignPOP!$I$1:$J$947,2,FALSE)</f>
        <v>ART</v>
      </c>
      <c r="L631" s="25" t="s">
        <v>213</v>
      </c>
      <c r="M631" s="25" t="s">
        <v>149</v>
      </c>
      <c r="N631" s="25" t="s">
        <v>2496</v>
      </c>
    </row>
    <row r="632" spans="1:15" x14ac:dyDescent="0.55000000000000004">
      <c r="A632">
        <v>631</v>
      </c>
      <c r="B632" s="25" t="s">
        <v>34</v>
      </c>
      <c r="C632" s="25">
        <v>25</v>
      </c>
      <c r="D632" s="25" t="s">
        <v>4033</v>
      </c>
      <c r="E632" s="25" t="s">
        <v>4040</v>
      </c>
      <c r="F632" s="25">
        <v>13.07</v>
      </c>
      <c r="G632" s="25" t="s">
        <v>1889</v>
      </c>
      <c r="H632" s="25">
        <v>13.62</v>
      </c>
      <c r="I632" s="25">
        <v>13.62</v>
      </c>
      <c r="J632" s="25" t="s">
        <v>1891</v>
      </c>
      <c r="K632" s="25" t="str">
        <f>VLOOKUP(E633,[1]PrelimAssignPOP!$I$1:$J$947,2,FALSE)</f>
        <v>ART</v>
      </c>
      <c r="L632" s="25" t="s">
        <v>213</v>
      </c>
      <c r="M632" s="25" t="s">
        <v>150</v>
      </c>
      <c r="N632" s="25" t="s">
        <v>2497</v>
      </c>
    </row>
    <row r="633" spans="1:15" x14ac:dyDescent="0.55000000000000004">
      <c r="A633">
        <v>632</v>
      </c>
      <c r="B633" s="25" t="s">
        <v>34</v>
      </c>
      <c r="C633" s="25">
        <v>25</v>
      </c>
      <c r="D633" s="25" t="s">
        <v>4033</v>
      </c>
      <c r="E633" s="25" t="s">
        <v>4041</v>
      </c>
      <c r="F633" s="25">
        <v>12.58</v>
      </c>
      <c r="G633" s="25" t="s">
        <v>1889</v>
      </c>
      <c r="H633" s="25">
        <f>2.25+7.21+3.64</f>
        <v>13.100000000000001</v>
      </c>
      <c r="I633" s="25">
        <f>2.25+7.21+3.64</f>
        <v>13.100000000000001</v>
      </c>
      <c r="J633" s="25" t="s">
        <v>1891</v>
      </c>
      <c r="K633" s="25" t="str">
        <f>VLOOKUP(E634,[1]PrelimAssignPOP!$I$1:$J$947,2,FALSE)</f>
        <v>ART</v>
      </c>
      <c r="L633" s="25" t="s">
        <v>213</v>
      </c>
      <c r="M633" s="25" t="s">
        <v>151</v>
      </c>
      <c r="N633" s="25" t="s">
        <v>2498</v>
      </c>
    </row>
    <row r="634" spans="1:15" x14ac:dyDescent="0.55000000000000004">
      <c r="A634">
        <v>633</v>
      </c>
      <c r="B634" s="25" t="s">
        <v>34</v>
      </c>
      <c r="C634" s="25">
        <v>25</v>
      </c>
      <c r="D634" s="25" t="s">
        <v>4033</v>
      </c>
      <c r="E634" s="25" t="s">
        <v>4042</v>
      </c>
      <c r="F634" s="25">
        <v>12.06</v>
      </c>
      <c r="G634" s="25" t="s">
        <v>1889</v>
      </c>
      <c r="H634" s="25">
        <f>8.61+3.74</f>
        <v>12.35</v>
      </c>
      <c r="I634" s="25">
        <f>8.61+3.74</f>
        <v>12.35</v>
      </c>
      <c r="J634" s="25" t="s">
        <v>1891</v>
      </c>
      <c r="K634" s="25" t="str">
        <f>VLOOKUP(E635,[1]PrelimAssignPOP!$I$1:$J$947,2,FALSE)</f>
        <v>ART</v>
      </c>
      <c r="L634" s="25" t="s">
        <v>213</v>
      </c>
      <c r="M634" s="25" t="s">
        <v>152</v>
      </c>
      <c r="N634" s="25" t="s">
        <v>2499</v>
      </c>
    </row>
    <row r="635" spans="1:15" x14ac:dyDescent="0.55000000000000004">
      <c r="A635">
        <v>634</v>
      </c>
      <c r="B635" s="25" t="s">
        <v>34</v>
      </c>
      <c r="C635" s="25">
        <v>25</v>
      </c>
      <c r="D635" s="25" t="s">
        <v>4033</v>
      </c>
      <c r="E635" s="25" t="s">
        <v>4043</v>
      </c>
      <c r="F635" s="25">
        <v>12.98</v>
      </c>
      <c r="G635" s="25" t="s">
        <v>1889</v>
      </c>
      <c r="H635" s="25">
        <f>4.54+8.49</f>
        <v>13.030000000000001</v>
      </c>
      <c r="I635" s="25">
        <f>4.54+8.49</f>
        <v>13.030000000000001</v>
      </c>
      <c r="J635" s="25" t="s">
        <v>1891</v>
      </c>
      <c r="K635" s="25" t="str">
        <f>VLOOKUP(E636,[1]PrelimAssignPOP!$I$1:$J$947,2,FALSE)</f>
        <v>ART</v>
      </c>
      <c r="L635" s="25" t="s">
        <v>213</v>
      </c>
      <c r="M635" s="25" t="s">
        <v>153</v>
      </c>
      <c r="N635" s="25" t="s">
        <v>2500</v>
      </c>
    </row>
    <row r="636" spans="1:15" x14ac:dyDescent="0.55000000000000004">
      <c r="A636">
        <v>635</v>
      </c>
      <c r="B636" s="25" t="s">
        <v>34</v>
      </c>
      <c r="C636" s="25">
        <v>25</v>
      </c>
      <c r="D636" s="25" t="s">
        <v>4033</v>
      </c>
      <c r="E636" s="25" t="s">
        <v>4044</v>
      </c>
      <c r="F636" s="25">
        <v>13.17</v>
      </c>
      <c r="G636" s="25" t="s">
        <v>1889</v>
      </c>
      <c r="H636" s="27">
        <f>2.19+3.4+3.44+4.3</f>
        <v>13.329999999999998</v>
      </c>
      <c r="I636" s="27">
        <f>2.19+3.4+3.44+4.3</f>
        <v>13.329999999999998</v>
      </c>
      <c r="J636" s="25" t="s">
        <v>1891</v>
      </c>
      <c r="K636" s="25" t="str">
        <f>VLOOKUP(E637,[1]PrelimAssignPOP!$I$1:$J$947,2,FALSE)</f>
        <v>ART</v>
      </c>
      <c r="L636" s="25" t="s">
        <v>213</v>
      </c>
      <c r="M636" s="25" t="s">
        <v>154</v>
      </c>
      <c r="N636" s="25" t="s">
        <v>2501</v>
      </c>
    </row>
    <row r="637" spans="1:15" x14ac:dyDescent="0.55000000000000004">
      <c r="A637">
        <v>636</v>
      </c>
      <c r="B637" s="25" t="s">
        <v>34</v>
      </c>
      <c r="C637" s="25">
        <v>25</v>
      </c>
      <c r="D637" s="25" t="s">
        <v>4033</v>
      </c>
      <c r="E637" s="25" t="s">
        <v>4045</v>
      </c>
      <c r="F637" s="25">
        <v>13.12</v>
      </c>
      <c r="G637" s="25" t="s">
        <v>1889</v>
      </c>
      <c r="H637" s="25">
        <f>6.8+2.77+3.48</f>
        <v>13.05</v>
      </c>
      <c r="I637" s="25">
        <f>6.8+2.77+3.48</f>
        <v>13.05</v>
      </c>
      <c r="J637" s="25" t="s">
        <v>1891</v>
      </c>
      <c r="L637" s="25" t="s">
        <v>213</v>
      </c>
      <c r="N637" s="25" t="s">
        <v>2502</v>
      </c>
      <c r="O637" s="18" t="s">
        <v>4046</v>
      </c>
    </row>
    <row r="638" spans="1:15" x14ac:dyDescent="0.55000000000000004">
      <c r="A638">
        <v>637</v>
      </c>
      <c r="B638" s="25" t="s">
        <v>34</v>
      </c>
      <c r="C638" s="25">
        <v>25</v>
      </c>
      <c r="D638" s="25" t="s">
        <v>4033</v>
      </c>
      <c r="E638" s="25" t="s">
        <v>4047</v>
      </c>
      <c r="F638" s="25">
        <v>12.71</v>
      </c>
      <c r="G638" s="25" t="s">
        <v>1889</v>
      </c>
      <c r="H638" s="25">
        <f>3.31+5.12+4.47</f>
        <v>12.899999999999999</v>
      </c>
      <c r="I638" s="25">
        <f>3.31+5.12+4.47</f>
        <v>12.899999999999999</v>
      </c>
      <c r="J638" s="25" t="s">
        <v>1891</v>
      </c>
      <c r="N638" s="25" t="s">
        <v>2503</v>
      </c>
    </row>
    <row r="639" spans="1:15" x14ac:dyDescent="0.55000000000000004">
      <c r="A639">
        <v>638</v>
      </c>
      <c r="B639" s="25" t="s">
        <v>34</v>
      </c>
      <c r="C639" s="25">
        <v>25</v>
      </c>
      <c r="D639" s="25" t="s">
        <v>4033</v>
      </c>
      <c r="E639" s="25" t="s">
        <v>4048</v>
      </c>
      <c r="F639" s="25">
        <v>12.64</v>
      </c>
      <c r="G639" s="25" t="s">
        <v>1889</v>
      </c>
      <c r="H639" s="25">
        <f>2.63+3.29+3.38+2.53</f>
        <v>11.83</v>
      </c>
      <c r="I639" s="25">
        <f>2.63+3.29+3.38+2.53</f>
        <v>11.83</v>
      </c>
      <c r="J639" s="25" t="s">
        <v>1891</v>
      </c>
      <c r="N639" s="25" t="s">
        <v>2504</v>
      </c>
    </row>
    <row r="640" spans="1:15" x14ac:dyDescent="0.55000000000000004">
      <c r="A640">
        <v>639</v>
      </c>
      <c r="B640" s="25" t="s">
        <v>34</v>
      </c>
      <c r="C640" s="25">
        <v>25</v>
      </c>
      <c r="D640" s="25" t="s">
        <v>4033</v>
      </c>
      <c r="E640" s="25" t="s">
        <v>4049</v>
      </c>
      <c r="F640" s="25">
        <v>11.8</v>
      </c>
      <c r="G640" s="25" t="s">
        <v>1889</v>
      </c>
      <c r="H640" s="25">
        <f>3.38+8.67</f>
        <v>12.05</v>
      </c>
      <c r="I640" s="25">
        <f>3.38+8.67</f>
        <v>12.05</v>
      </c>
      <c r="J640" s="25" t="s">
        <v>1891</v>
      </c>
      <c r="N640" s="25" t="s">
        <v>2505</v>
      </c>
    </row>
    <row r="641" spans="1:14" x14ac:dyDescent="0.55000000000000004">
      <c r="A641">
        <v>640</v>
      </c>
      <c r="B641" s="25" t="s">
        <v>34</v>
      </c>
      <c r="C641" s="25">
        <v>25</v>
      </c>
      <c r="D641" s="25" t="s">
        <v>4033</v>
      </c>
      <c r="E641" s="25" t="s">
        <v>4050</v>
      </c>
      <c r="F641" s="25">
        <v>12.03</v>
      </c>
      <c r="G641" s="25" t="s">
        <v>1889</v>
      </c>
      <c r="H641" s="25">
        <f>4.58+7.52</f>
        <v>12.1</v>
      </c>
      <c r="I641" s="25">
        <f>4.58+7.52</f>
        <v>12.1</v>
      </c>
      <c r="J641" s="25" t="s">
        <v>1891</v>
      </c>
      <c r="N641" s="25" t="s">
        <v>2506</v>
      </c>
    </row>
    <row r="642" spans="1:14" x14ac:dyDescent="0.55000000000000004">
      <c r="A642">
        <v>641</v>
      </c>
      <c r="B642" s="25" t="s">
        <v>34</v>
      </c>
      <c r="C642" s="25">
        <v>25</v>
      </c>
      <c r="D642" s="25" t="s">
        <v>4033</v>
      </c>
      <c r="E642" s="25" t="s">
        <v>4051</v>
      </c>
      <c r="F642" s="25">
        <v>12.05</v>
      </c>
      <c r="G642" s="25" t="s">
        <v>1889</v>
      </c>
      <c r="H642" s="25">
        <f>5.12+1.86+3.54+3.04</f>
        <v>13.559999999999999</v>
      </c>
      <c r="I642" s="25">
        <f>5.12+1.86+3.54+3.04</f>
        <v>13.559999999999999</v>
      </c>
      <c r="J642" s="25" t="s">
        <v>1891</v>
      </c>
      <c r="N642" s="25" t="s">
        <v>2507</v>
      </c>
    </row>
    <row r="643" spans="1:14" x14ac:dyDescent="0.55000000000000004">
      <c r="A643">
        <v>642</v>
      </c>
      <c r="B643" s="25" t="s">
        <v>34</v>
      </c>
      <c r="C643" s="25">
        <v>25</v>
      </c>
      <c r="D643" s="25" t="s">
        <v>4033</v>
      </c>
      <c r="E643" s="25" t="s">
        <v>4052</v>
      </c>
      <c r="F643" s="25">
        <v>13.4</v>
      </c>
      <c r="G643" s="25" t="s">
        <v>1889</v>
      </c>
      <c r="H643" s="25">
        <f>5.3+4.31+2.6</f>
        <v>12.209999999999999</v>
      </c>
      <c r="I643" s="25">
        <f>5.3+4.31+2.6</f>
        <v>12.209999999999999</v>
      </c>
      <c r="J643" s="25" t="s">
        <v>1891</v>
      </c>
      <c r="N643" s="25" t="s">
        <v>2508</v>
      </c>
    </row>
    <row r="644" spans="1:14" x14ac:dyDescent="0.55000000000000004">
      <c r="A644">
        <v>643</v>
      </c>
      <c r="B644" s="25" t="s">
        <v>34</v>
      </c>
      <c r="C644" s="25">
        <v>25</v>
      </c>
      <c r="D644" s="25" t="s">
        <v>4033</v>
      </c>
      <c r="E644" s="25" t="s">
        <v>4053</v>
      </c>
      <c r="F644" s="25">
        <v>11.93</v>
      </c>
      <c r="G644" s="25" t="s">
        <v>1889</v>
      </c>
      <c r="H644" s="25">
        <f>6.08+3.34+2.68</f>
        <v>12.1</v>
      </c>
      <c r="I644" s="25">
        <f>6.08+3.34+2.68</f>
        <v>12.1</v>
      </c>
      <c r="J644" s="25" t="s">
        <v>1891</v>
      </c>
      <c r="N644" s="25" t="s">
        <v>2509</v>
      </c>
    </row>
    <row r="645" spans="1:14" x14ac:dyDescent="0.55000000000000004">
      <c r="A645">
        <v>644</v>
      </c>
      <c r="B645" s="25" t="s">
        <v>34</v>
      </c>
      <c r="C645" s="25">
        <v>25</v>
      </c>
      <c r="D645" s="25" t="s">
        <v>4033</v>
      </c>
      <c r="E645" s="25" t="s">
        <v>4054</v>
      </c>
      <c r="F645" s="25">
        <v>11.97</v>
      </c>
      <c r="G645" s="25" t="s">
        <v>1889</v>
      </c>
      <c r="H645" s="25">
        <f>8.8+3.56</f>
        <v>12.360000000000001</v>
      </c>
      <c r="I645" s="25">
        <f>8.8+3.56</f>
        <v>12.360000000000001</v>
      </c>
      <c r="J645" s="25" t="s">
        <v>1891</v>
      </c>
      <c r="N645" s="25" t="s">
        <v>2510</v>
      </c>
    </row>
    <row r="646" spans="1:14" x14ac:dyDescent="0.55000000000000004">
      <c r="A646">
        <v>645</v>
      </c>
      <c r="B646" s="25" t="s">
        <v>34</v>
      </c>
      <c r="C646" s="25">
        <v>25</v>
      </c>
      <c r="D646" s="25" t="s">
        <v>4033</v>
      </c>
      <c r="E646" s="25" t="s">
        <v>4055</v>
      </c>
      <c r="F646" s="25">
        <v>12.31</v>
      </c>
      <c r="G646" s="25" t="s">
        <v>1889</v>
      </c>
      <c r="H646" s="25">
        <f>3.24+3.61+5.74</f>
        <v>12.59</v>
      </c>
      <c r="I646" s="25">
        <f>3.24+3.61+5.74</f>
        <v>12.59</v>
      </c>
      <c r="J646" s="25" t="s">
        <v>1891</v>
      </c>
      <c r="N646" s="25" t="s">
        <v>2511</v>
      </c>
    </row>
    <row r="647" spans="1:14" x14ac:dyDescent="0.55000000000000004">
      <c r="A647">
        <v>646</v>
      </c>
      <c r="B647" s="25" t="s">
        <v>34</v>
      </c>
      <c r="C647" s="25">
        <v>25</v>
      </c>
      <c r="D647" s="25" t="s">
        <v>4033</v>
      </c>
      <c r="E647" s="25" t="s">
        <v>4056</v>
      </c>
      <c r="F647" s="25">
        <v>12.28</v>
      </c>
      <c r="G647" s="25" t="s">
        <v>1889</v>
      </c>
      <c r="H647" s="25">
        <f>3.71+3.48+4.65</f>
        <v>11.84</v>
      </c>
      <c r="I647" s="25">
        <f>3.71+3.48+4.65</f>
        <v>11.84</v>
      </c>
      <c r="J647" s="25" t="s">
        <v>1891</v>
      </c>
      <c r="N647" s="25" t="s">
        <v>2512</v>
      </c>
    </row>
    <row r="648" spans="1:14" x14ac:dyDescent="0.55000000000000004">
      <c r="A648">
        <v>647</v>
      </c>
      <c r="B648" s="25" t="s">
        <v>34</v>
      </c>
      <c r="C648" s="25">
        <v>25</v>
      </c>
      <c r="D648" s="25" t="s">
        <v>4033</v>
      </c>
      <c r="E648" s="25" t="s">
        <v>4057</v>
      </c>
      <c r="F648" s="25">
        <v>11.61</v>
      </c>
      <c r="G648" s="25" t="s">
        <v>1889</v>
      </c>
      <c r="H648" s="25">
        <f>3.35+2.8+3.63+2.32</f>
        <v>12.100000000000001</v>
      </c>
      <c r="I648" s="25">
        <f>3.35+2.8+3.63+2.32</f>
        <v>12.100000000000001</v>
      </c>
      <c r="J648" s="25" t="s">
        <v>1891</v>
      </c>
      <c r="N648" s="25" t="s">
        <v>2513</v>
      </c>
    </row>
    <row r="649" spans="1:14" x14ac:dyDescent="0.55000000000000004">
      <c r="A649">
        <v>648</v>
      </c>
      <c r="B649" s="25" t="s">
        <v>34</v>
      </c>
      <c r="C649" s="25">
        <v>25</v>
      </c>
      <c r="D649" s="25" t="s">
        <v>4033</v>
      </c>
      <c r="E649" s="25" t="s">
        <v>4058</v>
      </c>
      <c r="F649" s="25">
        <v>11.79</v>
      </c>
      <c r="G649" s="25" t="s">
        <v>1889</v>
      </c>
      <c r="H649" s="25">
        <f>8.67+3.34</f>
        <v>12.01</v>
      </c>
      <c r="I649" s="25">
        <f>8.67+3.34</f>
        <v>12.01</v>
      </c>
      <c r="J649" s="25" t="s">
        <v>1891</v>
      </c>
      <c r="N649" s="25" t="s">
        <v>2514</v>
      </c>
    </row>
    <row r="650" spans="1:14" x14ac:dyDescent="0.55000000000000004">
      <c r="A650">
        <v>649</v>
      </c>
      <c r="B650" s="25" t="s">
        <v>34</v>
      </c>
      <c r="C650" s="25">
        <v>25</v>
      </c>
      <c r="D650" s="25" t="s">
        <v>4033</v>
      </c>
      <c r="E650" s="25" t="s">
        <v>4059</v>
      </c>
      <c r="F650" s="25">
        <v>12.09</v>
      </c>
      <c r="H650" s="25" t="s">
        <v>3911</v>
      </c>
      <c r="I650" s="25" t="s">
        <v>3911</v>
      </c>
      <c r="J650" s="25" t="s">
        <v>1891</v>
      </c>
      <c r="K650" s="25" t="str">
        <f>VLOOKUP(E651,[1]PrelimAssignPOP!$I$1:$J$947,2,FALSE)</f>
        <v>ART</v>
      </c>
      <c r="N650" s="25" t="s">
        <v>2515</v>
      </c>
    </row>
    <row r="651" spans="1:14" x14ac:dyDescent="0.55000000000000004">
      <c r="A651">
        <v>650</v>
      </c>
      <c r="B651" s="25" t="s">
        <v>35</v>
      </c>
      <c r="C651" s="25">
        <v>25</v>
      </c>
      <c r="D651" s="25" t="s">
        <v>4060</v>
      </c>
      <c r="E651" s="25" t="s">
        <v>4061</v>
      </c>
      <c r="F651" s="25">
        <v>12.18</v>
      </c>
      <c r="G651" s="25" t="s">
        <v>1889</v>
      </c>
      <c r="H651" s="25">
        <f>4.57+4.78+3</f>
        <v>12.350000000000001</v>
      </c>
      <c r="I651" s="25">
        <f>4.57+4.78+3</f>
        <v>12.350000000000001</v>
      </c>
      <c r="J651" s="25" t="s">
        <v>1891</v>
      </c>
      <c r="K651" s="25" t="str">
        <f>VLOOKUP(E652,[1]PrelimAssignPOP!$I$1:$J$947,2,FALSE)</f>
        <v>ART</v>
      </c>
      <c r="L651" s="25" t="s">
        <v>213</v>
      </c>
      <c r="M651" s="25" t="s">
        <v>155</v>
      </c>
      <c r="N651" s="25" t="s">
        <v>2516</v>
      </c>
    </row>
    <row r="652" spans="1:14" x14ac:dyDescent="0.55000000000000004">
      <c r="A652">
        <v>651</v>
      </c>
      <c r="B652" s="25" t="s">
        <v>35</v>
      </c>
      <c r="C652" s="25">
        <v>25</v>
      </c>
      <c r="D652" s="25" t="s">
        <v>4060</v>
      </c>
      <c r="E652" s="25" t="s">
        <v>4062</v>
      </c>
      <c r="F652" s="25">
        <v>10.93</v>
      </c>
      <c r="G652" s="25" t="s">
        <v>1889</v>
      </c>
      <c r="H652" s="25">
        <f>5.06+5.95</f>
        <v>11.01</v>
      </c>
      <c r="I652" s="25">
        <f>5.06+5.95</f>
        <v>11.01</v>
      </c>
      <c r="J652" s="25" t="s">
        <v>1891</v>
      </c>
      <c r="K652" s="25" t="str">
        <f>VLOOKUP(E653,[1]PrelimAssignPOP!$I$1:$J$947,2,FALSE)</f>
        <v>ART</v>
      </c>
      <c r="L652" s="25" t="s">
        <v>213</v>
      </c>
      <c r="M652" s="25" t="s">
        <v>156</v>
      </c>
      <c r="N652" s="25" t="s">
        <v>2517</v>
      </c>
    </row>
    <row r="653" spans="1:14" x14ac:dyDescent="0.55000000000000004">
      <c r="A653">
        <v>652</v>
      </c>
      <c r="B653" s="25" t="s">
        <v>35</v>
      </c>
      <c r="C653" s="25">
        <v>25</v>
      </c>
      <c r="D653" s="25" t="s">
        <v>4060</v>
      </c>
      <c r="E653" s="25" t="s">
        <v>4063</v>
      </c>
      <c r="F653" s="25">
        <v>13.29</v>
      </c>
      <c r="G653" s="25" t="s">
        <v>1889</v>
      </c>
      <c r="H653" s="25">
        <v>13.42</v>
      </c>
      <c r="I653" s="25">
        <v>13.42</v>
      </c>
      <c r="J653" s="25" t="s">
        <v>1891</v>
      </c>
      <c r="K653" s="25" t="str">
        <f>VLOOKUP(E654,[1]PrelimAssignPOP!$I$1:$J$947,2,FALSE)</f>
        <v>ART</v>
      </c>
      <c r="L653" s="25" t="s">
        <v>213</v>
      </c>
      <c r="M653" s="25" t="s">
        <v>157</v>
      </c>
      <c r="N653" s="25" t="s">
        <v>2518</v>
      </c>
    </row>
    <row r="654" spans="1:14" x14ac:dyDescent="0.55000000000000004">
      <c r="A654">
        <v>653</v>
      </c>
      <c r="B654" s="25" t="s">
        <v>35</v>
      </c>
      <c r="C654" s="25">
        <v>25</v>
      </c>
      <c r="D654" s="25" t="s">
        <v>4060</v>
      </c>
      <c r="E654" s="25" t="s">
        <v>4064</v>
      </c>
      <c r="F654" s="25">
        <v>13.1</v>
      </c>
      <c r="G654" s="25" t="s">
        <v>1889</v>
      </c>
      <c r="H654" s="25">
        <f>4.54+2.61+6.33</f>
        <v>13.48</v>
      </c>
      <c r="I654" s="25">
        <f>4.54+2.61+6.33</f>
        <v>13.48</v>
      </c>
      <c r="J654" s="25" t="s">
        <v>1891</v>
      </c>
      <c r="K654" s="25" t="str">
        <f>VLOOKUP(E655,[1]PrelimAssignPOP!$I$1:$J$947,2,FALSE)</f>
        <v>ART</v>
      </c>
      <c r="L654" s="25" t="s">
        <v>213</v>
      </c>
      <c r="M654" s="25" t="s">
        <v>158</v>
      </c>
      <c r="N654" s="25" t="s">
        <v>2519</v>
      </c>
    </row>
    <row r="655" spans="1:14" x14ac:dyDescent="0.55000000000000004">
      <c r="A655">
        <v>654</v>
      </c>
      <c r="B655" s="25" t="s">
        <v>35</v>
      </c>
      <c r="C655" s="25">
        <v>25</v>
      </c>
      <c r="D655" s="25" t="s">
        <v>4060</v>
      </c>
      <c r="E655" s="25" t="s">
        <v>4065</v>
      </c>
      <c r="F655" s="25">
        <v>15.04</v>
      </c>
      <c r="G655" s="25" t="s">
        <v>1889</v>
      </c>
      <c r="H655" s="25">
        <f>1.91+3.85+3.63+1.84+3.97</f>
        <v>15.200000000000001</v>
      </c>
      <c r="I655" s="25">
        <f>1.91+3.85+3.63+1.84+3.97</f>
        <v>15.200000000000001</v>
      </c>
      <c r="J655" s="25" t="s">
        <v>1891</v>
      </c>
      <c r="L655" s="25" t="s">
        <v>213</v>
      </c>
      <c r="M655" s="25" t="s">
        <v>159</v>
      </c>
      <c r="N655" s="25" t="s">
        <v>2520</v>
      </c>
    </row>
    <row r="656" spans="1:14" x14ac:dyDescent="0.55000000000000004">
      <c r="A656">
        <v>655</v>
      </c>
      <c r="B656" s="25" t="s">
        <v>35</v>
      </c>
      <c r="C656" s="25">
        <v>25</v>
      </c>
      <c r="D656" s="25" t="s">
        <v>4060</v>
      </c>
      <c r="E656" s="25" t="s">
        <v>4066</v>
      </c>
      <c r="F656" s="25">
        <v>12.92</v>
      </c>
      <c r="G656" s="25" t="s">
        <v>1889</v>
      </c>
      <c r="H656" s="25">
        <v>12.99</v>
      </c>
      <c r="I656" s="25">
        <v>12.99</v>
      </c>
      <c r="J656" s="25" t="s">
        <v>1891</v>
      </c>
      <c r="K656" s="25" t="str">
        <f>VLOOKUP(E657,[1]PrelimAssignPOP!$I$1:$J$947,2,FALSE)</f>
        <v>ART</v>
      </c>
      <c r="L656" s="25" t="s">
        <v>213</v>
      </c>
      <c r="M656" s="25" t="s">
        <v>160</v>
      </c>
      <c r="N656" s="25" t="s">
        <v>2521</v>
      </c>
    </row>
    <row r="657" spans="1:14" x14ac:dyDescent="0.55000000000000004">
      <c r="A657">
        <v>656</v>
      </c>
      <c r="B657" s="25" t="s">
        <v>35</v>
      </c>
      <c r="C657" s="25">
        <v>25</v>
      </c>
      <c r="D657" s="25" t="s">
        <v>4060</v>
      </c>
      <c r="E657" s="25" t="s">
        <v>4067</v>
      </c>
      <c r="F657" s="25">
        <v>11.75</v>
      </c>
      <c r="G657" s="25" t="s">
        <v>1889</v>
      </c>
      <c r="H657" s="25">
        <f>5.24+3.14+3.69</f>
        <v>12.07</v>
      </c>
      <c r="I657" s="25">
        <f>5.24+3.14+3.69</f>
        <v>12.07</v>
      </c>
      <c r="J657" s="25" t="s">
        <v>1891</v>
      </c>
      <c r="K657" s="25" t="str">
        <f>VLOOKUP(E658,[1]PrelimAssignPOP!$I$1:$J$947,2,FALSE)</f>
        <v>ART</v>
      </c>
      <c r="L657" s="25" t="s">
        <v>213</v>
      </c>
      <c r="M657" s="25" t="s">
        <v>161</v>
      </c>
      <c r="N657" s="25" t="s">
        <v>2522</v>
      </c>
    </row>
    <row r="658" spans="1:14" x14ac:dyDescent="0.55000000000000004">
      <c r="A658">
        <v>657</v>
      </c>
      <c r="B658" s="25" t="s">
        <v>35</v>
      </c>
      <c r="C658" s="25">
        <v>25</v>
      </c>
      <c r="D658" s="25" t="s">
        <v>4060</v>
      </c>
      <c r="E658" s="25" t="s">
        <v>4068</v>
      </c>
      <c r="F658" s="25">
        <v>12.45</v>
      </c>
      <c r="G658" s="25" t="s">
        <v>1889</v>
      </c>
      <c r="H658" s="25">
        <f>3.14+5.79+3.67</f>
        <v>12.6</v>
      </c>
      <c r="I658" s="25">
        <f>3.14+5.79+3.67</f>
        <v>12.6</v>
      </c>
      <c r="J658" s="25" t="s">
        <v>1891</v>
      </c>
      <c r="K658" s="25" t="str">
        <f>VLOOKUP(E659,[1]PrelimAssignPOP!$I$1:$J$947,2,FALSE)</f>
        <v>ART</v>
      </c>
      <c r="L658" s="25" t="s">
        <v>213</v>
      </c>
      <c r="M658" s="25" t="s">
        <v>162</v>
      </c>
      <c r="N658" s="25" t="s">
        <v>2523</v>
      </c>
    </row>
    <row r="659" spans="1:14" x14ac:dyDescent="0.55000000000000004">
      <c r="A659">
        <v>658</v>
      </c>
      <c r="B659" s="25" t="s">
        <v>35</v>
      </c>
      <c r="C659" s="25">
        <v>25</v>
      </c>
      <c r="D659" s="25" t="s">
        <v>4060</v>
      </c>
      <c r="E659" s="25" t="s">
        <v>4069</v>
      </c>
      <c r="F659" s="25">
        <v>12.18</v>
      </c>
      <c r="G659" s="25" t="s">
        <v>1889</v>
      </c>
      <c r="H659" s="25">
        <f>3.86+3.04+5.56</f>
        <v>12.46</v>
      </c>
      <c r="I659" s="25">
        <f>3.86+3.04+5.56</f>
        <v>12.46</v>
      </c>
      <c r="J659" s="25" t="s">
        <v>1891</v>
      </c>
      <c r="K659" s="25" t="str">
        <f>VLOOKUP(E660,[1]PrelimAssignPOP!$I$1:$J$947,2,FALSE)</f>
        <v>ART</v>
      </c>
      <c r="L659" s="25" t="s">
        <v>213</v>
      </c>
      <c r="M659" s="25" t="s">
        <v>163</v>
      </c>
      <c r="N659" s="25" t="s">
        <v>2524</v>
      </c>
    </row>
    <row r="660" spans="1:14" x14ac:dyDescent="0.55000000000000004">
      <c r="A660">
        <v>659</v>
      </c>
      <c r="B660" s="25" t="s">
        <v>35</v>
      </c>
      <c r="C660" s="25">
        <v>25</v>
      </c>
      <c r="D660" s="25" t="s">
        <v>4060</v>
      </c>
      <c r="E660" s="25" t="s">
        <v>4070</v>
      </c>
      <c r="F660" s="25">
        <v>11.63</v>
      </c>
      <c r="G660" s="25" t="s">
        <v>1889</v>
      </c>
      <c r="H660" s="25">
        <f>2.9+3.84+2.61+2.49</f>
        <v>11.84</v>
      </c>
      <c r="I660" s="25">
        <f>2.9+3.84+2.61+2.49</f>
        <v>11.84</v>
      </c>
      <c r="J660" s="25" t="s">
        <v>1891</v>
      </c>
      <c r="K660" s="25" t="str">
        <f>VLOOKUP(E661,[1]PrelimAssignPOP!$I$1:$J$947,2,FALSE)</f>
        <v>ART</v>
      </c>
      <c r="L660" s="25" t="s">
        <v>213</v>
      </c>
      <c r="M660" s="25" t="s">
        <v>164</v>
      </c>
      <c r="N660" s="25" t="s">
        <v>2525</v>
      </c>
    </row>
    <row r="661" spans="1:14" x14ac:dyDescent="0.55000000000000004">
      <c r="A661">
        <v>660</v>
      </c>
      <c r="B661" s="25" t="s">
        <v>35</v>
      </c>
      <c r="C661" s="25">
        <v>25</v>
      </c>
      <c r="D661" s="25" t="s">
        <v>4060</v>
      </c>
      <c r="E661" s="25" t="s">
        <v>4071</v>
      </c>
      <c r="F661" s="25">
        <v>13.07</v>
      </c>
      <c r="G661" s="25" t="s">
        <v>1889</v>
      </c>
      <c r="H661" s="25">
        <f>2.55+1.64+3.6+5.43</f>
        <v>13.219999999999999</v>
      </c>
      <c r="I661" s="25">
        <f>2.55+1.64+3.6+5.43</f>
        <v>13.219999999999999</v>
      </c>
      <c r="J661" s="25" t="s">
        <v>1891</v>
      </c>
      <c r="K661" s="25" t="str">
        <f>VLOOKUP(E662,[1]PrelimAssignPOP!$I$1:$J$947,2,FALSE)</f>
        <v>ART</v>
      </c>
      <c r="L661" s="25" t="s">
        <v>213</v>
      </c>
      <c r="M661" s="25" t="s">
        <v>165</v>
      </c>
      <c r="N661" s="25" t="s">
        <v>2526</v>
      </c>
    </row>
    <row r="662" spans="1:14" x14ac:dyDescent="0.55000000000000004">
      <c r="A662">
        <v>661</v>
      </c>
      <c r="B662" s="25" t="s">
        <v>35</v>
      </c>
      <c r="C662" s="25">
        <v>25</v>
      </c>
      <c r="D662" s="25" t="s">
        <v>4060</v>
      </c>
      <c r="E662" s="25" t="s">
        <v>4072</v>
      </c>
      <c r="F662" s="25">
        <v>12.46</v>
      </c>
      <c r="G662" s="25" t="s">
        <v>1889</v>
      </c>
      <c r="H662" s="25">
        <f>4.15+2.84+5.66</f>
        <v>12.65</v>
      </c>
      <c r="I662" s="25">
        <f>4.15+2.84+5.66</f>
        <v>12.65</v>
      </c>
      <c r="J662" s="25" t="s">
        <v>1891</v>
      </c>
      <c r="L662" s="25" t="s">
        <v>213</v>
      </c>
      <c r="M662" s="25" t="s">
        <v>118</v>
      </c>
      <c r="N662" s="25" t="s">
        <v>2527</v>
      </c>
    </row>
    <row r="663" spans="1:14" x14ac:dyDescent="0.55000000000000004">
      <c r="A663">
        <v>662</v>
      </c>
      <c r="B663" s="25" t="s">
        <v>35</v>
      </c>
      <c r="C663" s="25">
        <v>25</v>
      </c>
      <c r="D663" s="25" t="s">
        <v>4060</v>
      </c>
      <c r="E663" s="25" t="s">
        <v>4073</v>
      </c>
      <c r="F663" s="25">
        <v>12.62</v>
      </c>
      <c r="G663" s="25" t="s">
        <v>1889</v>
      </c>
      <c r="H663" s="25">
        <f>3.9+4.75+4.27</f>
        <v>12.92</v>
      </c>
      <c r="I663" s="25">
        <f>3.9+4.75+4.27</f>
        <v>12.92</v>
      </c>
      <c r="J663" s="25" t="s">
        <v>1891</v>
      </c>
      <c r="N663" s="25" t="s">
        <v>2528</v>
      </c>
    </row>
    <row r="664" spans="1:14" x14ac:dyDescent="0.55000000000000004">
      <c r="A664">
        <v>663</v>
      </c>
      <c r="B664" s="25" t="s">
        <v>35</v>
      </c>
      <c r="C664" s="25">
        <v>25</v>
      </c>
      <c r="D664" s="25" t="s">
        <v>4060</v>
      </c>
      <c r="E664" s="25" t="s">
        <v>4074</v>
      </c>
      <c r="F664" s="25">
        <v>12.05</v>
      </c>
      <c r="G664" s="25" t="s">
        <v>1889</v>
      </c>
      <c r="H664" s="25">
        <f>2.25+2.93+3.81+3.37</f>
        <v>12.36</v>
      </c>
      <c r="I664" s="25">
        <f>2.25+2.93+3.81+3.37</f>
        <v>12.36</v>
      </c>
      <c r="J664" s="25" t="s">
        <v>1891</v>
      </c>
      <c r="N664" s="25" t="s">
        <v>2529</v>
      </c>
    </row>
    <row r="665" spans="1:14" x14ac:dyDescent="0.55000000000000004">
      <c r="A665">
        <v>664</v>
      </c>
      <c r="B665" s="25" t="s">
        <v>35</v>
      </c>
      <c r="C665" s="25">
        <v>25</v>
      </c>
      <c r="D665" s="25" t="s">
        <v>4060</v>
      </c>
      <c r="E665" s="25" t="s">
        <v>4075</v>
      </c>
      <c r="F665" s="25">
        <v>13.75</v>
      </c>
      <c r="G665" s="25" t="s">
        <v>1889</v>
      </c>
      <c r="H665" s="25">
        <f>11.41+2.53</f>
        <v>13.94</v>
      </c>
      <c r="I665" s="25">
        <f>11.41+2.53</f>
        <v>13.94</v>
      </c>
      <c r="J665" s="25" t="s">
        <v>1891</v>
      </c>
      <c r="N665" s="25" t="s">
        <v>2530</v>
      </c>
    </row>
    <row r="666" spans="1:14" x14ac:dyDescent="0.55000000000000004">
      <c r="A666">
        <v>665</v>
      </c>
      <c r="B666" s="25" t="s">
        <v>35</v>
      </c>
      <c r="C666" s="25">
        <v>25</v>
      </c>
      <c r="D666" s="25" t="s">
        <v>4060</v>
      </c>
      <c r="E666" s="25" t="s">
        <v>4076</v>
      </c>
      <c r="F666" s="25">
        <v>12.63</v>
      </c>
      <c r="G666" s="25" t="s">
        <v>1889</v>
      </c>
      <c r="H666" s="25">
        <f>2.95+2.31+1.6+2.64+3.65</f>
        <v>13.15</v>
      </c>
      <c r="I666" s="25">
        <f>2.95+2.31+1.6+2.64+3.65</f>
        <v>13.15</v>
      </c>
      <c r="J666" s="25" t="s">
        <v>1891</v>
      </c>
      <c r="N666" s="25" t="s">
        <v>2531</v>
      </c>
    </row>
    <row r="667" spans="1:14" x14ac:dyDescent="0.55000000000000004">
      <c r="A667">
        <v>666</v>
      </c>
      <c r="B667" s="25" t="s">
        <v>35</v>
      </c>
      <c r="C667" s="25">
        <v>25</v>
      </c>
      <c r="D667" s="25" t="s">
        <v>4060</v>
      </c>
      <c r="E667" s="25" t="s">
        <v>4077</v>
      </c>
      <c r="F667" s="25">
        <v>13.2</v>
      </c>
      <c r="G667" s="25" t="s">
        <v>1889</v>
      </c>
      <c r="H667" s="25">
        <f>3.36+4.91+1.8+3.5</f>
        <v>13.57</v>
      </c>
      <c r="I667" s="25">
        <f>3.36+4.91+1.8+3.5</f>
        <v>13.57</v>
      </c>
      <c r="J667" s="25" t="s">
        <v>1891</v>
      </c>
      <c r="N667" s="25" t="s">
        <v>2532</v>
      </c>
    </row>
    <row r="668" spans="1:14" x14ac:dyDescent="0.55000000000000004">
      <c r="A668">
        <v>667</v>
      </c>
      <c r="B668" s="25" t="s">
        <v>35</v>
      </c>
      <c r="C668" s="25">
        <v>25</v>
      </c>
      <c r="D668" s="25" t="s">
        <v>4060</v>
      </c>
      <c r="E668" s="25" t="s">
        <v>4078</v>
      </c>
      <c r="F668" s="25">
        <v>12.84</v>
      </c>
      <c r="G668" s="25" t="s">
        <v>1889</v>
      </c>
      <c r="H668" s="25">
        <f>4.5+3.07+1.88+3.97</f>
        <v>13.42</v>
      </c>
      <c r="I668" s="25">
        <f>4.5+3.07+1.88+3.97</f>
        <v>13.42</v>
      </c>
      <c r="J668" s="25" t="s">
        <v>1891</v>
      </c>
      <c r="N668" s="25" t="s">
        <v>2533</v>
      </c>
    </row>
    <row r="669" spans="1:14" x14ac:dyDescent="0.55000000000000004">
      <c r="A669">
        <v>668</v>
      </c>
      <c r="B669" s="25" t="s">
        <v>35</v>
      </c>
      <c r="C669" s="25">
        <v>25</v>
      </c>
      <c r="D669" s="25" t="s">
        <v>4060</v>
      </c>
      <c r="E669" s="25" t="s">
        <v>4079</v>
      </c>
      <c r="F669" s="25">
        <v>12.35</v>
      </c>
      <c r="G669" s="25" t="s">
        <v>1889</v>
      </c>
      <c r="H669" s="25">
        <f>2.49+10.55</f>
        <v>13.040000000000001</v>
      </c>
      <c r="I669" s="25">
        <f>2.49+10.55</f>
        <v>13.040000000000001</v>
      </c>
      <c r="J669" s="25" t="s">
        <v>1891</v>
      </c>
      <c r="N669" s="25" t="s">
        <v>2534</v>
      </c>
    </row>
    <row r="670" spans="1:14" x14ac:dyDescent="0.55000000000000004">
      <c r="A670">
        <v>669</v>
      </c>
      <c r="B670" s="25" t="s">
        <v>35</v>
      </c>
      <c r="C670" s="25">
        <v>25</v>
      </c>
      <c r="D670" s="25" t="s">
        <v>4060</v>
      </c>
      <c r="E670" s="25" t="s">
        <v>4080</v>
      </c>
      <c r="F670" s="25">
        <v>13.13</v>
      </c>
      <c r="G670" s="25" t="s">
        <v>1889</v>
      </c>
      <c r="H670" s="25">
        <f>8+1.16+1.32+2.89</f>
        <v>13.370000000000001</v>
      </c>
      <c r="I670" s="25">
        <f>8+1.16+1.32+2.89</f>
        <v>13.370000000000001</v>
      </c>
      <c r="J670" s="25" t="s">
        <v>1891</v>
      </c>
      <c r="N670" s="25" t="s">
        <v>2535</v>
      </c>
    </row>
    <row r="671" spans="1:14" x14ac:dyDescent="0.55000000000000004">
      <c r="A671">
        <v>670</v>
      </c>
      <c r="B671" s="25" t="s">
        <v>35</v>
      </c>
      <c r="C671" s="25">
        <v>25</v>
      </c>
      <c r="D671" s="25" t="s">
        <v>4060</v>
      </c>
      <c r="E671" s="25" t="s">
        <v>4081</v>
      </c>
      <c r="F671" s="25">
        <v>11.88</v>
      </c>
      <c r="G671" s="25" t="s">
        <v>1889</v>
      </c>
      <c r="H671" s="25">
        <f>12.43</f>
        <v>12.43</v>
      </c>
      <c r="I671" s="25">
        <f>12.43</f>
        <v>12.43</v>
      </c>
      <c r="J671" s="25" t="s">
        <v>1891</v>
      </c>
      <c r="N671" s="25" t="s">
        <v>2536</v>
      </c>
    </row>
    <row r="672" spans="1:14" x14ac:dyDescent="0.55000000000000004">
      <c r="A672">
        <v>671</v>
      </c>
      <c r="B672" s="25" t="s">
        <v>35</v>
      </c>
      <c r="C672" s="25">
        <v>25</v>
      </c>
      <c r="D672" s="25" t="s">
        <v>4060</v>
      </c>
      <c r="E672" s="25" t="s">
        <v>4082</v>
      </c>
      <c r="F672" s="25">
        <v>12.86</v>
      </c>
      <c r="G672" s="25" t="s">
        <v>1889</v>
      </c>
      <c r="H672" s="25">
        <f>1.9+3.23+4.12+3.85</f>
        <v>13.1</v>
      </c>
      <c r="I672" s="25">
        <f>1.9+3.23+4.12+3.85</f>
        <v>13.1</v>
      </c>
      <c r="J672" s="25" t="s">
        <v>1891</v>
      </c>
      <c r="N672" s="25" t="s">
        <v>2537</v>
      </c>
    </row>
    <row r="673" spans="1:14" x14ac:dyDescent="0.55000000000000004">
      <c r="A673">
        <v>672</v>
      </c>
      <c r="B673" s="25" t="s">
        <v>35</v>
      </c>
      <c r="C673" s="25">
        <v>25</v>
      </c>
      <c r="D673" s="25" t="s">
        <v>4060</v>
      </c>
      <c r="E673" s="25" t="s">
        <v>4083</v>
      </c>
      <c r="F673" s="25">
        <v>11.76</v>
      </c>
      <c r="G673" s="25" t="s">
        <v>1889</v>
      </c>
      <c r="H673" s="25">
        <f>2.5+2.53+3.63+0.54+2.81</f>
        <v>12.01</v>
      </c>
      <c r="I673" s="25">
        <f>2.5+2.53+3.63+0.54+2.81</f>
        <v>12.01</v>
      </c>
      <c r="J673" s="25" t="s">
        <v>1891</v>
      </c>
      <c r="N673" s="25" t="s">
        <v>2538</v>
      </c>
    </row>
    <row r="674" spans="1:14" x14ac:dyDescent="0.55000000000000004">
      <c r="A674">
        <v>673</v>
      </c>
      <c r="B674" s="25" t="s">
        <v>35</v>
      </c>
      <c r="C674" s="25">
        <v>25</v>
      </c>
      <c r="D674" s="25" t="s">
        <v>4060</v>
      </c>
      <c r="E674" s="25" t="s">
        <v>4084</v>
      </c>
      <c r="G674" s="25" t="s">
        <v>1941</v>
      </c>
      <c r="J674" s="25" t="s">
        <v>1941</v>
      </c>
    </row>
    <row r="675" spans="1:14" x14ac:dyDescent="0.55000000000000004">
      <c r="A675">
        <v>674</v>
      </c>
      <c r="B675" s="25" t="s">
        <v>35</v>
      </c>
      <c r="C675" s="25">
        <v>25</v>
      </c>
      <c r="D675" s="25" t="s">
        <v>4060</v>
      </c>
      <c r="E675" s="25" t="s">
        <v>4085</v>
      </c>
      <c r="G675" s="25" t="s">
        <v>1941</v>
      </c>
      <c r="J675" s="25" t="s">
        <v>1941</v>
      </c>
      <c r="K675" s="25" t="str">
        <f>VLOOKUP(E676,[1]PrelimAssignPOP!$I$1:$J$947,2,FALSE)</f>
        <v>ART</v>
      </c>
    </row>
    <row r="676" spans="1:14" x14ac:dyDescent="0.55000000000000004">
      <c r="A676">
        <v>675</v>
      </c>
      <c r="B676" s="25" t="s">
        <v>36</v>
      </c>
      <c r="C676" s="25">
        <v>25</v>
      </c>
      <c r="D676" s="25" t="s">
        <v>4086</v>
      </c>
      <c r="E676" s="25" t="s">
        <v>4087</v>
      </c>
      <c r="F676" s="25">
        <v>13.85</v>
      </c>
      <c r="G676" s="25" t="s">
        <v>1889</v>
      </c>
      <c r="H676" s="25">
        <v>14.02</v>
      </c>
      <c r="I676" s="25">
        <v>14.02</v>
      </c>
      <c r="J676" s="25" t="s">
        <v>1891</v>
      </c>
      <c r="K676" s="25" t="str">
        <f>VLOOKUP(E677,[1]PrelimAssignPOP!$I$1:$J$947,2,FALSE)</f>
        <v>ART</v>
      </c>
      <c r="L676" s="25" t="s">
        <v>213</v>
      </c>
      <c r="M676" s="25" t="s">
        <v>166</v>
      </c>
      <c r="N676" s="25" t="s">
        <v>2539</v>
      </c>
    </row>
    <row r="677" spans="1:14" x14ac:dyDescent="0.55000000000000004">
      <c r="A677">
        <v>676</v>
      </c>
      <c r="B677" s="25" t="s">
        <v>36</v>
      </c>
      <c r="C677" s="25">
        <v>25</v>
      </c>
      <c r="D677" s="25" t="s">
        <v>4086</v>
      </c>
      <c r="E677" s="25" t="s">
        <v>4088</v>
      </c>
      <c r="F677" s="25">
        <v>12.21</v>
      </c>
      <c r="G677" s="25" t="s">
        <v>1889</v>
      </c>
      <c r="H677" s="25">
        <f>2.12+4.81+5.29</f>
        <v>12.219999999999999</v>
      </c>
      <c r="I677" s="25">
        <f>2.12+4.81+5.29</f>
        <v>12.219999999999999</v>
      </c>
      <c r="J677" s="25" t="s">
        <v>1891</v>
      </c>
      <c r="K677" s="25" t="str">
        <f>VLOOKUP(E678,[1]PrelimAssignPOP!$I$1:$J$947,2,FALSE)</f>
        <v>ART</v>
      </c>
      <c r="L677" s="25" t="s">
        <v>213</v>
      </c>
      <c r="M677" s="25" t="s">
        <v>167</v>
      </c>
      <c r="N677" s="25" t="s">
        <v>2540</v>
      </c>
    </row>
    <row r="678" spans="1:14" x14ac:dyDescent="0.55000000000000004">
      <c r="A678">
        <v>677</v>
      </c>
      <c r="B678" s="25" t="s">
        <v>36</v>
      </c>
      <c r="C678" s="25">
        <v>25</v>
      </c>
      <c r="D678" s="25" t="s">
        <v>4086</v>
      </c>
      <c r="E678" s="25" t="s">
        <v>4089</v>
      </c>
      <c r="F678" s="25">
        <v>11.48</v>
      </c>
      <c r="G678" s="25" t="s">
        <v>1889</v>
      </c>
      <c r="H678" s="25">
        <f>4.69+4.24+3.1</f>
        <v>12.03</v>
      </c>
      <c r="I678" s="25">
        <f>4.69+4.24+3.1</f>
        <v>12.03</v>
      </c>
      <c r="J678" s="25" t="s">
        <v>1891</v>
      </c>
      <c r="K678" s="25" t="str">
        <f>VLOOKUP(E679,[1]PrelimAssignPOP!$I$1:$J$947,2,FALSE)</f>
        <v>ART</v>
      </c>
      <c r="L678" s="25" t="s">
        <v>213</v>
      </c>
      <c r="M678" s="25" t="s">
        <v>168</v>
      </c>
      <c r="N678" s="25" t="s">
        <v>2541</v>
      </c>
    </row>
    <row r="679" spans="1:14" x14ac:dyDescent="0.55000000000000004">
      <c r="A679">
        <v>678</v>
      </c>
      <c r="B679" s="25" t="s">
        <v>36</v>
      </c>
      <c r="C679" s="25">
        <v>25</v>
      </c>
      <c r="D679" s="25" t="s">
        <v>4086</v>
      </c>
      <c r="E679" s="25" t="s">
        <v>4090</v>
      </c>
      <c r="F679" s="25">
        <v>11.72</v>
      </c>
      <c r="G679" s="25" t="s">
        <v>1889</v>
      </c>
      <c r="H679" s="25">
        <f>2.48+2.73+7.06</f>
        <v>12.27</v>
      </c>
      <c r="I679" s="25">
        <f>2.48+2.73+7.06</f>
        <v>12.27</v>
      </c>
      <c r="J679" s="25" t="s">
        <v>1891</v>
      </c>
      <c r="K679" s="25" t="str">
        <f>VLOOKUP(E680,[1]PrelimAssignPOP!$I$1:$J$947,2,FALSE)</f>
        <v>KIY</v>
      </c>
      <c r="L679" s="25" t="s">
        <v>213</v>
      </c>
      <c r="M679" s="25" t="s">
        <v>169</v>
      </c>
      <c r="N679" s="25" t="s">
        <v>2542</v>
      </c>
    </row>
    <row r="680" spans="1:14" x14ac:dyDescent="0.55000000000000004">
      <c r="A680">
        <v>679</v>
      </c>
      <c r="B680" s="25" t="s">
        <v>36</v>
      </c>
      <c r="C680" s="25">
        <v>25</v>
      </c>
      <c r="D680" s="25" t="s">
        <v>4086</v>
      </c>
      <c r="E680" s="25" t="s">
        <v>4091</v>
      </c>
      <c r="F680" s="25">
        <v>13.94</v>
      </c>
      <c r="G680" s="25" t="s">
        <v>1889</v>
      </c>
      <c r="H680" s="25">
        <f>3.41+1.83+3.13+5.78</f>
        <v>14.150000000000002</v>
      </c>
      <c r="I680" s="25">
        <f>3.41+1.83+3.13+5.78</f>
        <v>14.150000000000002</v>
      </c>
      <c r="J680" s="25" t="s">
        <v>1891</v>
      </c>
      <c r="K680" s="25" t="str">
        <f>VLOOKUP(E681,[1]PrelimAssignPOP!$I$1:$J$947,2,FALSE)</f>
        <v>ART</v>
      </c>
      <c r="L680" s="25" t="s">
        <v>213</v>
      </c>
      <c r="M680" s="25" t="s">
        <v>170</v>
      </c>
      <c r="N680" s="25" t="s">
        <v>2543</v>
      </c>
    </row>
    <row r="681" spans="1:14" x14ac:dyDescent="0.55000000000000004">
      <c r="A681">
        <v>680</v>
      </c>
      <c r="B681" s="25" t="s">
        <v>36</v>
      </c>
      <c r="C681" s="25">
        <v>25</v>
      </c>
      <c r="D681" s="25" t="s">
        <v>4086</v>
      </c>
      <c r="E681" s="25" t="s">
        <v>4092</v>
      </c>
      <c r="F681" s="25">
        <v>11.72</v>
      </c>
      <c r="G681" s="25" t="s">
        <v>1889</v>
      </c>
      <c r="H681" s="25">
        <f>2.62+3.27+6.21</f>
        <v>12.100000000000001</v>
      </c>
      <c r="I681" s="25">
        <f>2.62+3.27+6.21</f>
        <v>12.100000000000001</v>
      </c>
      <c r="J681" s="25" t="s">
        <v>1891</v>
      </c>
      <c r="K681" s="25" t="str">
        <f>VLOOKUP(E682,[1]PrelimAssignPOP!$I$1:$J$947,2,FALSE)</f>
        <v>ART</v>
      </c>
      <c r="L681" s="25" t="s">
        <v>213</v>
      </c>
      <c r="M681" s="25" t="s">
        <v>171</v>
      </c>
      <c r="N681" s="25" t="s">
        <v>2544</v>
      </c>
    </row>
    <row r="682" spans="1:14" x14ac:dyDescent="0.55000000000000004">
      <c r="A682">
        <v>681</v>
      </c>
      <c r="B682" s="25" t="s">
        <v>36</v>
      </c>
      <c r="C682" s="25">
        <v>25</v>
      </c>
      <c r="D682" s="25" t="s">
        <v>4086</v>
      </c>
      <c r="E682" s="25" t="s">
        <v>4093</v>
      </c>
      <c r="F682" s="25">
        <v>9.99</v>
      </c>
      <c r="G682" s="25" t="s">
        <v>1889</v>
      </c>
      <c r="H682" s="25">
        <f>3.08+4.25+2.68+1.06</f>
        <v>11.07</v>
      </c>
      <c r="I682" s="25">
        <f>3.08+4.25+2.68+1.06</f>
        <v>11.07</v>
      </c>
      <c r="J682" s="25" t="s">
        <v>1891</v>
      </c>
      <c r="K682" s="25" t="str">
        <f>VLOOKUP(E683,[1]PrelimAssignPOP!$I$1:$J$947,2,FALSE)</f>
        <v>ART</v>
      </c>
      <c r="L682" s="25" t="s">
        <v>213</v>
      </c>
      <c r="M682" s="25" t="s">
        <v>172</v>
      </c>
      <c r="N682" s="25" t="s">
        <v>2545</v>
      </c>
    </row>
    <row r="683" spans="1:14" x14ac:dyDescent="0.55000000000000004">
      <c r="A683">
        <v>682</v>
      </c>
      <c r="B683" s="25" t="s">
        <v>36</v>
      </c>
      <c r="C683" s="25">
        <v>25</v>
      </c>
      <c r="D683" s="25" t="s">
        <v>4086</v>
      </c>
      <c r="E683" s="25" t="s">
        <v>4094</v>
      </c>
      <c r="F683" s="25">
        <v>9.44</v>
      </c>
      <c r="G683" s="25" t="s">
        <v>1889</v>
      </c>
      <c r="H683" s="25">
        <f>4.53+3.55+1.93</f>
        <v>10.01</v>
      </c>
      <c r="I683" s="25">
        <f>4.53+3.55+1.93</f>
        <v>10.01</v>
      </c>
      <c r="J683" s="25" t="s">
        <v>1891</v>
      </c>
      <c r="K683" s="25" t="str">
        <f>VLOOKUP(E684,[1]PrelimAssignPOP!$I$1:$J$947,2,FALSE)</f>
        <v>ART</v>
      </c>
      <c r="L683" s="25" t="s">
        <v>213</v>
      </c>
      <c r="M683" s="25" t="s">
        <v>173</v>
      </c>
      <c r="N683" s="25" t="s">
        <v>2546</v>
      </c>
    </row>
    <row r="684" spans="1:14" x14ac:dyDescent="0.55000000000000004">
      <c r="A684">
        <v>683</v>
      </c>
      <c r="B684" s="25" t="s">
        <v>36</v>
      </c>
      <c r="C684" s="25">
        <v>25</v>
      </c>
      <c r="D684" s="25" t="s">
        <v>4086</v>
      </c>
      <c r="E684" s="25" t="s">
        <v>4095</v>
      </c>
      <c r="F684" s="25">
        <v>10.58</v>
      </c>
      <c r="G684" s="25" t="s">
        <v>1889</v>
      </c>
      <c r="H684" s="25">
        <f>3.48+3.98+3.51</f>
        <v>10.969999999999999</v>
      </c>
      <c r="I684" s="25">
        <f>3.48+3.98+3.51</f>
        <v>10.969999999999999</v>
      </c>
      <c r="J684" s="25" t="s">
        <v>1891</v>
      </c>
      <c r="K684" s="25" t="str">
        <f>VLOOKUP(E685,[1]PrelimAssignPOP!$I$1:$J$947,2,FALSE)</f>
        <v>ART</v>
      </c>
      <c r="L684" s="25" t="s">
        <v>213</v>
      </c>
      <c r="M684" s="25" t="s">
        <v>174</v>
      </c>
      <c r="N684" s="25" t="s">
        <v>2547</v>
      </c>
    </row>
    <row r="685" spans="1:14" x14ac:dyDescent="0.55000000000000004">
      <c r="A685">
        <v>684</v>
      </c>
      <c r="B685" s="25" t="s">
        <v>36</v>
      </c>
      <c r="C685" s="25">
        <v>25</v>
      </c>
      <c r="D685" s="25" t="s">
        <v>4086</v>
      </c>
      <c r="E685" s="25" t="s">
        <v>4096</v>
      </c>
      <c r="F685" s="25">
        <v>10.77</v>
      </c>
      <c r="G685" s="25" t="s">
        <v>1889</v>
      </c>
      <c r="H685" s="27">
        <f>5.05+3.28+3.09</f>
        <v>11.42</v>
      </c>
      <c r="I685" s="27">
        <f>5.05+3.28+3.09</f>
        <v>11.42</v>
      </c>
      <c r="J685" s="25" t="s">
        <v>1891</v>
      </c>
      <c r="K685" s="25" t="str">
        <f>VLOOKUP(E686,[1]PrelimAssignPOP!$I$1:$J$947,2,FALSE)</f>
        <v>ART</v>
      </c>
      <c r="L685" s="25" t="s">
        <v>213</v>
      </c>
      <c r="M685" s="25" t="s">
        <v>175</v>
      </c>
      <c r="N685" s="25" t="s">
        <v>2548</v>
      </c>
    </row>
    <row r="686" spans="1:14" x14ac:dyDescent="0.55000000000000004">
      <c r="A686">
        <v>685</v>
      </c>
      <c r="B686" s="25" t="s">
        <v>36</v>
      </c>
      <c r="C686" s="25">
        <v>25</v>
      </c>
      <c r="D686" s="25" t="s">
        <v>4086</v>
      </c>
      <c r="E686" s="25" t="s">
        <v>4097</v>
      </c>
      <c r="F686" s="25">
        <v>10.83</v>
      </c>
      <c r="G686" s="25" t="s">
        <v>1889</v>
      </c>
      <c r="H686" s="25">
        <f>2.79+4.11+2.27+2.79</f>
        <v>11.96</v>
      </c>
      <c r="I686" s="25">
        <f>2.79+4.11+2.27+2.79</f>
        <v>11.96</v>
      </c>
      <c r="J686" s="25" t="s">
        <v>1891</v>
      </c>
      <c r="K686" s="25" t="str">
        <f>VLOOKUP(E687,[1]PrelimAssignPOP!$I$1:$J$947,2,FALSE)</f>
        <v>ART</v>
      </c>
      <c r="L686" s="25" t="s">
        <v>213</v>
      </c>
      <c r="M686" s="25" t="s">
        <v>176</v>
      </c>
      <c r="N686" s="25" t="s">
        <v>2549</v>
      </c>
    </row>
    <row r="687" spans="1:14" x14ac:dyDescent="0.55000000000000004">
      <c r="A687">
        <v>686</v>
      </c>
      <c r="B687" s="25" t="s">
        <v>36</v>
      </c>
      <c r="C687" s="25">
        <v>25</v>
      </c>
      <c r="D687" s="25" t="s">
        <v>4086</v>
      </c>
      <c r="E687" s="25" t="s">
        <v>4098</v>
      </c>
      <c r="F687" s="25">
        <v>11.58</v>
      </c>
      <c r="G687" s="25" t="s">
        <v>1889</v>
      </c>
      <c r="H687" s="25">
        <f>6.09+2.7+3.54</f>
        <v>12.329999999999998</v>
      </c>
      <c r="I687" s="25">
        <f>6.09+2.7+3.54</f>
        <v>12.329999999999998</v>
      </c>
      <c r="J687" s="25" t="s">
        <v>1891</v>
      </c>
      <c r="L687" s="25" t="s">
        <v>213</v>
      </c>
      <c r="M687" s="25" t="s">
        <v>119</v>
      </c>
      <c r="N687" s="25" t="s">
        <v>2550</v>
      </c>
    </row>
    <row r="688" spans="1:14" x14ac:dyDescent="0.55000000000000004">
      <c r="A688">
        <v>687</v>
      </c>
      <c r="B688" s="25" t="s">
        <v>36</v>
      </c>
      <c r="C688" s="25">
        <v>25</v>
      </c>
      <c r="D688" s="25" t="s">
        <v>4086</v>
      </c>
      <c r="E688" s="25" t="s">
        <v>4099</v>
      </c>
      <c r="F688" s="25">
        <v>12.3</v>
      </c>
      <c r="G688" s="25" t="s">
        <v>1889</v>
      </c>
      <c r="H688" s="25">
        <f>2.61+6.14+3.31</f>
        <v>12.06</v>
      </c>
      <c r="I688" s="25">
        <f>2.61+6.14+3.31</f>
        <v>12.06</v>
      </c>
      <c r="J688" s="25" t="s">
        <v>1891</v>
      </c>
      <c r="N688" s="25" t="s">
        <v>2551</v>
      </c>
    </row>
    <row r="689" spans="1:14" x14ac:dyDescent="0.55000000000000004">
      <c r="A689">
        <v>688</v>
      </c>
      <c r="B689" s="25" t="s">
        <v>36</v>
      </c>
      <c r="C689" s="25">
        <v>25</v>
      </c>
      <c r="D689" s="25" t="s">
        <v>4086</v>
      </c>
      <c r="E689" s="25" t="s">
        <v>4100</v>
      </c>
      <c r="F689" s="25">
        <v>11.55</v>
      </c>
      <c r="G689" s="25" t="s">
        <v>1889</v>
      </c>
      <c r="H689" s="25">
        <f>5.16+4.59+4.55</f>
        <v>14.3</v>
      </c>
      <c r="I689" s="25">
        <f>5.16+4.59+4.55</f>
        <v>14.3</v>
      </c>
      <c r="J689" s="25" t="s">
        <v>1891</v>
      </c>
      <c r="N689" s="25" t="s">
        <v>2552</v>
      </c>
    </row>
    <row r="690" spans="1:14" x14ac:dyDescent="0.55000000000000004">
      <c r="A690">
        <v>689</v>
      </c>
      <c r="B690" s="25" t="s">
        <v>36</v>
      </c>
      <c r="C690" s="25">
        <v>25</v>
      </c>
      <c r="D690" s="25" t="s">
        <v>4086</v>
      </c>
      <c r="E690" s="25" t="s">
        <v>4101</v>
      </c>
      <c r="F690" s="25">
        <v>14.13</v>
      </c>
      <c r="G690" s="25" t="s">
        <v>1889</v>
      </c>
      <c r="H690" s="25">
        <f>2.73+3.21+3.64+3.43</f>
        <v>13.01</v>
      </c>
      <c r="I690" s="25">
        <f>2.73+3.21+3.64+3.43</f>
        <v>13.01</v>
      </c>
      <c r="J690" s="25" t="s">
        <v>1891</v>
      </c>
      <c r="N690" s="25" t="s">
        <v>2553</v>
      </c>
    </row>
    <row r="691" spans="1:14" x14ac:dyDescent="0.55000000000000004">
      <c r="A691">
        <v>690</v>
      </c>
      <c r="B691" s="25" t="s">
        <v>36</v>
      </c>
      <c r="C691" s="25">
        <v>25</v>
      </c>
      <c r="D691" s="25" t="s">
        <v>4086</v>
      </c>
      <c r="E691" s="25" t="s">
        <v>4102</v>
      </c>
      <c r="F691" s="25">
        <v>12.7</v>
      </c>
      <c r="G691" s="25" t="s">
        <v>1889</v>
      </c>
      <c r="H691" s="25">
        <f>3.03+1.91+2.26+6.58</f>
        <v>13.78</v>
      </c>
      <c r="I691" s="25">
        <f>3.03+1.91+2.26+6.58</f>
        <v>13.78</v>
      </c>
      <c r="J691" s="25" t="s">
        <v>1891</v>
      </c>
      <c r="N691" s="25" t="s">
        <v>2554</v>
      </c>
    </row>
    <row r="692" spans="1:14" x14ac:dyDescent="0.55000000000000004">
      <c r="A692">
        <v>691</v>
      </c>
      <c r="B692" s="25" t="s">
        <v>36</v>
      </c>
      <c r="C692" s="25">
        <v>25</v>
      </c>
      <c r="D692" s="25" t="s">
        <v>4086</v>
      </c>
      <c r="E692" s="25" t="s">
        <v>4103</v>
      </c>
      <c r="F692" s="25">
        <v>13.07</v>
      </c>
      <c r="G692" s="25" t="s">
        <v>1889</v>
      </c>
      <c r="H692" s="25">
        <f>4.07+1.68+5.8+3.29</f>
        <v>14.84</v>
      </c>
      <c r="I692" s="25">
        <f>4.07+1.68+5.8+3.29</f>
        <v>14.84</v>
      </c>
      <c r="J692" s="25" t="s">
        <v>1891</v>
      </c>
      <c r="N692" s="25" t="s">
        <v>2555</v>
      </c>
    </row>
    <row r="693" spans="1:14" x14ac:dyDescent="0.55000000000000004">
      <c r="A693">
        <v>692</v>
      </c>
      <c r="B693" s="25" t="s">
        <v>36</v>
      </c>
      <c r="C693" s="25">
        <v>25</v>
      </c>
      <c r="D693" s="25" t="s">
        <v>4086</v>
      </c>
      <c r="E693" s="25" t="s">
        <v>4104</v>
      </c>
      <c r="F693" s="25">
        <v>14.25</v>
      </c>
      <c r="G693" s="25" t="s">
        <v>1889</v>
      </c>
      <c r="H693" s="25">
        <f>4+5.58+3.57</f>
        <v>13.15</v>
      </c>
      <c r="I693" s="25">
        <f>4+5.58+3.57</f>
        <v>13.15</v>
      </c>
      <c r="J693" s="25" t="s">
        <v>1891</v>
      </c>
      <c r="N693" s="25" t="s">
        <v>2556</v>
      </c>
    </row>
    <row r="694" spans="1:14" x14ac:dyDescent="0.55000000000000004">
      <c r="A694">
        <v>693</v>
      </c>
      <c r="B694" s="25" t="s">
        <v>36</v>
      </c>
      <c r="C694" s="25">
        <v>25</v>
      </c>
      <c r="D694" s="25" t="s">
        <v>4086</v>
      </c>
      <c r="E694" s="25" t="s">
        <v>4105</v>
      </c>
      <c r="F694" s="25">
        <v>12.78</v>
      </c>
      <c r="G694" s="25" t="s">
        <v>1889</v>
      </c>
      <c r="H694" s="25">
        <f>2.94+6.01+3.74</f>
        <v>12.69</v>
      </c>
      <c r="I694" s="25">
        <f>2.94+6.01+3.74</f>
        <v>12.69</v>
      </c>
      <c r="J694" s="25" t="s">
        <v>1891</v>
      </c>
      <c r="N694" s="25" t="s">
        <v>2557</v>
      </c>
    </row>
    <row r="695" spans="1:14" x14ac:dyDescent="0.55000000000000004">
      <c r="A695">
        <v>694</v>
      </c>
      <c r="B695" s="25" t="s">
        <v>36</v>
      </c>
      <c r="C695" s="25">
        <v>25</v>
      </c>
      <c r="D695" s="25" t="s">
        <v>4086</v>
      </c>
      <c r="E695" s="25" t="s">
        <v>4106</v>
      </c>
      <c r="F695" s="25">
        <v>12.61</v>
      </c>
      <c r="G695" s="25" t="s">
        <v>1889</v>
      </c>
      <c r="H695" s="25">
        <f>1.6+2.43+4.39+1.34+2.86</f>
        <v>12.62</v>
      </c>
      <c r="I695" s="25">
        <f>1.6+2.43+4.39+1.34+2.86</f>
        <v>12.62</v>
      </c>
      <c r="J695" s="25" t="s">
        <v>1891</v>
      </c>
      <c r="N695" s="25" t="s">
        <v>2558</v>
      </c>
    </row>
    <row r="696" spans="1:14" x14ac:dyDescent="0.55000000000000004">
      <c r="A696">
        <v>695</v>
      </c>
      <c r="B696" s="25" t="s">
        <v>36</v>
      </c>
      <c r="C696" s="25">
        <v>25</v>
      </c>
      <c r="D696" s="25" t="s">
        <v>4086</v>
      </c>
      <c r="E696" s="25" t="s">
        <v>4107</v>
      </c>
      <c r="F696" s="25">
        <v>11.53</v>
      </c>
      <c r="G696" s="25" t="s">
        <v>1889</v>
      </c>
      <c r="H696" s="25">
        <f>6.96+1.65+3.4</f>
        <v>12.01</v>
      </c>
      <c r="I696" s="25">
        <f>6.96+1.65+3.4</f>
        <v>12.01</v>
      </c>
      <c r="J696" s="25" t="s">
        <v>1891</v>
      </c>
      <c r="N696" s="25" t="s">
        <v>2559</v>
      </c>
    </row>
    <row r="697" spans="1:14" x14ac:dyDescent="0.55000000000000004">
      <c r="A697">
        <v>696</v>
      </c>
      <c r="B697" s="25" t="s">
        <v>36</v>
      </c>
      <c r="C697" s="25">
        <v>25</v>
      </c>
      <c r="D697" s="25" t="s">
        <v>4086</v>
      </c>
      <c r="E697" s="25" t="s">
        <v>4108</v>
      </c>
      <c r="F697" s="25">
        <v>11.81</v>
      </c>
      <c r="G697" s="25" t="s">
        <v>1889</v>
      </c>
      <c r="H697" s="25">
        <f>2.3+2.01+1.39+2.48+2.71</f>
        <v>10.89</v>
      </c>
      <c r="I697" s="25">
        <f>2.3+2.01+1.39+2.48+2.71</f>
        <v>10.89</v>
      </c>
      <c r="J697" s="25" t="s">
        <v>1891</v>
      </c>
      <c r="N697" s="25" t="s">
        <v>2560</v>
      </c>
    </row>
    <row r="698" spans="1:14" x14ac:dyDescent="0.55000000000000004">
      <c r="A698">
        <v>697</v>
      </c>
      <c r="B698" s="25" t="s">
        <v>36</v>
      </c>
      <c r="C698" s="25">
        <v>25</v>
      </c>
      <c r="D698" s="25" t="s">
        <v>4086</v>
      </c>
      <c r="E698" s="25" t="s">
        <v>4109</v>
      </c>
      <c r="F698" s="25">
        <v>10.46</v>
      </c>
      <c r="G698" s="25" t="s">
        <v>1889</v>
      </c>
      <c r="H698" s="25">
        <f>4.61+5.72+2.67</f>
        <v>13</v>
      </c>
      <c r="I698" s="25">
        <f>4.61+5.72+2.67</f>
        <v>13</v>
      </c>
      <c r="J698" s="25" t="s">
        <v>1891</v>
      </c>
      <c r="N698" s="25" t="s">
        <v>2561</v>
      </c>
    </row>
    <row r="699" spans="1:14" x14ac:dyDescent="0.55000000000000004">
      <c r="A699">
        <v>698</v>
      </c>
      <c r="B699" s="25" t="s">
        <v>36</v>
      </c>
      <c r="C699" s="25">
        <v>25</v>
      </c>
      <c r="D699" s="25" t="s">
        <v>4086</v>
      </c>
      <c r="E699" s="25" t="s">
        <v>4110</v>
      </c>
      <c r="F699" s="25">
        <v>12.46</v>
      </c>
      <c r="G699" s="25" t="s">
        <v>1889</v>
      </c>
      <c r="H699" s="25">
        <f>5.52+4.59+2.5</f>
        <v>12.61</v>
      </c>
      <c r="I699" s="25">
        <f>5.52+4.59+2.5</f>
        <v>12.61</v>
      </c>
      <c r="J699" s="25" t="s">
        <v>1891</v>
      </c>
      <c r="N699" s="25" t="s">
        <v>2562</v>
      </c>
    </row>
    <row r="700" spans="1:14" x14ac:dyDescent="0.55000000000000004">
      <c r="A700">
        <v>699</v>
      </c>
      <c r="B700" s="25" t="s">
        <v>36</v>
      </c>
      <c r="C700" s="25">
        <v>25</v>
      </c>
      <c r="D700" s="25" t="s">
        <v>4086</v>
      </c>
      <c r="E700" s="25" t="s">
        <v>4111</v>
      </c>
      <c r="F700" s="25">
        <v>12.27</v>
      </c>
      <c r="H700" s="25" t="s">
        <v>3911</v>
      </c>
      <c r="I700" s="25" t="s">
        <v>3911</v>
      </c>
      <c r="J700" s="25" t="s">
        <v>1891</v>
      </c>
      <c r="K700" s="25" t="str">
        <f>VLOOKUP(E701,[1]PrelimAssignPOP!$I$1:$J$947,2,FALSE)</f>
        <v>ART</v>
      </c>
      <c r="N700" s="25" t="s">
        <v>2563</v>
      </c>
    </row>
    <row r="701" spans="1:14" x14ac:dyDescent="0.55000000000000004">
      <c r="A701">
        <v>700</v>
      </c>
      <c r="B701" s="25" t="s">
        <v>37</v>
      </c>
      <c r="C701" s="25">
        <v>25</v>
      </c>
      <c r="D701" s="25" t="s">
        <v>4112</v>
      </c>
      <c r="E701" s="25" t="s">
        <v>4113</v>
      </c>
      <c r="F701" s="25">
        <v>10.17</v>
      </c>
      <c r="G701" s="25" t="s">
        <v>1889</v>
      </c>
      <c r="H701" s="25">
        <f>3.87+1.77+2.1+2.55</f>
        <v>10.29</v>
      </c>
      <c r="I701" s="25">
        <f>3.87+1.77+2.1+2.55</f>
        <v>10.29</v>
      </c>
      <c r="J701" s="25" t="s">
        <v>1891</v>
      </c>
      <c r="K701" s="25" t="str">
        <f>VLOOKUP(E702,[1]PrelimAssignPOP!$I$1:$J$947,2,FALSE)</f>
        <v>ART</v>
      </c>
      <c r="L701" s="25" t="s">
        <v>213</v>
      </c>
      <c r="M701" s="25" t="s">
        <v>177</v>
      </c>
      <c r="N701" s="25" t="s">
        <v>2564</v>
      </c>
    </row>
    <row r="702" spans="1:14" x14ac:dyDescent="0.55000000000000004">
      <c r="A702">
        <v>701</v>
      </c>
      <c r="B702" s="25" t="s">
        <v>37</v>
      </c>
      <c r="C702" s="25">
        <v>25</v>
      </c>
      <c r="D702" s="25" t="s">
        <v>4112</v>
      </c>
      <c r="E702" s="25" t="s">
        <v>4114</v>
      </c>
      <c r="F702" s="25">
        <v>10.1</v>
      </c>
      <c r="G702" s="25" t="s">
        <v>1889</v>
      </c>
      <c r="H702" s="25">
        <f>2.95+2.06+5.6</f>
        <v>10.61</v>
      </c>
      <c r="I702" s="25">
        <f>2.95+2.06+5.6</f>
        <v>10.61</v>
      </c>
      <c r="J702" s="25" t="s">
        <v>1891</v>
      </c>
      <c r="K702" s="25" t="str">
        <f>VLOOKUP(E703,[1]PrelimAssignPOP!$I$1:$J$947,2,FALSE)</f>
        <v>ART</v>
      </c>
      <c r="L702" s="25" t="s">
        <v>213</v>
      </c>
      <c r="M702" s="25" t="s">
        <v>178</v>
      </c>
      <c r="N702" s="25" t="s">
        <v>2565</v>
      </c>
    </row>
    <row r="703" spans="1:14" x14ac:dyDescent="0.55000000000000004">
      <c r="A703">
        <v>702</v>
      </c>
      <c r="B703" s="25" t="s">
        <v>37</v>
      </c>
      <c r="C703" s="25">
        <v>25</v>
      </c>
      <c r="D703" s="25" t="s">
        <v>4112</v>
      </c>
      <c r="E703" s="25" t="s">
        <v>4115</v>
      </c>
      <c r="F703" s="25">
        <v>11.38</v>
      </c>
      <c r="G703" s="25" t="s">
        <v>1889</v>
      </c>
      <c r="H703" s="25">
        <f>4.57+3.87+3.07</f>
        <v>11.510000000000002</v>
      </c>
      <c r="I703" s="25">
        <f>4.57+3.87+3.07</f>
        <v>11.510000000000002</v>
      </c>
      <c r="J703" s="25" t="s">
        <v>1891</v>
      </c>
      <c r="K703" s="25" t="str">
        <f>VLOOKUP(E704,[1]PrelimAssignPOP!$I$1:$J$947,2,FALSE)</f>
        <v>ART</v>
      </c>
      <c r="L703" s="25" t="s">
        <v>213</v>
      </c>
      <c r="M703" s="25" t="s">
        <v>179</v>
      </c>
      <c r="N703" s="25" t="s">
        <v>2566</v>
      </c>
    </row>
    <row r="704" spans="1:14" x14ac:dyDescent="0.55000000000000004">
      <c r="A704">
        <v>703</v>
      </c>
      <c r="B704" s="25" t="s">
        <v>37</v>
      </c>
      <c r="C704" s="25">
        <v>25</v>
      </c>
      <c r="D704" s="25" t="s">
        <v>4112</v>
      </c>
      <c r="E704" s="25" t="s">
        <v>4116</v>
      </c>
      <c r="F704" s="25">
        <v>12.59</v>
      </c>
      <c r="G704" s="25" t="s">
        <v>1889</v>
      </c>
      <c r="H704" s="25">
        <f>1.81+3.64+2.96+1.14+3.51</f>
        <v>13.06</v>
      </c>
      <c r="I704" s="25">
        <f>1.81+3.64+2.96+1.14+3.51</f>
        <v>13.06</v>
      </c>
      <c r="J704" s="25" t="s">
        <v>1891</v>
      </c>
      <c r="K704" s="25" t="str">
        <f>VLOOKUP(E705,[1]PrelimAssignPOP!$I$1:$J$947,2,FALSE)</f>
        <v>ART</v>
      </c>
      <c r="L704" s="25" t="s">
        <v>213</v>
      </c>
      <c r="M704" s="25" t="s">
        <v>180</v>
      </c>
      <c r="N704" s="25" t="s">
        <v>2567</v>
      </c>
    </row>
    <row r="705" spans="1:14" x14ac:dyDescent="0.55000000000000004">
      <c r="A705">
        <v>704</v>
      </c>
      <c r="B705" s="25" t="s">
        <v>37</v>
      </c>
      <c r="C705" s="25">
        <v>25</v>
      </c>
      <c r="D705" s="25" t="s">
        <v>4112</v>
      </c>
      <c r="E705" s="25" t="s">
        <v>4117</v>
      </c>
      <c r="F705" s="25">
        <v>11.35</v>
      </c>
      <c r="G705" s="25" t="s">
        <v>1889</v>
      </c>
      <c r="H705" s="25">
        <f>4.02+5.41+2.41</f>
        <v>11.84</v>
      </c>
      <c r="I705" s="25">
        <f>4.02+5.41+2.41</f>
        <v>11.84</v>
      </c>
      <c r="J705" s="25" t="s">
        <v>1891</v>
      </c>
      <c r="K705" s="25" t="str">
        <f>VLOOKUP(E706,[1]PrelimAssignPOP!$I$1:$J$947,2,FALSE)</f>
        <v>ART</v>
      </c>
      <c r="L705" s="25" t="s">
        <v>213</v>
      </c>
      <c r="M705" s="25" t="s">
        <v>181</v>
      </c>
      <c r="N705" s="25" t="s">
        <v>2568</v>
      </c>
    </row>
    <row r="706" spans="1:14" x14ac:dyDescent="0.55000000000000004">
      <c r="A706">
        <v>705</v>
      </c>
      <c r="B706" s="25" t="s">
        <v>37</v>
      </c>
      <c r="C706" s="25">
        <v>25</v>
      </c>
      <c r="D706" s="25" t="s">
        <v>4112</v>
      </c>
      <c r="E706" s="25" t="s">
        <v>4118</v>
      </c>
      <c r="F706" s="25">
        <v>11.06</v>
      </c>
      <c r="G706" s="25" t="s">
        <v>1889</v>
      </c>
      <c r="H706" s="25">
        <f>3.49+3.31+4.69</f>
        <v>11.490000000000002</v>
      </c>
      <c r="I706" s="25">
        <f>3.49+3.31+4.69</f>
        <v>11.490000000000002</v>
      </c>
      <c r="J706" s="25" t="s">
        <v>1891</v>
      </c>
      <c r="K706" s="25" t="str">
        <f>VLOOKUP(E707,[1]PrelimAssignPOP!$I$1:$J$947,2,FALSE)</f>
        <v>ART</v>
      </c>
      <c r="L706" s="25" t="s">
        <v>213</v>
      </c>
      <c r="M706" s="25" t="s">
        <v>182</v>
      </c>
      <c r="N706" s="25" t="s">
        <v>2569</v>
      </c>
    </row>
    <row r="707" spans="1:14" x14ac:dyDescent="0.55000000000000004">
      <c r="A707">
        <v>706</v>
      </c>
      <c r="B707" s="25" t="s">
        <v>37</v>
      </c>
      <c r="C707" s="25">
        <v>25</v>
      </c>
      <c r="D707" s="25" t="s">
        <v>4112</v>
      </c>
      <c r="E707" s="25" t="s">
        <v>4119</v>
      </c>
      <c r="F707" s="25">
        <v>12.03</v>
      </c>
      <c r="G707" s="25" t="s">
        <v>1889</v>
      </c>
      <c r="H707" s="25">
        <f>4.26+4.49+3.61</f>
        <v>12.36</v>
      </c>
      <c r="I707" s="25">
        <f>4.26+4.49+3.61</f>
        <v>12.36</v>
      </c>
      <c r="J707" s="25" t="s">
        <v>1891</v>
      </c>
      <c r="K707" s="25" t="str">
        <f>VLOOKUP(E708,[1]PrelimAssignPOP!$I$1:$J$947,2,FALSE)</f>
        <v>ART</v>
      </c>
      <c r="L707" s="25" t="s">
        <v>213</v>
      </c>
      <c r="M707" s="25" t="s">
        <v>183</v>
      </c>
      <c r="N707" s="25" t="s">
        <v>2570</v>
      </c>
    </row>
    <row r="708" spans="1:14" x14ac:dyDescent="0.55000000000000004">
      <c r="A708">
        <v>707</v>
      </c>
      <c r="B708" s="25" t="s">
        <v>37</v>
      </c>
      <c r="C708" s="25">
        <v>25</v>
      </c>
      <c r="D708" s="25" t="s">
        <v>4112</v>
      </c>
      <c r="E708" s="25" t="s">
        <v>4120</v>
      </c>
      <c r="F708" s="25">
        <v>13.03</v>
      </c>
      <c r="G708" s="25" t="s">
        <v>1889</v>
      </c>
      <c r="H708" s="25">
        <f>2.62+10.53</f>
        <v>13.149999999999999</v>
      </c>
      <c r="I708" s="25">
        <f>2.62+10.53</f>
        <v>13.149999999999999</v>
      </c>
      <c r="J708" s="25" t="s">
        <v>1891</v>
      </c>
      <c r="K708" s="25" t="str">
        <f>VLOOKUP(E709,[1]PrelimAssignPOP!$I$1:$J$947,2,FALSE)</f>
        <v>ART</v>
      </c>
      <c r="L708" s="25" t="s">
        <v>213</v>
      </c>
      <c r="M708" s="25" t="s">
        <v>184</v>
      </c>
      <c r="N708" s="25" t="s">
        <v>2571</v>
      </c>
    </row>
    <row r="709" spans="1:14" x14ac:dyDescent="0.55000000000000004">
      <c r="A709">
        <v>708</v>
      </c>
      <c r="B709" s="25" t="s">
        <v>37</v>
      </c>
      <c r="C709" s="25">
        <v>25</v>
      </c>
      <c r="D709" s="25" t="s">
        <v>4112</v>
      </c>
      <c r="E709" s="25" t="s">
        <v>4121</v>
      </c>
      <c r="F709" s="25">
        <v>13.56</v>
      </c>
      <c r="G709" s="25" t="s">
        <v>1889</v>
      </c>
      <c r="H709" s="25">
        <f>2.14+6.79+4.97</f>
        <v>13.899999999999999</v>
      </c>
      <c r="I709" s="25">
        <f>2.14+6.79+4.97</f>
        <v>13.899999999999999</v>
      </c>
      <c r="J709" s="25" t="s">
        <v>1891</v>
      </c>
      <c r="K709" s="25" t="str">
        <f>VLOOKUP(E710,[1]PrelimAssignPOP!$I$1:$J$947,2,FALSE)</f>
        <v>ART</v>
      </c>
      <c r="L709" s="25" t="s">
        <v>213</v>
      </c>
      <c r="M709" s="25" t="s">
        <v>185</v>
      </c>
      <c r="N709" s="25" t="s">
        <v>2572</v>
      </c>
    </row>
    <row r="710" spans="1:14" x14ac:dyDescent="0.55000000000000004">
      <c r="A710">
        <v>709</v>
      </c>
      <c r="B710" s="25" t="s">
        <v>37</v>
      </c>
      <c r="C710" s="25">
        <v>25</v>
      </c>
      <c r="D710" s="25" t="s">
        <v>4112</v>
      </c>
      <c r="E710" s="25" t="s">
        <v>4122</v>
      </c>
      <c r="F710" s="25">
        <v>11.78</v>
      </c>
      <c r="G710" s="25" t="s">
        <v>1889</v>
      </c>
      <c r="H710" s="25">
        <f>1.64+2.47+5.43+2.46</f>
        <v>12</v>
      </c>
      <c r="I710" s="25">
        <f>1.64+2.47+5.43+2.46</f>
        <v>12</v>
      </c>
      <c r="J710" s="25" t="s">
        <v>1891</v>
      </c>
      <c r="K710" s="25" t="str">
        <f>VLOOKUP(E711,[1]PrelimAssignPOP!$I$1:$J$947,2,FALSE)</f>
        <v>ART</v>
      </c>
      <c r="L710" s="25" t="s">
        <v>213</v>
      </c>
      <c r="M710" s="25" t="s">
        <v>186</v>
      </c>
      <c r="N710" s="25" t="s">
        <v>2573</v>
      </c>
    </row>
    <row r="711" spans="1:14" x14ac:dyDescent="0.55000000000000004">
      <c r="A711">
        <v>710</v>
      </c>
      <c r="B711" s="25" t="s">
        <v>37</v>
      </c>
      <c r="C711" s="25">
        <v>25</v>
      </c>
      <c r="D711" s="25" t="s">
        <v>4112</v>
      </c>
      <c r="E711" s="25" t="s">
        <v>4123</v>
      </c>
      <c r="F711" s="25">
        <v>11.07</v>
      </c>
      <c r="G711" s="25" t="s">
        <v>1889</v>
      </c>
      <c r="H711" s="25">
        <f>2.52+1.46+1.39+5.95</f>
        <v>11.32</v>
      </c>
      <c r="I711" s="25">
        <f>2.52+1.46+1.39+5.95</f>
        <v>11.32</v>
      </c>
      <c r="J711" s="25" t="s">
        <v>1891</v>
      </c>
      <c r="K711" s="25" t="str">
        <f>VLOOKUP(E712,[1]PrelimAssignPOP!$I$1:$J$947,2,FALSE)</f>
        <v>ART</v>
      </c>
      <c r="L711" s="25" t="s">
        <v>213</v>
      </c>
      <c r="M711" s="25" t="s">
        <v>187</v>
      </c>
      <c r="N711" s="25" t="s">
        <v>2574</v>
      </c>
    </row>
    <row r="712" spans="1:14" x14ac:dyDescent="0.55000000000000004">
      <c r="A712">
        <v>711</v>
      </c>
      <c r="B712" s="25" t="s">
        <v>37</v>
      </c>
      <c r="C712" s="25">
        <v>25</v>
      </c>
      <c r="D712" s="25" t="s">
        <v>4112</v>
      </c>
      <c r="E712" s="25" t="s">
        <v>4124</v>
      </c>
      <c r="F712" s="25">
        <v>12.06</v>
      </c>
      <c r="G712" s="25" t="s">
        <v>1889</v>
      </c>
      <c r="H712" s="25">
        <f>5.32+2.47+2.39+1.95</f>
        <v>12.13</v>
      </c>
      <c r="I712" s="25">
        <f>5.32+2.47+2.39+1.95</f>
        <v>12.13</v>
      </c>
      <c r="J712" s="25" t="s">
        <v>1891</v>
      </c>
      <c r="L712" s="25" t="s">
        <v>213</v>
      </c>
      <c r="M712" s="25" t="s">
        <v>120</v>
      </c>
      <c r="N712" s="25" t="s">
        <v>2575</v>
      </c>
    </row>
    <row r="713" spans="1:14" x14ac:dyDescent="0.55000000000000004">
      <c r="A713">
        <v>712</v>
      </c>
      <c r="B713" s="25" t="s">
        <v>37</v>
      </c>
      <c r="C713" s="25">
        <v>25</v>
      </c>
      <c r="D713" s="25" t="s">
        <v>4112</v>
      </c>
      <c r="E713" s="25" t="s">
        <v>4125</v>
      </c>
      <c r="F713" s="25">
        <v>12.58</v>
      </c>
      <c r="G713" s="25" t="s">
        <v>1889</v>
      </c>
      <c r="H713" s="25">
        <f>4.06+8.76</f>
        <v>12.82</v>
      </c>
      <c r="I713" s="25">
        <f>4.06+8.76</f>
        <v>12.82</v>
      </c>
      <c r="J713" s="25" t="s">
        <v>1891</v>
      </c>
      <c r="N713" s="25" t="s">
        <v>2576</v>
      </c>
    </row>
    <row r="714" spans="1:14" x14ac:dyDescent="0.55000000000000004">
      <c r="A714">
        <v>713</v>
      </c>
      <c r="B714" s="25" t="s">
        <v>37</v>
      </c>
      <c r="C714" s="25">
        <v>25</v>
      </c>
      <c r="D714" s="25" t="s">
        <v>4112</v>
      </c>
      <c r="E714" s="25" t="s">
        <v>4126</v>
      </c>
      <c r="F714" s="25">
        <v>12.27</v>
      </c>
      <c r="G714" s="25" t="s">
        <v>1889</v>
      </c>
      <c r="H714" s="25">
        <f>4.49+2.12+2.69+3.06</f>
        <v>12.360000000000001</v>
      </c>
      <c r="I714" s="25">
        <f>4.49+2.12+2.69+3.06</f>
        <v>12.360000000000001</v>
      </c>
      <c r="J714" s="25" t="s">
        <v>1891</v>
      </c>
      <c r="N714" s="25" t="s">
        <v>2577</v>
      </c>
    </row>
    <row r="715" spans="1:14" x14ac:dyDescent="0.55000000000000004">
      <c r="A715">
        <v>714</v>
      </c>
      <c r="B715" s="25" t="s">
        <v>37</v>
      </c>
      <c r="C715" s="25">
        <v>25</v>
      </c>
      <c r="D715" s="25" t="s">
        <v>4112</v>
      </c>
      <c r="E715" s="25" t="s">
        <v>4127</v>
      </c>
      <c r="F715" s="25">
        <v>12.39</v>
      </c>
      <c r="G715" s="25" t="s">
        <v>1889</v>
      </c>
      <c r="H715" s="25">
        <f>2.55+2.78+5.41+1.75</f>
        <v>12.49</v>
      </c>
      <c r="I715" s="25">
        <f>2.55+2.78+5.41+1.75</f>
        <v>12.49</v>
      </c>
      <c r="J715" s="25" t="s">
        <v>1891</v>
      </c>
      <c r="N715" s="25" t="s">
        <v>2578</v>
      </c>
    </row>
    <row r="716" spans="1:14" x14ac:dyDescent="0.55000000000000004">
      <c r="A716">
        <v>715</v>
      </c>
      <c r="B716" s="25" t="s">
        <v>37</v>
      </c>
      <c r="C716" s="25">
        <v>25</v>
      </c>
      <c r="D716" s="25" t="s">
        <v>4112</v>
      </c>
      <c r="E716" s="25" t="s">
        <v>4128</v>
      </c>
      <c r="F716" s="25">
        <v>12.78</v>
      </c>
      <c r="G716" s="25" t="s">
        <v>1889</v>
      </c>
      <c r="H716" s="25">
        <f>7.57+5.18</f>
        <v>12.75</v>
      </c>
      <c r="I716" s="25">
        <f>7.57+5.18</f>
        <v>12.75</v>
      </c>
      <c r="J716" s="25" t="s">
        <v>1891</v>
      </c>
      <c r="N716" s="25" t="s">
        <v>2579</v>
      </c>
    </row>
    <row r="717" spans="1:14" x14ac:dyDescent="0.55000000000000004">
      <c r="A717">
        <v>716</v>
      </c>
      <c r="B717" s="25" t="s">
        <v>37</v>
      </c>
      <c r="C717" s="25">
        <v>25</v>
      </c>
      <c r="D717" s="25" t="s">
        <v>4112</v>
      </c>
      <c r="E717" s="25" t="s">
        <v>4129</v>
      </c>
      <c r="F717" s="25">
        <v>12.25</v>
      </c>
      <c r="G717" s="25" t="s">
        <v>1889</v>
      </c>
      <c r="H717" s="25">
        <f>4.45+2.87+2.55+2.43</f>
        <v>12.3</v>
      </c>
      <c r="I717" s="25">
        <f>4.45+2.87+2.55+2.43</f>
        <v>12.3</v>
      </c>
      <c r="J717" s="25" t="s">
        <v>1891</v>
      </c>
      <c r="N717" s="25" t="s">
        <v>2580</v>
      </c>
    </row>
    <row r="718" spans="1:14" x14ac:dyDescent="0.55000000000000004">
      <c r="A718">
        <v>717</v>
      </c>
      <c r="B718" s="25" t="s">
        <v>37</v>
      </c>
      <c r="C718" s="25">
        <v>25</v>
      </c>
      <c r="D718" s="25" t="s">
        <v>4112</v>
      </c>
      <c r="E718" s="25" t="s">
        <v>4130</v>
      </c>
      <c r="F718" s="25">
        <v>10.5</v>
      </c>
      <c r="G718" s="25" t="s">
        <v>1889</v>
      </c>
      <c r="H718" s="25">
        <f>2.7+3.78+4.24</f>
        <v>10.72</v>
      </c>
      <c r="I718" s="25">
        <f>2.7+3.78+4.24</f>
        <v>10.72</v>
      </c>
      <c r="J718" s="25" t="s">
        <v>1891</v>
      </c>
      <c r="N718" s="25" t="s">
        <v>2581</v>
      </c>
    </row>
    <row r="719" spans="1:14" x14ac:dyDescent="0.55000000000000004">
      <c r="A719">
        <v>718</v>
      </c>
      <c r="B719" s="25" t="s">
        <v>37</v>
      </c>
      <c r="C719" s="25">
        <v>25</v>
      </c>
      <c r="D719" s="25" t="s">
        <v>4112</v>
      </c>
      <c r="E719" s="25" t="s">
        <v>4131</v>
      </c>
      <c r="F719" s="25">
        <v>11.58</v>
      </c>
      <c r="G719" s="25" t="s">
        <v>1889</v>
      </c>
      <c r="H719" s="25">
        <f>2.32+4.04+3.01+2.6</f>
        <v>11.969999999999999</v>
      </c>
      <c r="I719" s="25">
        <f>2.32+4.04+3.01+2.6</f>
        <v>11.969999999999999</v>
      </c>
      <c r="J719" s="25" t="s">
        <v>1891</v>
      </c>
      <c r="N719" s="25" t="s">
        <v>2582</v>
      </c>
    </row>
    <row r="720" spans="1:14" x14ac:dyDescent="0.55000000000000004">
      <c r="A720">
        <v>719</v>
      </c>
      <c r="B720" s="25" t="s">
        <v>37</v>
      </c>
      <c r="C720" s="25">
        <v>25</v>
      </c>
      <c r="D720" s="25" t="s">
        <v>4112</v>
      </c>
      <c r="E720" s="25" t="s">
        <v>4132</v>
      </c>
      <c r="F720" s="25">
        <v>12.31</v>
      </c>
      <c r="G720" s="25" t="s">
        <v>1889</v>
      </c>
      <c r="H720" s="25">
        <f>7.73+2.04+2.77</f>
        <v>12.54</v>
      </c>
      <c r="I720" s="25">
        <f>7.73+2.04+2.77</f>
        <v>12.54</v>
      </c>
      <c r="J720" s="25" t="s">
        <v>1891</v>
      </c>
      <c r="N720" s="25" t="s">
        <v>2583</v>
      </c>
    </row>
    <row r="721" spans="1:14" x14ac:dyDescent="0.55000000000000004">
      <c r="A721">
        <v>720</v>
      </c>
      <c r="B721" s="25" t="s">
        <v>37</v>
      </c>
      <c r="C721" s="25">
        <v>25</v>
      </c>
      <c r="D721" s="25" t="s">
        <v>4112</v>
      </c>
      <c r="E721" s="25" t="s">
        <v>4133</v>
      </c>
      <c r="F721" s="25">
        <v>13.18</v>
      </c>
      <c r="G721" s="25" t="s">
        <v>1889</v>
      </c>
      <c r="H721" s="25">
        <f>2+3.26+3.11+1.95+3.15</f>
        <v>13.469999999999999</v>
      </c>
      <c r="I721" s="25">
        <f>2+3.26+3.11+1.95+3.15</f>
        <v>13.469999999999999</v>
      </c>
      <c r="J721" s="25" t="s">
        <v>1891</v>
      </c>
      <c r="N721" s="25" t="s">
        <v>2584</v>
      </c>
    </row>
    <row r="722" spans="1:14" x14ac:dyDescent="0.55000000000000004">
      <c r="A722">
        <v>721</v>
      </c>
      <c r="B722" s="25" t="s">
        <v>37</v>
      </c>
      <c r="C722" s="25">
        <v>25</v>
      </c>
      <c r="D722" s="25" t="s">
        <v>4112</v>
      </c>
      <c r="E722" s="25" t="s">
        <v>4134</v>
      </c>
      <c r="F722" s="25">
        <v>12.3</v>
      </c>
      <c r="G722" s="25" t="s">
        <v>1889</v>
      </c>
      <c r="H722" s="25">
        <f>3.04+3.26+3.15+3.11</f>
        <v>12.559999999999999</v>
      </c>
      <c r="I722" s="25">
        <f>3.04+3.26+3.15+3.11</f>
        <v>12.559999999999999</v>
      </c>
      <c r="J722" s="25" t="s">
        <v>1891</v>
      </c>
      <c r="N722" s="25" t="s">
        <v>2585</v>
      </c>
    </row>
    <row r="723" spans="1:14" x14ac:dyDescent="0.55000000000000004">
      <c r="A723">
        <v>722</v>
      </c>
      <c r="B723" s="25" t="s">
        <v>37</v>
      </c>
      <c r="C723" s="25">
        <v>25</v>
      </c>
      <c r="D723" s="25" t="s">
        <v>4112</v>
      </c>
      <c r="E723" s="25" t="s">
        <v>4135</v>
      </c>
      <c r="F723" s="25">
        <v>12.85</v>
      </c>
      <c r="G723" s="25" t="s">
        <v>1889</v>
      </c>
      <c r="H723" s="25">
        <f>4.2+4.57+4.06</f>
        <v>12.829999999999998</v>
      </c>
      <c r="I723" s="25">
        <f>4.2+4.57+4.06</f>
        <v>12.829999999999998</v>
      </c>
      <c r="J723" s="25" t="s">
        <v>1891</v>
      </c>
      <c r="N723" s="25" t="s">
        <v>2586</v>
      </c>
    </row>
    <row r="724" spans="1:14" x14ac:dyDescent="0.55000000000000004">
      <c r="A724">
        <v>723</v>
      </c>
      <c r="B724" s="25" t="s">
        <v>37</v>
      </c>
      <c r="C724" s="25">
        <v>25</v>
      </c>
      <c r="D724" s="25" t="s">
        <v>4112</v>
      </c>
      <c r="E724" s="25" t="s">
        <v>4136</v>
      </c>
      <c r="F724" s="25">
        <v>10.84</v>
      </c>
      <c r="G724" s="25" t="s">
        <v>1889</v>
      </c>
      <c r="H724" s="25">
        <f>3.88+3.77+3.45</f>
        <v>11.100000000000001</v>
      </c>
      <c r="I724" s="25">
        <f>3.88+3.77+3.45</f>
        <v>11.100000000000001</v>
      </c>
      <c r="J724" s="25" t="s">
        <v>1891</v>
      </c>
      <c r="N724" s="25" t="s">
        <v>2587</v>
      </c>
    </row>
    <row r="725" spans="1:14" x14ac:dyDescent="0.55000000000000004">
      <c r="A725">
        <v>724</v>
      </c>
      <c r="B725" s="25" t="s">
        <v>37</v>
      </c>
      <c r="C725" s="25">
        <v>25</v>
      </c>
      <c r="D725" s="25" t="s">
        <v>4112</v>
      </c>
      <c r="E725" s="25" t="s">
        <v>4137</v>
      </c>
      <c r="F725" s="25">
        <v>10.18</v>
      </c>
      <c r="G725" s="25" t="s">
        <v>1889</v>
      </c>
      <c r="H725" s="25">
        <f>2.74+2.5+1.72+3.45</f>
        <v>10.41</v>
      </c>
      <c r="I725" s="25">
        <f>2.74+2.5+1.72+3.45</f>
        <v>10.41</v>
      </c>
      <c r="J725" s="25" t="s">
        <v>1891</v>
      </c>
      <c r="K725" s="25" t="str">
        <f>VLOOKUP(E726,[1]PrelimAssignPOP!$I$1:$J$947,2,FALSE)</f>
        <v>KIY</v>
      </c>
      <c r="N725" s="25" t="s">
        <v>2588</v>
      </c>
    </row>
    <row r="726" spans="1:14" x14ac:dyDescent="0.55000000000000004">
      <c r="A726">
        <v>725</v>
      </c>
      <c r="B726" s="25" t="s">
        <v>38</v>
      </c>
      <c r="C726" s="25">
        <v>25</v>
      </c>
      <c r="D726" s="25" t="s">
        <v>4138</v>
      </c>
      <c r="E726" s="25" t="s">
        <v>4139</v>
      </c>
      <c r="F726" s="25">
        <v>14.88</v>
      </c>
      <c r="G726" s="25" t="s">
        <v>1889</v>
      </c>
      <c r="H726" s="25">
        <f>5.22+4.63+5.36</f>
        <v>15.21</v>
      </c>
      <c r="I726" s="25">
        <f>5.22+4.63+5.36</f>
        <v>15.21</v>
      </c>
      <c r="J726" s="25" t="s">
        <v>1891</v>
      </c>
      <c r="K726" s="25" t="str">
        <f>VLOOKUP(E727,[1]PrelimAssignPOP!$I$1:$J$947,2,FALSE)</f>
        <v>KIY</v>
      </c>
      <c r="L726" s="25" t="s">
        <v>213</v>
      </c>
      <c r="M726" s="25" t="s">
        <v>188</v>
      </c>
      <c r="N726" s="25" t="s">
        <v>2589</v>
      </c>
    </row>
    <row r="727" spans="1:14" x14ac:dyDescent="0.55000000000000004">
      <c r="A727">
        <v>726</v>
      </c>
      <c r="B727" s="25" t="s">
        <v>38</v>
      </c>
      <c r="C727" s="25">
        <v>25</v>
      </c>
      <c r="D727" s="25" t="s">
        <v>4138</v>
      </c>
      <c r="E727" s="25" t="s">
        <v>4140</v>
      </c>
      <c r="F727" s="25">
        <v>12.9</v>
      </c>
      <c r="G727" s="25" t="s">
        <v>1889</v>
      </c>
      <c r="H727" s="25">
        <f>4.67+5.2+3.27</f>
        <v>13.14</v>
      </c>
      <c r="I727" s="25">
        <f>4.67+5.2+3.27</f>
        <v>13.14</v>
      </c>
      <c r="J727" s="25" t="s">
        <v>1891</v>
      </c>
      <c r="K727" s="25" t="str">
        <f>VLOOKUP(E728,[1]PrelimAssignPOP!$I$1:$J$947,2,FALSE)</f>
        <v>KIY</v>
      </c>
      <c r="L727" s="25" t="s">
        <v>213</v>
      </c>
      <c r="M727" s="25" t="s">
        <v>189</v>
      </c>
      <c r="N727" s="25" t="s">
        <v>2590</v>
      </c>
    </row>
    <row r="728" spans="1:14" x14ac:dyDescent="0.55000000000000004">
      <c r="A728">
        <v>727</v>
      </c>
      <c r="B728" s="25" t="s">
        <v>38</v>
      </c>
      <c r="C728" s="25">
        <v>25</v>
      </c>
      <c r="D728" s="25" t="s">
        <v>4138</v>
      </c>
      <c r="E728" s="25" t="s">
        <v>4141</v>
      </c>
      <c r="F728" s="25">
        <v>13.48</v>
      </c>
      <c r="G728" s="25" t="s">
        <v>1889</v>
      </c>
      <c r="H728" s="25">
        <f>2.65+2.42+2.67+2.7+3.31</f>
        <v>13.750000000000002</v>
      </c>
      <c r="I728" s="25">
        <f>2.65+2.42+2.67+2.7+3.31</f>
        <v>13.750000000000002</v>
      </c>
      <c r="J728" s="25" t="s">
        <v>1891</v>
      </c>
      <c r="K728" s="25" t="str">
        <f>VLOOKUP(E729,[1]PrelimAssignPOP!$I$1:$J$947,2,FALSE)</f>
        <v>KIY</v>
      </c>
      <c r="L728" s="25" t="s">
        <v>213</v>
      </c>
      <c r="M728" s="25" t="s">
        <v>190</v>
      </c>
      <c r="N728" s="25" t="s">
        <v>2591</v>
      </c>
    </row>
    <row r="729" spans="1:14" x14ac:dyDescent="0.55000000000000004">
      <c r="A729">
        <v>728</v>
      </c>
      <c r="B729" s="25" t="s">
        <v>38</v>
      </c>
      <c r="C729" s="25">
        <v>25</v>
      </c>
      <c r="D729" s="25" t="s">
        <v>4138</v>
      </c>
      <c r="E729" s="25" t="s">
        <v>4142</v>
      </c>
      <c r="F729" s="25">
        <v>13.72</v>
      </c>
      <c r="G729" s="25" t="s">
        <v>1889</v>
      </c>
      <c r="H729" s="25">
        <v>14.26</v>
      </c>
      <c r="I729" s="25">
        <v>14.26</v>
      </c>
      <c r="J729" s="25" t="s">
        <v>1891</v>
      </c>
      <c r="K729" s="25" t="str">
        <f>VLOOKUP(E730,[1]PrelimAssignPOP!$I$1:$J$947,2,FALSE)</f>
        <v>KIY</v>
      </c>
      <c r="L729" s="25" t="s">
        <v>213</v>
      </c>
      <c r="M729" s="25" t="s">
        <v>191</v>
      </c>
      <c r="N729" s="25" t="s">
        <v>2592</v>
      </c>
    </row>
    <row r="730" spans="1:14" x14ac:dyDescent="0.55000000000000004">
      <c r="A730">
        <v>729</v>
      </c>
      <c r="B730" s="25" t="s">
        <v>38</v>
      </c>
      <c r="C730" s="25">
        <v>25</v>
      </c>
      <c r="D730" s="25" t="s">
        <v>4138</v>
      </c>
      <c r="E730" s="25" t="s">
        <v>4143</v>
      </c>
      <c r="F730" s="25">
        <v>13.98</v>
      </c>
      <c r="G730" s="25" t="s">
        <v>1889</v>
      </c>
      <c r="H730" s="25">
        <f>5.99+3.83+1.1+3.41</f>
        <v>14.33</v>
      </c>
      <c r="I730" s="25">
        <f>5.99+3.83+1.1+3.41</f>
        <v>14.33</v>
      </c>
      <c r="J730" s="25" t="s">
        <v>1891</v>
      </c>
      <c r="K730" s="25" t="str">
        <f>VLOOKUP(E731,[1]PrelimAssignPOP!$I$1:$J$947,2,FALSE)</f>
        <v>KIY</v>
      </c>
      <c r="L730" s="25" t="s">
        <v>213</v>
      </c>
      <c r="M730" s="25" t="s">
        <v>192</v>
      </c>
      <c r="N730" s="25" t="s">
        <v>2593</v>
      </c>
    </row>
    <row r="731" spans="1:14" x14ac:dyDescent="0.55000000000000004">
      <c r="A731">
        <v>730</v>
      </c>
      <c r="B731" s="25" t="s">
        <v>38</v>
      </c>
      <c r="C731" s="25">
        <v>25</v>
      </c>
      <c r="D731" s="25" t="s">
        <v>4138</v>
      </c>
      <c r="E731" s="25" t="s">
        <v>4144</v>
      </c>
      <c r="F731" s="25">
        <v>12.87</v>
      </c>
      <c r="G731" s="25" t="s">
        <v>1889</v>
      </c>
      <c r="H731" s="25">
        <f>6.08+3.94+3.65</f>
        <v>13.67</v>
      </c>
      <c r="I731" s="25">
        <f>6.08+3.94+3.65</f>
        <v>13.67</v>
      </c>
      <c r="J731" s="25" t="s">
        <v>1891</v>
      </c>
      <c r="K731" s="25" t="str">
        <f>VLOOKUP(E732,[1]PrelimAssignPOP!$I$1:$J$947,2,FALSE)</f>
        <v>KIY</v>
      </c>
      <c r="L731" s="25" t="s">
        <v>213</v>
      </c>
      <c r="M731" s="25" t="s">
        <v>193</v>
      </c>
      <c r="N731" s="25" t="s">
        <v>2594</v>
      </c>
    </row>
    <row r="732" spans="1:14" x14ac:dyDescent="0.55000000000000004">
      <c r="A732">
        <v>731</v>
      </c>
      <c r="B732" s="25" t="s">
        <v>38</v>
      </c>
      <c r="C732" s="25">
        <v>25</v>
      </c>
      <c r="D732" s="25" t="s">
        <v>4138</v>
      </c>
      <c r="E732" s="25" t="s">
        <v>4145</v>
      </c>
      <c r="F732" s="25">
        <v>12.5</v>
      </c>
      <c r="G732" s="25" t="s">
        <v>1889</v>
      </c>
      <c r="H732" s="25">
        <f>5.26+2.07+2.39+3.16</f>
        <v>12.88</v>
      </c>
      <c r="I732" s="25">
        <f>5.26+2.07+2.39+3.16</f>
        <v>12.88</v>
      </c>
      <c r="J732" s="25" t="s">
        <v>1891</v>
      </c>
      <c r="K732" s="25" t="str">
        <f>VLOOKUP(E733,[1]PrelimAssignPOP!$I$1:$J$947,2,FALSE)</f>
        <v>ART</v>
      </c>
      <c r="L732" s="25" t="s">
        <v>213</v>
      </c>
      <c r="M732" s="25" t="s">
        <v>194</v>
      </c>
      <c r="N732" s="25" t="s">
        <v>2595</v>
      </c>
    </row>
    <row r="733" spans="1:14" x14ac:dyDescent="0.55000000000000004">
      <c r="A733">
        <v>732</v>
      </c>
      <c r="B733" s="25" t="s">
        <v>38</v>
      </c>
      <c r="C733" s="25">
        <v>25</v>
      </c>
      <c r="D733" s="25" t="s">
        <v>4138</v>
      </c>
      <c r="E733" s="25" t="s">
        <v>4146</v>
      </c>
      <c r="F733" s="25">
        <v>11.24</v>
      </c>
      <c r="G733" s="25" t="s">
        <v>1889</v>
      </c>
      <c r="H733" s="25">
        <f>2.59+3.47+2.65+2.89</f>
        <v>11.600000000000001</v>
      </c>
      <c r="I733" s="25">
        <f>2.59+3.47+2.65+2.89</f>
        <v>11.600000000000001</v>
      </c>
      <c r="J733" s="25" t="s">
        <v>1891</v>
      </c>
      <c r="K733" s="25" t="str">
        <f>VLOOKUP(E734,[1]PrelimAssignPOP!$I$1:$J$947,2,FALSE)</f>
        <v>KIY</v>
      </c>
      <c r="L733" s="25" t="s">
        <v>213</v>
      </c>
      <c r="M733" s="25" t="s">
        <v>195</v>
      </c>
      <c r="N733" s="25" t="s">
        <v>2596</v>
      </c>
    </row>
    <row r="734" spans="1:14" x14ac:dyDescent="0.55000000000000004">
      <c r="A734">
        <v>733</v>
      </c>
      <c r="B734" s="25" t="s">
        <v>38</v>
      </c>
      <c r="C734" s="25">
        <v>25</v>
      </c>
      <c r="D734" s="25" t="s">
        <v>4138</v>
      </c>
      <c r="E734" s="25" t="s">
        <v>4147</v>
      </c>
      <c r="F734" s="25">
        <v>14.82</v>
      </c>
      <c r="G734" s="25" t="s">
        <v>1889</v>
      </c>
      <c r="H734" s="25">
        <f>3.7+3.97+3.47+4.23</f>
        <v>15.370000000000001</v>
      </c>
      <c r="I734" s="25">
        <f>3.7+3.97+3.47+4.23</f>
        <v>15.370000000000001</v>
      </c>
      <c r="J734" s="25" t="s">
        <v>1891</v>
      </c>
      <c r="K734" s="25" t="str">
        <f>VLOOKUP(E735,[1]PrelimAssignPOP!$I$1:$J$947,2,FALSE)</f>
        <v>ART</v>
      </c>
      <c r="L734" s="25" t="s">
        <v>213</v>
      </c>
      <c r="M734" s="25" t="s">
        <v>196</v>
      </c>
      <c r="N734" s="25" t="s">
        <v>2597</v>
      </c>
    </row>
    <row r="735" spans="1:14" x14ac:dyDescent="0.55000000000000004">
      <c r="A735">
        <v>734</v>
      </c>
      <c r="B735" s="25" t="s">
        <v>38</v>
      </c>
      <c r="C735" s="25">
        <v>25</v>
      </c>
      <c r="D735" s="25" t="s">
        <v>4138</v>
      </c>
      <c r="E735" s="25" t="s">
        <v>4148</v>
      </c>
      <c r="F735" s="25">
        <v>12.74</v>
      </c>
      <c r="G735" s="25" t="s">
        <v>1889</v>
      </c>
      <c r="H735" s="25">
        <f>3.06+4.23+4.25+2.03</f>
        <v>13.57</v>
      </c>
      <c r="I735" s="25">
        <f>3.06+4.23+4.25+2.03</f>
        <v>13.57</v>
      </c>
      <c r="J735" s="25" t="s">
        <v>1891</v>
      </c>
      <c r="K735" s="25" t="str">
        <f>VLOOKUP(E736,[1]PrelimAssignPOP!$I$1:$J$947,2,FALSE)</f>
        <v>KIY</v>
      </c>
      <c r="L735" s="25" t="s">
        <v>213</v>
      </c>
      <c r="M735" s="25" t="s">
        <v>197</v>
      </c>
      <c r="N735" s="25" t="s">
        <v>2598</v>
      </c>
    </row>
    <row r="736" spans="1:14" x14ac:dyDescent="0.55000000000000004">
      <c r="A736">
        <v>735</v>
      </c>
      <c r="B736" s="25" t="s">
        <v>38</v>
      </c>
      <c r="C736" s="25">
        <v>25</v>
      </c>
      <c r="D736" s="25" t="s">
        <v>4138</v>
      </c>
      <c r="E736" s="25" t="s">
        <v>4149</v>
      </c>
      <c r="F736" s="25">
        <v>12.99</v>
      </c>
      <c r="G736" s="25" t="s">
        <v>1889</v>
      </c>
      <c r="H736" s="25">
        <f>2.28+5.88+5.1</f>
        <v>13.26</v>
      </c>
      <c r="I736" s="25">
        <f>2.28+5.88+5.1</f>
        <v>13.26</v>
      </c>
      <c r="J736" s="25" t="s">
        <v>1891</v>
      </c>
      <c r="K736" s="25" t="str">
        <f>VLOOKUP(E737,[1]PrelimAssignPOP!$I$1:$J$947,2,FALSE)</f>
        <v>KIY</v>
      </c>
      <c r="L736" s="25" t="s">
        <v>213</v>
      </c>
      <c r="M736" s="25" t="s">
        <v>198</v>
      </c>
      <c r="N736" s="25" t="s">
        <v>2599</v>
      </c>
    </row>
    <row r="737" spans="1:14" x14ac:dyDescent="0.55000000000000004">
      <c r="A737">
        <v>736</v>
      </c>
      <c r="B737" s="25" t="s">
        <v>38</v>
      </c>
      <c r="C737" s="25">
        <v>25</v>
      </c>
      <c r="D737" s="25" t="s">
        <v>4138</v>
      </c>
      <c r="E737" s="25" t="s">
        <v>4150</v>
      </c>
      <c r="F737" s="25">
        <v>15.04</v>
      </c>
      <c r="G737" s="25" t="s">
        <v>1889</v>
      </c>
      <c r="H737" s="25">
        <f>2.23+2.51+7.85+2.8</f>
        <v>15.39</v>
      </c>
      <c r="I737" s="25">
        <f>2.23+2.51+7.85+2.8</f>
        <v>15.39</v>
      </c>
      <c r="J737" s="25" t="s">
        <v>1891</v>
      </c>
      <c r="L737" s="25" t="s">
        <v>213</v>
      </c>
      <c r="M737" s="25" t="s">
        <v>121</v>
      </c>
      <c r="N737" s="25" t="s">
        <v>2600</v>
      </c>
    </row>
    <row r="738" spans="1:14" x14ac:dyDescent="0.55000000000000004">
      <c r="A738">
        <v>737</v>
      </c>
      <c r="B738" s="25" t="s">
        <v>38</v>
      </c>
      <c r="C738" s="25">
        <v>25</v>
      </c>
      <c r="D738" s="25" t="s">
        <v>4138</v>
      </c>
      <c r="E738" s="25" t="s">
        <v>4151</v>
      </c>
      <c r="F738" s="25">
        <v>12.34</v>
      </c>
      <c r="G738" s="25" t="s">
        <v>1889</v>
      </c>
      <c r="H738" s="25">
        <f>3.5+3.25+3.25+3.3</f>
        <v>13.3</v>
      </c>
      <c r="I738" s="25">
        <f>3.5+3.25+3.25+3.3</f>
        <v>13.3</v>
      </c>
      <c r="J738" s="25" t="s">
        <v>1891</v>
      </c>
      <c r="N738" s="25" t="s">
        <v>2601</v>
      </c>
    </row>
    <row r="739" spans="1:14" x14ac:dyDescent="0.55000000000000004">
      <c r="A739">
        <v>738</v>
      </c>
      <c r="B739" s="25" t="s">
        <v>38</v>
      </c>
      <c r="C739" s="25">
        <v>25</v>
      </c>
      <c r="D739" s="25" t="s">
        <v>4138</v>
      </c>
      <c r="E739" s="25" t="s">
        <v>4152</v>
      </c>
      <c r="F739" s="25">
        <v>11.48</v>
      </c>
      <c r="G739" s="25" t="s">
        <v>1889</v>
      </c>
      <c r="H739" s="25">
        <f>2.37+5.32+4.16</f>
        <v>11.850000000000001</v>
      </c>
      <c r="I739" s="25">
        <f>2.37+5.32+4.16</f>
        <v>11.850000000000001</v>
      </c>
      <c r="J739" s="25" t="s">
        <v>1891</v>
      </c>
      <c r="N739" s="25" t="s">
        <v>2602</v>
      </c>
    </row>
    <row r="740" spans="1:14" x14ac:dyDescent="0.55000000000000004">
      <c r="A740">
        <v>739</v>
      </c>
      <c r="B740" s="25" t="s">
        <v>38</v>
      </c>
      <c r="C740" s="25">
        <v>25</v>
      </c>
      <c r="D740" s="25" t="s">
        <v>4138</v>
      </c>
      <c r="E740" s="25" t="s">
        <v>4153</v>
      </c>
      <c r="F740" s="25">
        <v>12.67</v>
      </c>
      <c r="G740" s="25" t="s">
        <v>1889</v>
      </c>
      <c r="H740" s="25">
        <f>5.82+2.73+2.78+1.8</f>
        <v>13.13</v>
      </c>
      <c r="I740" s="25">
        <f>5.82+2.73+2.78+1.8</f>
        <v>13.13</v>
      </c>
      <c r="J740" s="25" t="s">
        <v>1891</v>
      </c>
      <c r="N740" s="25" t="s">
        <v>2603</v>
      </c>
    </row>
    <row r="741" spans="1:14" x14ac:dyDescent="0.55000000000000004">
      <c r="A741">
        <v>740</v>
      </c>
      <c r="B741" s="25" t="s">
        <v>38</v>
      </c>
      <c r="C741" s="25">
        <v>25</v>
      </c>
      <c r="D741" s="25" t="s">
        <v>4138</v>
      </c>
      <c r="E741" s="25" t="s">
        <v>4154</v>
      </c>
      <c r="F741" s="25">
        <v>12.52</v>
      </c>
      <c r="G741" s="25" t="s">
        <v>1889</v>
      </c>
      <c r="H741" s="25">
        <f>3.25+3.24+6.17</f>
        <v>12.66</v>
      </c>
      <c r="I741" s="25">
        <f>3.25+3.24+6.17</f>
        <v>12.66</v>
      </c>
      <c r="J741" s="25" t="s">
        <v>1891</v>
      </c>
      <c r="N741" s="25" t="s">
        <v>2604</v>
      </c>
    </row>
    <row r="742" spans="1:14" x14ac:dyDescent="0.55000000000000004">
      <c r="A742">
        <v>741</v>
      </c>
      <c r="B742" s="25" t="s">
        <v>38</v>
      </c>
      <c r="C742" s="25">
        <v>25</v>
      </c>
      <c r="D742" s="25" t="s">
        <v>4138</v>
      </c>
      <c r="E742" s="25" t="s">
        <v>4155</v>
      </c>
      <c r="F742" s="25">
        <v>12.41</v>
      </c>
      <c r="G742" s="25" t="s">
        <v>1889</v>
      </c>
      <c r="H742" s="25">
        <f>2.66+2.47+4.52+3.24</f>
        <v>12.89</v>
      </c>
      <c r="I742" s="25">
        <f>2.66+2.47+4.52+3.24</f>
        <v>12.89</v>
      </c>
      <c r="J742" s="25" t="s">
        <v>1891</v>
      </c>
      <c r="N742" s="25" t="s">
        <v>2605</v>
      </c>
    </row>
    <row r="743" spans="1:14" x14ac:dyDescent="0.55000000000000004">
      <c r="A743">
        <v>742</v>
      </c>
      <c r="B743" s="25" t="s">
        <v>38</v>
      </c>
      <c r="C743" s="25">
        <v>25</v>
      </c>
      <c r="D743" s="25" t="s">
        <v>4138</v>
      </c>
      <c r="E743" s="25" t="s">
        <v>4156</v>
      </c>
      <c r="F743" s="25">
        <v>14.14</v>
      </c>
      <c r="G743" s="25" t="s">
        <v>1889</v>
      </c>
      <c r="H743" s="25">
        <f>2.55+3.41+4.62+4.19</f>
        <v>14.77</v>
      </c>
      <c r="I743" s="25">
        <f>2.55+3.41+4.62+4.19</f>
        <v>14.77</v>
      </c>
      <c r="J743" s="25" t="s">
        <v>1891</v>
      </c>
      <c r="N743" s="25" t="s">
        <v>2606</v>
      </c>
    </row>
    <row r="744" spans="1:14" x14ac:dyDescent="0.55000000000000004">
      <c r="A744">
        <v>743</v>
      </c>
      <c r="B744" s="25" t="s">
        <v>38</v>
      </c>
      <c r="C744" s="25">
        <v>25</v>
      </c>
      <c r="D744" s="25" t="s">
        <v>4138</v>
      </c>
      <c r="E744" s="25" t="s">
        <v>4157</v>
      </c>
      <c r="F744" s="25">
        <v>14.34</v>
      </c>
      <c r="G744" s="25" t="s">
        <v>1889</v>
      </c>
      <c r="H744" s="25">
        <f>5.69+5.66+3.46</f>
        <v>14.810000000000002</v>
      </c>
      <c r="I744" s="25">
        <f>5.69+5.66+3.46</f>
        <v>14.810000000000002</v>
      </c>
      <c r="J744" s="25" t="s">
        <v>1891</v>
      </c>
      <c r="N744" s="25" t="s">
        <v>2607</v>
      </c>
    </row>
    <row r="745" spans="1:14" x14ac:dyDescent="0.55000000000000004">
      <c r="A745">
        <v>744</v>
      </c>
      <c r="B745" s="25" t="s">
        <v>38</v>
      </c>
      <c r="C745" s="25">
        <v>25</v>
      </c>
      <c r="D745" s="25" t="s">
        <v>4138</v>
      </c>
      <c r="E745" s="25" t="s">
        <v>4158</v>
      </c>
      <c r="F745" s="25">
        <v>14.17</v>
      </c>
      <c r="G745" s="25" t="s">
        <v>1889</v>
      </c>
      <c r="H745" s="25">
        <f>2.48+8.34+3.75</f>
        <v>14.57</v>
      </c>
      <c r="I745" s="25">
        <f>2.48+8.34+3.75</f>
        <v>14.57</v>
      </c>
      <c r="J745" s="25" t="s">
        <v>1891</v>
      </c>
      <c r="N745" s="25" t="s">
        <v>2608</v>
      </c>
    </row>
    <row r="746" spans="1:14" x14ac:dyDescent="0.55000000000000004">
      <c r="A746">
        <v>745</v>
      </c>
      <c r="B746" s="25" t="s">
        <v>38</v>
      </c>
      <c r="C746" s="25">
        <v>25</v>
      </c>
      <c r="D746" s="25" t="s">
        <v>4138</v>
      </c>
      <c r="E746" s="25" t="s">
        <v>4159</v>
      </c>
      <c r="F746" s="25">
        <v>10.89</v>
      </c>
      <c r="G746" s="25" t="s">
        <v>1889</v>
      </c>
      <c r="H746" s="25">
        <f>2.62+1.47+5.08+2.26</f>
        <v>11.43</v>
      </c>
      <c r="I746" s="25">
        <f>2.62+1.47+5.08+2.26</f>
        <v>11.43</v>
      </c>
      <c r="J746" s="25" t="s">
        <v>1891</v>
      </c>
      <c r="N746" s="25" t="s">
        <v>2609</v>
      </c>
    </row>
    <row r="747" spans="1:14" x14ac:dyDescent="0.55000000000000004">
      <c r="A747">
        <v>746</v>
      </c>
      <c r="B747" s="25" t="s">
        <v>38</v>
      </c>
      <c r="C747" s="25">
        <v>25</v>
      </c>
      <c r="D747" s="25" t="s">
        <v>4138</v>
      </c>
      <c r="E747" s="25" t="s">
        <v>4160</v>
      </c>
      <c r="F747" s="25">
        <v>13.3</v>
      </c>
      <c r="G747" s="25" t="s">
        <v>1889</v>
      </c>
      <c r="H747" s="25">
        <f>4.16+2.55+1.51+1.99+3.53</f>
        <v>13.74</v>
      </c>
      <c r="I747" s="25">
        <f>4.16+2.55+1.51+1.99+3.53</f>
        <v>13.74</v>
      </c>
      <c r="J747" s="25" t="s">
        <v>1891</v>
      </c>
      <c r="N747" s="25" t="s">
        <v>2610</v>
      </c>
    </row>
    <row r="748" spans="1:14" x14ac:dyDescent="0.55000000000000004">
      <c r="A748">
        <v>747</v>
      </c>
      <c r="B748" s="25" t="s">
        <v>38</v>
      </c>
      <c r="C748" s="25">
        <v>25</v>
      </c>
      <c r="D748" s="25" t="s">
        <v>4138</v>
      </c>
      <c r="E748" s="25" t="s">
        <v>4161</v>
      </c>
      <c r="F748" s="25">
        <v>14.26</v>
      </c>
      <c r="G748" s="25" t="s">
        <v>1889</v>
      </c>
      <c r="H748" s="25">
        <f>4.57+4.49+5.36</f>
        <v>14.420000000000002</v>
      </c>
      <c r="I748" s="25">
        <f>4.57+4.49+5.36</f>
        <v>14.420000000000002</v>
      </c>
      <c r="J748" s="25" t="s">
        <v>1891</v>
      </c>
      <c r="N748" s="25" t="s">
        <v>2611</v>
      </c>
    </row>
    <row r="749" spans="1:14" x14ac:dyDescent="0.55000000000000004">
      <c r="A749">
        <v>748</v>
      </c>
      <c r="B749" s="25" t="s">
        <v>38</v>
      </c>
      <c r="C749" s="25">
        <v>25</v>
      </c>
      <c r="D749" s="25" t="s">
        <v>4138</v>
      </c>
      <c r="E749" s="25" t="s">
        <v>4162</v>
      </c>
      <c r="F749" s="25">
        <v>12.44</v>
      </c>
      <c r="G749" s="25" t="s">
        <v>1889</v>
      </c>
      <c r="H749" s="25">
        <f>2.88+1.65+5.36+2.83</f>
        <v>12.72</v>
      </c>
      <c r="I749" s="25">
        <f>2.88+1.65+5.36+2.83</f>
        <v>12.72</v>
      </c>
      <c r="J749" s="25" t="s">
        <v>1891</v>
      </c>
      <c r="N749" s="25" t="s">
        <v>2612</v>
      </c>
    </row>
    <row r="750" spans="1:14" x14ac:dyDescent="0.55000000000000004">
      <c r="A750">
        <v>749</v>
      </c>
      <c r="B750" s="25" t="s">
        <v>38</v>
      </c>
      <c r="C750" s="25">
        <v>25</v>
      </c>
      <c r="D750" s="25" t="s">
        <v>4138</v>
      </c>
      <c r="E750" s="25" t="s">
        <v>4163</v>
      </c>
      <c r="F750" s="25">
        <v>13.94</v>
      </c>
      <c r="G750" s="25" t="s">
        <v>1889</v>
      </c>
      <c r="H750" s="25">
        <f>3.82+4.02+2.84+3.5</f>
        <v>14.18</v>
      </c>
      <c r="I750" s="25">
        <f>3.82+4.02+2.84+3.5</f>
        <v>14.18</v>
      </c>
      <c r="J750" s="25" t="s">
        <v>1891</v>
      </c>
      <c r="K750" s="25" t="str">
        <f>VLOOKUP(E751,[1]PrelimAssignPOP!$I$1:$J$947,2,FALSE)</f>
        <v>KIY</v>
      </c>
      <c r="N750" s="25" t="s">
        <v>2613</v>
      </c>
    </row>
    <row r="751" spans="1:14" x14ac:dyDescent="0.55000000000000004">
      <c r="A751">
        <v>750</v>
      </c>
      <c r="B751" s="25" t="s">
        <v>40</v>
      </c>
      <c r="C751" s="25">
        <v>15</v>
      </c>
      <c r="D751" s="25" t="s">
        <v>4164</v>
      </c>
      <c r="E751" s="25" t="s">
        <v>4165</v>
      </c>
      <c r="F751" s="25">
        <v>11.84</v>
      </c>
      <c r="G751" s="25" t="s">
        <v>1889</v>
      </c>
      <c r="H751" s="25">
        <f>2.31+4.59+5.46</f>
        <v>12.36</v>
      </c>
      <c r="I751" s="25">
        <f>2.31+4.59+5.46</f>
        <v>12.36</v>
      </c>
      <c r="J751" s="25" t="s">
        <v>1891</v>
      </c>
      <c r="K751" s="25" t="str">
        <f>VLOOKUP(E752,[1]PrelimAssignPOP!$I$1:$J$947,2,FALSE)</f>
        <v>KIY</v>
      </c>
      <c r="L751" s="25" t="s">
        <v>213</v>
      </c>
      <c r="M751" s="25" t="s">
        <v>199</v>
      </c>
      <c r="N751" s="25" t="s">
        <v>2614</v>
      </c>
    </row>
    <row r="752" spans="1:14" x14ac:dyDescent="0.55000000000000004">
      <c r="A752">
        <v>751</v>
      </c>
      <c r="B752" s="25" t="s">
        <v>40</v>
      </c>
      <c r="C752" s="25">
        <v>15</v>
      </c>
      <c r="D752" s="25" t="s">
        <v>4164</v>
      </c>
      <c r="E752" s="25" t="s">
        <v>4166</v>
      </c>
      <c r="F752" s="25">
        <v>12.58</v>
      </c>
      <c r="G752" s="25" t="s">
        <v>1889</v>
      </c>
      <c r="H752" s="25">
        <f>8.87+4.31</f>
        <v>13.18</v>
      </c>
      <c r="I752" s="25">
        <f>8.87+4.31</f>
        <v>13.18</v>
      </c>
      <c r="J752" s="25" t="s">
        <v>1891</v>
      </c>
      <c r="K752" s="25" t="str">
        <f>VLOOKUP(E753,[1]PrelimAssignPOP!$I$1:$J$947,2,FALSE)</f>
        <v>ART</v>
      </c>
      <c r="L752" s="25" t="s">
        <v>213</v>
      </c>
      <c r="M752" s="25" t="s">
        <v>200</v>
      </c>
      <c r="N752" s="25" t="s">
        <v>2615</v>
      </c>
    </row>
    <row r="753" spans="1:14" x14ac:dyDescent="0.55000000000000004">
      <c r="A753">
        <v>752</v>
      </c>
      <c r="B753" s="25" t="s">
        <v>40</v>
      </c>
      <c r="C753" s="25">
        <v>15</v>
      </c>
      <c r="D753" s="25" t="s">
        <v>4164</v>
      </c>
      <c r="E753" s="25" t="s">
        <v>4167</v>
      </c>
      <c r="F753" s="25">
        <v>10.82</v>
      </c>
      <c r="G753" s="25" t="s">
        <v>1889</v>
      </c>
      <c r="H753" s="25">
        <f>2.78+5.27+2.88</f>
        <v>10.93</v>
      </c>
      <c r="I753" s="25">
        <f>2.78+5.27+2.88</f>
        <v>10.93</v>
      </c>
      <c r="J753" s="25" t="s">
        <v>1891</v>
      </c>
      <c r="K753" s="25" t="str">
        <f>VLOOKUP(E754,[1]PrelimAssignPOP!$I$1:$J$947,2,FALSE)</f>
        <v>KIY</v>
      </c>
      <c r="L753" s="25" t="s">
        <v>213</v>
      </c>
      <c r="M753" s="25" t="s">
        <v>201</v>
      </c>
      <c r="N753" s="25" t="s">
        <v>2616</v>
      </c>
    </row>
    <row r="754" spans="1:14" x14ac:dyDescent="0.55000000000000004">
      <c r="A754">
        <v>753</v>
      </c>
      <c r="B754" s="25" t="s">
        <v>40</v>
      </c>
      <c r="C754" s="25">
        <v>15</v>
      </c>
      <c r="D754" s="25" t="s">
        <v>4164</v>
      </c>
      <c r="E754" s="25" t="s">
        <v>4168</v>
      </c>
      <c r="F754" s="25">
        <v>12.6</v>
      </c>
      <c r="G754" s="25" t="s">
        <v>1889</v>
      </c>
      <c r="H754" s="25">
        <f>3.81+4.66+4.46</f>
        <v>12.93</v>
      </c>
      <c r="I754" s="25">
        <f>3.81+4.66+4.46</f>
        <v>12.93</v>
      </c>
      <c r="J754" s="25" t="s">
        <v>1891</v>
      </c>
      <c r="K754" s="25" t="str">
        <f>VLOOKUP(E755,[1]PrelimAssignPOP!$I$1:$J$947,2,FALSE)</f>
        <v>KIY</v>
      </c>
      <c r="L754" s="25" t="s">
        <v>213</v>
      </c>
      <c r="M754" s="25" t="s">
        <v>202</v>
      </c>
      <c r="N754" s="25" t="s">
        <v>2617</v>
      </c>
    </row>
    <row r="755" spans="1:14" x14ac:dyDescent="0.55000000000000004">
      <c r="A755">
        <v>754</v>
      </c>
      <c r="B755" s="25" t="s">
        <v>40</v>
      </c>
      <c r="C755" s="25">
        <v>15</v>
      </c>
      <c r="D755" s="25" t="s">
        <v>4164</v>
      </c>
      <c r="E755" s="25" t="s">
        <v>4169</v>
      </c>
      <c r="F755" s="25">
        <v>12.62</v>
      </c>
      <c r="G755" s="25" t="s">
        <v>1889</v>
      </c>
      <c r="H755" s="25">
        <f>9.64+3.29</f>
        <v>12.93</v>
      </c>
      <c r="I755" s="25">
        <f>9.64+3.29</f>
        <v>12.93</v>
      </c>
      <c r="J755" s="25" t="s">
        <v>1891</v>
      </c>
      <c r="K755" s="25" t="str">
        <f>VLOOKUP(E756,[1]PrelimAssignPOP!$I$1:$J$947,2,FALSE)</f>
        <v>KIY</v>
      </c>
      <c r="L755" s="25" t="s">
        <v>213</v>
      </c>
      <c r="M755" s="25" t="s">
        <v>203</v>
      </c>
      <c r="N755" s="25" t="s">
        <v>2618</v>
      </c>
    </row>
    <row r="756" spans="1:14" x14ac:dyDescent="0.55000000000000004">
      <c r="A756">
        <v>755</v>
      </c>
      <c r="B756" s="25" t="s">
        <v>40</v>
      </c>
      <c r="C756" s="25">
        <v>15</v>
      </c>
      <c r="D756" s="25" t="s">
        <v>4164</v>
      </c>
      <c r="E756" s="25" t="s">
        <v>4170</v>
      </c>
      <c r="F756" s="25">
        <v>13.12</v>
      </c>
      <c r="G756" s="25" t="s">
        <v>1889</v>
      </c>
      <c r="H756" s="25">
        <f>2.1+3.08+2.86+5.27</f>
        <v>13.309999999999999</v>
      </c>
      <c r="I756" s="25">
        <f>2.1+3.08+2.86+5.27</f>
        <v>13.309999999999999</v>
      </c>
      <c r="J756" s="25" t="s">
        <v>1891</v>
      </c>
      <c r="K756" s="25" t="str">
        <f>VLOOKUP(E757,[1]PrelimAssignPOP!$I$1:$J$947,2,FALSE)</f>
        <v>ART</v>
      </c>
      <c r="L756" s="25" t="s">
        <v>213</v>
      </c>
      <c r="M756" s="25" t="s">
        <v>204</v>
      </c>
      <c r="N756" s="25" t="s">
        <v>2619</v>
      </c>
    </row>
    <row r="757" spans="1:14" x14ac:dyDescent="0.55000000000000004">
      <c r="A757">
        <v>756</v>
      </c>
      <c r="B757" s="25" t="s">
        <v>40</v>
      </c>
      <c r="C757" s="25">
        <v>15</v>
      </c>
      <c r="D757" s="25" t="s">
        <v>4164</v>
      </c>
      <c r="E757" s="25" t="s">
        <v>4171</v>
      </c>
      <c r="F757" s="25">
        <v>10.27</v>
      </c>
      <c r="G757" s="25" t="s">
        <v>1889</v>
      </c>
      <c r="H757" s="25">
        <f>1.9+1.66+6.96</f>
        <v>10.52</v>
      </c>
      <c r="I757" s="25">
        <f>1.9+1.66+6.96</f>
        <v>10.52</v>
      </c>
      <c r="J757" s="25" t="s">
        <v>1891</v>
      </c>
      <c r="K757" s="25" t="str">
        <f>VLOOKUP(E758,[1]PrelimAssignPOP!$I$1:$J$947,2,FALSE)</f>
        <v>ART</v>
      </c>
      <c r="L757" s="25" t="s">
        <v>213</v>
      </c>
      <c r="M757" s="25" t="s">
        <v>205</v>
      </c>
      <c r="N757" s="25" t="s">
        <v>2620</v>
      </c>
    </row>
    <row r="758" spans="1:14" x14ac:dyDescent="0.55000000000000004">
      <c r="A758">
        <v>757</v>
      </c>
      <c r="B758" s="25" t="s">
        <v>40</v>
      </c>
      <c r="C758" s="25">
        <v>15</v>
      </c>
      <c r="D758" s="25" t="s">
        <v>4164</v>
      </c>
      <c r="E758" s="25" t="s">
        <v>4172</v>
      </c>
      <c r="F758" s="25">
        <v>11.99</v>
      </c>
      <c r="G758" s="25" t="s">
        <v>1889</v>
      </c>
      <c r="H758" s="25">
        <f>3.98+4.66+3.7</f>
        <v>12.34</v>
      </c>
      <c r="I758" s="25">
        <f>3.98+4.66+3.7</f>
        <v>12.34</v>
      </c>
      <c r="J758" s="25" t="s">
        <v>1891</v>
      </c>
      <c r="K758" s="25" t="str">
        <f>VLOOKUP(E759,[1]PrelimAssignPOP!$I$1:$J$947,2,FALSE)</f>
        <v>KIY</v>
      </c>
      <c r="L758" s="25" t="s">
        <v>213</v>
      </c>
      <c r="M758" s="25" t="s">
        <v>206</v>
      </c>
      <c r="N758" s="25" t="s">
        <v>2621</v>
      </c>
    </row>
    <row r="759" spans="1:14" x14ac:dyDescent="0.55000000000000004">
      <c r="A759">
        <v>758</v>
      </c>
      <c r="B759" s="25" t="s">
        <v>40</v>
      </c>
      <c r="C759" s="25">
        <v>15</v>
      </c>
      <c r="D759" s="25" t="s">
        <v>4164</v>
      </c>
      <c r="E759" s="25" t="s">
        <v>4173</v>
      </c>
      <c r="F759" s="25">
        <v>14.46</v>
      </c>
      <c r="G759" s="25" t="s">
        <v>1889</v>
      </c>
      <c r="H759" s="25">
        <f>6.89+7.46</f>
        <v>14.35</v>
      </c>
      <c r="I759" s="25">
        <f>6.89+7.46</f>
        <v>14.35</v>
      </c>
      <c r="J759" s="25" t="s">
        <v>1891</v>
      </c>
      <c r="K759" s="25" t="str">
        <f>VLOOKUP(E760,[1]PrelimAssignPOP!$I$1:$J$947,2,FALSE)</f>
        <v>KIY</v>
      </c>
      <c r="L759" s="25" t="s">
        <v>213</v>
      </c>
      <c r="M759" s="25" t="s">
        <v>207</v>
      </c>
      <c r="N759" s="25" t="s">
        <v>2622</v>
      </c>
    </row>
    <row r="760" spans="1:14" x14ac:dyDescent="0.55000000000000004">
      <c r="A760">
        <v>759</v>
      </c>
      <c r="B760" s="25" t="s">
        <v>40</v>
      </c>
      <c r="C760" s="25">
        <v>15</v>
      </c>
      <c r="D760" s="25" t="s">
        <v>4164</v>
      </c>
      <c r="E760" s="25" t="s">
        <v>4174</v>
      </c>
      <c r="F760" s="25">
        <v>12.27</v>
      </c>
      <c r="G760" s="25" t="s">
        <v>1889</v>
      </c>
      <c r="H760" s="25">
        <f>2.71+3.52+2.75+3.52</f>
        <v>12.5</v>
      </c>
      <c r="I760" s="25">
        <f>2.71+3.52+2.75+3.52</f>
        <v>12.5</v>
      </c>
      <c r="J760" s="25" t="s">
        <v>1891</v>
      </c>
      <c r="K760" s="25" t="str">
        <f>VLOOKUP(E761,[1]PrelimAssignPOP!$I$1:$J$947,2,FALSE)</f>
        <v>KIY</v>
      </c>
      <c r="L760" s="25" t="s">
        <v>213</v>
      </c>
      <c r="M760" s="25" t="s">
        <v>208</v>
      </c>
      <c r="N760" s="25" t="s">
        <v>2623</v>
      </c>
    </row>
    <row r="761" spans="1:14" x14ac:dyDescent="0.55000000000000004">
      <c r="A761">
        <v>760</v>
      </c>
      <c r="B761" s="25" t="s">
        <v>40</v>
      </c>
      <c r="C761" s="25">
        <v>15</v>
      </c>
      <c r="D761" s="25" t="s">
        <v>4164</v>
      </c>
      <c r="E761" s="25" t="s">
        <v>4175</v>
      </c>
      <c r="F761" s="25">
        <v>13.51</v>
      </c>
      <c r="G761" s="25" t="s">
        <v>1889</v>
      </c>
      <c r="H761" s="25">
        <f>4.55+3.47+2.87+2.69</f>
        <v>13.58</v>
      </c>
      <c r="I761" s="25">
        <f>4.55+3.47+2.87+2.69</f>
        <v>13.58</v>
      </c>
      <c r="J761" s="25" t="s">
        <v>1891</v>
      </c>
      <c r="K761" s="25" t="str">
        <f>VLOOKUP(E762,[1]PrelimAssignPOP!$I$1:$J$947,2,FALSE)</f>
        <v>KIY</v>
      </c>
      <c r="L761" s="25" t="s">
        <v>213</v>
      </c>
      <c r="M761" s="25" t="s">
        <v>209</v>
      </c>
      <c r="N761" s="25" t="s">
        <v>2624</v>
      </c>
    </row>
    <row r="762" spans="1:14" x14ac:dyDescent="0.55000000000000004">
      <c r="A762">
        <v>761</v>
      </c>
      <c r="B762" s="25" t="s">
        <v>40</v>
      </c>
      <c r="C762" s="25">
        <v>15</v>
      </c>
      <c r="D762" s="25" t="s">
        <v>4164</v>
      </c>
      <c r="E762" s="25" t="s">
        <v>4176</v>
      </c>
      <c r="F762" s="25">
        <v>13.52</v>
      </c>
      <c r="G762" s="25" t="s">
        <v>1889</v>
      </c>
      <c r="H762" s="25">
        <f>5.35+6.14+2.13</f>
        <v>13.619999999999997</v>
      </c>
      <c r="I762" s="25">
        <f>5.35+6.14+2.13</f>
        <v>13.619999999999997</v>
      </c>
      <c r="J762" s="25" t="s">
        <v>1891</v>
      </c>
      <c r="L762" s="25" t="s">
        <v>214</v>
      </c>
      <c r="M762" s="25" t="s">
        <v>114</v>
      </c>
      <c r="N762" s="25" t="s">
        <v>2625</v>
      </c>
    </row>
    <row r="763" spans="1:14" x14ac:dyDescent="0.55000000000000004">
      <c r="A763">
        <v>762</v>
      </c>
      <c r="B763" s="25" t="s">
        <v>40</v>
      </c>
      <c r="C763" s="25">
        <v>15</v>
      </c>
      <c r="D763" s="25" t="s">
        <v>4164</v>
      </c>
      <c r="E763" s="25" t="s">
        <v>4177</v>
      </c>
      <c r="F763" s="25">
        <v>12.6</v>
      </c>
      <c r="G763" s="25" t="s">
        <v>1889</v>
      </c>
      <c r="H763" s="25">
        <f>3.1+3.66+6.1</f>
        <v>12.86</v>
      </c>
      <c r="I763" s="25">
        <f>3.1+3.66+6.1</f>
        <v>12.86</v>
      </c>
      <c r="J763" s="25" t="s">
        <v>1891</v>
      </c>
      <c r="N763" s="25" t="s">
        <v>2626</v>
      </c>
    </row>
    <row r="764" spans="1:14" x14ac:dyDescent="0.55000000000000004">
      <c r="A764">
        <v>763</v>
      </c>
      <c r="B764" s="25" t="s">
        <v>40</v>
      </c>
      <c r="C764" s="25">
        <v>15</v>
      </c>
      <c r="D764" s="25" t="s">
        <v>4164</v>
      </c>
      <c r="E764" s="25" t="s">
        <v>4178</v>
      </c>
      <c r="F764" s="25">
        <v>11.38</v>
      </c>
      <c r="G764" s="25" t="s">
        <v>1889</v>
      </c>
      <c r="H764" s="25">
        <f>2.4+4.67+4.57</f>
        <v>11.64</v>
      </c>
      <c r="I764" s="25">
        <f>2.4+4.67+4.57</f>
        <v>11.64</v>
      </c>
      <c r="J764" s="25" t="s">
        <v>1891</v>
      </c>
      <c r="N764" s="25" t="s">
        <v>2627</v>
      </c>
    </row>
    <row r="765" spans="1:14" x14ac:dyDescent="0.55000000000000004">
      <c r="A765">
        <v>764</v>
      </c>
      <c r="B765" s="25" t="s">
        <v>40</v>
      </c>
      <c r="C765" s="25">
        <v>15</v>
      </c>
      <c r="D765" s="25" t="s">
        <v>4164</v>
      </c>
      <c r="E765" s="25" t="s">
        <v>4179</v>
      </c>
      <c r="F765" s="25">
        <v>11.41</v>
      </c>
      <c r="G765" s="25" t="s">
        <v>1889</v>
      </c>
      <c r="H765" s="25">
        <f>3.53+2.52+3.39+2.12</f>
        <v>11.559999999999999</v>
      </c>
      <c r="I765" s="25">
        <f>3.53+2.52+3.39+2.12</f>
        <v>11.559999999999999</v>
      </c>
      <c r="J765" s="25" t="s">
        <v>1891</v>
      </c>
      <c r="K765" s="25" t="str">
        <f>VLOOKUP(E766,[1]PrelimAssignPOP!$I$1:$J$947,2,FALSE)</f>
        <v>KIY</v>
      </c>
      <c r="N765" s="25" t="s">
        <v>2628</v>
      </c>
    </row>
    <row r="766" spans="1:14" x14ac:dyDescent="0.55000000000000004">
      <c r="A766">
        <v>765</v>
      </c>
      <c r="B766" s="25" t="s">
        <v>41</v>
      </c>
      <c r="C766" s="25">
        <v>6</v>
      </c>
      <c r="D766" s="25" t="s">
        <v>4180</v>
      </c>
      <c r="E766" s="25" t="s">
        <v>4181</v>
      </c>
      <c r="F766" s="25">
        <v>12.72</v>
      </c>
      <c r="G766" s="25" t="s">
        <v>1889</v>
      </c>
      <c r="H766" s="25">
        <f>4.28+8.37</f>
        <v>12.649999999999999</v>
      </c>
      <c r="I766" s="25">
        <f>4.28+8.37</f>
        <v>12.649999999999999</v>
      </c>
      <c r="J766" s="25" t="s">
        <v>1891</v>
      </c>
      <c r="K766" s="25" t="str">
        <f>VLOOKUP(E767,[1]PrelimAssignPOP!$I$1:$J$947,2,FALSE)</f>
        <v>KIY</v>
      </c>
      <c r="L766" s="25" t="s">
        <v>214</v>
      </c>
      <c r="M766" s="25" t="s">
        <v>122</v>
      </c>
      <c r="N766" s="25" t="s">
        <v>2629</v>
      </c>
    </row>
    <row r="767" spans="1:14" x14ac:dyDescent="0.55000000000000004">
      <c r="A767">
        <v>766</v>
      </c>
      <c r="B767" s="25" t="s">
        <v>41</v>
      </c>
      <c r="C767" s="25">
        <v>6</v>
      </c>
      <c r="D767" s="25" t="s">
        <v>4180</v>
      </c>
      <c r="E767" s="25" t="s">
        <v>4182</v>
      </c>
      <c r="F767" s="25">
        <v>12.86</v>
      </c>
      <c r="G767" s="25" t="s">
        <v>1889</v>
      </c>
      <c r="H767" s="25">
        <f>2.92+5.89+4.25</f>
        <v>13.059999999999999</v>
      </c>
      <c r="I767" s="25">
        <f>2.92+5.89+4.25</f>
        <v>13.059999999999999</v>
      </c>
      <c r="J767" s="25" t="s">
        <v>1891</v>
      </c>
      <c r="K767" s="25" t="str">
        <f>VLOOKUP(E768,[1]PrelimAssignPOP!$I$1:$J$947,2,FALSE)</f>
        <v>KIY</v>
      </c>
      <c r="L767" s="25" t="s">
        <v>214</v>
      </c>
      <c r="M767" s="25" t="s">
        <v>123</v>
      </c>
      <c r="N767" s="25" t="s">
        <v>2630</v>
      </c>
    </row>
    <row r="768" spans="1:14" x14ac:dyDescent="0.55000000000000004">
      <c r="A768">
        <v>767</v>
      </c>
      <c r="B768" s="25" t="s">
        <v>41</v>
      </c>
      <c r="C768" s="25">
        <v>6</v>
      </c>
      <c r="D768" s="25" t="s">
        <v>4180</v>
      </c>
      <c r="E768" s="25" t="s">
        <v>4183</v>
      </c>
      <c r="F768" s="25">
        <v>13.92</v>
      </c>
      <c r="G768" s="25" t="s">
        <v>1889</v>
      </c>
      <c r="H768" s="25">
        <f>4.04+2.67+4.77+3</f>
        <v>14.48</v>
      </c>
      <c r="I768" s="25">
        <f>4.04+2.67+4.77+3</f>
        <v>14.48</v>
      </c>
      <c r="J768" s="25" t="s">
        <v>1891</v>
      </c>
      <c r="K768" s="25" t="str">
        <f>VLOOKUP(E769,[1]PrelimAssignPOP!$I$1:$J$947,2,FALSE)</f>
        <v>KIY</v>
      </c>
      <c r="L768" s="25" t="s">
        <v>214</v>
      </c>
      <c r="M768" s="25" t="s">
        <v>124</v>
      </c>
      <c r="N768" s="25" t="s">
        <v>2631</v>
      </c>
    </row>
    <row r="769" spans="1:14" x14ac:dyDescent="0.55000000000000004">
      <c r="A769">
        <v>768</v>
      </c>
      <c r="B769" s="25" t="s">
        <v>41</v>
      </c>
      <c r="C769" s="25">
        <v>6</v>
      </c>
      <c r="D769" s="25" t="s">
        <v>4180</v>
      </c>
      <c r="E769" s="25" t="s">
        <v>4184</v>
      </c>
      <c r="F769" s="25">
        <v>11.5</v>
      </c>
      <c r="G769" s="25" t="s">
        <v>1889</v>
      </c>
      <c r="H769" s="25">
        <f>6.15+5.53</f>
        <v>11.68</v>
      </c>
      <c r="I769" s="25">
        <f>6.15+5.53</f>
        <v>11.68</v>
      </c>
      <c r="J769" s="25" t="s">
        <v>1891</v>
      </c>
      <c r="K769" s="25" t="str">
        <f>VLOOKUP(E770,[1]PrelimAssignPOP!$I$1:$J$947,2,FALSE)</f>
        <v>KIY</v>
      </c>
      <c r="L769" s="25" t="s">
        <v>214</v>
      </c>
      <c r="M769" s="25" t="s">
        <v>125</v>
      </c>
      <c r="N769" s="25" t="s">
        <v>2632</v>
      </c>
    </row>
    <row r="770" spans="1:14" x14ac:dyDescent="0.55000000000000004">
      <c r="A770">
        <v>769</v>
      </c>
      <c r="B770" s="25" t="s">
        <v>41</v>
      </c>
      <c r="C770" s="25">
        <v>6</v>
      </c>
      <c r="D770" s="25" t="s">
        <v>4180</v>
      </c>
      <c r="E770" s="25" t="s">
        <v>4185</v>
      </c>
      <c r="F770" s="25">
        <v>11.97</v>
      </c>
      <c r="G770" s="25" t="s">
        <v>1889</v>
      </c>
      <c r="H770" s="25">
        <f>2.94+4.61+4.79</f>
        <v>12.34</v>
      </c>
      <c r="I770" s="25">
        <f>2.94+4.61+4.79</f>
        <v>12.34</v>
      </c>
      <c r="J770" s="25" t="s">
        <v>1891</v>
      </c>
      <c r="K770" s="25" t="str">
        <f>VLOOKUP(E771,[1]PrelimAssignPOP!$I$1:$J$947,2,FALSE)</f>
        <v>KIY</v>
      </c>
      <c r="L770" s="25" t="s">
        <v>214</v>
      </c>
      <c r="M770" s="25" t="s">
        <v>126</v>
      </c>
      <c r="N770" s="25" t="s">
        <v>2633</v>
      </c>
    </row>
    <row r="771" spans="1:14" x14ac:dyDescent="0.55000000000000004">
      <c r="A771">
        <v>770</v>
      </c>
      <c r="B771" s="25" t="s">
        <v>41</v>
      </c>
      <c r="C771" s="25">
        <v>6</v>
      </c>
      <c r="D771" s="25" t="s">
        <v>4180</v>
      </c>
      <c r="E771" s="25" t="s">
        <v>4186</v>
      </c>
      <c r="F771" s="25">
        <v>13.23</v>
      </c>
      <c r="G771" s="25" t="s">
        <v>1889</v>
      </c>
      <c r="H771" s="25">
        <f>13.42</f>
        <v>13.42</v>
      </c>
      <c r="I771" s="25">
        <f>13.42</f>
        <v>13.42</v>
      </c>
      <c r="J771" s="25" t="s">
        <v>1891</v>
      </c>
      <c r="K771" s="25" t="str">
        <f>VLOOKUP(E772,[1]PrelimAssignPOP!$I$1:$J$947,2,FALSE)</f>
        <v>KIY</v>
      </c>
      <c r="L771" s="25" t="s">
        <v>214</v>
      </c>
      <c r="M771" s="25" t="s">
        <v>127</v>
      </c>
      <c r="N771" s="25" t="s">
        <v>2634</v>
      </c>
    </row>
    <row r="772" spans="1:14" x14ac:dyDescent="0.55000000000000004">
      <c r="A772">
        <v>771</v>
      </c>
      <c r="B772" s="25" t="s">
        <v>42</v>
      </c>
      <c r="C772" s="25">
        <v>1</v>
      </c>
      <c r="D772" s="25" t="s">
        <v>4187</v>
      </c>
      <c r="E772" s="25" t="s">
        <v>4188</v>
      </c>
      <c r="F772" s="25">
        <v>15.43</v>
      </c>
      <c r="G772" s="25" t="s">
        <v>1889</v>
      </c>
      <c r="H772" s="25">
        <f>11.86+3.51</f>
        <v>15.37</v>
      </c>
      <c r="I772" s="25">
        <f>11.86+3.51</f>
        <v>15.37</v>
      </c>
      <c r="J772" s="25" t="s">
        <v>1891</v>
      </c>
      <c r="K772" s="25" t="str">
        <f>VLOOKUP(E773,[1]PrelimAssignPOP!$I$1:$J$947,2,FALSE)</f>
        <v>ART</v>
      </c>
      <c r="L772" s="25" t="s">
        <v>214</v>
      </c>
      <c r="M772" s="25" t="s">
        <v>128</v>
      </c>
      <c r="N772" s="25" t="s">
        <v>2635</v>
      </c>
    </row>
    <row r="773" spans="1:14" x14ac:dyDescent="0.55000000000000004">
      <c r="A773">
        <v>772</v>
      </c>
      <c r="B773" s="25" t="s">
        <v>43</v>
      </c>
      <c r="C773" s="25">
        <v>3</v>
      </c>
      <c r="D773" s="25" t="s">
        <v>4189</v>
      </c>
      <c r="E773" s="25" t="s">
        <v>4190</v>
      </c>
      <c r="F773" s="25">
        <v>12.07</v>
      </c>
      <c r="G773" s="25" t="s">
        <v>1889</v>
      </c>
      <c r="H773" s="25">
        <f>2.16+2.72+2.84+2.02+2.84</f>
        <v>12.58</v>
      </c>
      <c r="I773" s="25">
        <f>2.16+2.72+2.84+2.02+2.84</f>
        <v>12.58</v>
      </c>
      <c r="J773" s="25" t="s">
        <v>1891</v>
      </c>
      <c r="K773" s="25" t="str">
        <f>VLOOKUP(E774,[1]PrelimAssignPOP!$I$1:$J$947,2,FALSE)</f>
        <v>KIY</v>
      </c>
      <c r="L773" s="25" t="s">
        <v>214</v>
      </c>
      <c r="M773" s="25" t="s">
        <v>129</v>
      </c>
      <c r="N773" s="25" t="s">
        <v>2636</v>
      </c>
    </row>
    <row r="774" spans="1:14" x14ac:dyDescent="0.55000000000000004">
      <c r="A774">
        <v>773</v>
      </c>
      <c r="B774" s="25" t="s">
        <v>43</v>
      </c>
      <c r="C774" s="25">
        <v>3</v>
      </c>
      <c r="D774" s="25" t="s">
        <v>4189</v>
      </c>
      <c r="E774" s="25" t="s">
        <v>4191</v>
      </c>
      <c r="F774" s="25">
        <v>14.44</v>
      </c>
      <c r="G774" s="25" t="s">
        <v>1889</v>
      </c>
      <c r="H774" s="25">
        <f>1.83+4.61+4.7+3.83</f>
        <v>14.97</v>
      </c>
      <c r="I774" s="25">
        <f>1.83+4.61+4.7+3.83</f>
        <v>14.97</v>
      </c>
      <c r="J774" s="25" t="s">
        <v>1891</v>
      </c>
      <c r="K774" s="25" t="str">
        <f>VLOOKUP(E775,[1]PrelimAssignPOP!$I$1:$J$947,2,FALSE)</f>
        <v>ART</v>
      </c>
      <c r="L774" s="25" t="s">
        <v>214</v>
      </c>
      <c r="M774" s="25" t="s">
        <v>130</v>
      </c>
      <c r="N774" s="25" t="s">
        <v>2637</v>
      </c>
    </row>
    <row r="775" spans="1:14" x14ac:dyDescent="0.55000000000000004">
      <c r="A775">
        <v>774</v>
      </c>
      <c r="B775" s="25" t="s">
        <v>43</v>
      </c>
      <c r="C775" s="25">
        <v>3</v>
      </c>
      <c r="D775" s="25" t="s">
        <v>4189</v>
      </c>
      <c r="E775" s="25" t="s">
        <v>4192</v>
      </c>
      <c r="F775" s="25">
        <v>14.94</v>
      </c>
      <c r="G775" s="25" t="s">
        <v>1889</v>
      </c>
      <c r="H775" s="25">
        <f>5.47+1.99+4.82+2.98</f>
        <v>15.260000000000002</v>
      </c>
      <c r="I775" s="25">
        <f>5.47+1.99+4.82+2.98</f>
        <v>15.260000000000002</v>
      </c>
      <c r="J775" s="25" t="s">
        <v>1891</v>
      </c>
      <c r="K775" s="25" t="str">
        <f>VLOOKUP(E776,[1]PrelimAssignPOP!$I$1:$J$947,2,FALSE)</f>
        <v>KIY</v>
      </c>
      <c r="L775" s="25" t="s">
        <v>214</v>
      </c>
      <c r="M775" s="25" t="s">
        <v>131</v>
      </c>
      <c r="N775" s="25" t="s">
        <v>2638</v>
      </c>
    </row>
    <row r="776" spans="1:14" x14ac:dyDescent="0.55000000000000004">
      <c r="A776">
        <v>775</v>
      </c>
      <c r="B776" s="25" t="s">
        <v>44</v>
      </c>
      <c r="C776" s="25">
        <v>25</v>
      </c>
      <c r="D776" s="25" t="s">
        <v>4193</v>
      </c>
      <c r="E776" s="25" t="s">
        <v>4194</v>
      </c>
      <c r="F776" s="25">
        <v>12.17</v>
      </c>
      <c r="G776" s="25" t="s">
        <v>1889</v>
      </c>
      <c r="H776" s="25">
        <f>2.64+2.68+6.97</f>
        <v>12.29</v>
      </c>
      <c r="I776" s="25">
        <f>2.64+2.68+6.97</f>
        <v>12.29</v>
      </c>
      <c r="J776" s="25" t="s">
        <v>1891</v>
      </c>
      <c r="K776" s="25" t="str">
        <f>VLOOKUP(E777,[1]PrelimAssignPOP!$I$1:$J$947,2,FALSE)</f>
        <v>KIY</v>
      </c>
      <c r="L776" s="25" t="s">
        <v>214</v>
      </c>
      <c r="M776" s="25" t="s">
        <v>132</v>
      </c>
      <c r="N776" s="25" t="s">
        <v>2639</v>
      </c>
    </row>
    <row r="777" spans="1:14" x14ac:dyDescent="0.55000000000000004">
      <c r="A777">
        <v>776</v>
      </c>
      <c r="B777" s="25" t="s">
        <v>44</v>
      </c>
      <c r="C777" s="25">
        <v>25</v>
      </c>
      <c r="D777" s="25" t="s">
        <v>4193</v>
      </c>
      <c r="E777" s="25" t="s">
        <v>4195</v>
      </c>
      <c r="F777" s="25">
        <v>12.85</v>
      </c>
      <c r="G777" s="25" t="s">
        <v>1889</v>
      </c>
      <c r="H777" s="25">
        <v>12.82</v>
      </c>
      <c r="I777" s="25">
        <v>12.82</v>
      </c>
      <c r="J777" s="25" t="s">
        <v>1891</v>
      </c>
      <c r="K777" s="25" t="str">
        <f>VLOOKUP(E778,[1]PrelimAssignPOP!$I$1:$J$947,2,FALSE)</f>
        <v>KIY</v>
      </c>
      <c r="L777" s="25" t="s">
        <v>214</v>
      </c>
      <c r="M777" s="25" t="s">
        <v>115</v>
      </c>
      <c r="N777" s="25" t="s">
        <v>2640</v>
      </c>
    </row>
    <row r="778" spans="1:14" x14ac:dyDescent="0.55000000000000004">
      <c r="A778">
        <v>777</v>
      </c>
      <c r="B778" s="25" t="s">
        <v>44</v>
      </c>
      <c r="C778" s="25">
        <v>25</v>
      </c>
      <c r="D778" s="25" t="s">
        <v>4193</v>
      </c>
      <c r="E778" s="25" t="s">
        <v>4196</v>
      </c>
      <c r="F778" s="25">
        <v>13.36</v>
      </c>
      <c r="G778" s="25" t="s">
        <v>1889</v>
      </c>
      <c r="H778" s="25">
        <v>13.5</v>
      </c>
      <c r="I778" s="25">
        <v>13.5</v>
      </c>
      <c r="J778" s="25" t="s">
        <v>1891</v>
      </c>
      <c r="K778" s="25" t="str">
        <f>VLOOKUP(E779,[1]PrelimAssignPOP!$I$1:$J$947,2,FALSE)</f>
        <v>KIY</v>
      </c>
      <c r="L778" s="25" t="s">
        <v>214</v>
      </c>
      <c r="M778" s="25" t="s">
        <v>133</v>
      </c>
      <c r="N778" s="25" t="s">
        <v>2641</v>
      </c>
    </row>
    <row r="779" spans="1:14" x14ac:dyDescent="0.55000000000000004">
      <c r="A779">
        <v>778</v>
      </c>
      <c r="B779" s="25" t="s">
        <v>44</v>
      </c>
      <c r="C779" s="25">
        <v>25</v>
      </c>
      <c r="D779" s="25" t="s">
        <v>4193</v>
      </c>
      <c r="E779" s="25" t="s">
        <v>4197</v>
      </c>
      <c r="F779" s="25">
        <v>10.58</v>
      </c>
      <c r="G779" s="25" t="s">
        <v>1889</v>
      </c>
      <c r="H779" s="25">
        <f>6.68+4.05</f>
        <v>10.73</v>
      </c>
      <c r="I779" s="25">
        <f>6.68+4.05</f>
        <v>10.73</v>
      </c>
      <c r="J779" s="25" t="s">
        <v>1891</v>
      </c>
      <c r="K779" s="25" t="str">
        <f>VLOOKUP(E780,[1]PrelimAssignPOP!$I$1:$J$947,2,FALSE)</f>
        <v>KIY</v>
      </c>
      <c r="L779" s="25" t="s">
        <v>214</v>
      </c>
      <c r="M779" s="25" t="s">
        <v>134</v>
      </c>
      <c r="N779" s="25" t="s">
        <v>2642</v>
      </c>
    </row>
    <row r="780" spans="1:14" x14ac:dyDescent="0.55000000000000004">
      <c r="A780">
        <v>779</v>
      </c>
      <c r="B780" s="25" t="s">
        <v>44</v>
      </c>
      <c r="C780" s="25">
        <v>25</v>
      </c>
      <c r="D780" s="25" t="s">
        <v>4193</v>
      </c>
      <c r="E780" s="25" t="s">
        <v>4198</v>
      </c>
      <c r="F780" s="25">
        <v>12.01</v>
      </c>
      <c r="G780" s="25" t="s">
        <v>1889</v>
      </c>
      <c r="H780" s="25">
        <f>3.83+2.78+5.35</f>
        <v>11.959999999999999</v>
      </c>
      <c r="I780" s="25">
        <f>3.83+2.78+5.35</f>
        <v>11.959999999999999</v>
      </c>
      <c r="J780" s="25" t="s">
        <v>1891</v>
      </c>
      <c r="K780" s="25" t="str">
        <f>VLOOKUP(E781,[1]PrelimAssignPOP!$I$1:$J$947,2,FALSE)</f>
        <v>ART</v>
      </c>
      <c r="L780" s="25" t="s">
        <v>214</v>
      </c>
      <c r="M780" s="25" t="s">
        <v>135</v>
      </c>
      <c r="N780" s="25" t="s">
        <v>2643</v>
      </c>
    </row>
    <row r="781" spans="1:14" x14ac:dyDescent="0.55000000000000004">
      <c r="A781">
        <v>780</v>
      </c>
      <c r="B781" s="25" t="s">
        <v>44</v>
      </c>
      <c r="C781" s="25">
        <v>25</v>
      </c>
      <c r="D781" s="25" t="s">
        <v>4193</v>
      </c>
      <c r="E781" s="25" t="s">
        <v>4199</v>
      </c>
      <c r="F781" s="25">
        <v>12.45</v>
      </c>
      <c r="G781" s="25" t="s">
        <v>1889</v>
      </c>
      <c r="H781" s="25">
        <f>1.87+8.09+2.71</f>
        <v>12.670000000000002</v>
      </c>
      <c r="I781" s="25">
        <f>1.87+8.09+2.71</f>
        <v>12.670000000000002</v>
      </c>
      <c r="J781" s="25" t="s">
        <v>1891</v>
      </c>
      <c r="K781" s="25" t="str">
        <f>VLOOKUP(E782,[1]PrelimAssignPOP!$I$1:$J$947,2,FALSE)</f>
        <v>ART</v>
      </c>
      <c r="L781" s="25" t="s">
        <v>214</v>
      </c>
      <c r="M781" s="25" t="s">
        <v>136</v>
      </c>
      <c r="N781" s="25" t="s">
        <v>2644</v>
      </c>
    </row>
    <row r="782" spans="1:14" x14ac:dyDescent="0.55000000000000004">
      <c r="A782">
        <v>781</v>
      </c>
      <c r="B782" s="25" t="s">
        <v>44</v>
      </c>
      <c r="C782" s="25">
        <v>25</v>
      </c>
      <c r="D782" s="25" t="s">
        <v>4193</v>
      </c>
      <c r="E782" s="25" t="s">
        <v>4200</v>
      </c>
      <c r="F782" s="25">
        <v>13.1</v>
      </c>
      <c r="G782" s="25" t="s">
        <v>1889</v>
      </c>
      <c r="H782" s="25">
        <f>2.63+8.36+2.33</f>
        <v>13.319999999999999</v>
      </c>
      <c r="I782" s="25">
        <f>2.63+8.36+2.33</f>
        <v>13.319999999999999</v>
      </c>
      <c r="J782" s="25" t="s">
        <v>1891</v>
      </c>
      <c r="K782" s="25" t="str">
        <f>VLOOKUP(E783,[1]PrelimAssignPOP!$I$1:$J$947,2,FALSE)</f>
        <v>KIY</v>
      </c>
      <c r="L782" s="25" t="s">
        <v>214</v>
      </c>
      <c r="M782" s="25" t="s">
        <v>137</v>
      </c>
      <c r="N782" s="25" t="s">
        <v>2645</v>
      </c>
    </row>
    <row r="783" spans="1:14" x14ac:dyDescent="0.55000000000000004">
      <c r="A783">
        <v>782</v>
      </c>
      <c r="B783" s="25" t="s">
        <v>44</v>
      </c>
      <c r="C783" s="25">
        <v>25</v>
      </c>
      <c r="D783" s="25" t="s">
        <v>4193</v>
      </c>
      <c r="E783" s="25" t="s">
        <v>4201</v>
      </c>
      <c r="F783" s="25">
        <v>10.37</v>
      </c>
      <c r="G783" s="25" t="s">
        <v>1889</v>
      </c>
      <c r="H783" s="25">
        <f>2.43+1.64+6.3</f>
        <v>10.370000000000001</v>
      </c>
      <c r="I783" s="25">
        <f>2.43+1.64+6.3</f>
        <v>10.370000000000001</v>
      </c>
      <c r="J783" s="25" t="s">
        <v>1891</v>
      </c>
      <c r="K783" s="25" t="str">
        <f>VLOOKUP(E784,[1]PrelimAssignPOP!$I$1:$J$947,2,FALSE)</f>
        <v>KIY</v>
      </c>
      <c r="L783" s="25" t="s">
        <v>214</v>
      </c>
      <c r="M783" s="25" t="s">
        <v>138</v>
      </c>
      <c r="N783" s="25" t="s">
        <v>2646</v>
      </c>
    </row>
    <row r="784" spans="1:14" x14ac:dyDescent="0.55000000000000004">
      <c r="A784">
        <v>783</v>
      </c>
      <c r="B784" s="25" t="s">
        <v>44</v>
      </c>
      <c r="C784" s="25">
        <v>25</v>
      </c>
      <c r="D784" s="25" t="s">
        <v>4193</v>
      </c>
      <c r="E784" s="25" t="s">
        <v>4202</v>
      </c>
      <c r="F784" s="25">
        <v>12.15</v>
      </c>
      <c r="G784" s="25" t="s">
        <v>1889</v>
      </c>
      <c r="H784" s="25">
        <f>8.94+3.49</f>
        <v>12.43</v>
      </c>
      <c r="I784" s="25">
        <f>8.94+3.49</f>
        <v>12.43</v>
      </c>
      <c r="J784" s="25" t="s">
        <v>1891</v>
      </c>
      <c r="K784" s="25" t="str">
        <f>VLOOKUP(E785,[1]PrelimAssignPOP!$I$1:$J$947,2,FALSE)</f>
        <v>KIY</v>
      </c>
      <c r="L784" s="25" t="s">
        <v>214</v>
      </c>
      <c r="M784" s="25" t="s">
        <v>139</v>
      </c>
      <c r="N784" s="25" t="s">
        <v>2647</v>
      </c>
    </row>
    <row r="785" spans="1:14" x14ac:dyDescent="0.55000000000000004">
      <c r="A785">
        <v>784</v>
      </c>
      <c r="B785" s="25" t="s">
        <v>44</v>
      </c>
      <c r="C785" s="25">
        <v>25</v>
      </c>
      <c r="D785" s="25" t="s">
        <v>4193</v>
      </c>
      <c r="E785" s="25" t="s">
        <v>4203</v>
      </c>
      <c r="F785" s="25">
        <v>10.24</v>
      </c>
      <c r="G785" s="25" t="s">
        <v>1889</v>
      </c>
      <c r="H785" s="25">
        <f>7.49+2.7</f>
        <v>10.190000000000001</v>
      </c>
      <c r="I785" s="25">
        <f>7.49+2.7</f>
        <v>10.190000000000001</v>
      </c>
      <c r="J785" s="25" t="s">
        <v>1891</v>
      </c>
      <c r="K785" s="25" t="str">
        <f>VLOOKUP(E786,[1]PrelimAssignPOP!$I$1:$J$947,2,FALSE)</f>
        <v>KIY</v>
      </c>
      <c r="L785" s="25" t="s">
        <v>214</v>
      </c>
      <c r="M785" s="25" t="s">
        <v>140</v>
      </c>
      <c r="N785" s="25" t="s">
        <v>2648</v>
      </c>
    </row>
    <row r="786" spans="1:14" x14ac:dyDescent="0.55000000000000004">
      <c r="A786">
        <v>785</v>
      </c>
      <c r="B786" s="25" t="s">
        <v>44</v>
      </c>
      <c r="C786" s="25">
        <v>25</v>
      </c>
      <c r="D786" s="25" t="s">
        <v>4193</v>
      </c>
      <c r="E786" s="25" t="s">
        <v>4204</v>
      </c>
      <c r="F786" s="25">
        <v>12.3</v>
      </c>
      <c r="G786" s="25" t="s">
        <v>1889</v>
      </c>
      <c r="H786" s="25">
        <f>2.55+4.84+5.14</f>
        <v>12.53</v>
      </c>
      <c r="I786" s="25">
        <f>2.55+4.84+5.14</f>
        <v>12.53</v>
      </c>
      <c r="J786" s="25" t="s">
        <v>1891</v>
      </c>
      <c r="K786" s="25" t="str">
        <f>VLOOKUP(E787,[1]PrelimAssignPOP!$I$1:$J$947,2,FALSE)</f>
        <v>KIY</v>
      </c>
      <c r="L786" s="25" t="s">
        <v>214</v>
      </c>
      <c r="M786" s="25" t="s">
        <v>141</v>
      </c>
      <c r="N786" s="25" t="s">
        <v>2649</v>
      </c>
    </row>
    <row r="787" spans="1:14" x14ac:dyDescent="0.55000000000000004">
      <c r="A787">
        <v>786</v>
      </c>
      <c r="B787" s="25" t="s">
        <v>44</v>
      </c>
      <c r="C787" s="25">
        <v>25</v>
      </c>
      <c r="D787" s="25" t="s">
        <v>4193</v>
      </c>
      <c r="E787" s="25" t="s">
        <v>4205</v>
      </c>
      <c r="F787" s="25">
        <v>12.12</v>
      </c>
      <c r="G787" s="25" t="s">
        <v>1889</v>
      </c>
      <c r="H787" s="25">
        <f>3.05+3.87+2.73+2.51</f>
        <v>12.16</v>
      </c>
      <c r="I787" s="25">
        <f>3.05+3.87+2.73+2.51</f>
        <v>12.16</v>
      </c>
      <c r="J787" s="25" t="s">
        <v>1891</v>
      </c>
      <c r="L787" s="25" t="s">
        <v>214</v>
      </c>
      <c r="M787" s="25" t="s">
        <v>142</v>
      </c>
      <c r="N787" s="25" t="s">
        <v>2650</v>
      </c>
    </row>
    <row r="788" spans="1:14" x14ac:dyDescent="0.55000000000000004">
      <c r="A788">
        <v>787</v>
      </c>
      <c r="B788" s="25" t="s">
        <v>44</v>
      </c>
      <c r="C788" s="25">
        <v>25</v>
      </c>
      <c r="D788" s="25" t="s">
        <v>4193</v>
      </c>
      <c r="E788" s="25" t="s">
        <v>4206</v>
      </c>
      <c r="F788" s="25">
        <v>13.36</v>
      </c>
      <c r="G788" s="25" t="s">
        <v>1889</v>
      </c>
      <c r="H788" s="25">
        <f>3.2+1.99+1.77+4.62+2.08</f>
        <v>13.660000000000002</v>
      </c>
      <c r="I788" s="25">
        <f>3.2+1.99+1.77+4.62+2.08</f>
        <v>13.660000000000002</v>
      </c>
      <c r="J788" s="25" t="s">
        <v>1891</v>
      </c>
      <c r="N788" s="25" t="s">
        <v>2651</v>
      </c>
    </row>
    <row r="789" spans="1:14" x14ac:dyDescent="0.55000000000000004">
      <c r="A789">
        <v>788</v>
      </c>
      <c r="B789" s="25" t="s">
        <v>44</v>
      </c>
      <c r="C789" s="25">
        <v>25</v>
      </c>
      <c r="D789" s="25" t="s">
        <v>4193</v>
      </c>
      <c r="E789" s="25" t="s">
        <v>4207</v>
      </c>
      <c r="F789" s="25">
        <v>10.52</v>
      </c>
      <c r="G789" s="25" t="s">
        <v>1889</v>
      </c>
      <c r="H789" s="25">
        <f>3.6+2.95+4.06</f>
        <v>10.61</v>
      </c>
      <c r="I789" s="25">
        <f>3.6+2.95+4.06</f>
        <v>10.61</v>
      </c>
      <c r="J789" s="25" t="s">
        <v>1891</v>
      </c>
      <c r="N789" s="25" t="s">
        <v>2652</v>
      </c>
    </row>
    <row r="790" spans="1:14" x14ac:dyDescent="0.55000000000000004">
      <c r="A790">
        <v>789</v>
      </c>
      <c r="B790" s="25" t="s">
        <v>44</v>
      </c>
      <c r="C790" s="25">
        <v>25</v>
      </c>
      <c r="D790" s="25" t="s">
        <v>4193</v>
      </c>
      <c r="E790" s="25" t="s">
        <v>4208</v>
      </c>
      <c r="F790" s="25">
        <v>12.01</v>
      </c>
      <c r="G790" s="25" t="s">
        <v>1889</v>
      </c>
      <c r="H790" s="25">
        <f>3.33+8.69</f>
        <v>12.02</v>
      </c>
      <c r="I790" s="25">
        <f>3.33+8.69</f>
        <v>12.02</v>
      </c>
      <c r="J790" s="25" t="s">
        <v>1891</v>
      </c>
      <c r="N790" s="25" t="s">
        <v>2653</v>
      </c>
    </row>
    <row r="791" spans="1:14" x14ac:dyDescent="0.55000000000000004">
      <c r="A791">
        <v>790</v>
      </c>
      <c r="B791" s="25" t="s">
        <v>44</v>
      </c>
      <c r="C791" s="25">
        <v>25</v>
      </c>
      <c r="D791" s="25" t="s">
        <v>4193</v>
      </c>
      <c r="E791" s="25" t="s">
        <v>4209</v>
      </c>
      <c r="F791" s="25">
        <v>11.87</v>
      </c>
      <c r="G791" s="25" t="s">
        <v>1889</v>
      </c>
      <c r="H791" s="25">
        <f>3.46+2.58+6.04</f>
        <v>12.08</v>
      </c>
      <c r="I791" s="25">
        <f>3.46+2.58+6.04</f>
        <v>12.08</v>
      </c>
      <c r="J791" s="25" t="s">
        <v>1891</v>
      </c>
      <c r="N791" s="25" t="s">
        <v>2654</v>
      </c>
    </row>
    <row r="792" spans="1:14" x14ac:dyDescent="0.55000000000000004">
      <c r="A792">
        <v>791</v>
      </c>
      <c r="B792" s="25" t="s">
        <v>44</v>
      </c>
      <c r="C792" s="25">
        <v>25</v>
      </c>
      <c r="D792" s="25" t="s">
        <v>4193</v>
      </c>
      <c r="E792" s="25" t="s">
        <v>4210</v>
      </c>
      <c r="F792" s="25">
        <v>11.99</v>
      </c>
      <c r="G792" s="25" t="s">
        <v>1889</v>
      </c>
      <c r="H792" s="25">
        <f>11.97</f>
        <v>11.97</v>
      </c>
      <c r="I792" s="25">
        <f>11.97</f>
        <v>11.97</v>
      </c>
      <c r="J792" s="25" t="s">
        <v>1891</v>
      </c>
      <c r="N792" s="25" t="s">
        <v>2655</v>
      </c>
    </row>
    <row r="793" spans="1:14" x14ac:dyDescent="0.55000000000000004">
      <c r="A793">
        <v>792</v>
      </c>
      <c r="B793" s="25" t="s">
        <v>44</v>
      </c>
      <c r="C793" s="25">
        <v>25</v>
      </c>
      <c r="D793" s="25" t="s">
        <v>4193</v>
      </c>
      <c r="E793" s="25" t="s">
        <v>4211</v>
      </c>
      <c r="F793" s="25">
        <v>12.04</v>
      </c>
      <c r="G793" s="25" t="s">
        <v>1889</v>
      </c>
      <c r="H793" s="25">
        <f>7.63+4.35</f>
        <v>11.98</v>
      </c>
      <c r="I793" s="25">
        <f>7.63+4.35</f>
        <v>11.98</v>
      </c>
      <c r="J793" s="25" t="s">
        <v>1891</v>
      </c>
      <c r="N793" s="25" t="s">
        <v>2656</v>
      </c>
    </row>
    <row r="794" spans="1:14" x14ac:dyDescent="0.55000000000000004">
      <c r="A794">
        <v>793</v>
      </c>
      <c r="B794" s="25" t="s">
        <v>44</v>
      </c>
      <c r="C794" s="25">
        <v>25</v>
      </c>
      <c r="D794" s="25" t="s">
        <v>4193</v>
      </c>
      <c r="E794" s="25" t="s">
        <v>4212</v>
      </c>
      <c r="F794" s="25">
        <v>14.5</v>
      </c>
      <c r="G794" s="25" t="s">
        <v>1889</v>
      </c>
      <c r="H794" s="25">
        <f>10.94+3.68</f>
        <v>14.62</v>
      </c>
      <c r="I794" s="25">
        <f>10.94+3.68</f>
        <v>14.62</v>
      </c>
      <c r="J794" s="25" t="s">
        <v>1891</v>
      </c>
      <c r="N794" s="25" t="s">
        <v>2657</v>
      </c>
    </row>
    <row r="795" spans="1:14" x14ac:dyDescent="0.55000000000000004">
      <c r="A795">
        <v>794</v>
      </c>
      <c r="B795" s="25" t="s">
        <v>44</v>
      </c>
      <c r="C795" s="25">
        <v>25</v>
      </c>
      <c r="D795" s="25" t="s">
        <v>4193</v>
      </c>
      <c r="E795" s="25" t="s">
        <v>4213</v>
      </c>
      <c r="F795" s="25">
        <v>13.18</v>
      </c>
      <c r="G795" s="25" t="s">
        <v>1889</v>
      </c>
      <c r="H795" s="25">
        <f>5.46+5.34+2.59</f>
        <v>13.39</v>
      </c>
      <c r="I795" s="25">
        <f>5.46+5.34+2.59</f>
        <v>13.39</v>
      </c>
      <c r="J795" s="25" t="s">
        <v>1891</v>
      </c>
      <c r="N795" s="25" t="s">
        <v>2658</v>
      </c>
    </row>
    <row r="796" spans="1:14" x14ac:dyDescent="0.55000000000000004">
      <c r="A796">
        <v>795</v>
      </c>
      <c r="B796" s="25" t="s">
        <v>44</v>
      </c>
      <c r="C796" s="25">
        <v>25</v>
      </c>
      <c r="D796" s="25" t="s">
        <v>4193</v>
      </c>
      <c r="E796" s="25" t="s">
        <v>4214</v>
      </c>
      <c r="F796" s="25">
        <v>13.01</v>
      </c>
      <c r="G796" s="25" t="s">
        <v>1889</v>
      </c>
      <c r="H796" s="25">
        <f>13.1</f>
        <v>13.1</v>
      </c>
      <c r="I796" s="25">
        <f>13.1</f>
        <v>13.1</v>
      </c>
      <c r="J796" s="25" t="s">
        <v>1891</v>
      </c>
      <c r="N796" s="25" t="s">
        <v>2659</v>
      </c>
    </row>
    <row r="797" spans="1:14" x14ac:dyDescent="0.55000000000000004">
      <c r="A797">
        <v>796</v>
      </c>
      <c r="B797" s="25" t="s">
        <v>44</v>
      </c>
      <c r="C797" s="25">
        <v>25</v>
      </c>
      <c r="D797" s="25" t="s">
        <v>4193</v>
      </c>
      <c r="E797" s="25" t="s">
        <v>4215</v>
      </c>
      <c r="F797" s="25">
        <v>12.61</v>
      </c>
      <c r="G797" s="25" t="s">
        <v>1889</v>
      </c>
      <c r="H797" s="25">
        <f>5.77+1.74+5.21</f>
        <v>12.719999999999999</v>
      </c>
      <c r="I797" s="25">
        <f>5.77+1.74+5.21</f>
        <v>12.719999999999999</v>
      </c>
      <c r="J797" s="25" t="s">
        <v>1891</v>
      </c>
      <c r="N797" s="25" t="s">
        <v>2660</v>
      </c>
    </row>
    <row r="798" spans="1:14" x14ac:dyDescent="0.55000000000000004">
      <c r="A798">
        <v>797</v>
      </c>
      <c r="B798" s="25" t="s">
        <v>44</v>
      </c>
      <c r="C798" s="25">
        <v>25</v>
      </c>
      <c r="D798" s="25" t="s">
        <v>4193</v>
      </c>
      <c r="E798" s="25" t="s">
        <v>4216</v>
      </c>
      <c r="F798" s="25">
        <v>12.15</v>
      </c>
      <c r="G798" s="25" t="s">
        <v>1889</v>
      </c>
      <c r="H798" s="25">
        <f>8.04+4.25</f>
        <v>12.29</v>
      </c>
      <c r="I798" s="25">
        <f>8.04+4.25</f>
        <v>12.29</v>
      </c>
      <c r="J798" s="25" t="s">
        <v>1891</v>
      </c>
      <c r="N798" s="25" t="s">
        <v>2661</v>
      </c>
    </row>
    <row r="799" spans="1:14" x14ac:dyDescent="0.55000000000000004">
      <c r="A799">
        <v>798</v>
      </c>
      <c r="B799" s="25" t="s">
        <v>44</v>
      </c>
      <c r="C799" s="25">
        <v>25</v>
      </c>
      <c r="D799" s="25" t="s">
        <v>4193</v>
      </c>
      <c r="E799" s="25" t="s">
        <v>4217</v>
      </c>
      <c r="F799" s="25">
        <v>12.5</v>
      </c>
      <c r="G799" s="25" t="s">
        <v>1889</v>
      </c>
      <c r="H799" s="25">
        <f>2.68+1.53+8.65</f>
        <v>12.86</v>
      </c>
      <c r="I799" s="25">
        <f>2.68+1.53+8.65</f>
        <v>12.86</v>
      </c>
      <c r="J799" s="25" t="s">
        <v>1891</v>
      </c>
      <c r="N799" s="25" t="s">
        <v>2662</v>
      </c>
    </row>
    <row r="800" spans="1:14" x14ac:dyDescent="0.55000000000000004">
      <c r="A800">
        <v>799</v>
      </c>
      <c r="B800" s="25" t="s">
        <v>44</v>
      </c>
      <c r="C800" s="25">
        <v>25</v>
      </c>
      <c r="D800" s="25" t="s">
        <v>4193</v>
      </c>
      <c r="E800" s="25" t="s">
        <v>4218</v>
      </c>
      <c r="F800" s="25">
        <v>12.29</v>
      </c>
      <c r="G800" s="25" t="s">
        <v>1889</v>
      </c>
      <c r="H800" s="25">
        <f>2.65+1.71+2.09+2.32+3.52</f>
        <v>12.29</v>
      </c>
      <c r="I800" s="25">
        <f>2.65+1.71+2.09+2.32+3.52</f>
        <v>12.29</v>
      </c>
      <c r="J800" s="25" t="s">
        <v>1891</v>
      </c>
      <c r="K800" s="25" t="str">
        <f>VLOOKUP(E801,[1]PrelimAssignPOP!$I$1:$J$947,2,FALSE)</f>
        <v>ART</v>
      </c>
      <c r="N800" s="25" t="s">
        <v>2663</v>
      </c>
    </row>
    <row r="801" spans="1:14" x14ac:dyDescent="0.55000000000000004">
      <c r="A801">
        <v>800</v>
      </c>
      <c r="B801" s="25" t="s">
        <v>45</v>
      </c>
      <c r="C801" s="25">
        <v>7</v>
      </c>
      <c r="D801" s="25" t="s">
        <v>4219</v>
      </c>
      <c r="E801" s="25" t="s">
        <v>4220</v>
      </c>
      <c r="F801" s="25">
        <v>10.25</v>
      </c>
      <c r="G801" s="25" t="s">
        <v>1889</v>
      </c>
      <c r="H801" s="25">
        <f>3.22+3.3+3.7</f>
        <v>10.219999999999999</v>
      </c>
      <c r="I801" s="25">
        <f>3.22+3.3+3.7</f>
        <v>10.219999999999999</v>
      </c>
      <c r="J801" s="25" t="s">
        <v>1891</v>
      </c>
      <c r="K801" s="25" t="str">
        <f>VLOOKUP(E802,[1]PrelimAssignPOP!$I$1:$J$947,2,FALSE)</f>
        <v>ART</v>
      </c>
      <c r="L801" s="25" t="s">
        <v>214</v>
      </c>
      <c r="M801" s="25" t="s">
        <v>143</v>
      </c>
      <c r="N801" s="25" t="s">
        <v>2664</v>
      </c>
    </row>
    <row r="802" spans="1:14" x14ac:dyDescent="0.55000000000000004">
      <c r="A802">
        <v>801</v>
      </c>
      <c r="B802" s="25" t="s">
        <v>45</v>
      </c>
      <c r="C802" s="25">
        <v>7</v>
      </c>
      <c r="D802" s="25" t="s">
        <v>4219</v>
      </c>
      <c r="E802" s="25" t="s">
        <v>4221</v>
      </c>
      <c r="F802" s="25">
        <v>15.77</v>
      </c>
      <c r="G802" s="25" t="s">
        <v>1889</v>
      </c>
      <c r="H802" s="25">
        <f>4.53+5.23+3.37+3.16</f>
        <v>16.290000000000003</v>
      </c>
      <c r="I802" s="25">
        <f>4.53+5.23+3.37+3.16</f>
        <v>16.290000000000003</v>
      </c>
      <c r="J802" s="25" t="s">
        <v>1891</v>
      </c>
      <c r="K802" s="25" t="str">
        <f>VLOOKUP(E803,[1]PrelimAssignPOP!$I$1:$J$947,2,FALSE)</f>
        <v>KIY</v>
      </c>
      <c r="L802" s="25" t="s">
        <v>214</v>
      </c>
      <c r="M802" s="25" t="s">
        <v>116</v>
      </c>
      <c r="N802" s="25" t="s">
        <v>2665</v>
      </c>
    </row>
    <row r="803" spans="1:14" x14ac:dyDescent="0.55000000000000004">
      <c r="A803">
        <v>802</v>
      </c>
      <c r="B803" s="25" t="s">
        <v>45</v>
      </c>
      <c r="C803" s="25">
        <v>7</v>
      </c>
      <c r="D803" s="25" t="s">
        <v>4219</v>
      </c>
      <c r="E803" s="25" t="s">
        <v>4222</v>
      </c>
      <c r="F803" s="25">
        <v>12.12</v>
      </c>
      <c r="G803" s="25" t="s">
        <v>1889</v>
      </c>
      <c r="H803" s="25">
        <f>4.98+7.44</f>
        <v>12.420000000000002</v>
      </c>
      <c r="I803" s="25">
        <f>4.98+7.44</f>
        <v>12.420000000000002</v>
      </c>
      <c r="J803" s="25" t="s">
        <v>1891</v>
      </c>
      <c r="K803" s="25" t="str">
        <f>VLOOKUP(E804,[1]PrelimAssignPOP!$I$1:$J$947,2,FALSE)</f>
        <v>KIY</v>
      </c>
      <c r="L803" s="25" t="s">
        <v>214</v>
      </c>
      <c r="M803" s="25" t="s">
        <v>144</v>
      </c>
      <c r="N803" s="25" t="s">
        <v>2666</v>
      </c>
    </row>
    <row r="804" spans="1:14" x14ac:dyDescent="0.55000000000000004">
      <c r="A804">
        <v>803</v>
      </c>
      <c r="B804" s="25" t="s">
        <v>45</v>
      </c>
      <c r="C804" s="25">
        <v>7</v>
      </c>
      <c r="D804" s="25" t="s">
        <v>4219</v>
      </c>
      <c r="E804" s="25" t="s">
        <v>4223</v>
      </c>
      <c r="F804" s="25">
        <v>12.08</v>
      </c>
      <c r="G804" s="25" t="s">
        <v>1889</v>
      </c>
      <c r="H804" s="25">
        <f>2.84+3.96+3.37+2.03</f>
        <v>12.2</v>
      </c>
      <c r="I804" s="25">
        <f>2.84+3.96+3.37+2.03</f>
        <v>12.2</v>
      </c>
      <c r="J804" s="25" t="s">
        <v>1891</v>
      </c>
      <c r="K804" s="25" t="str">
        <f>VLOOKUP(E805,[1]PrelimAssignPOP!$I$1:$J$947,2,FALSE)</f>
        <v>ART</v>
      </c>
      <c r="L804" s="25" t="s">
        <v>214</v>
      </c>
      <c r="M804" s="25" t="s">
        <v>145</v>
      </c>
      <c r="N804" s="25" t="s">
        <v>2667</v>
      </c>
    </row>
    <row r="805" spans="1:14" x14ac:dyDescent="0.55000000000000004">
      <c r="A805">
        <v>804</v>
      </c>
      <c r="B805" s="25" t="s">
        <v>45</v>
      </c>
      <c r="C805" s="25">
        <v>7</v>
      </c>
      <c r="D805" s="25" t="s">
        <v>4219</v>
      </c>
      <c r="E805" s="25" t="s">
        <v>4224</v>
      </c>
      <c r="F805" s="25">
        <v>13.15</v>
      </c>
      <c r="G805" s="25" t="s">
        <v>1889</v>
      </c>
      <c r="H805" s="25">
        <f>8.74+4.77</f>
        <v>13.51</v>
      </c>
      <c r="I805" s="25">
        <f>8.74+4.77</f>
        <v>13.51</v>
      </c>
      <c r="J805" s="25" t="s">
        <v>1891</v>
      </c>
      <c r="K805" s="25" t="str">
        <f>VLOOKUP(E806,[1]PrelimAssignPOP!$I$1:$J$947,2,FALSE)</f>
        <v>KIY</v>
      </c>
      <c r="L805" s="25" t="s">
        <v>214</v>
      </c>
      <c r="M805" s="25" t="s">
        <v>146</v>
      </c>
      <c r="N805" s="25" t="s">
        <v>2668</v>
      </c>
    </row>
    <row r="806" spans="1:14" x14ac:dyDescent="0.55000000000000004">
      <c r="A806">
        <v>805</v>
      </c>
      <c r="B806" s="25" t="s">
        <v>45</v>
      </c>
      <c r="C806" s="25">
        <v>7</v>
      </c>
      <c r="D806" s="25" t="s">
        <v>4219</v>
      </c>
      <c r="E806" s="25" t="s">
        <v>4225</v>
      </c>
      <c r="F806" s="25">
        <v>14.52</v>
      </c>
      <c r="G806" s="25" t="s">
        <v>1889</v>
      </c>
      <c r="H806" s="25">
        <v>14.52</v>
      </c>
      <c r="I806" s="25">
        <v>14.52</v>
      </c>
      <c r="J806" s="25" t="s">
        <v>1891</v>
      </c>
      <c r="K806" s="25" t="str">
        <f>VLOOKUP(E807,[1]PrelimAssignPOP!$I$1:$J$947,2,FALSE)</f>
        <v>ART</v>
      </c>
      <c r="L806" s="25" t="s">
        <v>214</v>
      </c>
      <c r="M806" s="25" t="s">
        <v>147</v>
      </c>
      <c r="N806" s="25" t="s">
        <v>2669</v>
      </c>
    </row>
    <row r="807" spans="1:14" x14ac:dyDescent="0.55000000000000004">
      <c r="A807">
        <v>806</v>
      </c>
      <c r="B807" s="25" t="s">
        <v>45</v>
      </c>
      <c r="C807" s="25">
        <v>7</v>
      </c>
      <c r="D807" s="25" t="s">
        <v>4219</v>
      </c>
      <c r="E807" s="25" t="s">
        <v>4226</v>
      </c>
      <c r="F807" s="25">
        <v>17.600000000000001</v>
      </c>
      <c r="G807" s="25" t="s">
        <v>2113</v>
      </c>
      <c r="I807" s="25">
        <v>17.600000000000001</v>
      </c>
      <c r="J807" s="25" t="s">
        <v>110</v>
      </c>
      <c r="K807" s="25" t="str">
        <f>VLOOKUP(E808,[1]PrelimAssignPOP!$I$1:$J$947,2,FALSE)</f>
        <v>KIY</v>
      </c>
      <c r="L807" s="25" t="s">
        <v>214</v>
      </c>
      <c r="M807" s="25" t="s">
        <v>148</v>
      </c>
    </row>
    <row r="808" spans="1:14" x14ac:dyDescent="0.55000000000000004">
      <c r="A808">
        <v>807</v>
      </c>
      <c r="B808" s="25" t="s">
        <v>46</v>
      </c>
      <c r="C808" s="25">
        <v>17</v>
      </c>
      <c r="D808" s="25" t="s">
        <v>4227</v>
      </c>
      <c r="E808" s="25" t="s">
        <v>4228</v>
      </c>
      <c r="F808" s="25">
        <v>12.24</v>
      </c>
      <c r="G808" s="25" t="s">
        <v>1889</v>
      </c>
      <c r="H808" s="25">
        <f>2.94+3.58+5.8</f>
        <v>12.32</v>
      </c>
      <c r="I808" s="25">
        <f>2.94+3.58+5.8</f>
        <v>12.32</v>
      </c>
      <c r="J808" s="25" t="s">
        <v>1891</v>
      </c>
      <c r="K808" s="25" t="str">
        <f>VLOOKUP(E809,[1]PrelimAssignPOP!$I$1:$J$947,2,FALSE)</f>
        <v>ART</v>
      </c>
      <c r="L808" s="25" t="s">
        <v>214</v>
      </c>
      <c r="M808" s="25" t="s">
        <v>149</v>
      </c>
      <c r="N808" s="25" t="s">
        <v>2670</v>
      </c>
    </row>
    <row r="809" spans="1:14" x14ac:dyDescent="0.55000000000000004">
      <c r="A809">
        <v>808</v>
      </c>
      <c r="B809" s="25" t="s">
        <v>46</v>
      </c>
      <c r="C809" s="25">
        <v>17</v>
      </c>
      <c r="D809" s="25" t="s">
        <v>4227</v>
      </c>
      <c r="E809" s="25" t="s">
        <v>4229</v>
      </c>
      <c r="F809" s="25">
        <v>12.79</v>
      </c>
      <c r="G809" s="25" t="s">
        <v>1889</v>
      </c>
      <c r="H809" s="25">
        <f>4.63+4.59+3.86</f>
        <v>13.079999999999998</v>
      </c>
      <c r="I809" s="25">
        <f>4.63+4.59+3.86</f>
        <v>13.079999999999998</v>
      </c>
      <c r="J809" s="25" t="s">
        <v>1891</v>
      </c>
      <c r="K809" s="25" t="str">
        <f>VLOOKUP(E810,[1]PrelimAssignPOP!$I$1:$J$947,2,FALSE)</f>
        <v>KIY</v>
      </c>
      <c r="L809" s="25" t="s">
        <v>214</v>
      </c>
      <c r="M809" s="25" t="s">
        <v>150</v>
      </c>
      <c r="N809" s="25" t="s">
        <v>2671</v>
      </c>
    </row>
    <row r="810" spans="1:14" x14ac:dyDescent="0.55000000000000004">
      <c r="A810">
        <v>809</v>
      </c>
      <c r="B810" s="25" t="s">
        <v>46</v>
      </c>
      <c r="C810" s="25">
        <v>17</v>
      </c>
      <c r="D810" s="25" t="s">
        <v>4227</v>
      </c>
      <c r="E810" s="25" t="s">
        <v>4230</v>
      </c>
      <c r="F810" s="25">
        <v>13.17</v>
      </c>
      <c r="G810" s="25" t="s">
        <v>1889</v>
      </c>
      <c r="H810" s="25">
        <f>8.37+4.97</f>
        <v>13.34</v>
      </c>
      <c r="I810" s="25">
        <f>8.37+4.97</f>
        <v>13.34</v>
      </c>
      <c r="J810" s="25" t="s">
        <v>1891</v>
      </c>
      <c r="K810" s="25" t="str">
        <f>VLOOKUP(E811,[1]PrelimAssignPOP!$I$1:$J$947,2,FALSE)</f>
        <v>KIY</v>
      </c>
      <c r="L810" s="25" t="s">
        <v>214</v>
      </c>
      <c r="M810" s="25" t="s">
        <v>151</v>
      </c>
      <c r="N810" s="25" t="s">
        <v>2672</v>
      </c>
    </row>
    <row r="811" spans="1:14" x14ac:dyDescent="0.55000000000000004">
      <c r="A811">
        <v>810</v>
      </c>
      <c r="B811" s="25" t="s">
        <v>46</v>
      </c>
      <c r="C811" s="25">
        <v>17</v>
      </c>
      <c r="D811" s="25" t="s">
        <v>4227</v>
      </c>
      <c r="E811" s="25" t="s">
        <v>4231</v>
      </c>
      <c r="F811" s="25">
        <v>13.39</v>
      </c>
      <c r="G811" s="25" t="s">
        <v>1889</v>
      </c>
      <c r="H811" s="25">
        <f>4.2+3.03+6.27</f>
        <v>13.5</v>
      </c>
      <c r="I811" s="25">
        <f>4.2+3.03+6.27</f>
        <v>13.5</v>
      </c>
      <c r="J811" s="25" t="s">
        <v>1891</v>
      </c>
      <c r="K811" s="25" t="str">
        <f>VLOOKUP(E812,[1]PrelimAssignPOP!$I$1:$J$947,2,FALSE)</f>
        <v>KIY</v>
      </c>
      <c r="L811" s="25" t="s">
        <v>214</v>
      </c>
      <c r="M811" s="25" t="s">
        <v>152</v>
      </c>
      <c r="N811" s="25" t="s">
        <v>2673</v>
      </c>
    </row>
    <row r="812" spans="1:14" x14ac:dyDescent="0.55000000000000004">
      <c r="A812">
        <v>811</v>
      </c>
      <c r="B812" s="25" t="s">
        <v>46</v>
      </c>
      <c r="C812" s="25">
        <v>17</v>
      </c>
      <c r="D812" s="25" t="s">
        <v>4227</v>
      </c>
      <c r="E812" s="25" t="s">
        <v>4232</v>
      </c>
      <c r="F812" s="25">
        <v>14.38</v>
      </c>
      <c r="G812" s="25" t="s">
        <v>1889</v>
      </c>
      <c r="H812" s="25">
        <f>11.29+3</f>
        <v>14.29</v>
      </c>
      <c r="I812" s="25">
        <f>11.29+3</f>
        <v>14.29</v>
      </c>
      <c r="J812" s="25" t="s">
        <v>1891</v>
      </c>
      <c r="K812" s="25" t="str">
        <f>VLOOKUP(E813,[1]PrelimAssignPOP!$I$1:$J$947,2,FALSE)</f>
        <v>KIY</v>
      </c>
      <c r="L812" s="25" t="s">
        <v>214</v>
      </c>
      <c r="M812" s="25" t="s">
        <v>153</v>
      </c>
      <c r="N812" s="25" t="s">
        <v>2674</v>
      </c>
    </row>
    <row r="813" spans="1:14" x14ac:dyDescent="0.55000000000000004">
      <c r="A813">
        <v>812</v>
      </c>
      <c r="B813" s="25" t="s">
        <v>46</v>
      </c>
      <c r="C813" s="25">
        <v>17</v>
      </c>
      <c r="D813" s="25" t="s">
        <v>4227</v>
      </c>
      <c r="E813" s="25" t="s">
        <v>4233</v>
      </c>
      <c r="F813" s="25">
        <v>11.89</v>
      </c>
      <c r="G813" s="25" t="s">
        <v>1889</v>
      </c>
      <c r="H813" s="25">
        <f>2.45+3.84+3.34+2.61</f>
        <v>12.239999999999998</v>
      </c>
      <c r="I813" s="25">
        <f>2.45+3.84+3.34+2.61</f>
        <v>12.239999999999998</v>
      </c>
      <c r="J813" s="25" t="s">
        <v>1891</v>
      </c>
      <c r="K813" s="25" t="str">
        <f>VLOOKUP(E814,[1]PrelimAssignPOP!$I$1:$J$947,2,FALSE)</f>
        <v>KIY</v>
      </c>
      <c r="L813" s="25" t="s">
        <v>214</v>
      </c>
      <c r="M813" s="25" t="s">
        <v>154</v>
      </c>
      <c r="N813" s="25" t="s">
        <v>2675</v>
      </c>
    </row>
    <row r="814" spans="1:14" x14ac:dyDescent="0.55000000000000004">
      <c r="A814">
        <v>813</v>
      </c>
      <c r="B814" s="25" t="s">
        <v>46</v>
      </c>
      <c r="C814" s="25">
        <v>17</v>
      </c>
      <c r="D814" s="25" t="s">
        <v>4227</v>
      </c>
      <c r="E814" s="25" t="s">
        <v>4234</v>
      </c>
      <c r="F814" s="25">
        <v>14.5</v>
      </c>
      <c r="G814" s="25" t="s">
        <v>1889</v>
      </c>
      <c r="H814" s="25">
        <f>4.06+10.43</f>
        <v>14.489999999999998</v>
      </c>
      <c r="I814" s="25">
        <f>4.06+10.43</f>
        <v>14.489999999999998</v>
      </c>
      <c r="J814" s="25" t="s">
        <v>1891</v>
      </c>
      <c r="K814" s="25" t="str">
        <f>VLOOKUP(E815,[1]PrelimAssignPOP!$I$1:$J$947,2,FALSE)</f>
        <v>ART</v>
      </c>
      <c r="L814" s="25" t="s">
        <v>214</v>
      </c>
      <c r="M814" s="25" t="s">
        <v>117</v>
      </c>
      <c r="N814" s="25" t="s">
        <v>2676</v>
      </c>
    </row>
    <row r="815" spans="1:14" x14ac:dyDescent="0.55000000000000004">
      <c r="A815">
        <v>814</v>
      </c>
      <c r="B815" s="25" t="s">
        <v>46</v>
      </c>
      <c r="C815" s="25">
        <v>17</v>
      </c>
      <c r="D815" s="25" t="s">
        <v>4227</v>
      </c>
      <c r="E815" s="25" t="s">
        <v>4235</v>
      </c>
      <c r="F815" s="25">
        <v>12.02</v>
      </c>
      <c r="G815" s="25" t="s">
        <v>1889</v>
      </c>
      <c r="H815" s="25">
        <f>8.3+3.88</f>
        <v>12.18</v>
      </c>
      <c r="I815" s="25">
        <f>8.3+3.88</f>
        <v>12.18</v>
      </c>
      <c r="J815" s="25" t="s">
        <v>1891</v>
      </c>
      <c r="K815" s="25" t="str">
        <f>VLOOKUP(E816,[1]PrelimAssignPOP!$I$1:$J$947,2,FALSE)</f>
        <v>ART</v>
      </c>
      <c r="L815" s="25" t="s">
        <v>214</v>
      </c>
      <c r="M815" s="25" t="s">
        <v>155</v>
      </c>
      <c r="N815" s="25" t="s">
        <v>2677</v>
      </c>
    </row>
    <row r="816" spans="1:14" x14ac:dyDescent="0.55000000000000004">
      <c r="A816">
        <v>815</v>
      </c>
      <c r="B816" s="25" t="s">
        <v>46</v>
      </c>
      <c r="C816" s="25">
        <v>17</v>
      </c>
      <c r="D816" s="25" t="s">
        <v>4227</v>
      </c>
      <c r="E816" s="25" t="s">
        <v>4236</v>
      </c>
      <c r="F816" s="25">
        <v>11.54</v>
      </c>
      <c r="G816" s="25" t="s">
        <v>1889</v>
      </c>
      <c r="H816" s="25">
        <f>5.69+1.54+4.37</f>
        <v>11.600000000000001</v>
      </c>
      <c r="I816" s="25">
        <f>5.69+1.54+4.37</f>
        <v>11.600000000000001</v>
      </c>
      <c r="J816" s="25" t="s">
        <v>1891</v>
      </c>
      <c r="K816" s="25" t="str">
        <f>VLOOKUP(E817,[1]PrelimAssignPOP!$I$1:$J$947,2,FALSE)</f>
        <v>KIY</v>
      </c>
      <c r="L816" s="25" t="s">
        <v>214</v>
      </c>
      <c r="M816" s="25" t="s">
        <v>156</v>
      </c>
      <c r="N816" s="25" t="s">
        <v>2678</v>
      </c>
    </row>
    <row r="817" spans="1:14" x14ac:dyDescent="0.55000000000000004">
      <c r="A817">
        <v>816</v>
      </c>
      <c r="B817" s="25" t="s">
        <v>46</v>
      </c>
      <c r="C817" s="25">
        <v>17</v>
      </c>
      <c r="D817" s="25" t="s">
        <v>4227</v>
      </c>
      <c r="E817" s="25" t="s">
        <v>4237</v>
      </c>
      <c r="F817" s="25">
        <v>12.47</v>
      </c>
      <c r="G817" s="25" t="s">
        <v>1889</v>
      </c>
      <c r="H817" s="25">
        <f>2+2.53+4.49+3.82</f>
        <v>12.84</v>
      </c>
      <c r="I817" s="25">
        <f>2+2.53+4.49+3.82</f>
        <v>12.84</v>
      </c>
      <c r="J817" s="25" t="s">
        <v>1891</v>
      </c>
      <c r="K817" s="25" t="str">
        <f>VLOOKUP(E818,[1]PrelimAssignPOP!$I$1:$J$947,2,FALSE)</f>
        <v>HYB</v>
      </c>
      <c r="L817" s="25" t="s">
        <v>214</v>
      </c>
      <c r="M817" s="25" t="s">
        <v>157</v>
      </c>
      <c r="N817" s="25" t="s">
        <v>2679</v>
      </c>
    </row>
    <row r="818" spans="1:14" x14ac:dyDescent="0.55000000000000004">
      <c r="A818">
        <v>817</v>
      </c>
      <c r="B818" s="25" t="s">
        <v>46</v>
      </c>
      <c r="C818" s="25">
        <v>17</v>
      </c>
      <c r="D818" s="25" t="s">
        <v>4227</v>
      </c>
      <c r="E818" s="25" t="s">
        <v>4238</v>
      </c>
      <c r="F818" s="25">
        <v>12.51</v>
      </c>
      <c r="G818" s="25" t="s">
        <v>1889</v>
      </c>
      <c r="H818" s="25">
        <f>3.84+2.11+6.87</f>
        <v>12.82</v>
      </c>
      <c r="I818" s="25">
        <f>3.84+2.11+6.87</f>
        <v>12.82</v>
      </c>
      <c r="J818" s="25" t="s">
        <v>1891</v>
      </c>
      <c r="K818" s="25" t="str">
        <f>VLOOKUP(E819,[1]PrelimAssignPOP!$I$1:$J$947,2,FALSE)</f>
        <v>ART</v>
      </c>
      <c r="L818" s="25" t="s">
        <v>214</v>
      </c>
      <c r="M818" s="25" t="s">
        <v>158</v>
      </c>
      <c r="N818" s="25" t="s">
        <v>2680</v>
      </c>
    </row>
    <row r="819" spans="1:14" x14ac:dyDescent="0.55000000000000004">
      <c r="A819">
        <v>818</v>
      </c>
      <c r="B819" s="25" t="s">
        <v>46</v>
      </c>
      <c r="C819" s="25">
        <v>17</v>
      </c>
      <c r="D819" s="25" t="s">
        <v>4227</v>
      </c>
      <c r="E819" s="25" t="s">
        <v>4239</v>
      </c>
      <c r="F819" s="25">
        <v>12.68</v>
      </c>
      <c r="G819" s="25" t="s">
        <v>1889</v>
      </c>
      <c r="H819" s="25">
        <f>5.54+7.29</f>
        <v>12.83</v>
      </c>
      <c r="I819" s="25">
        <f>5.54+7.29</f>
        <v>12.83</v>
      </c>
      <c r="J819" s="25" t="s">
        <v>1891</v>
      </c>
      <c r="L819" s="25" t="s">
        <v>214</v>
      </c>
      <c r="M819" s="25" t="s">
        <v>159</v>
      </c>
      <c r="N819" s="25" t="s">
        <v>2681</v>
      </c>
    </row>
    <row r="820" spans="1:14" x14ac:dyDescent="0.55000000000000004">
      <c r="A820">
        <v>819</v>
      </c>
      <c r="B820" s="25" t="s">
        <v>46</v>
      </c>
      <c r="C820" s="25">
        <v>17</v>
      </c>
      <c r="D820" s="25" t="s">
        <v>4227</v>
      </c>
      <c r="E820" s="25" t="s">
        <v>4240</v>
      </c>
      <c r="F820" s="25">
        <v>11.85</v>
      </c>
      <c r="G820" s="25" t="s">
        <v>1889</v>
      </c>
      <c r="H820" s="25">
        <f>5.41+6.59</f>
        <v>12</v>
      </c>
      <c r="I820" s="25">
        <f>5.41+6.59</f>
        <v>12</v>
      </c>
      <c r="J820" s="25" t="s">
        <v>1891</v>
      </c>
      <c r="N820" s="25" t="s">
        <v>2682</v>
      </c>
    </row>
    <row r="821" spans="1:14" x14ac:dyDescent="0.55000000000000004">
      <c r="A821">
        <v>820</v>
      </c>
      <c r="B821" s="25" t="s">
        <v>46</v>
      </c>
      <c r="C821" s="25">
        <v>17</v>
      </c>
      <c r="D821" s="25" t="s">
        <v>4227</v>
      </c>
      <c r="E821" s="25" t="s">
        <v>4241</v>
      </c>
      <c r="F821" s="25">
        <v>13.07</v>
      </c>
      <c r="G821" s="25" t="s">
        <v>1889</v>
      </c>
      <c r="H821" s="25">
        <f>6.09+4.73+2.46</f>
        <v>13.280000000000001</v>
      </c>
      <c r="I821" s="25">
        <f>6.09+4.73+2.46</f>
        <v>13.280000000000001</v>
      </c>
      <c r="J821" s="25" t="s">
        <v>1891</v>
      </c>
      <c r="N821" s="25" t="s">
        <v>2683</v>
      </c>
    </row>
    <row r="822" spans="1:14" x14ac:dyDescent="0.55000000000000004">
      <c r="A822">
        <v>821</v>
      </c>
      <c r="B822" s="25" t="s">
        <v>46</v>
      </c>
      <c r="C822" s="25">
        <v>17</v>
      </c>
      <c r="D822" s="25" t="s">
        <v>4227</v>
      </c>
      <c r="E822" s="25" t="s">
        <v>4242</v>
      </c>
      <c r="F822" s="25">
        <v>13.04</v>
      </c>
      <c r="G822" s="25" t="s">
        <v>1889</v>
      </c>
      <c r="H822" s="25">
        <f>9.5+3.68</f>
        <v>13.18</v>
      </c>
      <c r="I822" s="25">
        <f>9.5+3.68</f>
        <v>13.18</v>
      </c>
      <c r="J822" s="25" t="s">
        <v>1891</v>
      </c>
      <c r="N822" s="25" t="s">
        <v>2684</v>
      </c>
    </row>
    <row r="823" spans="1:14" x14ac:dyDescent="0.55000000000000004">
      <c r="A823">
        <v>822</v>
      </c>
      <c r="B823" s="25" t="s">
        <v>46</v>
      </c>
      <c r="C823" s="25">
        <v>17</v>
      </c>
      <c r="D823" s="25" t="s">
        <v>4227</v>
      </c>
      <c r="E823" s="25" t="s">
        <v>4243</v>
      </c>
      <c r="F823" s="25">
        <v>12.66</v>
      </c>
      <c r="G823" s="25" t="s">
        <v>1889</v>
      </c>
      <c r="H823" s="25">
        <f>3.02+9.87</f>
        <v>12.889999999999999</v>
      </c>
      <c r="I823" s="25">
        <f>3.02+9.87</f>
        <v>12.889999999999999</v>
      </c>
      <c r="J823" s="25" t="s">
        <v>1891</v>
      </c>
      <c r="N823" s="25" t="s">
        <v>2685</v>
      </c>
    </row>
    <row r="824" spans="1:14" x14ac:dyDescent="0.55000000000000004">
      <c r="A824">
        <v>823</v>
      </c>
      <c r="B824" s="25" t="s">
        <v>46</v>
      </c>
      <c r="C824" s="25">
        <v>17</v>
      </c>
      <c r="D824" s="25" t="s">
        <v>4227</v>
      </c>
      <c r="E824" s="25" t="s">
        <v>4244</v>
      </c>
      <c r="F824" s="25">
        <v>16.52</v>
      </c>
      <c r="G824" s="25" t="s">
        <v>2113</v>
      </c>
      <c r="I824" s="25">
        <v>16.52</v>
      </c>
      <c r="J824" s="25" t="s">
        <v>110</v>
      </c>
      <c r="K824" s="25" t="str">
        <f>VLOOKUP(E825,[1]PrelimAssignPOP!$I$1:$J$947,2,FALSE)</f>
        <v>ART</v>
      </c>
    </row>
    <row r="825" spans="1:14" x14ac:dyDescent="0.55000000000000004">
      <c r="A825">
        <v>824</v>
      </c>
      <c r="B825" s="25" t="s">
        <v>47</v>
      </c>
      <c r="C825" s="25">
        <v>1</v>
      </c>
      <c r="D825" s="25" t="s">
        <v>4245</v>
      </c>
      <c r="E825" s="25" t="s">
        <v>4246</v>
      </c>
      <c r="F825" s="25">
        <v>13.24</v>
      </c>
      <c r="G825" s="25" t="s">
        <v>1889</v>
      </c>
      <c r="H825" s="25">
        <f>4.52+8.9</f>
        <v>13.42</v>
      </c>
      <c r="I825" s="25">
        <f>4.52+8.9</f>
        <v>13.42</v>
      </c>
      <c r="J825" s="25" t="s">
        <v>1891</v>
      </c>
      <c r="K825" s="25" t="str">
        <f>VLOOKUP(E826,[1]PrelimAssignPOP!$I$1:$J$947,2,FALSE)</f>
        <v>KIY</v>
      </c>
      <c r="L825" s="25" t="s">
        <v>214</v>
      </c>
      <c r="M825" s="25" t="s">
        <v>160</v>
      </c>
      <c r="N825" s="25" t="s">
        <v>2686</v>
      </c>
    </row>
    <row r="826" spans="1:14" x14ac:dyDescent="0.55000000000000004">
      <c r="A826">
        <v>825</v>
      </c>
      <c r="B826" s="25" t="s">
        <v>48</v>
      </c>
      <c r="C826" s="25">
        <v>1</v>
      </c>
      <c r="D826" s="25" t="s">
        <v>4247</v>
      </c>
      <c r="E826" s="25" t="s">
        <v>4248</v>
      </c>
      <c r="F826" s="25">
        <v>12.81</v>
      </c>
      <c r="G826" s="25" t="s">
        <v>1889</v>
      </c>
      <c r="H826" s="25">
        <f>4.53+4.13+4.5</f>
        <v>13.16</v>
      </c>
      <c r="I826" s="25">
        <f>4.53+4.13+4.5</f>
        <v>13.16</v>
      </c>
      <c r="J826" s="25" t="s">
        <v>1891</v>
      </c>
      <c r="K826" s="25" t="str">
        <f>VLOOKUP(E827,[1]PrelimAssignPOP!$I$1:$J$947,2,FALSE)</f>
        <v>ART</v>
      </c>
      <c r="L826" s="25" t="s">
        <v>214</v>
      </c>
      <c r="M826" s="25" t="s">
        <v>161</v>
      </c>
      <c r="N826" s="25" t="s">
        <v>2687</v>
      </c>
    </row>
    <row r="827" spans="1:14" x14ac:dyDescent="0.55000000000000004">
      <c r="A827">
        <v>826</v>
      </c>
      <c r="B827" s="25" t="s">
        <v>49</v>
      </c>
      <c r="C827" s="25">
        <v>4</v>
      </c>
      <c r="D827" s="25" t="s">
        <v>4249</v>
      </c>
      <c r="E827" s="25" t="s">
        <v>4250</v>
      </c>
      <c r="F827" s="25">
        <v>12.16</v>
      </c>
      <c r="G827" s="25" t="s">
        <v>1889</v>
      </c>
      <c r="H827" s="25">
        <f>3.4+6.3+2.84</f>
        <v>12.54</v>
      </c>
      <c r="I827" s="25">
        <f>3.4+6.3+2.84</f>
        <v>12.54</v>
      </c>
      <c r="J827" s="25" t="s">
        <v>1891</v>
      </c>
      <c r="K827" s="25" t="str">
        <f>VLOOKUP(E828,[1]PrelimAssignPOP!$I$1:$J$947,2,FALSE)</f>
        <v>ART</v>
      </c>
      <c r="L827" s="25" t="s">
        <v>214</v>
      </c>
      <c r="M827" s="25" t="s">
        <v>162</v>
      </c>
      <c r="N827" s="25" t="s">
        <v>2688</v>
      </c>
    </row>
    <row r="828" spans="1:14" x14ac:dyDescent="0.55000000000000004">
      <c r="A828">
        <v>827</v>
      </c>
      <c r="B828" s="25" t="s">
        <v>49</v>
      </c>
      <c r="C828" s="25">
        <v>4</v>
      </c>
      <c r="D828" s="25" t="s">
        <v>4249</v>
      </c>
      <c r="E828" s="25" t="s">
        <v>4251</v>
      </c>
      <c r="F828" s="25">
        <v>11.05</v>
      </c>
      <c r="G828" s="25" t="s">
        <v>1889</v>
      </c>
      <c r="H828" s="25">
        <f>3.08+4.56+3.81</f>
        <v>11.45</v>
      </c>
      <c r="I828" s="25">
        <f>3.08+4.56+3.81</f>
        <v>11.45</v>
      </c>
      <c r="J828" s="25" t="s">
        <v>1891</v>
      </c>
      <c r="K828" s="25" t="str">
        <f>VLOOKUP(E829,[1]PrelimAssignPOP!$I$1:$J$947,2,FALSE)</f>
        <v>ART</v>
      </c>
      <c r="L828" s="25" t="s">
        <v>214</v>
      </c>
      <c r="M828" s="25" t="s">
        <v>163</v>
      </c>
      <c r="N828" s="25" t="s">
        <v>2689</v>
      </c>
    </row>
    <row r="829" spans="1:14" x14ac:dyDescent="0.55000000000000004">
      <c r="A829">
        <v>828</v>
      </c>
      <c r="B829" s="25" t="s">
        <v>49</v>
      </c>
      <c r="C829" s="25">
        <v>4</v>
      </c>
      <c r="D829" s="25" t="s">
        <v>4249</v>
      </c>
      <c r="E829" s="25" t="s">
        <v>4252</v>
      </c>
      <c r="F829" s="25">
        <v>11.53</v>
      </c>
      <c r="G829" s="25" t="s">
        <v>1889</v>
      </c>
      <c r="H829" s="25">
        <f>3.41+1.48+6.84</f>
        <v>11.73</v>
      </c>
      <c r="I829" s="25">
        <f>3.41+1.48+6.84</f>
        <v>11.73</v>
      </c>
      <c r="J829" s="25" t="s">
        <v>1891</v>
      </c>
      <c r="K829" s="25" t="str">
        <f>VLOOKUP(E830,[1]PrelimAssignPOP!$I$1:$J$947,2,FALSE)</f>
        <v>HYB</v>
      </c>
      <c r="L829" s="25" t="s">
        <v>214</v>
      </c>
      <c r="M829" s="25" t="s">
        <v>164</v>
      </c>
      <c r="N829" s="25" t="s">
        <v>2690</v>
      </c>
    </row>
    <row r="830" spans="1:14" x14ac:dyDescent="0.55000000000000004">
      <c r="A830">
        <v>829</v>
      </c>
      <c r="B830" s="25" t="s">
        <v>49</v>
      </c>
      <c r="C830" s="25">
        <v>4</v>
      </c>
      <c r="D830" s="25" t="s">
        <v>4249</v>
      </c>
      <c r="E830" s="25" t="s">
        <v>4253</v>
      </c>
      <c r="F830" s="25">
        <v>11.51</v>
      </c>
      <c r="G830" s="25" t="s">
        <v>1889</v>
      </c>
      <c r="H830" s="25">
        <f>2.1+9.54</f>
        <v>11.639999999999999</v>
      </c>
      <c r="I830" s="25">
        <f>2.1+9.54</f>
        <v>11.639999999999999</v>
      </c>
      <c r="J830" s="25" t="s">
        <v>1891</v>
      </c>
      <c r="K830" s="25" t="str">
        <f>VLOOKUP(E831,[1]PrelimAssignPOP!$I$1:$J$947,2,FALSE)</f>
        <v>ART</v>
      </c>
      <c r="L830" s="25" t="s">
        <v>214</v>
      </c>
      <c r="M830" s="25" t="s">
        <v>165</v>
      </c>
      <c r="N830" s="25" t="s">
        <v>2691</v>
      </c>
    </row>
    <row r="831" spans="1:14" x14ac:dyDescent="0.55000000000000004">
      <c r="A831">
        <v>830</v>
      </c>
      <c r="B831" s="25" t="s">
        <v>50</v>
      </c>
      <c r="C831" s="25">
        <v>15</v>
      </c>
      <c r="D831" s="25" t="s">
        <v>4254</v>
      </c>
      <c r="E831" s="25" t="s">
        <v>4255</v>
      </c>
      <c r="F831" s="25">
        <v>13.28</v>
      </c>
      <c r="G831" s="25" t="s">
        <v>1889</v>
      </c>
      <c r="H831" s="25">
        <f>2.29+4.81+3.83+2.45</f>
        <v>13.379999999999999</v>
      </c>
      <c r="I831" s="25">
        <f>2.29+4.81+3.83+2.45</f>
        <v>13.379999999999999</v>
      </c>
      <c r="J831" s="25" t="s">
        <v>1891</v>
      </c>
      <c r="K831" s="25" t="str">
        <f>VLOOKUP(E832,[1]PrelimAssignPOP!$I$1:$J$947,2,FALSE)</f>
        <v>ART</v>
      </c>
      <c r="L831" s="25" t="s">
        <v>214</v>
      </c>
      <c r="M831" s="25" t="s">
        <v>118</v>
      </c>
      <c r="N831" s="25" t="s">
        <v>2692</v>
      </c>
    </row>
    <row r="832" spans="1:14" x14ac:dyDescent="0.55000000000000004">
      <c r="A832">
        <v>831</v>
      </c>
      <c r="B832" s="25" t="s">
        <v>50</v>
      </c>
      <c r="C832" s="25">
        <v>15</v>
      </c>
      <c r="D832" s="25" t="s">
        <v>4254</v>
      </c>
      <c r="E832" s="25" t="s">
        <v>4256</v>
      </c>
      <c r="F832" s="25">
        <v>13.87</v>
      </c>
      <c r="G832" s="25" t="s">
        <v>1889</v>
      </c>
      <c r="H832" s="25">
        <v>14.13</v>
      </c>
      <c r="I832" s="25">
        <v>14.13</v>
      </c>
      <c r="J832" s="25" t="s">
        <v>1891</v>
      </c>
      <c r="K832" s="25" t="str">
        <f>VLOOKUP(E833,[1]PrelimAssignPOP!$I$1:$J$947,2,FALSE)</f>
        <v>ART</v>
      </c>
      <c r="L832" s="25" t="s">
        <v>214</v>
      </c>
      <c r="M832" s="25" t="s">
        <v>166</v>
      </c>
      <c r="N832" s="25" t="s">
        <v>2693</v>
      </c>
    </row>
    <row r="833" spans="1:14" x14ac:dyDescent="0.55000000000000004">
      <c r="A833">
        <v>832</v>
      </c>
      <c r="B833" s="25" t="s">
        <v>50</v>
      </c>
      <c r="C833" s="25">
        <v>15</v>
      </c>
      <c r="D833" s="25" t="s">
        <v>4254</v>
      </c>
      <c r="E833" s="25" t="s">
        <v>4257</v>
      </c>
      <c r="F833" s="25">
        <v>13.98</v>
      </c>
      <c r="G833" s="25" t="s">
        <v>1889</v>
      </c>
      <c r="H833" s="25">
        <f>3.18+6.09+4.98</f>
        <v>14.25</v>
      </c>
      <c r="I833" s="25">
        <f>3.18+6.09+4.98</f>
        <v>14.25</v>
      </c>
      <c r="J833" s="25" t="s">
        <v>1891</v>
      </c>
      <c r="K833" s="25" t="str">
        <f>VLOOKUP(E834,[1]PrelimAssignPOP!$I$1:$J$947,2,FALSE)</f>
        <v>ART</v>
      </c>
      <c r="L833" s="25" t="s">
        <v>214</v>
      </c>
      <c r="M833" s="25" t="s">
        <v>167</v>
      </c>
      <c r="N833" s="25" t="s">
        <v>2694</v>
      </c>
    </row>
    <row r="834" spans="1:14" x14ac:dyDescent="0.55000000000000004">
      <c r="A834">
        <v>833</v>
      </c>
      <c r="B834" s="25" t="s">
        <v>50</v>
      </c>
      <c r="C834" s="25">
        <v>15</v>
      </c>
      <c r="D834" s="25" t="s">
        <v>4254</v>
      </c>
      <c r="E834" s="25" t="s">
        <v>4258</v>
      </c>
      <c r="F834" s="25">
        <v>14.63</v>
      </c>
      <c r="G834" s="25" t="s">
        <v>1889</v>
      </c>
      <c r="H834" s="25">
        <f>3.73+7.4+3.62</f>
        <v>14.75</v>
      </c>
      <c r="I834" s="25">
        <f>3.73+7.4+3.62</f>
        <v>14.75</v>
      </c>
      <c r="J834" s="25" t="s">
        <v>1891</v>
      </c>
      <c r="K834" s="25" t="str">
        <f>VLOOKUP(E835,[1]PrelimAssignPOP!$I$1:$J$947,2,FALSE)</f>
        <v>ART</v>
      </c>
      <c r="L834" s="25" t="s">
        <v>214</v>
      </c>
      <c r="M834" s="25" t="s">
        <v>168</v>
      </c>
      <c r="N834" s="25" t="s">
        <v>2695</v>
      </c>
    </row>
    <row r="835" spans="1:14" x14ac:dyDescent="0.55000000000000004">
      <c r="A835">
        <v>834</v>
      </c>
      <c r="B835" s="25" t="s">
        <v>50</v>
      </c>
      <c r="C835" s="25">
        <v>15</v>
      </c>
      <c r="D835" s="25" t="s">
        <v>4254</v>
      </c>
      <c r="E835" s="25" t="s">
        <v>4259</v>
      </c>
      <c r="F835" s="25">
        <v>11.64</v>
      </c>
      <c r="G835" s="25" t="s">
        <v>1889</v>
      </c>
      <c r="H835" s="25">
        <f>7.92+3.79</f>
        <v>11.71</v>
      </c>
      <c r="I835" s="25">
        <f>7.92+3.79</f>
        <v>11.71</v>
      </c>
      <c r="J835" s="25" t="s">
        <v>1891</v>
      </c>
      <c r="K835" s="25" t="str">
        <f>VLOOKUP(E836,[1]PrelimAssignPOP!$I$1:$J$947,2,FALSE)</f>
        <v>ART</v>
      </c>
      <c r="L835" s="25" t="s">
        <v>214</v>
      </c>
      <c r="M835" s="25" t="s">
        <v>169</v>
      </c>
      <c r="N835" s="25" t="s">
        <v>2696</v>
      </c>
    </row>
    <row r="836" spans="1:14" x14ac:dyDescent="0.55000000000000004">
      <c r="A836">
        <v>835</v>
      </c>
      <c r="B836" s="25" t="s">
        <v>50</v>
      </c>
      <c r="C836" s="25">
        <v>15</v>
      </c>
      <c r="D836" s="25" t="s">
        <v>4254</v>
      </c>
      <c r="E836" s="25" t="s">
        <v>4260</v>
      </c>
      <c r="F836" s="25">
        <v>12.79</v>
      </c>
      <c r="G836" s="25" t="s">
        <v>1889</v>
      </c>
      <c r="H836" s="25">
        <f>5.14+4.75+3.28</f>
        <v>13.17</v>
      </c>
      <c r="I836" s="25">
        <f>5.14+4.75+3.28</f>
        <v>13.17</v>
      </c>
      <c r="J836" s="25" t="s">
        <v>1891</v>
      </c>
      <c r="K836" s="25" t="str">
        <f>VLOOKUP(E837,[1]PrelimAssignPOP!$I$1:$J$947,2,FALSE)</f>
        <v>ART</v>
      </c>
      <c r="L836" s="25" t="s">
        <v>214</v>
      </c>
      <c r="M836" s="25" t="s">
        <v>170</v>
      </c>
      <c r="N836" s="25" t="s">
        <v>2697</v>
      </c>
    </row>
    <row r="837" spans="1:14" x14ac:dyDescent="0.55000000000000004">
      <c r="A837">
        <v>836</v>
      </c>
      <c r="B837" s="25" t="s">
        <v>50</v>
      </c>
      <c r="C837" s="25">
        <v>15</v>
      </c>
      <c r="D837" s="25" t="s">
        <v>4254</v>
      </c>
      <c r="E837" s="25" t="s">
        <v>4261</v>
      </c>
      <c r="F837" s="25">
        <v>15.92</v>
      </c>
      <c r="G837" s="25" t="s">
        <v>1889</v>
      </c>
      <c r="H837" s="25">
        <f>4.38+7.53+4.06</f>
        <v>15.969999999999999</v>
      </c>
      <c r="I837" s="25">
        <f>4.38+7.53+4.06</f>
        <v>15.969999999999999</v>
      </c>
      <c r="J837" s="25" t="s">
        <v>1891</v>
      </c>
      <c r="K837" s="25" t="str">
        <f>VLOOKUP(E838,[1]PrelimAssignPOP!$I$1:$J$947,2,FALSE)</f>
        <v>ART</v>
      </c>
      <c r="L837" s="25" t="s">
        <v>214</v>
      </c>
      <c r="M837" s="25" t="s">
        <v>171</v>
      </c>
      <c r="N837" s="25" t="s">
        <v>2698</v>
      </c>
    </row>
    <row r="838" spans="1:14" x14ac:dyDescent="0.55000000000000004">
      <c r="A838">
        <v>837</v>
      </c>
      <c r="B838" s="25" t="s">
        <v>50</v>
      </c>
      <c r="C838" s="25">
        <v>15</v>
      </c>
      <c r="D838" s="25" t="s">
        <v>4254</v>
      </c>
      <c r="E838" s="25" t="s">
        <v>4262</v>
      </c>
      <c r="F838" s="25">
        <v>12.03</v>
      </c>
      <c r="G838" s="25" t="s">
        <v>1889</v>
      </c>
      <c r="H838" s="25">
        <f>3.11+4.82+4.34</f>
        <v>12.27</v>
      </c>
      <c r="I838" s="25">
        <f>3.11+4.82+4.34</f>
        <v>12.27</v>
      </c>
      <c r="J838" s="25" t="s">
        <v>1891</v>
      </c>
      <c r="K838" s="25" t="str">
        <f>VLOOKUP(E839,[1]PrelimAssignPOP!$I$1:$J$947,2,FALSE)</f>
        <v>ART</v>
      </c>
      <c r="L838" s="25" t="s">
        <v>214</v>
      </c>
      <c r="M838" s="25" t="s">
        <v>172</v>
      </c>
      <c r="N838" s="25" t="s">
        <v>2699</v>
      </c>
    </row>
    <row r="839" spans="1:14" x14ac:dyDescent="0.55000000000000004">
      <c r="A839">
        <v>838</v>
      </c>
      <c r="B839" s="25" t="s">
        <v>50</v>
      </c>
      <c r="C839" s="25">
        <v>15</v>
      </c>
      <c r="D839" s="25" t="s">
        <v>4254</v>
      </c>
      <c r="E839" s="25" t="s">
        <v>4263</v>
      </c>
      <c r="F839" s="25">
        <v>12.26</v>
      </c>
      <c r="G839" s="25" t="s">
        <v>1889</v>
      </c>
      <c r="H839" s="25">
        <f>7.4+5.07</f>
        <v>12.47</v>
      </c>
      <c r="I839" s="25">
        <f>7.4+5.07</f>
        <v>12.47</v>
      </c>
      <c r="J839" s="25" t="s">
        <v>1891</v>
      </c>
      <c r="K839" s="25" t="str">
        <f>VLOOKUP(E840,[1]PrelimAssignPOP!$I$1:$J$947,2,FALSE)</f>
        <v>ART</v>
      </c>
      <c r="L839" s="25" t="s">
        <v>214</v>
      </c>
      <c r="M839" s="25" t="s">
        <v>173</v>
      </c>
      <c r="N839" s="25" t="s">
        <v>2700</v>
      </c>
    </row>
    <row r="840" spans="1:14" x14ac:dyDescent="0.55000000000000004">
      <c r="A840">
        <v>839</v>
      </c>
      <c r="B840" s="25" t="s">
        <v>50</v>
      </c>
      <c r="C840" s="25">
        <v>15</v>
      </c>
      <c r="D840" s="25" t="s">
        <v>4254</v>
      </c>
      <c r="E840" s="25" t="s">
        <v>4264</v>
      </c>
      <c r="F840" s="25">
        <v>11</v>
      </c>
      <c r="G840" s="25" t="s">
        <v>1889</v>
      </c>
      <c r="H840" s="25">
        <f>4.67+3.41+2.97</f>
        <v>11.05</v>
      </c>
      <c r="I840" s="25">
        <f>4.67+3.41+2.97</f>
        <v>11.05</v>
      </c>
      <c r="J840" s="25" t="s">
        <v>1891</v>
      </c>
      <c r="K840" s="25" t="str">
        <f>VLOOKUP(E841,[1]PrelimAssignPOP!$I$1:$J$947,2,FALSE)</f>
        <v>HYB</v>
      </c>
      <c r="L840" s="25" t="s">
        <v>214</v>
      </c>
      <c r="M840" s="25" t="s">
        <v>174</v>
      </c>
      <c r="N840" s="25" t="s">
        <v>2701</v>
      </c>
    </row>
    <row r="841" spans="1:14" x14ac:dyDescent="0.55000000000000004">
      <c r="A841">
        <v>840</v>
      </c>
      <c r="B841" s="25" t="s">
        <v>50</v>
      </c>
      <c r="C841" s="25">
        <v>15</v>
      </c>
      <c r="D841" s="25" t="s">
        <v>4254</v>
      </c>
      <c r="E841" s="25" t="s">
        <v>4265</v>
      </c>
      <c r="F841" s="25">
        <v>10.96</v>
      </c>
      <c r="G841" s="25" t="s">
        <v>1889</v>
      </c>
      <c r="H841" s="25">
        <f>2.27+3.37+5.38</f>
        <v>11.02</v>
      </c>
      <c r="I841" s="25">
        <f>2.27+3.37+5.38</f>
        <v>11.02</v>
      </c>
      <c r="J841" s="25" t="s">
        <v>1891</v>
      </c>
      <c r="K841" s="25" t="str">
        <f>VLOOKUP(E842,[1]PrelimAssignPOP!$I$1:$J$947,2,FALSE)</f>
        <v>ART</v>
      </c>
      <c r="L841" s="25" t="s">
        <v>214</v>
      </c>
      <c r="M841" s="25" t="s">
        <v>175</v>
      </c>
      <c r="N841" s="25" t="s">
        <v>2702</v>
      </c>
    </row>
    <row r="842" spans="1:14" x14ac:dyDescent="0.55000000000000004">
      <c r="A842">
        <v>841</v>
      </c>
      <c r="B842" s="25" t="s">
        <v>50</v>
      </c>
      <c r="C842" s="25">
        <v>15</v>
      </c>
      <c r="D842" s="25" t="s">
        <v>4254</v>
      </c>
      <c r="E842" s="25" t="s">
        <v>4266</v>
      </c>
      <c r="F842" s="25">
        <v>13.8</v>
      </c>
      <c r="G842" s="25" t="s">
        <v>1889</v>
      </c>
      <c r="H842" s="25">
        <f>3.58+7.1+3.4</f>
        <v>14.08</v>
      </c>
      <c r="I842" s="25">
        <f>3.58+7.1+3.4</f>
        <v>14.08</v>
      </c>
      <c r="J842" s="25" t="s">
        <v>1891</v>
      </c>
      <c r="L842" s="25" t="s">
        <v>214</v>
      </c>
      <c r="M842" s="25" t="s">
        <v>176</v>
      </c>
      <c r="N842" s="25" t="s">
        <v>2703</v>
      </c>
    </row>
    <row r="843" spans="1:14" x14ac:dyDescent="0.55000000000000004">
      <c r="A843">
        <v>842</v>
      </c>
      <c r="B843" s="25" t="s">
        <v>50</v>
      </c>
      <c r="C843" s="25">
        <v>15</v>
      </c>
      <c r="D843" s="25" t="s">
        <v>4254</v>
      </c>
      <c r="E843" s="25" t="s">
        <v>4267</v>
      </c>
      <c r="F843" s="25">
        <v>13.79</v>
      </c>
      <c r="G843" s="25" t="s">
        <v>1889</v>
      </c>
      <c r="H843" s="25">
        <f>3.67+4.13+3.59+2.5</f>
        <v>13.89</v>
      </c>
      <c r="I843" s="25">
        <f>3.67+4.13+3.59+2.5</f>
        <v>13.89</v>
      </c>
      <c r="J843" s="25" t="s">
        <v>1891</v>
      </c>
      <c r="N843" s="25" t="s">
        <v>2704</v>
      </c>
    </row>
    <row r="844" spans="1:14" x14ac:dyDescent="0.55000000000000004">
      <c r="A844">
        <v>843</v>
      </c>
      <c r="B844" s="25" t="s">
        <v>50</v>
      </c>
      <c r="C844" s="25">
        <v>15</v>
      </c>
      <c r="D844" s="25" t="s">
        <v>4254</v>
      </c>
      <c r="E844" s="25" t="s">
        <v>4268</v>
      </c>
      <c r="F844" s="25">
        <v>13.49</v>
      </c>
      <c r="G844" s="25" t="s">
        <v>1889</v>
      </c>
      <c r="H844" s="25">
        <f>8.01+2.18+3.28</f>
        <v>13.469999999999999</v>
      </c>
      <c r="I844" s="25">
        <f>8.01+2.18+3.28</f>
        <v>13.469999999999999</v>
      </c>
      <c r="J844" s="25" t="s">
        <v>1891</v>
      </c>
      <c r="N844" s="25" t="s">
        <v>2705</v>
      </c>
    </row>
    <row r="845" spans="1:14" x14ac:dyDescent="0.55000000000000004">
      <c r="A845">
        <v>844</v>
      </c>
      <c r="B845" s="25" t="s">
        <v>50</v>
      </c>
      <c r="C845" s="25">
        <v>15</v>
      </c>
      <c r="D845" s="25" t="s">
        <v>4254</v>
      </c>
      <c r="E845" s="25" t="s">
        <v>4269</v>
      </c>
      <c r="F845" s="25">
        <v>14.57</v>
      </c>
      <c r="G845" s="25" t="s">
        <v>1889</v>
      </c>
      <c r="H845" s="25">
        <f>4.12+10.47</f>
        <v>14.59</v>
      </c>
      <c r="I845" s="25">
        <f>4.12+10.47</f>
        <v>14.59</v>
      </c>
      <c r="J845" s="25" t="s">
        <v>1891</v>
      </c>
      <c r="K845" s="25" t="str">
        <f>VLOOKUP(E846,[1]PrelimAssignPOP!$I$1:$J$947,2,FALSE)</f>
        <v>ART</v>
      </c>
      <c r="N845" s="25" t="s">
        <v>2706</v>
      </c>
    </row>
    <row r="846" spans="1:14" x14ac:dyDescent="0.55000000000000004">
      <c r="A846">
        <v>845</v>
      </c>
      <c r="B846" s="25" t="s">
        <v>51</v>
      </c>
      <c r="C846" s="25">
        <v>6</v>
      </c>
      <c r="D846" s="25" t="s">
        <v>4270</v>
      </c>
      <c r="E846" s="25" t="s">
        <v>4271</v>
      </c>
      <c r="F846" s="25">
        <v>13.38</v>
      </c>
      <c r="G846" s="25" t="s">
        <v>1889</v>
      </c>
      <c r="H846" s="25">
        <f>4.16+9.51</f>
        <v>13.67</v>
      </c>
      <c r="I846" s="25">
        <f>4.16+9.51</f>
        <v>13.67</v>
      </c>
      <c r="J846" s="25" t="s">
        <v>1891</v>
      </c>
      <c r="K846" s="25" t="str">
        <f>VLOOKUP(E847,[1]PrelimAssignPOP!$I$1:$J$947,2,FALSE)</f>
        <v>ART</v>
      </c>
      <c r="L846" s="25" t="s">
        <v>214</v>
      </c>
      <c r="M846" s="25" t="s">
        <v>119</v>
      </c>
      <c r="N846" s="25" t="s">
        <v>2707</v>
      </c>
    </row>
    <row r="847" spans="1:14" x14ac:dyDescent="0.55000000000000004">
      <c r="A847">
        <v>846</v>
      </c>
      <c r="B847" s="25" t="s">
        <v>51</v>
      </c>
      <c r="C847" s="25">
        <v>6</v>
      </c>
      <c r="D847" s="25" t="s">
        <v>4270</v>
      </c>
      <c r="E847" s="25" t="s">
        <v>4272</v>
      </c>
      <c r="F847" s="25">
        <v>15.16</v>
      </c>
      <c r="G847" s="25" t="s">
        <v>1889</v>
      </c>
      <c r="H847" s="25">
        <f>9.88+5.4</f>
        <v>15.280000000000001</v>
      </c>
      <c r="I847" s="25">
        <f>9.88+5.4</f>
        <v>15.280000000000001</v>
      </c>
      <c r="J847" s="25" t="s">
        <v>1891</v>
      </c>
      <c r="K847" s="25" t="str">
        <f>VLOOKUP(E848,[1]PrelimAssignPOP!$I$1:$J$947,2,FALSE)</f>
        <v>ART</v>
      </c>
      <c r="L847" s="25" t="s">
        <v>214</v>
      </c>
      <c r="M847" s="25" t="s">
        <v>177</v>
      </c>
      <c r="N847" s="25" t="s">
        <v>2708</v>
      </c>
    </row>
    <row r="848" spans="1:14" x14ac:dyDescent="0.55000000000000004">
      <c r="A848">
        <v>847</v>
      </c>
      <c r="B848" s="25" t="s">
        <v>51</v>
      </c>
      <c r="C848" s="25">
        <v>6</v>
      </c>
      <c r="D848" s="25" t="s">
        <v>4270</v>
      </c>
      <c r="E848" s="25" t="s">
        <v>4273</v>
      </c>
      <c r="F848" s="25">
        <v>14.4</v>
      </c>
      <c r="G848" s="25" t="s">
        <v>1889</v>
      </c>
      <c r="H848" s="25">
        <f>4.25+9.85</f>
        <v>14.1</v>
      </c>
      <c r="I848" s="25">
        <f>4.25+9.85</f>
        <v>14.1</v>
      </c>
      <c r="J848" s="25" t="s">
        <v>1891</v>
      </c>
      <c r="K848" s="25" t="str">
        <f>VLOOKUP(E849,[1]PrelimAssignPOP!$I$1:$J$947,2,FALSE)</f>
        <v>ART</v>
      </c>
      <c r="L848" s="25" t="s">
        <v>214</v>
      </c>
      <c r="M848" s="25" t="s">
        <v>178</v>
      </c>
      <c r="N848" s="25" t="s">
        <v>2709</v>
      </c>
    </row>
    <row r="849" spans="1:14" x14ac:dyDescent="0.55000000000000004">
      <c r="A849">
        <v>848</v>
      </c>
      <c r="B849" s="25" t="s">
        <v>51</v>
      </c>
      <c r="C849" s="25">
        <v>6</v>
      </c>
      <c r="D849" s="25" t="s">
        <v>4270</v>
      </c>
      <c r="E849" s="25" t="s">
        <v>4274</v>
      </c>
      <c r="F849" s="25">
        <v>12.63</v>
      </c>
      <c r="G849" s="25" t="s">
        <v>1889</v>
      </c>
      <c r="H849" s="25">
        <f>2.82+3.4+3.75+3.02</f>
        <v>12.989999999999998</v>
      </c>
      <c r="I849" s="25">
        <f>2.82+3.4+3.75+3.02</f>
        <v>12.989999999999998</v>
      </c>
      <c r="J849" s="25" t="s">
        <v>1891</v>
      </c>
      <c r="K849" s="25" t="str">
        <f>VLOOKUP(E850,[1]PrelimAssignPOP!$I$1:$J$947,2,FALSE)</f>
        <v>HYB</v>
      </c>
      <c r="L849" s="25" t="s">
        <v>214</v>
      </c>
      <c r="M849" s="25" t="s">
        <v>179</v>
      </c>
      <c r="N849" s="25" t="s">
        <v>2710</v>
      </c>
    </row>
    <row r="850" spans="1:14" x14ac:dyDescent="0.55000000000000004">
      <c r="A850">
        <v>849</v>
      </c>
      <c r="B850" s="25" t="s">
        <v>51</v>
      </c>
      <c r="C850" s="25">
        <v>6</v>
      </c>
      <c r="D850" s="25" t="s">
        <v>4270</v>
      </c>
      <c r="E850" s="25" t="s">
        <v>4275</v>
      </c>
      <c r="F850" s="25">
        <v>10.41</v>
      </c>
      <c r="G850" s="25" t="s">
        <v>1889</v>
      </c>
      <c r="H850" s="25">
        <f>2.85+1.06+2.49+4.13</f>
        <v>10.530000000000001</v>
      </c>
      <c r="I850" s="25">
        <f>2.85+1.06+2.49+4.13</f>
        <v>10.530000000000001</v>
      </c>
      <c r="J850" s="25" t="s">
        <v>1891</v>
      </c>
      <c r="K850" s="25" t="str">
        <f>VLOOKUP(E851,[1]PrelimAssignPOP!$I$1:$J$947,2,FALSE)</f>
        <v>ART</v>
      </c>
      <c r="L850" s="25" t="s">
        <v>214</v>
      </c>
      <c r="M850" s="25" t="s">
        <v>180</v>
      </c>
      <c r="N850" s="25" t="s">
        <v>2711</v>
      </c>
    </row>
    <row r="851" spans="1:14" x14ac:dyDescent="0.55000000000000004">
      <c r="A851">
        <v>850</v>
      </c>
      <c r="B851" s="25" t="s">
        <v>51</v>
      </c>
      <c r="C851" s="25">
        <v>6</v>
      </c>
      <c r="D851" s="25" t="s">
        <v>4270</v>
      </c>
      <c r="E851" s="25" t="s">
        <v>4276</v>
      </c>
      <c r="F851" s="25">
        <v>13.89</v>
      </c>
      <c r="G851" s="25" t="s">
        <v>1889</v>
      </c>
      <c r="H851" s="25">
        <f>6.43+4.29+3.2</f>
        <v>13.919999999999998</v>
      </c>
      <c r="I851" s="25">
        <f>6.43+4.29+3.2</f>
        <v>13.919999999999998</v>
      </c>
      <c r="J851" s="25" t="s">
        <v>1891</v>
      </c>
      <c r="K851" s="25" t="str">
        <f>VLOOKUP(E852,[1]PrelimAssignPOP!$I$1:$J$947,2,FALSE)</f>
        <v>ART</v>
      </c>
      <c r="L851" s="25" t="s">
        <v>214</v>
      </c>
      <c r="M851" s="25" t="s">
        <v>181</v>
      </c>
      <c r="N851" s="25" t="s">
        <v>2712</v>
      </c>
    </row>
    <row r="852" spans="1:14" x14ac:dyDescent="0.55000000000000004">
      <c r="A852">
        <v>851</v>
      </c>
      <c r="B852" s="25" t="s">
        <v>52</v>
      </c>
      <c r="C852" s="25">
        <v>17</v>
      </c>
      <c r="D852" s="25" t="s">
        <v>4277</v>
      </c>
      <c r="E852" s="25" t="s">
        <v>4278</v>
      </c>
      <c r="F852" s="25">
        <v>10.91</v>
      </c>
      <c r="G852" s="25" t="s">
        <v>1889</v>
      </c>
      <c r="H852" s="25">
        <f>6.69+1.34+3.11</f>
        <v>11.14</v>
      </c>
      <c r="I852" s="25">
        <f>6.69+1.34+3.11</f>
        <v>11.14</v>
      </c>
      <c r="J852" s="25" t="s">
        <v>1891</v>
      </c>
      <c r="K852" s="25" t="str">
        <f>VLOOKUP(E853,[1]PrelimAssignPOP!$I$1:$J$947,2,FALSE)</f>
        <v>ART</v>
      </c>
      <c r="L852" s="25" t="s">
        <v>214</v>
      </c>
      <c r="M852" s="25" t="s">
        <v>182</v>
      </c>
      <c r="N852" s="25" t="s">
        <v>2713</v>
      </c>
    </row>
    <row r="853" spans="1:14" x14ac:dyDescent="0.55000000000000004">
      <c r="A853">
        <v>852</v>
      </c>
      <c r="B853" s="25" t="s">
        <v>52</v>
      </c>
      <c r="C853" s="25">
        <v>17</v>
      </c>
      <c r="D853" s="25" t="s">
        <v>4277</v>
      </c>
      <c r="E853" s="25" t="s">
        <v>4279</v>
      </c>
      <c r="F853" s="25">
        <v>13.5</v>
      </c>
      <c r="G853" s="25" t="s">
        <v>1889</v>
      </c>
      <c r="H853" s="25">
        <f>3.35+10.15</f>
        <v>13.5</v>
      </c>
      <c r="I853" s="25">
        <f>3.35+10.15</f>
        <v>13.5</v>
      </c>
      <c r="J853" s="25" t="s">
        <v>1891</v>
      </c>
      <c r="K853" s="25" t="str">
        <f>VLOOKUP(E854,[1]PrelimAssignPOP!$I$1:$J$947,2,FALSE)</f>
        <v>ART</v>
      </c>
      <c r="L853" s="25" t="s">
        <v>214</v>
      </c>
      <c r="M853" s="25" t="s">
        <v>183</v>
      </c>
      <c r="N853" s="25" t="s">
        <v>2714</v>
      </c>
    </row>
    <row r="854" spans="1:14" x14ac:dyDescent="0.55000000000000004">
      <c r="A854">
        <v>853</v>
      </c>
      <c r="B854" s="25" t="s">
        <v>52</v>
      </c>
      <c r="C854" s="25">
        <v>17</v>
      </c>
      <c r="D854" s="25" t="s">
        <v>4277</v>
      </c>
      <c r="E854" s="25" t="s">
        <v>4280</v>
      </c>
      <c r="F854" s="25">
        <v>11.83</v>
      </c>
      <c r="G854" s="25" t="s">
        <v>1889</v>
      </c>
      <c r="H854" s="25">
        <f>3.6+8.52</f>
        <v>12.12</v>
      </c>
      <c r="I854" s="25">
        <f>3.6+8.52</f>
        <v>12.12</v>
      </c>
      <c r="J854" s="25" t="s">
        <v>1891</v>
      </c>
      <c r="K854" s="25" t="str">
        <f>VLOOKUP(E855,[1]PrelimAssignPOP!$I$1:$J$947,2,FALSE)</f>
        <v>ART</v>
      </c>
      <c r="L854" s="25" t="s">
        <v>214</v>
      </c>
      <c r="M854" s="25" t="s">
        <v>184</v>
      </c>
      <c r="N854" s="25" t="s">
        <v>2715</v>
      </c>
    </row>
    <row r="855" spans="1:14" x14ac:dyDescent="0.55000000000000004">
      <c r="A855">
        <v>854</v>
      </c>
      <c r="B855" s="25" t="s">
        <v>52</v>
      </c>
      <c r="C855" s="25">
        <v>17</v>
      </c>
      <c r="D855" s="25" t="s">
        <v>4277</v>
      </c>
      <c r="E855" s="25" t="s">
        <v>4281</v>
      </c>
      <c r="F855" s="25">
        <v>12.01</v>
      </c>
      <c r="G855" s="25" t="s">
        <v>1889</v>
      </c>
      <c r="H855" s="25">
        <f>3.62+5.43+3.07</f>
        <v>12.120000000000001</v>
      </c>
      <c r="I855" s="25">
        <f>3.62+5.43+3.07</f>
        <v>12.120000000000001</v>
      </c>
      <c r="J855" s="25" t="s">
        <v>1891</v>
      </c>
      <c r="K855" s="25" t="str">
        <f>VLOOKUP(E856,[1]PrelimAssignPOP!$I$1:$J$947,2,FALSE)</f>
        <v>ART</v>
      </c>
      <c r="L855" s="25" t="s">
        <v>214</v>
      </c>
      <c r="M855" s="25" t="s">
        <v>185</v>
      </c>
      <c r="N855" s="25" t="s">
        <v>2716</v>
      </c>
    </row>
    <row r="856" spans="1:14" x14ac:dyDescent="0.55000000000000004">
      <c r="A856">
        <v>855</v>
      </c>
      <c r="B856" s="25" t="s">
        <v>52</v>
      </c>
      <c r="C856" s="25">
        <v>17</v>
      </c>
      <c r="D856" s="25" t="s">
        <v>4277</v>
      </c>
      <c r="E856" s="25" t="s">
        <v>4282</v>
      </c>
      <c r="F856" s="25">
        <v>12.9</v>
      </c>
      <c r="G856" s="25" t="s">
        <v>1889</v>
      </c>
      <c r="H856" s="25">
        <f>10.33+2.63</f>
        <v>12.96</v>
      </c>
      <c r="I856" s="25">
        <f>10.33+2.63</f>
        <v>12.96</v>
      </c>
      <c r="J856" s="25" t="s">
        <v>1891</v>
      </c>
      <c r="K856" s="25" t="str">
        <f>VLOOKUP(E857,[1]PrelimAssignPOP!$I$1:$J$947,2,FALSE)</f>
        <v>ART</v>
      </c>
      <c r="L856" s="25" t="s">
        <v>214</v>
      </c>
      <c r="M856" s="25" t="s">
        <v>186</v>
      </c>
      <c r="N856" s="25" t="s">
        <v>2717</v>
      </c>
    </row>
    <row r="857" spans="1:14" x14ac:dyDescent="0.55000000000000004">
      <c r="A857">
        <v>856</v>
      </c>
      <c r="B857" s="25" t="s">
        <v>52</v>
      </c>
      <c r="C857" s="25">
        <v>17</v>
      </c>
      <c r="D857" s="25" t="s">
        <v>4277</v>
      </c>
      <c r="E857" s="25" t="s">
        <v>4283</v>
      </c>
      <c r="F857" s="25">
        <v>13.34</v>
      </c>
      <c r="G857" s="25" t="s">
        <v>1889</v>
      </c>
      <c r="H857" s="25">
        <f>7.31+6.11</f>
        <v>13.42</v>
      </c>
      <c r="I857" s="25">
        <f>7.31+6.11</f>
        <v>13.42</v>
      </c>
      <c r="J857" s="25" t="s">
        <v>1891</v>
      </c>
      <c r="K857" s="25" t="str">
        <f>VLOOKUP(E858,[1]PrelimAssignPOP!$I$1:$J$947,2,FALSE)</f>
        <v>ART</v>
      </c>
      <c r="L857" s="25" t="s">
        <v>214</v>
      </c>
      <c r="M857" s="25" t="s">
        <v>187</v>
      </c>
      <c r="N857" s="25" t="s">
        <v>2718</v>
      </c>
    </row>
    <row r="858" spans="1:14" x14ac:dyDescent="0.55000000000000004">
      <c r="A858">
        <v>857</v>
      </c>
      <c r="B858" s="25" t="s">
        <v>52</v>
      </c>
      <c r="C858" s="25">
        <v>17</v>
      </c>
      <c r="D858" s="25" t="s">
        <v>4277</v>
      </c>
      <c r="E858" s="25" t="s">
        <v>4284</v>
      </c>
      <c r="F858" s="25">
        <v>10.78</v>
      </c>
      <c r="G858" s="25" t="s">
        <v>1889</v>
      </c>
      <c r="H858" s="25">
        <f>4.14+6.79</f>
        <v>10.93</v>
      </c>
      <c r="I858" s="25">
        <f>4.14+6.79</f>
        <v>10.93</v>
      </c>
      <c r="J858" s="25" t="s">
        <v>1891</v>
      </c>
      <c r="K858" s="25" t="str">
        <f>VLOOKUP(E859,[1]PrelimAssignPOP!$I$1:$J$947,2,FALSE)</f>
        <v>ART</v>
      </c>
      <c r="L858" s="25" t="s">
        <v>214</v>
      </c>
      <c r="M858" s="25" t="s">
        <v>120</v>
      </c>
      <c r="N858" s="25" t="s">
        <v>2719</v>
      </c>
    </row>
    <row r="859" spans="1:14" x14ac:dyDescent="0.55000000000000004">
      <c r="A859">
        <v>858</v>
      </c>
      <c r="B859" s="25" t="s">
        <v>52</v>
      </c>
      <c r="C859" s="25">
        <v>17</v>
      </c>
      <c r="D859" s="25" t="s">
        <v>4277</v>
      </c>
      <c r="E859" s="25" t="s">
        <v>4285</v>
      </c>
      <c r="F859" s="25">
        <v>14.58</v>
      </c>
      <c r="G859" s="25" t="s">
        <v>1889</v>
      </c>
      <c r="H859" s="25">
        <f>8.16+6.53</f>
        <v>14.690000000000001</v>
      </c>
      <c r="I859" s="25">
        <f>8.16+6.53</f>
        <v>14.690000000000001</v>
      </c>
      <c r="J859" s="25" t="s">
        <v>1891</v>
      </c>
      <c r="K859" s="25" t="str">
        <f>VLOOKUP(E860,[1]PrelimAssignPOP!$I$1:$J$947,2,FALSE)</f>
        <v>ART</v>
      </c>
      <c r="L859" s="25" t="s">
        <v>214</v>
      </c>
      <c r="M859" s="25" t="s">
        <v>188</v>
      </c>
      <c r="N859" s="25" t="s">
        <v>2720</v>
      </c>
    </row>
    <row r="860" spans="1:14" x14ac:dyDescent="0.55000000000000004">
      <c r="A860">
        <v>859</v>
      </c>
      <c r="B860" s="25" t="s">
        <v>52</v>
      </c>
      <c r="C860" s="25">
        <v>17</v>
      </c>
      <c r="D860" s="25" t="s">
        <v>4277</v>
      </c>
      <c r="E860" s="25" t="s">
        <v>4286</v>
      </c>
      <c r="F860" s="25">
        <v>13.93</v>
      </c>
      <c r="G860" s="25" t="s">
        <v>1889</v>
      </c>
      <c r="H860" s="25">
        <f>4.77+9.32</f>
        <v>14.09</v>
      </c>
      <c r="I860" s="25">
        <f>4.77+9.32</f>
        <v>14.09</v>
      </c>
      <c r="J860" s="25" t="s">
        <v>1891</v>
      </c>
      <c r="K860" s="25" t="str">
        <f>VLOOKUP(E861,[1]PrelimAssignPOP!$I$1:$J$947,2,FALSE)</f>
        <v>ART</v>
      </c>
      <c r="L860" s="25" t="s">
        <v>214</v>
      </c>
      <c r="M860" s="25" t="s">
        <v>189</v>
      </c>
      <c r="N860" s="25" t="s">
        <v>2721</v>
      </c>
    </row>
    <row r="861" spans="1:14" x14ac:dyDescent="0.55000000000000004">
      <c r="A861">
        <v>860</v>
      </c>
      <c r="B861" s="25" t="s">
        <v>52</v>
      </c>
      <c r="C861" s="25">
        <v>17</v>
      </c>
      <c r="D861" s="25" t="s">
        <v>4277</v>
      </c>
      <c r="E861" s="25" t="s">
        <v>4287</v>
      </c>
      <c r="F861" s="25">
        <v>13.41</v>
      </c>
      <c r="G861" s="25" t="s">
        <v>1889</v>
      </c>
      <c r="H861" s="25">
        <f>13.53</f>
        <v>13.53</v>
      </c>
      <c r="I861" s="25">
        <f>13.53</f>
        <v>13.53</v>
      </c>
      <c r="J861" s="25" t="s">
        <v>1891</v>
      </c>
      <c r="K861" s="25" t="str">
        <f>VLOOKUP(E862,[1]PrelimAssignPOP!$I$1:$J$947,2,FALSE)</f>
        <v>ART</v>
      </c>
      <c r="L861" s="25" t="s">
        <v>214</v>
      </c>
      <c r="M861" s="25" t="s">
        <v>190</v>
      </c>
      <c r="N861" s="25" t="s">
        <v>2722</v>
      </c>
    </row>
    <row r="862" spans="1:14" x14ac:dyDescent="0.55000000000000004">
      <c r="A862">
        <v>861</v>
      </c>
      <c r="B862" s="25" t="s">
        <v>52</v>
      </c>
      <c r="C862" s="25">
        <v>17</v>
      </c>
      <c r="D862" s="25" t="s">
        <v>4277</v>
      </c>
      <c r="E862" s="25" t="s">
        <v>4288</v>
      </c>
      <c r="F862" s="25">
        <v>13</v>
      </c>
      <c r="G862" s="25" t="s">
        <v>1889</v>
      </c>
      <c r="H862" s="25">
        <f>3.2+2.56+3.39+3.82</f>
        <v>12.97</v>
      </c>
      <c r="I862" s="25">
        <f>3.2+2.56+3.39+3.82</f>
        <v>12.97</v>
      </c>
      <c r="J862" s="25" t="s">
        <v>1891</v>
      </c>
      <c r="K862" s="25" t="str">
        <f>VLOOKUP(E863,[1]PrelimAssignPOP!$I$1:$J$947,2,FALSE)</f>
        <v>HYB</v>
      </c>
      <c r="L862" s="25" t="s">
        <v>214</v>
      </c>
      <c r="M862" s="25" t="s">
        <v>191</v>
      </c>
      <c r="N862" s="25" t="s">
        <v>2723</v>
      </c>
    </row>
    <row r="863" spans="1:14" x14ac:dyDescent="0.55000000000000004">
      <c r="A863">
        <v>862</v>
      </c>
      <c r="B863" s="25" t="s">
        <v>52</v>
      </c>
      <c r="C863" s="25">
        <v>17</v>
      </c>
      <c r="D863" s="25" t="s">
        <v>4277</v>
      </c>
      <c r="E863" s="25" t="s">
        <v>4289</v>
      </c>
      <c r="F863" s="25">
        <v>15.57</v>
      </c>
      <c r="G863" s="25" t="s">
        <v>1889</v>
      </c>
      <c r="H863" s="25">
        <f>7.9+4.2+3.9</f>
        <v>16</v>
      </c>
      <c r="I863" s="25">
        <f>7.9+4.2+3.9</f>
        <v>16</v>
      </c>
      <c r="J863" s="25" t="s">
        <v>1891</v>
      </c>
      <c r="L863" s="25" t="s">
        <v>214</v>
      </c>
      <c r="M863" s="25" t="s">
        <v>192</v>
      </c>
      <c r="N863" s="25" t="s">
        <v>2724</v>
      </c>
    </row>
    <row r="864" spans="1:14" x14ac:dyDescent="0.55000000000000004">
      <c r="A864">
        <v>863</v>
      </c>
      <c r="B864" s="25" t="s">
        <v>52</v>
      </c>
      <c r="C864" s="25">
        <v>17</v>
      </c>
      <c r="D864" s="25" t="s">
        <v>4277</v>
      </c>
      <c r="E864" s="25" t="s">
        <v>4290</v>
      </c>
      <c r="F864" s="25">
        <v>13.52</v>
      </c>
      <c r="G864" s="25" t="s">
        <v>1889</v>
      </c>
      <c r="H864" s="25">
        <f>4+9.59</f>
        <v>13.59</v>
      </c>
      <c r="I864" s="25">
        <f>4+9.59</f>
        <v>13.59</v>
      </c>
      <c r="J864" s="25" t="s">
        <v>1891</v>
      </c>
      <c r="N864" s="25" t="s">
        <v>2725</v>
      </c>
    </row>
    <row r="865" spans="1:14" x14ac:dyDescent="0.55000000000000004">
      <c r="A865">
        <v>864</v>
      </c>
      <c r="B865" s="25" t="s">
        <v>52</v>
      </c>
      <c r="C865" s="25">
        <v>17</v>
      </c>
      <c r="D865" s="25" t="s">
        <v>4277</v>
      </c>
      <c r="E865" s="25" t="s">
        <v>4291</v>
      </c>
      <c r="F865" s="25">
        <v>12.13</v>
      </c>
      <c r="G865" s="25" t="s">
        <v>1889</v>
      </c>
      <c r="H865" s="25">
        <f>5.3+4.07+2.86</f>
        <v>12.23</v>
      </c>
      <c r="I865" s="25">
        <f>5.3+4.07+2.86</f>
        <v>12.23</v>
      </c>
      <c r="J865" s="25" t="s">
        <v>1891</v>
      </c>
      <c r="N865" s="25" t="s">
        <v>2726</v>
      </c>
    </row>
    <row r="866" spans="1:14" x14ac:dyDescent="0.55000000000000004">
      <c r="A866">
        <v>865</v>
      </c>
      <c r="B866" s="25" t="s">
        <v>52</v>
      </c>
      <c r="C866" s="25">
        <v>17</v>
      </c>
      <c r="D866" s="25" t="s">
        <v>4277</v>
      </c>
      <c r="E866" s="25" t="s">
        <v>4292</v>
      </c>
      <c r="F866" s="25">
        <v>12.04</v>
      </c>
      <c r="G866" s="25" t="s">
        <v>1889</v>
      </c>
      <c r="H866" s="25">
        <f>4.54+4.92+3.04</f>
        <v>12.5</v>
      </c>
      <c r="I866" s="25">
        <f>4.54+4.92+3.04</f>
        <v>12.5</v>
      </c>
      <c r="J866" s="25" t="s">
        <v>1891</v>
      </c>
      <c r="N866" s="25" t="s">
        <v>2727</v>
      </c>
    </row>
    <row r="867" spans="1:14" x14ac:dyDescent="0.55000000000000004">
      <c r="A867">
        <v>866</v>
      </c>
      <c r="B867" s="25" t="s">
        <v>52</v>
      </c>
      <c r="C867" s="25">
        <v>17</v>
      </c>
      <c r="D867" s="25" t="s">
        <v>4277</v>
      </c>
      <c r="E867" s="25" t="s">
        <v>4293</v>
      </c>
      <c r="F867" s="25">
        <v>11.77</v>
      </c>
      <c r="G867" s="25" t="s">
        <v>1889</v>
      </c>
      <c r="H867" s="25">
        <f>4.78+2.72+4.34</f>
        <v>11.84</v>
      </c>
      <c r="I867" s="25">
        <f>4.78+2.72+4.34</f>
        <v>11.84</v>
      </c>
      <c r="J867" s="25" t="s">
        <v>1891</v>
      </c>
      <c r="N867" s="25" t="s">
        <v>2728</v>
      </c>
    </row>
    <row r="868" spans="1:14" x14ac:dyDescent="0.55000000000000004">
      <c r="A868">
        <v>867</v>
      </c>
      <c r="B868" s="25" t="s">
        <v>52</v>
      </c>
      <c r="C868" s="25">
        <v>17</v>
      </c>
      <c r="D868" s="25" t="s">
        <v>4277</v>
      </c>
      <c r="E868" s="25" t="s">
        <v>4294</v>
      </c>
      <c r="F868" s="25">
        <v>11.46</v>
      </c>
      <c r="G868" s="25" t="s">
        <v>1889</v>
      </c>
      <c r="H868" s="25">
        <f>5.16+3.47+2.95</f>
        <v>11.580000000000002</v>
      </c>
      <c r="I868" s="25">
        <f>5.16+3.47+2.95</f>
        <v>11.580000000000002</v>
      </c>
      <c r="J868" s="25" t="s">
        <v>1891</v>
      </c>
      <c r="K868" s="25" t="str">
        <f>VLOOKUP(E869,[1]PrelimAssignPOP!$I$1:$J$947,2,FALSE)</f>
        <v>ART</v>
      </c>
      <c r="N868" s="25" t="s">
        <v>2729</v>
      </c>
    </row>
    <row r="869" spans="1:14" x14ac:dyDescent="0.55000000000000004">
      <c r="A869">
        <v>868</v>
      </c>
      <c r="B869" s="25" t="s">
        <v>53</v>
      </c>
      <c r="C869" s="25">
        <v>8</v>
      </c>
      <c r="D869" s="25" t="s">
        <v>4295</v>
      </c>
      <c r="E869" s="25" t="s">
        <v>4296</v>
      </c>
      <c r="F869" s="25">
        <v>12.77</v>
      </c>
      <c r="G869" s="25" t="s">
        <v>1889</v>
      </c>
      <c r="H869" s="25">
        <f>6.52+6.35</f>
        <v>12.87</v>
      </c>
      <c r="I869" s="25">
        <f>6.52+6.35</f>
        <v>12.87</v>
      </c>
      <c r="J869" s="25" t="s">
        <v>1891</v>
      </c>
      <c r="K869" s="25" t="str">
        <f>VLOOKUP(E870,[1]PrelimAssignPOP!$I$1:$J$947,2,FALSE)</f>
        <v>ART</v>
      </c>
      <c r="L869" s="25" t="s">
        <v>214</v>
      </c>
      <c r="M869" s="25" t="s">
        <v>193</v>
      </c>
      <c r="N869" s="25" t="s">
        <v>2730</v>
      </c>
    </row>
    <row r="870" spans="1:14" x14ac:dyDescent="0.55000000000000004">
      <c r="A870">
        <v>869</v>
      </c>
      <c r="B870" s="25" t="s">
        <v>53</v>
      </c>
      <c r="C870" s="25">
        <v>8</v>
      </c>
      <c r="D870" s="25" t="s">
        <v>4295</v>
      </c>
      <c r="E870" s="25" t="s">
        <v>4297</v>
      </c>
      <c r="F870" s="25">
        <v>12.2</v>
      </c>
      <c r="G870" s="25" t="s">
        <v>1889</v>
      </c>
      <c r="H870" s="25">
        <f>4.49+2.89+2.4+2.85</f>
        <v>12.63</v>
      </c>
      <c r="I870" s="25">
        <f>4.49+2.89+2.4+2.85</f>
        <v>12.63</v>
      </c>
      <c r="J870" s="25" t="s">
        <v>1891</v>
      </c>
      <c r="K870" s="25" t="str">
        <f>VLOOKUP(E871,[1]PrelimAssignPOP!$I$1:$J$947,2,FALSE)</f>
        <v>ART</v>
      </c>
      <c r="L870" s="25" t="s">
        <v>214</v>
      </c>
      <c r="M870" s="25" t="s">
        <v>194</v>
      </c>
      <c r="N870" s="25" t="s">
        <v>2731</v>
      </c>
    </row>
    <row r="871" spans="1:14" x14ac:dyDescent="0.55000000000000004">
      <c r="A871">
        <v>870</v>
      </c>
      <c r="B871" s="25" t="s">
        <v>53</v>
      </c>
      <c r="C871" s="25">
        <v>8</v>
      </c>
      <c r="D871" s="25" t="s">
        <v>4295</v>
      </c>
      <c r="E871" s="25" t="s">
        <v>4298</v>
      </c>
      <c r="F871" s="25">
        <v>13.16</v>
      </c>
      <c r="G871" s="25" t="s">
        <v>1889</v>
      </c>
      <c r="H871" s="25">
        <f>5.47+4.6+3.36</f>
        <v>13.43</v>
      </c>
      <c r="I871" s="25">
        <f>5.47+4.6+3.36</f>
        <v>13.43</v>
      </c>
      <c r="J871" s="25" t="s">
        <v>1891</v>
      </c>
      <c r="L871" s="25" t="s">
        <v>214</v>
      </c>
      <c r="M871" s="25" t="s">
        <v>195</v>
      </c>
      <c r="N871" s="25" t="s">
        <v>2732</v>
      </c>
    </row>
    <row r="872" spans="1:14" x14ac:dyDescent="0.55000000000000004">
      <c r="A872">
        <v>871</v>
      </c>
      <c r="B872" s="25" t="s">
        <v>53</v>
      </c>
      <c r="C872" s="25">
        <v>8</v>
      </c>
      <c r="D872" s="25" t="s">
        <v>4295</v>
      </c>
      <c r="E872" s="25" t="s">
        <v>4299</v>
      </c>
      <c r="F872" s="25">
        <v>12.61</v>
      </c>
      <c r="G872" s="25" t="s">
        <v>1889</v>
      </c>
      <c r="H872" s="25">
        <f>5.24+7.32</f>
        <v>12.56</v>
      </c>
      <c r="I872" s="25">
        <f>5.24+7.32</f>
        <v>12.56</v>
      </c>
      <c r="J872" s="25" t="s">
        <v>1891</v>
      </c>
      <c r="K872" s="25" t="str">
        <f>VLOOKUP(E873,[1]PrelimAssignPOP!$I$1:$J$947,2,FALSE)</f>
        <v>ART</v>
      </c>
      <c r="L872" s="25" t="s">
        <v>214</v>
      </c>
      <c r="M872" s="25" t="s">
        <v>196</v>
      </c>
      <c r="N872" s="25" t="s">
        <v>2733</v>
      </c>
    </row>
    <row r="873" spans="1:14" x14ac:dyDescent="0.55000000000000004">
      <c r="A873">
        <v>872</v>
      </c>
      <c r="B873" s="25" t="s">
        <v>53</v>
      </c>
      <c r="C873" s="25">
        <v>8</v>
      </c>
      <c r="D873" s="25" t="s">
        <v>4295</v>
      </c>
      <c r="E873" s="25" t="s">
        <v>4300</v>
      </c>
      <c r="F873" s="25">
        <v>11.95</v>
      </c>
      <c r="G873" s="25" t="s">
        <v>1889</v>
      </c>
      <c r="H873" s="25">
        <f>3.92+4.48+3.44</f>
        <v>11.84</v>
      </c>
      <c r="I873" s="25">
        <f>3.92+4.48+3.44</f>
        <v>11.84</v>
      </c>
      <c r="J873" s="25" t="s">
        <v>1891</v>
      </c>
      <c r="K873" s="25" t="str">
        <f>VLOOKUP(E874,[1]PrelimAssignPOP!$I$1:$J$947,2,FALSE)</f>
        <v>ART</v>
      </c>
      <c r="L873" s="25" t="s">
        <v>214</v>
      </c>
      <c r="M873" s="25" t="s">
        <v>197</v>
      </c>
      <c r="N873" s="25" t="s">
        <v>2734</v>
      </c>
    </row>
    <row r="874" spans="1:14" x14ac:dyDescent="0.55000000000000004">
      <c r="A874">
        <v>873</v>
      </c>
      <c r="B874" s="25" t="s">
        <v>53</v>
      </c>
      <c r="C874" s="25">
        <v>8</v>
      </c>
      <c r="D874" s="25" t="s">
        <v>4295</v>
      </c>
      <c r="E874" s="25" t="s">
        <v>4301</v>
      </c>
      <c r="F874" s="25">
        <v>8.74</v>
      </c>
      <c r="G874" s="25" t="s">
        <v>1889</v>
      </c>
      <c r="H874" s="25">
        <f>2.79+6.47</f>
        <v>9.26</v>
      </c>
      <c r="I874" s="25">
        <f>2.79+6.47</f>
        <v>9.26</v>
      </c>
      <c r="J874" s="25" t="s">
        <v>1891</v>
      </c>
      <c r="K874" s="25" t="str">
        <f>VLOOKUP(E875,[1]PrelimAssignPOP!$I$1:$J$947,2,FALSE)</f>
        <v>ART</v>
      </c>
      <c r="L874" s="25" t="s">
        <v>214</v>
      </c>
      <c r="M874" s="25" t="s">
        <v>198</v>
      </c>
      <c r="N874" s="25" t="s">
        <v>2735</v>
      </c>
    </row>
    <row r="875" spans="1:14" x14ac:dyDescent="0.55000000000000004">
      <c r="A875">
        <v>874</v>
      </c>
      <c r="B875" s="25" t="s">
        <v>53</v>
      </c>
      <c r="C875" s="25">
        <v>8</v>
      </c>
      <c r="D875" s="25" t="s">
        <v>4295</v>
      </c>
      <c r="E875" s="25" t="s">
        <v>4302</v>
      </c>
      <c r="F875" s="25">
        <v>12.72</v>
      </c>
      <c r="G875" s="25" t="s">
        <v>1889</v>
      </c>
      <c r="H875" s="25">
        <v>12.97</v>
      </c>
      <c r="I875" s="25">
        <v>12.97</v>
      </c>
      <c r="J875" s="25" t="s">
        <v>1891</v>
      </c>
      <c r="K875" s="25" t="str">
        <f>VLOOKUP(E876,[1]PrelimAssignPOP!$I$1:$J$947,2,FALSE)</f>
        <v>ART</v>
      </c>
      <c r="L875" s="25" t="s">
        <v>214</v>
      </c>
      <c r="M875" s="25" t="s">
        <v>121</v>
      </c>
      <c r="N875" s="25" t="s">
        <v>2736</v>
      </c>
    </row>
    <row r="876" spans="1:14" x14ac:dyDescent="0.55000000000000004">
      <c r="A876">
        <v>875</v>
      </c>
      <c r="B876" s="25" t="s">
        <v>53</v>
      </c>
      <c r="C876" s="25">
        <v>8</v>
      </c>
      <c r="D876" s="25" t="s">
        <v>4295</v>
      </c>
      <c r="E876" s="25" t="s">
        <v>4303</v>
      </c>
      <c r="F876" s="25">
        <v>11.41</v>
      </c>
      <c r="G876" s="25" t="s">
        <v>1889</v>
      </c>
      <c r="H876" s="25">
        <f>3.3+2.3+2.64+3.42</f>
        <v>11.66</v>
      </c>
      <c r="I876" s="25">
        <f>3.3+2.3+2.64+3.42</f>
        <v>11.66</v>
      </c>
      <c r="J876" s="25" t="s">
        <v>1891</v>
      </c>
      <c r="K876" s="25" t="str">
        <f>VLOOKUP(E877,[1]PrelimAssignPOP!$I$1:$J$947,2,FALSE)</f>
        <v>ART</v>
      </c>
      <c r="L876" s="25" t="s">
        <v>214</v>
      </c>
      <c r="M876" s="25" t="s">
        <v>199</v>
      </c>
      <c r="N876" s="25" t="s">
        <v>2737</v>
      </c>
    </row>
    <row r="877" spans="1:14" x14ac:dyDescent="0.55000000000000004">
      <c r="A877">
        <v>876</v>
      </c>
      <c r="B877" s="25" t="s">
        <v>54</v>
      </c>
      <c r="C877" s="25">
        <v>25</v>
      </c>
      <c r="D877" s="25" t="s">
        <v>4304</v>
      </c>
      <c r="E877" s="25" t="s">
        <v>4305</v>
      </c>
      <c r="F877" s="25">
        <v>12.51</v>
      </c>
      <c r="G877" s="25" t="s">
        <v>1889</v>
      </c>
      <c r="H877" s="25">
        <f>12.54</f>
        <v>12.54</v>
      </c>
      <c r="I877" s="25">
        <f>12.54</f>
        <v>12.54</v>
      </c>
      <c r="J877" s="25" t="s">
        <v>1891</v>
      </c>
      <c r="K877" s="25" t="str">
        <f>VLOOKUP(E878,[1]PrelimAssignPOP!$I$1:$J$947,2,FALSE)</f>
        <v>ART</v>
      </c>
      <c r="L877" s="25" t="s">
        <v>214</v>
      </c>
      <c r="M877" s="25" t="s">
        <v>200</v>
      </c>
      <c r="N877" s="25" t="s">
        <v>2738</v>
      </c>
    </row>
    <row r="878" spans="1:14" x14ac:dyDescent="0.55000000000000004">
      <c r="A878">
        <v>877</v>
      </c>
      <c r="B878" s="25" t="s">
        <v>54</v>
      </c>
      <c r="C878" s="25">
        <v>25</v>
      </c>
      <c r="D878" s="25" t="s">
        <v>4304</v>
      </c>
      <c r="E878" s="25" t="s">
        <v>4306</v>
      </c>
      <c r="F878" s="25">
        <v>12.21</v>
      </c>
      <c r="G878" s="25" t="s">
        <v>1889</v>
      </c>
      <c r="H878" s="25">
        <f>2.16+4.77+2.68+2.65</f>
        <v>12.26</v>
      </c>
      <c r="I878" s="25">
        <f>2.16+4.77+2.68+2.65</f>
        <v>12.26</v>
      </c>
      <c r="J878" s="25" t="s">
        <v>1891</v>
      </c>
      <c r="K878" s="25" t="str">
        <f>VLOOKUP(E879,[1]PrelimAssignPOP!$I$1:$J$947,2,FALSE)</f>
        <v>ART</v>
      </c>
      <c r="L878" s="25" t="s">
        <v>214</v>
      </c>
      <c r="M878" s="25" t="s">
        <v>201</v>
      </c>
      <c r="N878" s="25" t="s">
        <v>2739</v>
      </c>
    </row>
    <row r="879" spans="1:14" x14ac:dyDescent="0.55000000000000004">
      <c r="A879">
        <v>878</v>
      </c>
      <c r="B879" s="25" t="s">
        <v>54</v>
      </c>
      <c r="C879" s="25">
        <v>25</v>
      </c>
      <c r="D879" s="25" t="s">
        <v>4304</v>
      </c>
      <c r="E879" s="25" t="s">
        <v>4307</v>
      </c>
      <c r="F879" s="25">
        <v>12.82</v>
      </c>
      <c r="G879" s="25" t="s">
        <v>1889</v>
      </c>
      <c r="H879" s="25">
        <f>6.55+6.36</f>
        <v>12.91</v>
      </c>
      <c r="I879" s="25">
        <f>6.55+6.36</f>
        <v>12.91</v>
      </c>
      <c r="J879" s="25" t="s">
        <v>1891</v>
      </c>
      <c r="K879" s="25" t="str">
        <f>VLOOKUP(E880,[1]PrelimAssignPOP!$I$1:$J$947,2,FALSE)</f>
        <v>ART</v>
      </c>
      <c r="L879" s="25" t="s">
        <v>214</v>
      </c>
      <c r="M879" s="25" t="s">
        <v>202</v>
      </c>
      <c r="N879" s="25" t="s">
        <v>2740</v>
      </c>
    </row>
    <row r="880" spans="1:14" x14ac:dyDescent="0.55000000000000004">
      <c r="A880">
        <v>879</v>
      </c>
      <c r="B880" s="25" t="s">
        <v>54</v>
      </c>
      <c r="C880" s="25">
        <v>25</v>
      </c>
      <c r="D880" s="25" t="s">
        <v>4304</v>
      </c>
      <c r="E880" s="25" t="s">
        <v>4308</v>
      </c>
      <c r="F880" s="25">
        <v>14.18</v>
      </c>
      <c r="G880" s="25" t="s">
        <v>1889</v>
      </c>
      <c r="H880" s="25">
        <v>14.21</v>
      </c>
      <c r="I880" s="25">
        <v>14.21</v>
      </c>
      <c r="J880" s="25" t="s">
        <v>1891</v>
      </c>
      <c r="K880" s="25" t="str">
        <f>VLOOKUP(E881,[1]PrelimAssignPOP!$I$1:$J$947,2,FALSE)</f>
        <v>ART</v>
      </c>
      <c r="L880" s="25" t="s">
        <v>214</v>
      </c>
      <c r="M880" s="25" t="s">
        <v>203</v>
      </c>
      <c r="N880" s="25" t="s">
        <v>2741</v>
      </c>
    </row>
    <row r="881" spans="1:14" x14ac:dyDescent="0.55000000000000004">
      <c r="A881">
        <v>880</v>
      </c>
      <c r="B881" s="25" t="s">
        <v>54</v>
      </c>
      <c r="C881" s="25">
        <v>25</v>
      </c>
      <c r="D881" s="25" t="s">
        <v>4304</v>
      </c>
      <c r="E881" s="25" t="s">
        <v>4309</v>
      </c>
      <c r="F881" s="25">
        <v>13.25</v>
      </c>
      <c r="G881" s="25" t="s">
        <v>1889</v>
      </c>
      <c r="H881" s="25">
        <f>9.38+3.98</f>
        <v>13.360000000000001</v>
      </c>
      <c r="I881" s="25">
        <f>9.38+3.98</f>
        <v>13.360000000000001</v>
      </c>
      <c r="J881" s="25" t="s">
        <v>1891</v>
      </c>
      <c r="K881" s="25" t="str">
        <f>VLOOKUP(E882,[1]PrelimAssignPOP!$I$1:$J$947,2,FALSE)</f>
        <v>ART</v>
      </c>
      <c r="L881" s="25" t="s">
        <v>214</v>
      </c>
      <c r="M881" s="25" t="s">
        <v>204</v>
      </c>
      <c r="N881" s="25" t="s">
        <v>2742</v>
      </c>
    </row>
    <row r="882" spans="1:14" x14ac:dyDescent="0.55000000000000004">
      <c r="A882">
        <v>881</v>
      </c>
      <c r="B882" s="25" t="s">
        <v>54</v>
      </c>
      <c r="C882" s="25">
        <v>25</v>
      </c>
      <c r="D882" s="25" t="s">
        <v>4304</v>
      </c>
      <c r="E882" s="25" t="s">
        <v>4310</v>
      </c>
      <c r="F882" s="25">
        <v>13.23</v>
      </c>
      <c r="G882" s="25" t="s">
        <v>1889</v>
      </c>
      <c r="H882" s="25">
        <f>13.34</f>
        <v>13.34</v>
      </c>
      <c r="I882" s="25">
        <f>13.34</f>
        <v>13.34</v>
      </c>
      <c r="J882" s="25" t="s">
        <v>1891</v>
      </c>
      <c r="K882" s="25" t="str">
        <f>VLOOKUP(E883,[1]PrelimAssignPOP!$I$1:$J$947,2,FALSE)</f>
        <v>ART</v>
      </c>
      <c r="L882" s="25" t="s">
        <v>214</v>
      </c>
      <c r="M882" s="25" t="s">
        <v>205</v>
      </c>
      <c r="N882" s="25" t="s">
        <v>2743</v>
      </c>
    </row>
    <row r="883" spans="1:14" x14ac:dyDescent="0.55000000000000004">
      <c r="A883">
        <v>882</v>
      </c>
      <c r="B883" s="25" t="s">
        <v>54</v>
      </c>
      <c r="C883" s="25">
        <v>25</v>
      </c>
      <c r="D883" s="25" t="s">
        <v>4304</v>
      </c>
      <c r="E883" s="25" t="s">
        <v>4311</v>
      </c>
      <c r="F883" s="25">
        <v>12.91</v>
      </c>
      <c r="G883" s="25" t="s">
        <v>1889</v>
      </c>
      <c r="H883" s="25">
        <f>5.48+7.41</f>
        <v>12.89</v>
      </c>
      <c r="I883" s="25">
        <f>5.48+7.41</f>
        <v>12.89</v>
      </c>
      <c r="J883" s="25" t="s">
        <v>1891</v>
      </c>
      <c r="K883" s="25" t="str">
        <f>VLOOKUP(E884,[1]PrelimAssignPOP!$I$1:$J$947,2,FALSE)</f>
        <v>ART</v>
      </c>
      <c r="L883" s="25" t="s">
        <v>214</v>
      </c>
      <c r="M883" s="25" t="s">
        <v>206</v>
      </c>
      <c r="N883" s="25" t="s">
        <v>2744</v>
      </c>
    </row>
    <row r="884" spans="1:14" x14ac:dyDescent="0.55000000000000004">
      <c r="A884">
        <v>883</v>
      </c>
      <c r="B884" s="25" t="s">
        <v>54</v>
      </c>
      <c r="C884" s="25">
        <v>25</v>
      </c>
      <c r="D884" s="25" t="s">
        <v>4304</v>
      </c>
      <c r="E884" s="25" t="s">
        <v>4312</v>
      </c>
      <c r="F884" s="25">
        <v>12.22</v>
      </c>
      <c r="G884" s="25" t="s">
        <v>1889</v>
      </c>
      <c r="H884" s="25">
        <f>3.49+1.79+4.81+2.55</f>
        <v>12.64</v>
      </c>
      <c r="I884" s="25">
        <f>3.49+1.79+4.81+2.55</f>
        <v>12.64</v>
      </c>
      <c r="J884" s="25" t="s">
        <v>1891</v>
      </c>
      <c r="K884" s="25" t="str">
        <f>VLOOKUP(E885,[1]PrelimAssignPOP!$I$1:$J$947,2,FALSE)</f>
        <v>ART</v>
      </c>
      <c r="L884" s="25" t="s">
        <v>214</v>
      </c>
      <c r="M884" s="25" t="s">
        <v>207</v>
      </c>
      <c r="N884" s="25" t="s">
        <v>2745</v>
      </c>
    </row>
    <row r="885" spans="1:14" x14ac:dyDescent="0.55000000000000004">
      <c r="A885">
        <v>884</v>
      </c>
      <c r="B885" s="25" t="s">
        <v>54</v>
      </c>
      <c r="C885" s="25">
        <v>25</v>
      </c>
      <c r="D885" s="25" t="s">
        <v>4304</v>
      </c>
      <c r="E885" s="25" t="s">
        <v>4313</v>
      </c>
      <c r="F885" s="25">
        <v>13.56</v>
      </c>
      <c r="G885" s="25" t="s">
        <v>1889</v>
      </c>
      <c r="H885" s="25">
        <f>5.47+8.13</f>
        <v>13.600000000000001</v>
      </c>
      <c r="I885" s="25">
        <f>5.47+8.13</f>
        <v>13.600000000000001</v>
      </c>
      <c r="J885" s="25" t="s">
        <v>1891</v>
      </c>
      <c r="K885" s="25" t="str">
        <f>VLOOKUP(E886,[1]PrelimAssignPOP!$I$1:$J$947,2,FALSE)</f>
        <v>ART</v>
      </c>
      <c r="L885" s="25" t="s">
        <v>214</v>
      </c>
      <c r="M885" s="25" t="s">
        <v>208</v>
      </c>
      <c r="N885" s="25" t="s">
        <v>2746</v>
      </c>
    </row>
    <row r="886" spans="1:14" x14ac:dyDescent="0.55000000000000004">
      <c r="A886">
        <v>885</v>
      </c>
      <c r="B886" s="25" t="s">
        <v>54</v>
      </c>
      <c r="C886" s="25">
        <v>25</v>
      </c>
      <c r="D886" s="25" t="s">
        <v>4304</v>
      </c>
      <c r="E886" s="25" t="s">
        <v>4314</v>
      </c>
      <c r="F886" s="25">
        <v>13.2</v>
      </c>
      <c r="G886" s="25" t="s">
        <v>1889</v>
      </c>
      <c r="H886" s="25">
        <f>5+8.24</f>
        <v>13.24</v>
      </c>
      <c r="I886" s="25">
        <f>5+8.24</f>
        <v>13.24</v>
      </c>
      <c r="J886" s="25" t="s">
        <v>1891</v>
      </c>
      <c r="K886" s="25" t="str">
        <f>VLOOKUP(E887,[1]PrelimAssignPOP!$I$1:$J$947,2,FALSE)</f>
        <v>ART</v>
      </c>
      <c r="L886" s="25" t="s">
        <v>214</v>
      </c>
      <c r="M886" s="25" t="s">
        <v>209</v>
      </c>
      <c r="N886" s="25" t="s">
        <v>2747</v>
      </c>
    </row>
    <row r="887" spans="1:14" x14ac:dyDescent="0.55000000000000004">
      <c r="A887">
        <v>886</v>
      </c>
      <c r="B887" s="25" t="s">
        <v>54</v>
      </c>
      <c r="C887" s="25">
        <v>25</v>
      </c>
      <c r="D887" s="25" t="s">
        <v>4304</v>
      </c>
      <c r="E887" s="25" t="s">
        <v>4315</v>
      </c>
      <c r="F887" s="25">
        <v>12.36</v>
      </c>
      <c r="G887" s="25" t="s">
        <v>1889</v>
      </c>
      <c r="H887" s="25">
        <f>2.8+1.84+2.85+5.07</f>
        <v>12.56</v>
      </c>
      <c r="I887" s="25">
        <f>2.8+1.84+2.85+5.07</f>
        <v>12.56</v>
      </c>
      <c r="J887" s="25" t="s">
        <v>1891</v>
      </c>
      <c r="K887" s="25" t="str">
        <f>VLOOKUP(E888,[1]PrelimAssignPOP!$I$1:$J$947,2,FALSE)</f>
        <v>ART</v>
      </c>
      <c r="L887" s="25" t="s">
        <v>215</v>
      </c>
      <c r="M887" s="25" t="s">
        <v>114</v>
      </c>
      <c r="N887" s="25" t="s">
        <v>2748</v>
      </c>
    </row>
    <row r="888" spans="1:14" x14ac:dyDescent="0.55000000000000004">
      <c r="A888">
        <v>887</v>
      </c>
      <c r="B888" s="25" t="s">
        <v>54</v>
      </c>
      <c r="C888" s="25">
        <v>25</v>
      </c>
      <c r="D888" s="25" t="s">
        <v>4304</v>
      </c>
      <c r="E888" s="25" t="s">
        <v>4316</v>
      </c>
      <c r="F888" s="25">
        <v>10.57</v>
      </c>
      <c r="G888" s="25" t="s">
        <v>1889</v>
      </c>
      <c r="H888" s="25">
        <f>3.68+3.52+3.35</f>
        <v>10.55</v>
      </c>
      <c r="I888" s="25">
        <f>3.68+3.52+3.35</f>
        <v>10.55</v>
      </c>
      <c r="J888" s="25" t="s">
        <v>1891</v>
      </c>
      <c r="L888" s="25" t="s">
        <v>215</v>
      </c>
      <c r="M888" s="25" t="s">
        <v>122</v>
      </c>
      <c r="N888" s="25" t="s">
        <v>2749</v>
      </c>
    </row>
    <row r="889" spans="1:14" x14ac:dyDescent="0.55000000000000004">
      <c r="A889">
        <v>888</v>
      </c>
      <c r="B889" s="25" t="s">
        <v>54</v>
      </c>
      <c r="C889" s="25">
        <v>25</v>
      </c>
      <c r="D889" s="25" t="s">
        <v>4304</v>
      </c>
      <c r="E889" s="25" t="s">
        <v>4317</v>
      </c>
      <c r="F889" s="25">
        <v>13.32</v>
      </c>
      <c r="G889" s="25" t="s">
        <v>1889</v>
      </c>
      <c r="H889" s="25">
        <f>5.93+7.23</f>
        <v>13.16</v>
      </c>
      <c r="I889" s="25">
        <f>5.93+7.23</f>
        <v>13.16</v>
      </c>
      <c r="J889" s="25" t="s">
        <v>1891</v>
      </c>
      <c r="N889" s="25" t="s">
        <v>2750</v>
      </c>
    </row>
    <row r="890" spans="1:14" x14ac:dyDescent="0.55000000000000004">
      <c r="A890">
        <v>889</v>
      </c>
      <c r="B890" s="25" t="s">
        <v>54</v>
      </c>
      <c r="C890" s="25">
        <v>25</v>
      </c>
      <c r="D890" s="25" t="s">
        <v>4304</v>
      </c>
      <c r="E890" s="25" t="s">
        <v>4318</v>
      </c>
      <c r="F890" s="25">
        <v>11.69</v>
      </c>
      <c r="G890" s="25" t="s">
        <v>1889</v>
      </c>
      <c r="H890" s="25">
        <f>4.71+2.45+4.74</f>
        <v>11.9</v>
      </c>
      <c r="I890" s="25">
        <f>4.71+2.45+4.74</f>
        <v>11.9</v>
      </c>
      <c r="J890" s="25" t="s">
        <v>1891</v>
      </c>
      <c r="N890" s="25" t="s">
        <v>2751</v>
      </c>
    </row>
    <row r="891" spans="1:14" x14ac:dyDescent="0.55000000000000004">
      <c r="A891">
        <v>890</v>
      </c>
      <c r="B891" s="25" t="s">
        <v>54</v>
      </c>
      <c r="C891" s="25">
        <v>25</v>
      </c>
      <c r="D891" s="25" t="s">
        <v>4304</v>
      </c>
      <c r="E891" s="25" t="s">
        <v>4319</v>
      </c>
      <c r="F891" s="25">
        <v>13.08</v>
      </c>
      <c r="G891" s="25" t="s">
        <v>1889</v>
      </c>
      <c r="H891" s="25">
        <f>8.17+4.97</f>
        <v>13.14</v>
      </c>
      <c r="I891" s="25">
        <f>8.17+4.97</f>
        <v>13.14</v>
      </c>
      <c r="J891" s="25" t="s">
        <v>1891</v>
      </c>
      <c r="N891" s="25" t="s">
        <v>2752</v>
      </c>
    </row>
    <row r="892" spans="1:14" x14ac:dyDescent="0.55000000000000004">
      <c r="A892">
        <v>891</v>
      </c>
      <c r="B892" s="25" t="s">
        <v>54</v>
      </c>
      <c r="C892" s="25">
        <v>25</v>
      </c>
      <c r="D892" s="25" t="s">
        <v>4304</v>
      </c>
      <c r="E892" s="25" t="s">
        <v>4320</v>
      </c>
      <c r="F892" s="25">
        <v>12.56</v>
      </c>
      <c r="G892" s="25" t="s">
        <v>1889</v>
      </c>
      <c r="H892" s="25">
        <f>4.28+3.15+5.14</f>
        <v>12.57</v>
      </c>
      <c r="I892" s="25">
        <f>4.28+3.15+5.14</f>
        <v>12.57</v>
      </c>
      <c r="J892" s="25" t="s">
        <v>1891</v>
      </c>
      <c r="N892" s="25" t="s">
        <v>2753</v>
      </c>
    </row>
    <row r="893" spans="1:14" x14ac:dyDescent="0.55000000000000004">
      <c r="A893">
        <v>892</v>
      </c>
      <c r="B893" s="25" t="s">
        <v>54</v>
      </c>
      <c r="C893" s="25">
        <v>25</v>
      </c>
      <c r="D893" s="25" t="s">
        <v>4304</v>
      </c>
      <c r="E893" s="25" t="s">
        <v>4321</v>
      </c>
      <c r="F893" s="25">
        <v>12.27</v>
      </c>
      <c r="G893" s="25" t="s">
        <v>1889</v>
      </c>
      <c r="H893" s="25">
        <f>5.41+3.17+3.82</f>
        <v>12.4</v>
      </c>
      <c r="I893" s="25">
        <f>5.41+3.17+3.82</f>
        <v>12.4</v>
      </c>
      <c r="J893" s="25" t="s">
        <v>1891</v>
      </c>
      <c r="N893" s="25" t="s">
        <v>2754</v>
      </c>
    </row>
    <row r="894" spans="1:14" x14ac:dyDescent="0.55000000000000004">
      <c r="A894">
        <v>893</v>
      </c>
      <c r="B894" s="25" t="s">
        <v>54</v>
      </c>
      <c r="C894" s="25">
        <v>25</v>
      </c>
      <c r="D894" s="25" t="s">
        <v>4304</v>
      </c>
      <c r="E894" s="25" t="s">
        <v>4322</v>
      </c>
      <c r="F894" s="25">
        <v>12.67</v>
      </c>
      <c r="G894" s="25" t="s">
        <v>1889</v>
      </c>
      <c r="H894" s="25">
        <f>5.98+2.1+4.81</f>
        <v>12.89</v>
      </c>
      <c r="I894" s="25">
        <f>5.98+2.1+4.81</f>
        <v>12.89</v>
      </c>
      <c r="J894" s="25" t="s">
        <v>1891</v>
      </c>
      <c r="N894" s="25" t="s">
        <v>2755</v>
      </c>
    </row>
    <row r="895" spans="1:14" x14ac:dyDescent="0.55000000000000004">
      <c r="A895">
        <v>894</v>
      </c>
      <c r="B895" s="25" t="s">
        <v>54</v>
      </c>
      <c r="C895" s="25">
        <v>25</v>
      </c>
      <c r="D895" s="25" t="s">
        <v>4304</v>
      </c>
      <c r="E895" s="25" t="s">
        <v>4323</v>
      </c>
      <c r="F895" s="25">
        <v>12.46</v>
      </c>
      <c r="G895" s="25" t="s">
        <v>1889</v>
      </c>
      <c r="H895" s="25">
        <f>6.58+5.94</f>
        <v>12.52</v>
      </c>
      <c r="I895" s="25">
        <f>6.58+5.94</f>
        <v>12.52</v>
      </c>
      <c r="J895" s="25" t="s">
        <v>1891</v>
      </c>
      <c r="N895" s="25" t="s">
        <v>2756</v>
      </c>
    </row>
    <row r="896" spans="1:14" x14ac:dyDescent="0.55000000000000004">
      <c r="A896">
        <v>895</v>
      </c>
      <c r="B896" s="25" t="s">
        <v>54</v>
      </c>
      <c r="C896" s="25">
        <v>25</v>
      </c>
      <c r="D896" s="25" t="s">
        <v>4304</v>
      </c>
      <c r="E896" s="25" t="s">
        <v>4324</v>
      </c>
      <c r="F896" s="25">
        <v>12.89</v>
      </c>
      <c r="G896" s="25" t="s">
        <v>1889</v>
      </c>
      <c r="H896" s="25">
        <f>4.39+3.66+5.08</f>
        <v>13.13</v>
      </c>
      <c r="I896" s="25">
        <f>4.39+3.66+5.08</f>
        <v>13.13</v>
      </c>
      <c r="J896" s="25" t="s">
        <v>1891</v>
      </c>
      <c r="N896" s="25" t="s">
        <v>2757</v>
      </c>
    </row>
    <row r="897" spans="1:14" x14ac:dyDescent="0.55000000000000004">
      <c r="A897">
        <v>896</v>
      </c>
      <c r="B897" s="25" t="s">
        <v>54</v>
      </c>
      <c r="C897" s="25">
        <v>25</v>
      </c>
      <c r="D897" s="25" t="s">
        <v>4304</v>
      </c>
      <c r="E897" s="25" t="s">
        <v>4325</v>
      </c>
      <c r="F897" s="25">
        <v>14.1</v>
      </c>
      <c r="G897" s="25" t="s">
        <v>1889</v>
      </c>
      <c r="H897" s="25">
        <f>6.17+3.36+4.9</f>
        <v>14.43</v>
      </c>
      <c r="I897" s="25">
        <f>6.17+3.36+4.9</f>
        <v>14.43</v>
      </c>
      <c r="J897" s="25" t="s">
        <v>1891</v>
      </c>
      <c r="N897" s="25" t="s">
        <v>2758</v>
      </c>
    </row>
    <row r="898" spans="1:14" x14ac:dyDescent="0.55000000000000004">
      <c r="A898">
        <v>897</v>
      </c>
      <c r="B898" s="25" t="s">
        <v>54</v>
      </c>
      <c r="C898" s="25">
        <v>25</v>
      </c>
      <c r="D898" s="25" t="s">
        <v>4304</v>
      </c>
      <c r="E898" s="25" t="s">
        <v>4326</v>
      </c>
      <c r="F898" s="25">
        <v>12.86</v>
      </c>
      <c r="G898" s="25" t="s">
        <v>1889</v>
      </c>
      <c r="H898" s="25">
        <f>5+3.54+4.35</f>
        <v>12.889999999999999</v>
      </c>
      <c r="I898" s="25">
        <f>5+3.54+4.35</f>
        <v>12.889999999999999</v>
      </c>
      <c r="J898" s="25" t="s">
        <v>1891</v>
      </c>
      <c r="N898" s="25" t="s">
        <v>2759</v>
      </c>
    </row>
    <row r="899" spans="1:14" x14ac:dyDescent="0.55000000000000004">
      <c r="A899">
        <v>898</v>
      </c>
      <c r="B899" s="25" t="s">
        <v>54</v>
      </c>
      <c r="C899" s="25">
        <v>25</v>
      </c>
      <c r="D899" s="25" t="s">
        <v>4304</v>
      </c>
      <c r="E899" s="25" t="s">
        <v>4327</v>
      </c>
      <c r="F899" s="25">
        <v>12.3</v>
      </c>
      <c r="G899" s="25" t="s">
        <v>1889</v>
      </c>
      <c r="H899" s="25">
        <f>5.12+3.31+3.88</f>
        <v>12.309999999999999</v>
      </c>
      <c r="I899" s="25">
        <f>5.12+3.31+3.88</f>
        <v>12.309999999999999</v>
      </c>
      <c r="J899" s="25" t="s">
        <v>1891</v>
      </c>
      <c r="N899" s="25" t="s">
        <v>2760</v>
      </c>
    </row>
    <row r="900" spans="1:14" x14ac:dyDescent="0.55000000000000004">
      <c r="A900">
        <v>899</v>
      </c>
      <c r="B900" s="25" t="s">
        <v>54</v>
      </c>
      <c r="C900" s="25">
        <v>25</v>
      </c>
      <c r="D900" s="25" t="s">
        <v>4304</v>
      </c>
      <c r="E900" s="25" t="s">
        <v>4328</v>
      </c>
      <c r="F900" s="25">
        <v>12.69</v>
      </c>
      <c r="G900" s="25" t="s">
        <v>1889</v>
      </c>
      <c r="H900" s="25">
        <f>2.63+1.7+8.68</f>
        <v>13.01</v>
      </c>
      <c r="I900" s="25">
        <f>2.63+1.7+8.68</f>
        <v>13.01</v>
      </c>
      <c r="J900" s="25" t="s">
        <v>1891</v>
      </c>
      <c r="N900" s="25" t="s">
        <v>2761</v>
      </c>
    </row>
    <row r="901" spans="1:14" x14ac:dyDescent="0.55000000000000004">
      <c r="A901">
        <v>900</v>
      </c>
      <c r="B901" s="25" t="s">
        <v>54</v>
      </c>
      <c r="C901" s="25">
        <v>25</v>
      </c>
      <c r="D901" s="25" t="s">
        <v>4304</v>
      </c>
      <c r="E901" s="25" t="s">
        <v>4329</v>
      </c>
      <c r="F901" s="25">
        <v>11.96</v>
      </c>
      <c r="G901" s="25" t="s">
        <v>1889</v>
      </c>
      <c r="H901" s="25">
        <f>4.89+2.04+5.45</f>
        <v>12.379999999999999</v>
      </c>
      <c r="I901" s="25">
        <f>4.89+2.04+5.45</f>
        <v>12.379999999999999</v>
      </c>
      <c r="J901" s="25" t="s">
        <v>1891</v>
      </c>
      <c r="K901" s="25" t="str">
        <f>VLOOKUP(E902,[1]PrelimAssignPOP!$I$1:$J$947,2,FALSE)</f>
        <v>ART</v>
      </c>
      <c r="N901" s="25" t="s">
        <v>2762</v>
      </c>
    </row>
    <row r="902" spans="1:14" x14ac:dyDescent="0.55000000000000004">
      <c r="A902">
        <v>901</v>
      </c>
      <c r="B902" s="25" t="s">
        <v>55</v>
      </c>
      <c r="C902" s="25">
        <v>9</v>
      </c>
      <c r="D902" s="25" t="s">
        <v>4330</v>
      </c>
      <c r="E902" s="25" t="s">
        <v>4331</v>
      </c>
      <c r="F902" s="25">
        <v>12.26</v>
      </c>
      <c r="G902" s="25" t="s">
        <v>1889</v>
      </c>
      <c r="H902" s="25">
        <f>3.66+2.23+2.28+4.28</f>
        <v>12.45</v>
      </c>
      <c r="I902" s="25">
        <f>3.66+2.23+2.28+4.28</f>
        <v>12.45</v>
      </c>
      <c r="J902" s="25" t="s">
        <v>1891</v>
      </c>
      <c r="K902" s="25" t="str">
        <f>VLOOKUP(E903,[1]PrelimAssignPOP!$I$1:$J$947,2,FALSE)</f>
        <v>HYB</v>
      </c>
      <c r="L902" s="25" t="s">
        <v>215</v>
      </c>
      <c r="M902" s="25" t="s">
        <v>123</v>
      </c>
      <c r="N902" s="25" t="s">
        <v>2763</v>
      </c>
    </row>
    <row r="903" spans="1:14" x14ac:dyDescent="0.55000000000000004">
      <c r="A903">
        <v>902</v>
      </c>
      <c r="B903" s="25" t="s">
        <v>55</v>
      </c>
      <c r="C903" s="25">
        <v>9</v>
      </c>
      <c r="D903" s="25" t="s">
        <v>4330</v>
      </c>
      <c r="E903" s="25" t="s">
        <v>4332</v>
      </c>
      <c r="F903" s="25">
        <v>13.67</v>
      </c>
      <c r="G903" s="25" t="s">
        <v>1889</v>
      </c>
      <c r="H903" s="25">
        <f>3.34+5.61+1.12+3.89</f>
        <v>13.96</v>
      </c>
      <c r="I903" s="25">
        <f>3.34+5.61+1.12+3.89</f>
        <v>13.96</v>
      </c>
      <c r="J903" s="25" t="s">
        <v>1891</v>
      </c>
      <c r="K903" s="25" t="str">
        <f>VLOOKUP(E904,[1]PrelimAssignPOP!$I$1:$J$947,2,FALSE)</f>
        <v>HYB</v>
      </c>
      <c r="L903" s="25" t="s">
        <v>215</v>
      </c>
      <c r="M903" s="25" t="s">
        <v>124</v>
      </c>
      <c r="N903" s="25" t="s">
        <v>2764</v>
      </c>
    </row>
    <row r="904" spans="1:14" x14ac:dyDescent="0.55000000000000004">
      <c r="A904">
        <v>903</v>
      </c>
      <c r="B904" s="25" t="s">
        <v>55</v>
      </c>
      <c r="C904" s="25">
        <v>9</v>
      </c>
      <c r="D904" s="25" t="s">
        <v>4330</v>
      </c>
      <c r="E904" s="25" t="s">
        <v>4333</v>
      </c>
      <c r="F904" s="25">
        <v>12.13</v>
      </c>
      <c r="G904" s="25" t="s">
        <v>1889</v>
      </c>
      <c r="H904" s="25">
        <f>3.11+2.51+2.21+4.82</f>
        <v>12.649999999999999</v>
      </c>
      <c r="I904" s="25">
        <f>3.11+2.51+2.21+4.82</f>
        <v>12.649999999999999</v>
      </c>
      <c r="J904" s="25" t="s">
        <v>1891</v>
      </c>
      <c r="K904" s="25" t="str">
        <f>VLOOKUP(E905,[1]PrelimAssignPOP!$I$1:$J$947,2,FALSE)</f>
        <v>KIY</v>
      </c>
      <c r="L904" s="25" t="s">
        <v>215</v>
      </c>
      <c r="M904" s="25" t="s">
        <v>125</v>
      </c>
      <c r="N904" s="25" t="s">
        <v>2765</v>
      </c>
    </row>
    <row r="905" spans="1:14" x14ac:dyDescent="0.55000000000000004">
      <c r="A905">
        <v>904</v>
      </c>
      <c r="B905" s="25" t="s">
        <v>55</v>
      </c>
      <c r="C905" s="25">
        <v>9</v>
      </c>
      <c r="D905" s="25" t="s">
        <v>4330</v>
      </c>
      <c r="E905" s="25" t="s">
        <v>4334</v>
      </c>
      <c r="F905" s="25">
        <v>13.81</v>
      </c>
      <c r="G905" s="25" t="s">
        <v>1889</v>
      </c>
      <c r="H905" s="25">
        <f>6.83+2.16+4.91</f>
        <v>13.9</v>
      </c>
      <c r="I905" s="25">
        <f>6.83+2.16+4.91</f>
        <v>13.9</v>
      </c>
      <c r="J905" s="25" t="s">
        <v>1891</v>
      </c>
      <c r="K905" s="25" t="str">
        <f>VLOOKUP(E906,[1]PrelimAssignPOP!$I$1:$J$947,2,FALSE)</f>
        <v>ART</v>
      </c>
      <c r="L905" s="25" t="s">
        <v>215</v>
      </c>
      <c r="M905" s="25" t="s">
        <v>126</v>
      </c>
      <c r="N905" s="25" t="s">
        <v>2766</v>
      </c>
    </row>
    <row r="906" spans="1:14" x14ac:dyDescent="0.55000000000000004">
      <c r="A906">
        <v>905</v>
      </c>
      <c r="B906" s="25" t="s">
        <v>55</v>
      </c>
      <c r="C906" s="25">
        <v>9</v>
      </c>
      <c r="D906" s="25" t="s">
        <v>4330</v>
      </c>
      <c r="E906" s="25" t="s">
        <v>4335</v>
      </c>
      <c r="F906" s="25">
        <v>11.49</v>
      </c>
      <c r="G906" s="25" t="s">
        <v>1889</v>
      </c>
      <c r="H906" s="25">
        <f>3.9+4.33+3.49</f>
        <v>11.72</v>
      </c>
      <c r="I906" s="25">
        <f>3.9+4.33+3.49</f>
        <v>11.72</v>
      </c>
      <c r="J906" s="25" t="s">
        <v>1891</v>
      </c>
      <c r="K906" s="25" t="str">
        <f>VLOOKUP(E907,[1]PrelimAssignPOP!$I$1:$J$947,2,FALSE)</f>
        <v>ART</v>
      </c>
      <c r="L906" s="25" t="s">
        <v>215</v>
      </c>
      <c r="M906" s="25" t="s">
        <v>127</v>
      </c>
      <c r="N906" s="25" t="s">
        <v>2767</v>
      </c>
    </row>
    <row r="907" spans="1:14" x14ac:dyDescent="0.55000000000000004">
      <c r="A907">
        <v>906</v>
      </c>
      <c r="B907" s="25" t="s">
        <v>55</v>
      </c>
      <c r="C907" s="25">
        <v>9</v>
      </c>
      <c r="D907" s="25" t="s">
        <v>4330</v>
      </c>
      <c r="E907" s="25" t="s">
        <v>4336</v>
      </c>
      <c r="F907" s="25">
        <v>11.59</v>
      </c>
      <c r="G907" s="25" t="s">
        <v>1889</v>
      </c>
      <c r="H907" s="25">
        <f>2.28+4+3.33+2.38</f>
        <v>11.989999999999998</v>
      </c>
      <c r="I907" s="25">
        <f>2.28+4+3.33+2.38</f>
        <v>11.989999999999998</v>
      </c>
      <c r="J907" s="25" t="s">
        <v>1891</v>
      </c>
      <c r="K907" s="25" t="str">
        <f>VLOOKUP(E908,[1]PrelimAssignPOP!$I$1:$J$947,2,FALSE)</f>
        <v>ART</v>
      </c>
      <c r="L907" s="25" t="s">
        <v>215</v>
      </c>
      <c r="M907" s="25" t="s">
        <v>128</v>
      </c>
      <c r="N907" s="25" t="s">
        <v>2768</v>
      </c>
    </row>
    <row r="908" spans="1:14" x14ac:dyDescent="0.55000000000000004">
      <c r="A908">
        <v>907</v>
      </c>
      <c r="B908" s="25" t="s">
        <v>55</v>
      </c>
      <c r="C908" s="25">
        <v>9</v>
      </c>
      <c r="D908" s="25" t="s">
        <v>4330</v>
      </c>
      <c r="E908" s="25" t="s">
        <v>4337</v>
      </c>
      <c r="F908" s="25">
        <v>11.1</v>
      </c>
      <c r="G908" s="25" t="s">
        <v>1889</v>
      </c>
      <c r="H908" s="25">
        <f>1.58+2.02+2.31+2.68+2.58</f>
        <v>11.17</v>
      </c>
      <c r="I908" s="25">
        <f>1.58+2.02+2.31+2.68+2.58</f>
        <v>11.17</v>
      </c>
      <c r="J908" s="25" t="s">
        <v>1891</v>
      </c>
      <c r="K908" s="25" t="str">
        <f>VLOOKUP(E909,[1]PrelimAssignPOP!$I$1:$J$947,2,FALSE)</f>
        <v>ART</v>
      </c>
      <c r="L908" s="25" t="s">
        <v>215</v>
      </c>
      <c r="M908" s="25" t="s">
        <v>129</v>
      </c>
      <c r="N908" s="25" t="s">
        <v>2769</v>
      </c>
    </row>
    <row r="909" spans="1:14" x14ac:dyDescent="0.55000000000000004">
      <c r="A909">
        <v>908</v>
      </c>
      <c r="B909" s="25" t="s">
        <v>55</v>
      </c>
      <c r="C909" s="25">
        <v>9</v>
      </c>
      <c r="D909" s="25" t="s">
        <v>4330</v>
      </c>
      <c r="E909" s="25" t="s">
        <v>4338</v>
      </c>
      <c r="F909" s="25">
        <v>11.08</v>
      </c>
      <c r="G909" s="25" t="s">
        <v>1889</v>
      </c>
      <c r="H909" s="25">
        <f>4.9+6.25</f>
        <v>11.15</v>
      </c>
      <c r="I909" s="25">
        <f>4.9+6.25</f>
        <v>11.15</v>
      </c>
      <c r="J909" s="25" t="s">
        <v>1891</v>
      </c>
      <c r="K909" s="25" t="str">
        <f>VLOOKUP(E910,[1]PrelimAssignPOP!$I$1:$J$947,2,FALSE)</f>
        <v>ART</v>
      </c>
      <c r="L909" s="25" t="s">
        <v>215</v>
      </c>
      <c r="M909" s="25" t="s">
        <v>130</v>
      </c>
      <c r="N909" s="25" t="s">
        <v>2770</v>
      </c>
    </row>
    <row r="910" spans="1:14" x14ac:dyDescent="0.55000000000000004">
      <c r="A910">
        <v>909</v>
      </c>
      <c r="B910" s="25" t="s">
        <v>55</v>
      </c>
      <c r="C910" s="25">
        <v>9</v>
      </c>
      <c r="D910" s="25" t="s">
        <v>4330</v>
      </c>
      <c r="E910" s="25" t="s">
        <v>4339</v>
      </c>
      <c r="F910" s="25">
        <v>12.98</v>
      </c>
      <c r="G910" s="25" t="s">
        <v>1889</v>
      </c>
      <c r="H910" s="25">
        <f>2.34+3.08+2.64+2.43+3.16</f>
        <v>13.65</v>
      </c>
      <c r="I910" s="25">
        <f>2.34+3.08+2.64+2.43+3.16</f>
        <v>13.65</v>
      </c>
      <c r="J910" s="25" t="s">
        <v>1891</v>
      </c>
      <c r="K910" s="25" t="str">
        <f>VLOOKUP(E911,[1]PrelimAssignPOP!$I$1:$J$947,2,FALSE)</f>
        <v>ART</v>
      </c>
      <c r="L910" s="25" t="s">
        <v>215</v>
      </c>
      <c r="M910" s="25" t="s">
        <v>131</v>
      </c>
      <c r="N910" s="25" t="s">
        <v>2771</v>
      </c>
    </row>
    <row r="911" spans="1:14" x14ac:dyDescent="0.55000000000000004">
      <c r="A911">
        <v>910</v>
      </c>
      <c r="B911" s="25" t="s">
        <v>56</v>
      </c>
      <c r="C911" s="25">
        <v>3</v>
      </c>
      <c r="D911" s="25" t="s">
        <v>4340</v>
      </c>
      <c r="E911" s="25" t="s">
        <v>4341</v>
      </c>
      <c r="F911" s="25">
        <v>10.74</v>
      </c>
      <c r="G911" s="25" t="s">
        <v>1889</v>
      </c>
      <c r="H911" s="25">
        <f>2.81+2.25+2.33+2.24+1.48</f>
        <v>11.110000000000001</v>
      </c>
      <c r="I911" s="25">
        <f>2.81+2.25+2.33+2.24+1.48</f>
        <v>11.110000000000001</v>
      </c>
      <c r="J911" s="25" t="s">
        <v>1891</v>
      </c>
      <c r="K911" s="25" t="str">
        <f>VLOOKUP(E912,[1]PrelimAssignPOP!$I$1:$J$947,2,FALSE)</f>
        <v>ART</v>
      </c>
      <c r="L911" s="25" t="s">
        <v>215</v>
      </c>
      <c r="M911" s="25" t="s">
        <v>132</v>
      </c>
      <c r="N911" s="25" t="s">
        <v>2772</v>
      </c>
    </row>
    <row r="912" spans="1:14" x14ac:dyDescent="0.55000000000000004">
      <c r="A912">
        <v>911</v>
      </c>
      <c r="B912" s="25" t="s">
        <v>56</v>
      </c>
      <c r="C912" s="25">
        <v>3</v>
      </c>
      <c r="D912" s="25" t="s">
        <v>4340</v>
      </c>
      <c r="E912" s="25" t="s">
        <v>4342</v>
      </c>
      <c r="F912" s="25">
        <v>10.77</v>
      </c>
      <c r="G912" s="25" t="s">
        <v>1889</v>
      </c>
      <c r="H912" s="25">
        <f>3.17+3.19+2.33+2.37</f>
        <v>11.059999999999999</v>
      </c>
      <c r="I912" s="25">
        <f>3.17+3.19+2.33+2.37</f>
        <v>11.059999999999999</v>
      </c>
      <c r="J912" s="25" t="s">
        <v>1891</v>
      </c>
      <c r="K912" s="25" t="str">
        <f>VLOOKUP(E913,[1]PrelimAssignPOP!$I$1:$J$947,2,FALSE)</f>
        <v>ART</v>
      </c>
      <c r="L912" s="25" t="s">
        <v>215</v>
      </c>
      <c r="M912" s="25" t="s">
        <v>115</v>
      </c>
      <c r="N912" s="25" t="s">
        <v>2773</v>
      </c>
    </row>
    <row r="913" spans="1:15" x14ac:dyDescent="0.55000000000000004">
      <c r="A913">
        <v>912</v>
      </c>
      <c r="B913" s="25" t="s">
        <v>56</v>
      </c>
      <c r="C913" s="25">
        <v>3</v>
      </c>
      <c r="D913" s="25" t="s">
        <v>4340</v>
      </c>
      <c r="E913" s="25" t="s">
        <v>4343</v>
      </c>
      <c r="F913" s="25">
        <v>10.92</v>
      </c>
      <c r="G913" s="25" t="s">
        <v>1889</v>
      </c>
      <c r="H913" s="25">
        <f>1.9+2.47+2.03+2.65+2.24</f>
        <v>11.290000000000001</v>
      </c>
      <c r="I913" s="25">
        <f>1.9+2.47+2.03+2.65+2.24</f>
        <v>11.290000000000001</v>
      </c>
      <c r="J913" s="25" t="s">
        <v>1891</v>
      </c>
      <c r="K913" s="25" t="str">
        <f>VLOOKUP(E914,[1]PrelimAssignPOP!$I$1:$J$947,2,FALSE)</f>
        <v>ART</v>
      </c>
      <c r="L913" s="25" t="s">
        <v>215</v>
      </c>
      <c r="M913" s="25" t="s">
        <v>133</v>
      </c>
      <c r="N913" s="25" t="s">
        <v>2774</v>
      </c>
    </row>
    <row r="914" spans="1:15" x14ac:dyDescent="0.55000000000000004">
      <c r="A914">
        <v>913</v>
      </c>
      <c r="B914" s="25" t="s">
        <v>57</v>
      </c>
      <c r="C914" s="25">
        <v>2</v>
      </c>
      <c r="D914" s="25" t="s">
        <v>4344</v>
      </c>
      <c r="E914" s="25" t="s">
        <v>4345</v>
      </c>
      <c r="F914" s="25">
        <v>12.74</v>
      </c>
      <c r="G914" s="25" t="s">
        <v>1889</v>
      </c>
      <c r="H914" s="25">
        <f>3.14+2.25+2.51+5.07</f>
        <v>12.97</v>
      </c>
      <c r="I914" s="25">
        <f>3.14+2.25+2.51+5.07</f>
        <v>12.97</v>
      </c>
      <c r="J914" s="25" t="s">
        <v>1891</v>
      </c>
      <c r="K914" s="25" t="str">
        <f>VLOOKUP(E915,[1]PrelimAssignPOP!$I$1:$J$947,2,FALSE)</f>
        <v>HYB</v>
      </c>
      <c r="L914" s="25" t="s">
        <v>215</v>
      </c>
      <c r="M914" s="25" t="s">
        <v>134</v>
      </c>
      <c r="N914" s="25" t="s">
        <v>2775</v>
      </c>
    </row>
    <row r="915" spans="1:15" x14ac:dyDescent="0.55000000000000004">
      <c r="A915">
        <v>914</v>
      </c>
      <c r="B915" s="25" t="s">
        <v>57</v>
      </c>
      <c r="C915" s="25">
        <v>2</v>
      </c>
      <c r="D915" s="25" t="s">
        <v>4344</v>
      </c>
      <c r="E915" s="25" t="s">
        <v>4346</v>
      </c>
      <c r="F915" s="25">
        <v>10.82</v>
      </c>
      <c r="G915" s="25" t="s">
        <v>1889</v>
      </c>
      <c r="H915" s="25">
        <f>2.63+3.01+5.27</f>
        <v>10.91</v>
      </c>
      <c r="I915" s="25">
        <f>2.63+3.01+5.27</f>
        <v>10.91</v>
      </c>
      <c r="J915" s="25" t="s">
        <v>1891</v>
      </c>
      <c r="K915" s="25" t="str">
        <f>VLOOKUP(E916,[1]PrelimAssignPOP!$I$1:$J$947,2,FALSE)</f>
        <v>ART</v>
      </c>
      <c r="L915" s="25" t="s">
        <v>215</v>
      </c>
      <c r="M915" s="25" t="s">
        <v>135</v>
      </c>
      <c r="N915" s="25" t="s">
        <v>2776</v>
      </c>
    </row>
    <row r="916" spans="1:15" x14ac:dyDescent="0.55000000000000004">
      <c r="A916">
        <v>915</v>
      </c>
      <c r="B916" s="25" t="s">
        <v>58</v>
      </c>
      <c r="C916" s="25">
        <v>8</v>
      </c>
      <c r="D916" s="25" t="s">
        <v>4347</v>
      </c>
      <c r="E916" s="25" t="s">
        <v>4348</v>
      </c>
      <c r="F916" s="25">
        <v>14.89</v>
      </c>
      <c r="G916" s="25" t="s">
        <v>1889</v>
      </c>
      <c r="H916" s="25">
        <f>6.17+8.42</f>
        <v>14.59</v>
      </c>
      <c r="I916" s="25">
        <f>6.17+8.42</f>
        <v>14.59</v>
      </c>
      <c r="J916" s="25" t="s">
        <v>1891</v>
      </c>
      <c r="K916" s="25" t="str">
        <f>VLOOKUP(E917,[1]PrelimAssignPOP!$I$1:$J$947,2,FALSE)</f>
        <v>HYB</v>
      </c>
      <c r="L916" s="25" t="s">
        <v>215</v>
      </c>
      <c r="M916" s="25" t="s">
        <v>136</v>
      </c>
      <c r="N916" s="25" t="s">
        <v>2777</v>
      </c>
    </row>
    <row r="917" spans="1:15" x14ac:dyDescent="0.55000000000000004">
      <c r="A917">
        <v>916</v>
      </c>
      <c r="B917" s="25" t="s">
        <v>58</v>
      </c>
      <c r="C917" s="25">
        <v>8</v>
      </c>
      <c r="D917" s="25" t="s">
        <v>4347</v>
      </c>
      <c r="E917" s="25" t="s">
        <v>4349</v>
      </c>
      <c r="F917" s="25">
        <v>13.87</v>
      </c>
      <c r="G917" s="25" t="s">
        <v>1889</v>
      </c>
      <c r="H917" s="25">
        <f>6.57+7.63</f>
        <v>14.2</v>
      </c>
      <c r="I917" s="25">
        <f>6.57+7.63</f>
        <v>14.2</v>
      </c>
      <c r="J917" s="25" t="s">
        <v>1891</v>
      </c>
      <c r="K917" s="25" t="str">
        <f>VLOOKUP(E918,[1]PrelimAssignPOP!$I$1:$J$947,2,FALSE)</f>
        <v>ART</v>
      </c>
      <c r="L917" s="25" t="s">
        <v>215</v>
      </c>
      <c r="M917" s="25" t="s">
        <v>137</v>
      </c>
      <c r="N917" s="25" t="s">
        <v>2778</v>
      </c>
    </row>
    <row r="918" spans="1:15" x14ac:dyDescent="0.55000000000000004">
      <c r="A918">
        <v>917</v>
      </c>
      <c r="B918" s="25" t="s">
        <v>58</v>
      </c>
      <c r="C918" s="25">
        <v>8</v>
      </c>
      <c r="D918" s="25" t="s">
        <v>4347</v>
      </c>
      <c r="E918" s="25" t="s">
        <v>4350</v>
      </c>
      <c r="F918" s="25">
        <v>14.18</v>
      </c>
      <c r="G918" s="25" t="s">
        <v>1889</v>
      </c>
      <c r="H918" s="25">
        <f>14.01</f>
        <v>14.01</v>
      </c>
      <c r="I918" s="25">
        <f>14.01</f>
        <v>14.01</v>
      </c>
      <c r="J918" s="25" t="s">
        <v>1891</v>
      </c>
      <c r="K918" s="25" t="str">
        <f>VLOOKUP(E919,[1]PrelimAssignPOP!$I$1:$J$947,2,FALSE)</f>
        <v>ART</v>
      </c>
      <c r="L918" s="25" t="s">
        <v>215</v>
      </c>
      <c r="M918" s="25" t="s">
        <v>138</v>
      </c>
      <c r="N918" s="25" t="s">
        <v>2779</v>
      </c>
    </row>
    <row r="919" spans="1:15" x14ac:dyDescent="0.55000000000000004">
      <c r="A919">
        <v>918</v>
      </c>
      <c r="B919" s="25" t="s">
        <v>58</v>
      </c>
      <c r="C919" s="25">
        <v>8</v>
      </c>
      <c r="D919" s="25" t="s">
        <v>4347</v>
      </c>
      <c r="E919" s="25" t="s">
        <v>4351</v>
      </c>
      <c r="F919" s="25">
        <v>12.7</v>
      </c>
      <c r="G919" s="25" t="s">
        <v>1889</v>
      </c>
      <c r="H919" s="25">
        <f>4.7+8.12</f>
        <v>12.82</v>
      </c>
      <c r="I919" s="25">
        <f>4.7+8.12</f>
        <v>12.82</v>
      </c>
      <c r="J919" s="25" t="s">
        <v>1891</v>
      </c>
      <c r="K919" s="25" t="str">
        <f>VLOOKUP(E920,[1]PrelimAssignPOP!$I$1:$J$947,2,FALSE)</f>
        <v>ART</v>
      </c>
      <c r="L919" s="25" t="s">
        <v>215</v>
      </c>
      <c r="M919" s="25" t="s">
        <v>139</v>
      </c>
      <c r="N919" s="25" t="s">
        <v>2780</v>
      </c>
    </row>
    <row r="920" spans="1:15" x14ac:dyDescent="0.55000000000000004">
      <c r="A920">
        <v>919</v>
      </c>
      <c r="B920" s="25" t="s">
        <v>58</v>
      </c>
      <c r="C920" s="25">
        <v>8</v>
      </c>
      <c r="D920" s="25" t="s">
        <v>4347</v>
      </c>
      <c r="E920" s="25" t="s">
        <v>4352</v>
      </c>
      <c r="F920" s="25">
        <v>14.8</v>
      </c>
      <c r="G920" s="25" t="s">
        <v>1889</v>
      </c>
      <c r="H920" s="27">
        <v>14.81</v>
      </c>
      <c r="I920" s="27">
        <v>14.81</v>
      </c>
      <c r="J920" s="25" t="s">
        <v>1891</v>
      </c>
      <c r="K920" s="25" t="str">
        <f>VLOOKUP(E921,[1]PrelimAssignPOP!$I$1:$J$947,2,FALSE)</f>
        <v>ART</v>
      </c>
      <c r="L920" s="25" t="s">
        <v>215</v>
      </c>
      <c r="M920" s="25" t="s">
        <v>140</v>
      </c>
      <c r="N920" s="25" t="s">
        <v>2781</v>
      </c>
    </row>
    <row r="921" spans="1:15" x14ac:dyDescent="0.55000000000000004">
      <c r="A921">
        <v>920</v>
      </c>
      <c r="B921" s="25" t="s">
        <v>58</v>
      </c>
      <c r="C921" s="25">
        <v>8</v>
      </c>
      <c r="D921" s="25" t="s">
        <v>4347</v>
      </c>
      <c r="E921" s="25" t="s">
        <v>4353</v>
      </c>
      <c r="F921" s="25">
        <v>14.67</v>
      </c>
      <c r="G921" s="25" t="s">
        <v>1889</v>
      </c>
      <c r="H921" s="25">
        <f>4.99+8.23</f>
        <v>13.22</v>
      </c>
      <c r="I921" s="25">
        <f>4.99+8.23</f>
        <v>13.22</v>
      </c>
      <c r="J921" s="25" t="s">
        <v>1891</v>
      </c>
      <c r="K921" s="25" t="str">
        <f>VLOOKUP(E922,[1]PrelimAssignPOP!$I$1:$J$947,2,FALSE)</f>
        <v>ART</v>
      </c>
      <c r="L921" s="25" t="s">
        <v>215</v>
      </c>
      <c r="M921" s="25" t="s">
        <v>141</v>
      </c>
      <c r="N921" s="25" t="s">
        <v>2782</v>
      </c>
      <c r="O921" s="18" t="s">
        <v>4354</v>
      </c>
    </row>
    <row r="922" spans="1:15" x14ac:dyDescent="0.55000000000000004">
      <c r="A922">
        <v>921</v>
      </c>
      <c r="B922" s="25" t="s">
        <v>58</v>
      </c>
      <c r="C922" s="25">
        <v>8</v>
      </c>
      <c r="D922" s="25" t="s">
        <v>4347</v>
      </c>
      <c r="E922" s="25" t="s">
        <v>4355</v>
      </c>
      <c r="F922" s="25">
        <v>13.15</v>
      </c>
      <c r="G922" s="25" t="s">
        <v>1889</v>
      </c>
      <c r="H922" s="25">
        <f>4.89+10.68</f>
        <v>15.57</v>
      </c>
      <c r="I922" s="25">
        <f>4.89+10.68</f>
        <v>15.57</v>
      </c>
      <c r="J922" s="25" t="s">
        <v>1891</v>
      </c>
      <c r="K922" s="25" t="str">
        <f>VLOOKUP(E923,[1]PrelimAssignPOP!$I$1:$J$947,2,FALSE)</f>
        <v>HYB</v>
      </c>
      <c r="L922" s="25" t="s">
        <v>215</v>
      </c>
      <c r="M922" s="25" t="s">
        <v>142</v>
      </c>
      <c r="N922" s="25" t="s">
        <v>2783</v>
      </c>
    </row>
    <row r="923" spans="1:15" x14ac:dyDescent="0.55000000000000004">
      <c r="A923">
        <v>922</v>
      </c>
      <c r="B923" s="25" t="s">
        <v>58</v>
      </c>
      <c r="C923" s="25">
        <v>8</v>
      </c>
      <c r="D923" s="25" t="s">
        <v>4347</v>
      </c>
      <c r="E923" s="25" t="s">
        <v>4356</v>
      </c>
      <c r="F923" s="25">
        <v>15.58</v>
      </c>
      <c r="G923" s="25" t="s">
        <v>1889</v>
      </c>
      <c r="H923" s="25" t="s">
        <v>3911</v>
      </c>
      <c r="I923" s="25" t="s">
        <v>3911</v>
      </c>
      <c r="J923" s="25" t="s">
        <v>1891</v>
      </c>
      <c r="L923" s="25" t="s">
        <v>215</v>
      </c>
      <c r="M923" s="25" t="s">
        <v>143</v>
      </c>
      <c r="N923" s="25" t="s">
        <v>2784</v>
      </c>
    </row>
    <row r="924" spans="1:15" x14ac:dyDescent="0.55000000000000004">
      <c r="A924">
        <v>923</v>
      </c>
      <c r="B924" s="25" t="s">
        <v>59</v>
      </c>
      <c r="C924" s="25">
        <v>25</v>
      </c>
      <c r="D924" s="25" t="s">
        <v>4357</v>
      </c>
      <c r="E924" s="25" t="s">
        <v>4358</v>
      </c>
      <c r="F924" s="25">
        <v>12.29</v>
      </c>
      <c r="G924" s="25" t="s">
        <v>1889</v>
      </c>
      <c r="H924" s="25">
        <f>9.31+3.03</f>
        <v>12.34</v>
      </c>
      <c r="I924" s="25">
        <f>9.31+3.03</f>
        <v>12.34</v>
      </c>
      <c r="J924" s="25" t="s">
        <v>1891</v>
      </c>
      <c r="K924" s="25" t="str">
        <f>VLOOKUP(E924,[1]PrelimAssignPOP!$I$1:$J$947,2,FALSE)</f>
        <v>HYB</v>
      </c>
      <c r="L924" s="25" t="s">
        <v>215</v>
      </c>
      <c r="M924" s="25" t="s">
        <v>116</v>
      </c>
      <c r="N924" s="25" t="s">
        <v>2785</v>
      </c>
    </row>
    <row r="925" spans="1:15" x14ac:dyDescent="0.55000000000000004">
      <c r="A925">
        <v>924</v>
      </c>
      <c r="B925" s="25" t="s">
        <v>59</v>
      </c>
      <c r="C925" s="25">
        <v>25</v>
      </c>
      <c r="D925" s="25" t="s">
        <v>4357</v>
      </c>
      <c r="E925" s="25" t="s">
        <v>4359</v>
      </c>
      <c r="F925" s="25">
        <v>14.02</v>
      </c>
      <c r="G925" s="25" t="s">
        <v>2113</v>
      </c>
      <c r="I925" s="25">
        <v>14.02</v>
      </c>
      <c r="J925" s="25" t="s">
        <v>110</v>
      </c>
      <c r="K925" s="25" t="str">
        <f>VLOOKUP(E925,[1]PrelimAssignPOP!$I$1:$J$947,2,FALSE)</f>
        <v>ART</v>
      </c>
      <c r="L925" s="25" t="s">
        <v>215</v>
      </c>
      <c r="M925" s="25" t="s">
        <v>144</v>
      </c>
    </row>
    <row r="926" spans="1:15" x14ac:dyDescent="0.55000000000000004">
      <c r="A926">
        <v>925</v>
      </c>
      <c r="B926" s="25" t="s">
        <v>59</v>
      </c>
      <c r="C926" s="25">
        <v>25</v>
      </c>
      <c r="D926" s="25" t="s">
        <v>4357</v>
      </c>
      <c r="E926" s="25" t="s">
        <v>4360</v>
      </c>
      <c r="F926" s="25">
        <v>16.059999999999999</v>
      </c>
      <c r="G926" s="25" t="s">
        <v>2113</v>
      </c>
      <c r="I926" s="25">
        <v>16.059999999999999</v>
      </c>
      <c r="J926" s="25" t="s">
        <v>110</v>
      </c>
      <c r="K926" s="25" t="str">
        <f>VLOOKUP(E926,[1]PrelimAssignPOP!$I$1:$J$947,2,FALSE)</f>
        <v>ART</v>
      </c>
      <c r="L926" s="25" t="s">
        <v>215</v>
      </c>
      <c r="M926" s="25" t="s">
        <v>145</v>
      </c>
    </row>
    <row r="927" spans="1:15" x14ac:dyDescent="0.55000000000000004">
      <c r="A927">
        <v>926</v>
      </c>
      <c r="B927" s="25" t="s">
        <v>59</v>
      </c>
      <c r="C927" s="25">
        <v>25</v>
      </c>
      <c r="D927" s="25" t="s">
        <v>4357</v>
      </c>
      <c r="E927" s="25" t="s">
        <v>4361</v>
      </c>
      <c r="F927" s="25">
        <v>18.100000000000001</v>
      </c>
      <c r="G927" s="25" t="s">
        <v>2113</v>
      </c>
      <c r="I927" s="25">
        <v>18.100000000000001</v>
      </c>
      <c r="J927" s="25" t="s">
        <v>110</v>
      </c>
      <c r="K927" s="25" t="str">
        <f>VLOOKUP(E927,[1]PrelimAssignPOP!$I$1:$J$947,2,FALSE)</f>
        <v>ART</v>
      </c>
      <c r="L927" s="25" t="s">
        <v>215</v>
      </c>
      <c r="M927" s="25" t="s">
        <v>146</v>
      </c>
    </row>
    <row r="928" spans="1:15" x14ac:dyDescent="0.55000000000000004">
      <c r="A928">
        <v>927</v>
      </c>
      <c r="B928" s="25" t="s">
        <v>59</v>
      </c>
      <c r="C928" s="25">
        <v>25</v>
      </c>
      <c r="D928" s="25" t="s">
        <v>4357</v>
      </c>
      <c r="E928" s="25" t="s">
        <v>4362</v>
      </c>
      <c r="F928" s="25">
        <v>20.75</v>
      </c>
      <c r="G928" s="25" t="s">
        <v>2113</v>
      </c>
      <c r="I928" s="25">
        <v>20.75</v>
      </c>
      <c r="J928" s="25" t="s">
        <v>110</v>
      </c>
      <c r="K928" s="25" t="str">
        <f>VLOOKUP(E928,[1]PrelimAssignPOP!$I$1:$J$947,2,FALSE)</f>
        <v>CLUP</v>
      </c>
      <c r="L928" s="25" t="s">
        <v>215</v>
      </c>
      <c r="M928" s="25" t="s">
        <v>147</v>
      </c>
    </row>
    <row r="929" spans="1:14" x14ac:dyDescent="0.55000000000000004">
      <c r="A929">
        <v>928</v>
      </c>
      <c r="B929" s="25" t="s">
        <v>59</v>
      </c>
      <c r="C929" s="25">
        <v>25</v>
      </c>
      <c r="D929" s="25" t="s">
        <v>4357</v>
      </c>
      <c r="E929" s="25" t="s">
        <v>4363</v>
      </c>
      <c r="F929" s="25">
        <v>16.14</v>
      </c>
      <c r="G929" s="25" t="s">
        <v>2113</v>
      </c>
      <c r="I929" s="25">
        <v>16.14</v>
      </c>
      <c r="J929" s="25" t="s">
        <v>110</v>
      </c>
      <c r="K929" s="25" t="str">
        <f>VLOOKUP(E929,[1]PrelimAssignPOP!$I$1:$J$947,2,FALSE)</f>
        <v>ART</v>
      </c>
      <c r="L929" s="25" t="s">
        <v>215</v>
      </c>
      <c r="M929" s="25" t="s">
        <v>148</v>
      </c>
    </row>
    <row r="930" spans="1:14" x14ac:dyDescent="0.55000000000000004">
      <c r="A930">
        <v>929</v>
      </c>
      <c r="B930" s="25" t="s">
        <v>59</v>
      </c>
      <c r="C930" s="25">
        <v>25</v>
      </c>
      <c r="D930" s="25" t="s">
        <v>4357</v>
      </c>
      <c r="E930" s="25" t="s">
        <v>4364</v>
      </c>
      <c r="F930" s="25">
        <v>15.59</v>
      </c>
      <c r="G930" s="25" t="s">
        <v>2113</v>
      </c>
      <c r="I930" s="25">
        <v>15.59</v>
      </c>
      <c r="J930" s="25" t="s">
        <v>110</v>
      </c>
      <c r="K930" s="25" t="str">
        <f>VLOOKUP(E930,[1]PrelimAssignPOP!$I$1:$J$947,2,FALSE)</f>
        <v>CLUP</v>
      </c>
      <c r="L930" s="25" t="s">
        <v>215</v>
      </c>
      <c r="M930" s="25" t="s">
        <v>149</v>
      </c>
    </row>
    <row r="931" spans="1:14" x14ac:dyDescent="0.55000000000000004">
      <c r="A931">
        <v>930</v>
      </c>
      <c r="B931" s="25" t="s">
        <v>59</v>
      </c>
      <c r="C931" s="25">
        <v>25</v>
      </c>
      <c r="D931" s="25" t="s">
        <v>4357</v>
      </c>
      <c r="E931" s="25" t="s">
        <v>4365</v>
      </c>
      <c r="F931" s="25">
        <v>14.41</v>
      </c>
      <c r="G931" s="25" t="s">
        <v>2113</v>
      </c>
      <c r="I931" s="25">
        <v>14.41</v>
      </c>
      <c r="J931" s="25" t="s">
        <v>110</v>
      </c>
      <c r="K931" s="25" t="str">
        <f>VLOOKUP(E931,[1]PrelimAssignPOP!$I$1:$J$947,2,FALSE)</f>
        <v>ART</v>
      </c>
      <c r="L931" s="25" t="s">
        <v>215</v>
      </c>
      <c r="M931" s="25" t="s">
        <v>150</v>
      </c>
    </row>
    <row r="932" spans="1:14" x14ac:dyDescent="0.55000000000000004">
      <c r="A932">
        <v>931</v>
      </c>
      <c r="B932" s="25" t="s">
        <v>59</v>
      </c>
      <c r="C932" s="25">
        <v>25</v>
      </c>
      <c r="D932" s="25" t="s">
        <v>4357</v>
      </c>
      <c r="E932" s="25" t="s">
        <v>4366</v>
      </c>
      <c r="F932" s="25">
        <v>15.95</v>
      </c>
      <c r="G932" s="25" t="s">
        <v>2113</v>
      </c>
      <c r="I932" s="25">
        <v>15.95</v>
      </c>
      <c r="J932" s="25" t="s">
        <v>110</v>
      </c>
      <c r="K932" s="25" t="str">
        <f>VLOOKUP(E932,[1]PrelimAssignPOP!$I$1:$J$947,2,FALSE)</f>
        <v>KIY</v>
      </c>
      <c r="L932" s="25" t="s">
        <v>215</v>
      </c>
      <c r="M932" s="25" t="s">
        <v>151</v>
      </c>
    </row>
    <row r="933" spans="1:14" x14ac:dyDescent="0.55000000000000004">
      <c r="A933">
        <v>932</v>
      </c>
      <c r="B933" s="25" t="s">
        <v>59</v>
      </c>
      <c r="C933" s="25">
        <v>25</v>
      </c>
      <c r="D933" s="25" t="s">
        <v>4357</v>
      </c>
      <c r="E933" s="25" t="s">
        <v>4367</v>
      </c>
      <c r="F933" s="25">
        <v>14.57</v>
      </c>
      <c r="G933" s="25" t="s">
        <v>1889</v>
      </c>
      <c r="H933" s="25">
        <f>7.15+4.21+3.32</f>
        <v>14.68</v>
      </c>
      <c r="I933" s="25">
        <f>7.15+4.21+3.32</f>
        <v>14.68</v>
      </c>
      <c r="J933" s="25" t="s">
        <v>1891</v>
      </c>
      <c r="K933" s="25" t="str">
        <f>VLOOKUP(E933,[1]PrelimAssignPOP!$I$1:$J$947,2,FALSE)</f>
        <v>ART</v>
      </c>
      <c r="L933" s="25" t="s">
        <v>215</v>
      </c>
      <c r="M933" s="25" t="s">
        <v>152</v>
      </c>
      <c r="N933" s="25" t="s">
        <v>2786</v>
      </c>
    </row>
    <row r="934" spans="1:14" x14ac:dyDescent="0.55000000000000004">
      <c r="A934">
        <v>933</v>
      </c>
      <c r="B934" s="25" t="s">
        <v>59</v>
      </c>
      <c r="C934" s="25">
        <v>25</v>
      </c>
      <c r="D934" s="25" t="s">
        <v>4357</v>
      </c>
      <c r="E934" s="25" t="s">
        <v>4368</v>
      </c>
      <c r="F934" s="25">
        <v>15.03</v>
      </c>
      <c r="G934" s="25" t="s">
        <v>1889</v>
      </c>
      <c r="H934" s="25">
        <f>5.75+4.75+3.14+1.47</f>
        <v>15.110000000000001</v>
      </c>
      <c r="I934" s="25">
        <f>5.75+4.75+3.14+1.47</f>
        <v>15.110000000000001</v>
      </c>
      <c r="J934" s="25" t="s">
        <v>1891</v>
      </c>
      <c r="K934" s="25" t="str">
        <f>VLOOKUP(E934,[1]PrelimAssignPOP!$I$1:$J$947,2,FALSE)</f>
        <v>ART</v>
      </c>
      <c r="L934" s="25" t="s">
        <v>215</v>
      </c>
      <c r="M934" s="25" t="s">
        <v>153</v>
      </c>
      <c r="N934" s="25" t="s">
        <v>2787</v>
      </c>
    </row>
    <row r="935" spans="1:14" x14ac:dyDescent="0.55000000000000004">
      <c r="A935">
        <v>934</v>
      </c>
      <c r="B935" s="25" t="s">
        <v>59</v>
      </c>
      <c r="C935" s="25">
        <v>25</v>
      </c>
      <c r="D935" s="25" t="s">
        <v>4357</v>
      </c>
      <c r="E935" s="25" t="s">
        <v>4369</v>
      </c>
      <c r="F935" s="25">
        <v>13.81</v>
      </c>
      <c r="G935" s="25" t="s">
        <v>1889</v>
      </c>
      <c r="H935" s="25">
        <f>2+6.39+2.66+2.8</f>
        <v>13.850000000000001</v>
      </c>
      <c r="I935" s="25">
        <f>2+6.39+2.66+2.8</f>
        <v>13.850000000000001</v>
      </c>
      <c r="J935" s="25" t="s">
        <v>1891</v>
      </c>
      <c r="K935" s="25" t="str">
        <f>VLOOKUP(E935,[1]PrelimAssignPOP!$I$1:$J$947,2,FALSE)</f>
        <v>HYB</v>
      </c>
      <c r="L935" s="25" t="s">
        <v>215</v>
      </c>
      <c r="M935" s="25" t="s">
        <v>154</v>
      </c>
      <c r="N935" s="25" t="s">
        <v>2788</v>
      </c>
    </row>
    <row r="936" spans="1:14" x14ac:dyDescent="0.55000000000000004">
      <c r="A936">
        <v>935</v>
      </c>
      <c r="B936" s="25" t="s">
        <v>59</v>
      </c>
      <c r="C936" s="25">
        <v>25</v>
      </c>
      <c r="D936" s="25" t="s">
        <v>4357</v>
      </c>
      <c r="E936" s="25" t="s">
        <v>4370</v>
      </c>
      <c r="F936" s="25">
        <v>15.02</v>
      </c>
      <c r="G936" s="25" t="s">
        <v>1889</v>
      </c>
      <c r="H936" s="25">
        <f>2.17+6.05+3.29+3.3</f>
        <v>14.809999999999999</v>
      </c>
      <c r="I936" s="25">
        <f>2.17+6.05+3.29+3.3</f>
        <v>14.809999999999999</v>
      </c>
      <c r="J936" s="25" t="s">
        <v>1891</v>
      </c>
      <c r="N936" s="25" t="s">
        <v>2789</v>
      </c>
    </row>
    <row r="937" spans="1:14" x14ac:dyDescent="0.55000000000000004">
      <c r="A937">
        <v>936</v>
      </c>
      <c r="B937" s="25" t="s">
        <v>59</v>
      </c>
      <c r="C937" s="25">
        <v>25</v>
      </c>
      <c r="D937" s="25" t="s">
        <v>4357</v>
      </c>
      <c r="E937" s="25" t="s">
        <v>4371</v>
      </c>
      <c r="F937" s="25">
        <v>15.27</v>
      </c>
      <c r="G937" s="25" t="s">
        <v>1889</v>
      </c>
      <c r="H937" s="25">
        <f>6.65+5.14+3.54</f>
        <v>15.329999999999998</v>
      </c>
      <c r="I937" s="25">
        <f>6.65+5.14+3.54</f>
        <v>15.329999999999998</v>
      </c>
      <c r="J937" s="25" t="s">
        <v>1891</v>
      </c>
      <c r="N937" s="25" t="s">
        <v>2790</v>
      </c>
    </row>
    <row r="938" spans="1:14" x14ac:dyDescent="0.55000000000000004">
      <c r="A938">
        <v>937</v>
      </c>
      <c r="B938" s="25" t="s">
        <v>59</v>
      </c>
      <c r="C938" s="25">
        <v>25</v>
      </c>
      <c r="D938" s="25" t="s">
        <v>4357</v>
      </c>
      <c r="E938" s="25" t="s">
        <v>4372</v>
      </c>
      <c r="F938" s="25">
        <v>14.28</v>
      </c>
      <c r="G938" s="25" t="s">
        <v>1889</v>
      </c>
      <c r="H938" s="25">
        <f>6.88+3.93+3.61</f>
        <v>14.42</v>
      </c>
      <c r="I938" s="25">
        <f>6.88+3.93+3.61</f>
        <v>14.42</v>
      </c>
      <c r="J938" s="25" t="s">
        <v>1891</v>
      </c>
      <c r="N938" s="25" t="s">
        <v>2791</v>
      </c>
    </row>
    <row r="939" spans="1:14" x14ac:dyDescent="0.55000000000000004">
      <c r="A939">
        <v>938</v>
      </c>
      <c r="B939" s="25" t="s">
        <v>59</v>
      </c>
      <c r="C939" s="25">
        <v>25</v>
      </c>
      <c r="D939" s="25" t="s">
        <v>4357</v>
      </c>
      <c r="E939" s="25" t="s">
        <v>4373</v>
      </c>
      <c r="F939" s="25">
        <v>12.54</v>
      </c>
      <c r="G939" s="25" t="s">
        <v>1889</v>
      </c>
      <c r="H939" s="25">
        <f>3.24+2.99+2.32+4.27</f>
        <v>12.82</v>
      </c>
      <c r="I939" s="25">
        <f>3.24+2.99+2.32+4.27</f>
        <v>12.82</v>
      </c>
      <c r="J939" s="25" t="s">
        <v>1891</v>
      </c>
      <c r="N939" s="25" t="s">
        <v>2792</v>
      </c>
    </row>
    <row r="940" spans="1:14" x14ac:dyDescent="0.55000000000000004">
      <c r="A940">
        <v>939</v>
      </c>
      <c r="B940" s="25" t="s">
        <v>59</v>
      </c>
      <c r="C940" s="25">
        <v>25</v>
      </c>
      <c r="D940" s="25" t="s">
        <v>4357</v>
      </c>
      <c r="E940" s="25" t="s">
        <v>4374</v>
      </c>
      <c r="F940" s="25">
        <v>15.22</v>
      </c>
      <c r="G940" s="25" t="s">
        <v>2113</v>
      </c>
      <c r="I940" s="25">
        <v>15.22</v>
      </c>
      <c r="J940" s="25" t="s">
        <v>110</v>
      </c>
    </row>
    <row r="941" spans="1:14" x14ac:dyDescent="0.55000000000000004">
      <c r="A941">
        <v>940</v>
      </c>
      <c r="B941" s="25" t="s">
        <v>59</v>
      </c>
      <c r="C941" s="25">
        <v>25</v>
      </c>
      <c r="D941" s="25" t="s">
        <v>4357</v>
      </c>
      <c r="E941" s="25" t="s">
        <v>4375</v>
      </c>
      <c r="F941" s="25">
        <v>15.49</v>
      </c>
      <c r="G941" s="25" t="s">
        <v>2113</v>
      </c>
      <c r="I941" s="25">
        <v>15.49</v>
      </c>
      <c r="J941" s="25" t="s">
        <v>110</v>
      </c>
    </row>
    <row r="942" spans="1:14" x14ac:dyDescent="0.55000000000000004">
      <c r="A942">
        <v>941</v>
      </c>
      <c r="B942" s="25" t="s">
        <v>59</v>
      </c>
      <c r="C942" s="25">
        <v>25</v>
      </c>
      <c r="D942" s="25" t="s">
        <v>4357</v>
      </c>
      <c r="E942" s="25" t="s">
        <v>4376</v>
      </c>
      <c r="F942" s="25">
        <v>11.41</v>
      </c>
      <c r="G942" s="25" t="s">
        <v>1889</v>
      </c>
      <c r="H942" s="25">
        <f>2.73+2.03+2.78+1.7+2.6</f>
        <v>11.839999999999998</v>
      </c>
      <c r="I942" s="25">
        <f>2.73+2.03+2.78+1.7+2.6</f>
        <v>11.839999999999998</v>
      </c>
      <c r="J942" s="25" t="s">
        <v>1891</v>
      </c>
      <c r="N942" s="25" t="s">
        <v>2793</v>
      </c>
    </row>
    <row r="943" spans="1:14" x14ac:dyDescent="0.55000000000000004">
      <c r="A943">
        <v>942</v>
      </c>
      <c r="B943" s="25" t="s">
        <v>59</v>
      </c>
      <c r="C943" s="25">
        <v>25</v>
      </c>
      <c r="D943" s="25" t="s">
        <v>4357</v>
      </c>
      <c r="E943" s="25" t="s">
        <v>4377</v>
      </c>
      <c r="F943" s="25">
        <v>13.78</v>
      </c>
      <c r="G943" s="25" t="s">
        <v>1889</v>
      </c>
      <c r="H943" s="25">
        <f>3.49+2.59+3.1+4.8</f>
        <v>13.98</v>
      </c>
      <c r="I943" s="25">
        <f>3.49+2.59+3.1+4.8</f>
        <v>13.98</v>
      </c>
      <c r="J943" s="25" t="s">
        <v>1891</v>
      </c>
      <c r="N943" s="25" t="s">
        <v>2794</v>
      </c>
    </row>
    <row r="944" spans="1:14" x14ac:dyDescent="0.55000000000000004">
      <c r="A944">
        <v>943</v>
      </c>
      <c r="B944" s="25" t="s">
        <v>59</v>
      </c>
      <c r="C944" s="25">
        <v>25</v>
      </c>
      <c r="D944" s="25" t="s">
        <v>4357</v>
      </c>
      <c r="E944" s="25" t="s">
        <v>4378</v>
      </c>
      <c r="F944" s="25">
        <v>14.89</v>
      </c>
      <c r="G944" s="25" t="s">
        <v>1889</v>
      </c>
      <c r="H944" s="25">
        <f>7.07+7.99</f>
        <v>15.06</v>
      </c>
      <c r="I944" s="25">
        <f>7.07+7.99</f>
        <v>15.06</v>
      </c>
      <c r="J944" s="25" t="s">
        <v>1891</v>
      </c>
      <c r="N944" s="25" t="s">
        <v>2795</v>
      </c>
    </row>
    <row r="945" spans="1:14" x14ac:dyDescent="0.55000000000000004">
      <c r="A945">
        <v>944</v>
      </c>
      <c r="B945" s="25" t="s">
        <v>59</v>
      </c>
      <c r="C945" s="25">
        <v>25</v>
      </c>
      <c r="D945" s="25" t="s">
        <v>4357</v>
      </c>
      <c r="E945" s="25" t="s">
        <v>4379</v>
      </c>
      <c r="F945" s="25">
        <v>16.510000000000002</v>
      </c>
      <c r="G945" s="25" t="s">
        <v>2113</v>
      </c>
      <c r="I945" s="25">
        <v>16.510000000000002</v>
      </c>
      <c r="J945" s="25" t="s">
        <v>110</v>
      </c>
    </row>
    <row r="946" spans="1:14" x14ac:dyDescent="0.55000000000000004">
      <c r="A946">
        <v>945</v>
      </c>
      <c r="B946" s="25" t="s">
        <v>59</v>
      </c>
      <c r="C946" s="25">
        <v>25</v>
      </c>
      <c r="D946" s="25" t="s">
        <v>4357</v>
      </c>
      <c r="E946" s="25" t="s">
        <v>4380</v>
      </c>
      <c r="F946" s="25">
        <v>19.63</v>
      </c>
      <c r="G946" s="25" t="s">
        <v>2113</v>
      </c>
      <c r="I946" s="25">
        <v>19.63</v>
      </c>
      <c r="J946" s="25" t="s">
        <v>110</v>
      </c>
    </row>
    <row r="947" spans="1:14" x14ac:dyDescent="0.55000000000000004">
      <c r="A947">
        <v>946</v>
      </c>
      <c r="B947" s="25" t="s">
        <v>59</v>
      </c>
      <c r="C947" s="25">
        <v>25</v>
      </c>
      <c r="D947" s="25" t="s">
        <v>4357</v>
      </c>
      <c r="E947" s="25" t="s">
        <v>4381</v>
      </c>
      <c r="F947" s="25">
        <v>17.11</v>
      </c>
      <c r="G947" s="25" t="s">
        <v>2113</v>
      </c>
      <c r="I947" s="25">
        <v>17.11</v>
      </c>
      <c r="J947" s="25" t="s">
        <v>110</v>
      </c>
    </row>
    <row r="948" spans="1:14" x14ac:dyDescent="0.55000000000000004">
      <c r="A948">
        <v>947</v>
      </c>
      <c r="B948" s="25" t="s">
        <v>59</v>
      </c>
      <c r="C948" s="25">
        <v>25</v>
      </c>
      <c r="D948" s="25" t="s">
        <v>4357</v>
      </c>
      <c r="E948" s="25" t="s">
        <v>4382</v>
      </c>
      <c r="F948" s="25">
        <v>18.28</v>
      </c>
      <c r="G948" s="25" t="s">
        <v>2113</v>
      </c>
      <c r="I948" s="25">
        <v>18.28</v>
      </c>
      <c r="J948" s="25" t="s">
        <v>110</v>
      </c>
    </row>
    <row r="949" spans="1:14" x14ac:dyDescent="0.55000000000000004">
      <c r="A949">
        <v>948</v>
      </c>
      <c r="B949" s="25" t="s">
        <v>60</v>
      </c>
      <c r="C949" s="25">
        <v>25</v>
      </c>
      <c r="D949" s="25" t="s">
        <v>4383</v>
      </c>
      <c r="E949" s="25" t="s">
        <v>4384</v>
      </c>
      <c r="F949" s="25">
        <v>13.75</v>
      </c>
      <c r="G949" s="25" t="s">
        <v>1889</v>
      </c>
      <c r="H949" s="25">
        <f>3.99+3.34+6.55</f>
        <v>13.879999999999999</v>
      </c>
      <c r="I949" s="25">
        <f>3.99+3.34+6.55</f>
        <v>13.879999999999999</v>
      </c>
      <c r="J949" s="25" t="s">
        <v>1891</v>
      </c>
      <c r="K949" s="25" t="str">
        <f>VLOOKUP(E949,[1]PrelimAssignPOP!$I$1:$J$947,2,FALSE)</f>
        <v>ART</v>
      </c>
      <c r="L949" s="25" t="s">
        <v>215</v>
      </c>
      <c r="M949" s="25" t="s">
        <v>117</v>
      </c>
      <c r="N949" s="25" t="s">
        <v>2796</v>
      </c>
    </row>
    <row r="950" spans="1:14" x14ac:dyDescent="0.55000000000000004">
      <c r="A950">
        <v>949</v>
      </c>
      <c r="B950" s="25" t="s">
        <v>60</v>
      </c>
      <c r="C950" s="25">
        <v>25</v>
      </c>
      <c r="D950" s="25" t="s">
        <v>4383</v>
      </c>
      <c r="E950" s="25" t="s">
        <v>4385</v>
      </c>
      <c r="F950" s="25">
        <v>12.65</v>
      </c>
      <c r="G950" s="25" t="s">
        <v>1889</v>
      </c>
      <c r="H950" s="25">
        <f>8.64+3.84</f>
        <v>12.48</v>
      </c>
      <c r="I950" s="25">
        <f>8.64+3.84</f>
        <v>12.48</v>
      </c>
      <c r="J950" s="25" t="s">
        <v>1891</v>
      </c>
      <c r="K950" s="25" t="str">
        <f>VLOOKUP(E950,[1]PrelimAssignPOP!$I$1:$J$947,2,FALSE)</f>
        <v>HYB</v>
      </c>
      <c r="L950" s="25" t="s">
        <v>215</v>
      </c>
      <c r="M950" s="25" t="s">
        <v>155</v>
      </c>
      <c r="N950" s="25" t="s">
        <v>2797</v>
      </c>
    </row>
    <row r="951" spans="1:14" x14ac:dyDescent="0.55000000000000004">
      <c r="A951">
        <v>950</v>
      </c>
      <c r="B951" s="25" t="s">
        <v>60</v>
      </c>
      <c r="C951" s="25">
        <v>25</v>
      </c>
      <c r="D951" s="25" t="s">
        <v>4383</v>
      </c>
      <c r="E951" s="25" t="s">
        <v>4386</v>
      </c>
      <c r="F951" s="25">
        <v>12.75</v>
      </c>
      <c r="G951" s="25" t="s">
        <v>1889</v>
      </c>
      <c r="H951" s="25">
        <f>9.68+2.9</f>
        <v>12.58</v>
      </c>
      <c r="I951" s="25">
        <f>9.68+2.9</f>
        <v>12.58</v>
      </c>
      <c r="J951" s="25" t="s">
        <v>1891</v>
      </c>
      <c r="K951" s="25" t="str">
        <f>VLOOKUP(E951,[1]PrelimAssignPOP!$I$1:$J$947,2,FALSE)</f>
        <v>HYB</v>
      </c>
      <c r="L951" s="25" t="s">
        <v>215</v>
      </c>
      <c r="M951" s="25" t="s">
        <v>156</v>
      </c>
      <c r="N951" s="25" t="s">
        <v>2798</v>
      </c>
    </row>
    <row r="952" spans="1:14" x14ac:dyDescent="0.55000000000000004">
      <c r="A952">
        <v>951</v>
      </c>
      <c r="B952" s="25" t="s">
        <v>60</v>
      </c>
      <c r="C952" s="25">
        <v>25</v>
      </c>
      <c r="D952" s="25" t="s">
        <v>4383</v>
      </c>
      <c r="E952" s="25" t="s">
        <v>4387</v>
      </c>
      <c r="F952" s="25">
        <v>13.29</v>
      </c>
      <c r="G952" s="25" t="s">
        <v>1889</v>
      </c>
      <c r="H952" s="25">
        <f>1.92+3.06+5.46+3.36</f>
        <v>13.8</v>
      </c>
      <c r="I952" s="25">
        <f>1.92+3.06+5.46+3.36</f>
        <v>13.8</v>
      </c>
      <c r="J952" s="25" t="s">
        <v>1891</v>
      </c>
      <c r="K952" s="25" t="str">
        <f>VLOOKUP(E952,[1]PrelimAssignPOP!$I$1:$J$947,2,FALSE)</f>
        <v>KIY</v>
      </c>
      <c r="L952" s="25" t="s">
        <v>215</v>
      </c>
      <c r="M952" s="25" t="s">
        <v>157</v>
      </c>
      <c r="N952" s="25" t="s">
        <v>2799</v>
      </c>
    </row>
    <row r="953" spans="1:14" x14ac:dyDescent="0.55000000000000004">
      <c r="A953">
        <v>952</v>
      </c>
      <c r="B953" s="25" t="s">
        <v>60</v>
      </c>
      <c r="C953" s="25">
        <v>25</v>
      </c>
      <c r="D953" s="25" t="s">
        <v>4383</v>
      </c>
      <c r="E953" s="25" t="s">
        <v>4388</v>
      </c>
      <c r="F953" s="25">
        <v>15.05</v>
      </c>
      <c r="G953" s="25" t="s">
        <v>1889</v>
      </c>
      <c r="H953" s="25">
        <f>2.2+3.3+3.3+3.08+3.49</f>
        <v>15.370000000000001</v>
      </c>
      <c r="I953" s="25">
        <f>2.2+3.3+3.3+3.08+3.49</f>
        <v>15.370000000000001</v>
      </c>
      <c r="J953" s="25" t="s">
        <v>1891</v>
      </c>
      <c r="K953" s="25" t="str">
        <f>VLOOKUP(E953,[1]PrelimAssignPOP!$I$1:$J$947,2,FALSE)</f>
        <v>ART</v>
      </c>
      <c r="L953" s="25" t="s">
        <v>215</v>
      </c>
      <c r="M953" s="25" t="s">
        <v>158</v>
      </c>
      <c r="N953" s="25" t="s">
        <v>2800</v>
      </c>
    </row>
    <row r="954" spans="1:14" x14ac:dyDescent="0.55000000000000004">
      <c r="A954">
        <v>953</v>
      </c>
      <c r="B954" s="25" t="s">
        <v>60</v>
      </c>
      <c r="C954" s="25">
        <v>25</v>
      </c>
      <c r="D954" s="25" t="s">
        <v>4383</v>
      </c>
      <c r="E954" s="25" t="s">
        <v>4389</v>
      </c>
      <c r="F954" s="25">
        <v>12.63</v>
      </c>
      <c r="G954" s="25" t="s">
        <v>1889</v>
      </c>
      <c r="H954" s="25">
        <f>5.07+3.07+1.89+2.88</f>
        <v>12.91</v>
      </c>
      <c r="I954" s="25">
        <f>5.07+3.07+1.89+2.88</f>
        <v>12.91</v>
      </c>
      <c r="J954" s="25" t="s">
        <v>1891</v>
      </c>
      <c r="K954" s="25" t="str">
        <f>VLOOKUP(E954,[1]PrelimAssignPOP!$I$1:$J$947,2,FALSE)</f>
        <v>ART</v>
      </c>
      <c r="L954" s="25" t="s">
        <v>215</v>
      </c>
      <c r="M954" s="25" t="s">
        <v>159</v>
      </c>
      <c r="N954" s="25" t="s">
        <v>2801</v>
      </c>
    </row>
    <row r="955" spans="1:14" x14ac:dyDescent="0.55000000000000004">
      <c r="A955">
        <v>954</v>
      </c>
      <c r="B955" s="25" t="s">
        <v>60</v>
      </c>
      <c r="C955" s="25">
        <v>25</v>
      </c>
      <c r="D955" s="25" t="s">
        <v>4383</v>
      </c>
      <c r="E955" s="25" t="s">
        <v>4390</v>
      </c>
      <c r="F955" s="25">
        <v>13.72</v>
      </c>
      <c r="G955" s="25" t="s">
        <v>1889</v>
      </c>
      <c r="H955" s="25">
        <f>5.41+5.37+3.21</f>
        <v>13.990000000000002</v>
      </c>
      <c r="I955" s="25">
        <f>5.41+5.37+3.21</f>
        <v>13.990000000000002</v>
      </c>
      <c r="J955" s="25" t="s">
        <v>1891</v>
      </c>
      <c r="K955" s="25" t="str">
        <f>VLOOKUP(E955,[1]PrelimAssignPOP!$I$1:$J$947,2,FALSE)</f>
        <v>HYB</v>
      </c>
      <c r="L955" s="25" t="s">
        <v>215</v>
      </c>
      <c r="M955" s="25" t="s">
        <v>160</v>
      </c>
      <c r="N955" s="25" t="s">
        <v>2802</v>
      </c>
    </row>
    <row r="956" spans="1:14" x14ac:dyDescent="0.55000000000000004">
      <c r="A956">
        <v>955</v>
      </c>
      <c r="B956" s="25" t="s">
        <v>60</v>
      </c>
      <c r="C956" s="25">
        <v>25</v>
      </c>
      <c r="D956" s="25" t="s">
        <v>4383</v>
      </c>
      <c r="E956" s="25" t="s">
        <v>4391</v>
      </c>
      <c r="F956" s="25">
        <v>15.32</v>
      </c>
      <c r="G956" s="25" t="s">
        <v>1889</v>
      </c>
      <c r="H956" s="25">
        <f>5.89+2.74+4.52+2.87</f>
        <v>16.02</v>
      </c>
      <c r="I956" s="25">
        <f>5.89+2.74+4.52+2.87</f>
        <v>16.02</v>
      </c>
      <c r="J956" s="25" t="s">
        <v>1891</v>
      </c>
      <c r="K956" s="25" t="str">
        <f>VLOOKUP(E956,[1]PrelimAssignPOP!$I$1:$J$947,2,FALSE)</f>
        <v>ART</v>
      </c>
      <c r="L956" s="25" t="s">
        <v>215</v>
      </c>
      <c r="M956" s="25" t="s">
        <v>161</v>
      </c>
      <c r="N956" s="25" t="s">
        <v>2803</v>
      </c>
    </row>
    <row r="957" spans="1:14" x14ac:dyDescent="0.55000000000000004">
      <c r="A957">
        <v>956</v>
      </c>
      <c r="B957" s="25" t="s">
        <v>60</v>
      </c>
      <c r="C957" s="25">
        <v>25</v>
      </c>
      <c r="D957" s="25" t="s">
        <v>4383</v>
      </c>
      <c r="E957" s="25" t="s">
        <v>4392</v>
      </c>
      <c r="F957" s="25">
        <v>14.87</v>
      </c>
      <c r="G957" s="25" t="s">
        <v>1889</v>
      </c>
      <c r="H957" s="25">
        <f>3.2+6.74+5.13</f>
        <v>15.07</v>
      </c>
      <c r="I957" s="25">
        <f>3.2+6.74+5.13</f>
        <v>15.07</v>
      </c>
      <c r="J957" s="25" t="s">
        <v>1891</v>
      </c>
      <c r="K957" s="25" t="str">
        <f>VLOOKUP(E957,[1]PrelimAssignPOP!$I$1:$J$947,2,FALSE)</f>
        <v>ART</v>
      </c>
      <c r="L957" s="25" t="s">
        <v>215</v>
      </c>
      <c r="M957" s="25" t="s">
        <v>162</v>
      </c>
      <c r="N957" s="25" t="s">
        <v>2804</v>
      </c>
    </row>
    <row r="958" spans="1:14" x14ac:dyDescent="0.55000000000000004">
      <c r="A958">
        <v>957</v>
      </c>
      <c r="B958" s="25" t="s">
        <v>60</v>
      </c>
      <c r="C958" s="25">
        <v>25</v>
      </c>
      <c r="D958" s="25" t="s">
        <v>4383</v>
      </c>
      <c r="E958" s="25" t="s">
        <v>4393</v>
      </c>
      <c r="F958" s="25">
        <v>13.51</v>
      </c>
      <c r="G958" s="25" t="s">
        <v>1889</v>
      </c>
      <c r="H958" s="25">
        <f>5.74+2.86+2.72+2.72</f>
        <v>14.040000000000001</v>
      </c>
      <c r="I958" s="25">
        <f>5.74+2.86+2.72+2.72</f>
        <v>14.040000000000001</v>
      </c>
      <c r="J958" s="25" t="s">
        <v>1891</v>
      </c>
      <c r="K958" s="25" t="str">
        <f>VLOOKUP(E958,[1]PrelimAssignPOP!$I$1:$J$947,2,FALSE)</f>
        <v>ART</v>
      </c>
      <c r="L958" s="25" t="s">
        <v>215</v>
      </c>
      <c r="M958" s="25" t="s">
        <v>163</v>
      </c>
      <c r="N958" s="25" t="s">
        <v>2805</v>
      </c>
    </row>
    <row r="959" spans="1:14" x14ac:dyDescent="0.55000000000000004">
      <c r="A959">
        <v>958</v>
      </c>
      <c r="B959" s="25" t="s">
        <v>60</v>
      </c>
      <c r="C959" s="25">
        <v>25</v>
      </c>
      <c r="D959" s="25" t="s">
        <v>4383</v>
      </c>
      <c r="E959" s="25" t="s">
        <v>4394</v>
      </c>
      <c r="F959" s="25">
        <v>13.77</v>
      </c>
      <c r="G959" s="25" t="s">
        <v>1889</v>
      </c>
      <c r="H959" s="25">
        <f>2.87+6.72+4.55</f>
        <v>14.14</v>
      </c>
      <c r="I959" s="25">
        <f>2.87+6.72+4.55</f>
        <v>14.14</v>
      </c>
      <c r="J959" s="25" t="s">
        <v>1891</v>
      </c>
      <c r="K959" s="25" t="str">
        <f>VLOOKUP(E959,[1]PrelimAssignPOP!$I$1:$J$947,2,FALSE)</f>
        <v>ART</v>
      </c>
      <c r="L959" s="25" t="s">
        <v>215</v>
      </c>
      <c r="M959" s="25" t="s">
        <v>164</v>
      </c>
      <c r="N959" s="25" t="s">
        <v>2806</v>
      </c>
    </row>
    <row r="960" spans="1:14" x14ac:dyDescent="0.55000000000000004">
      <c r="A960">
        <v>959</v>
      </c>
      <c r="B960" s="25" t="s">
        <v>60</v>
      </c>
      <c r="C960" s="25">
        <v>25</v>
      </c>
      <c r="D960" s="25" t="s">
        <v>4383</v>
      </c>
      <c r="E960" s="25" t="s">
        <v>4395</v>
      </c>
      <c r="F960" s="25">
        <v>12.41</v>
      </c>
      <c r="G960" s="25" t="s">
        <v>1889</v>
      </c>
      <c r="H960" s="25">
        <f>4.08+3.55+3.42+1.93</f>
        <v>12.98</v>
      </c>
      <c r="I960" s="25">
        <f>4.08+3.55+3.42+1.93</f>
        <v>12.98</v>
      </c>
      <c r="J960" s="25" t="s">
        <v>1891</v>
      </c>
      <c r="K960" s="25" t="str">
        <f>VLOOKUP(E960,[1]PrelimAssignPOP!$I$1:$J$947,2,FALSE)</f>
        <v>ART</v>
      </c>
      <c r="L960" s="25" t="s">
        <v>215</v>
      </c>
      <c r="M960" s="25" t="s">
        <v>165</v>
      </c>
      <c r="N960" s="25" t="s">
        <v>2807</v>
      </c>
    </row>
    <row r="961" spans="1:14" x14ac:dyDescent="0.55000000000000004">
      <c r="A961">
        <v>960</v>
      </c>
      <c r="B961" s="25" t="s">
        <v>60</v>
      </c>
      <c r="C961" s="25">
        <v>25</v>
      </c>
      <c r="D961" s="25" t="s">
        <v>4383</v>
      </c>
      <c r="E961" s="25" t="s">
        <v>4396</v>
      </c>
      <c r="F961" s="25">
        <v>11.41</v>
      </c>
      <c r="G961" s="25" t="s">
        <v>1889</v>
      </c>
      <c r="H961" s="25">
        <f>3.81+3.34+4.37</f>
        <v>11.52</v>
      </c>
      <c r="I961" s="25">
        <f>3.81+3.34+4.37</f>
        <v>11.52</v>
      </c>
      <c r="J961" s="25" t="s">
        <v>1891</v>
      </c>
      <c r="N961" s="25" t="s">
        <v>2808</v>
      </c>
    </row>
    <row r="962" spans="1:14" x14ac:dyDescent="0.55000000000000004">
      <c r="A962">
        <v>961</v>
      </c>
      <c r="B962" s="25" t="s">
        <v>60</v>
      </c>
      <c r="C962" s="25">
        <v>25</v>
      </c>
      <c r="D962" s="25" t="s">
        <v>4383</v>
      </c>
      <c r="E962" s="25" t="s">
        <v>4397</v>
      </c>
      <c r="F962" s="25">
        <v>14.89</v>
      </c>
      <c r="G962" s="25" t="s">
        <v>1889</v>
      </c>
      <c r="H962" s="25">
        <f>3.16+2.52+4.24+5.33</f>
        <v>15.25</v>
      </c>
      <c r="I962" s="25">
        <f>3.16+2.52+4.24+5.33</f>
        <v>15.25</v>
      </c>
      <c r="J962" s="25" t="s">
        <v>1891</v>
      </c>
      <c r="N962" s="25" t="s">
        <v>2809</v>
      </c>
    </row>
    <row r="963" spans="1:14" x14ac:dyDescent="0.55000000000000004">
      <c r="A963">
        <v>962</v>
      </c>
      <c r="B963" s="25" t="s">
        <v>60</v>
      </c>
      <c r="C963" s="25">
        <v>25</v>
      </c>
      <c r="D963" s="25" t="s">
        <v>4383</v>
      </c>
      <c r="E963" s="25" t="s">
        <v>4398</v>
      </c>
      <c r="F963" s="25">
        <v>13.29</v>
      </c>
      <c r="G963" s="25" t="s">
        <v>1889</v>
      </c>
      <c r="H963" s="25">
        <f>2.82+5.65+1.64+3.23</f>
        <v>13.340000000000002</v>
      </c>
      <c r="I963" s="25">
        <f>2.82+5.65+1.64+3.23</f>
        <v>13.340000000000002</v>
      </c>
      <c r="J963" s="25" t="s">
        <v>1891</v>
      </c>
      <c r="N963" s="25" t="s">
        <v>2810</v>
      </c>
    </row>
    <row r="964" spans="1:14" x14ac:dyDescent="0.55000000000000004">
      <c r="A964">
        <v>963</v>
      </c>
      <c r="B964" s="25" t="s">
        <v>60</v>
      </c>
      <c r="C964" s="25">
        <v>25</v>
      </c>
      <c r="D964" s="25" t="s">
        <v>4383</v>
      </c>
      <c r="E964" s="25" t="s">
        <v>4399</v>
      </c>
      <c r="F964" s="25">
        <v>13.02</v>
      </c>
      <c r="G964" s="25" t="s">
        <v>1889</v>
      </c>
      <c r="H964" s="25">
        <f>2.39+2.66+2.52+2.83+3.01</f>
        <v>13.41</v>
      </c>
      <c r="I964" s="25">
        <f>2.39+2.66+2.52+2.83+3.01</f>
        <v>13.41</v>
      </c>
      <c r="J964" s="25" t="s">
        <v>1891</v>
      </c>
      <c r="N964" s="25" t="s">
        <v>2811</v>
      </c>
    </row>
    <row r="965" spans="1:14" x14ac:dyDescent="0.55000000000000004">
      <c r="A965">
        <v>964</v>
      </c>
      <c r="B965" s="25" t="s">
        <v>60</v>
      </c>
      <c r="C965" s="25">
        <v>25</v>
      </c>
      <c r="D965" s="25" t="s">
        <v>4383</v>
      </c>
      <c r="E965" s="25" t="s">
        <v>4400</v>
      </c>
      <c r="F965" s="25">
        <v>11.55</v>
      </c>
      <c r="G965" s="25" t="s">
        <v>1889</v>
      </c>
      <c r="H965" s="25">
        <f>2.5+4.93+1.71+2.74</f>
        <v>11.88</v>
      </c>
      <c r="I965" s="25">
        <f>2.5+4.93+1.71+2.74</f>
        <v>11.88</v>
      </c>
      <c r="J965" s="25" t="s">
        <v>1891</v>
      </c>
      <c r="N965" s="25" t="s">
        <v>2812</v>
      </c>
    </row>
    <row r="966" spans="1:14" x14ac:dyDescent="0.55000000000000004">
      <c r="A966">
        <v>965</v>
      </c>
      <c r="B966" s="25" t="s">
        <v>60</v>
      </c>
      <c r="C966" s="25">
        <v>25</v>
      </c>
      <c r="D966" s="25" t="s">
        <v>4383</v>
      </c>
      <c r="E966" s="25" t="s">
        <v>4401</v>
      </c>
      <c r="F966" s="25">
        <v>12.81</v>
      </c>
      <c r="G966" s="25" t="s">
        <v>1889</v>
      </c>
      <c r="H966" s="25">
        <f>3.55+4.49+1.39+3.57</f>
        <v>13</v>
      </c>
      <c r="I966" s="25">
        <f>3.55+4.49+1.39+3.57</f>
        <v>13</v>
      </c>
      <c r="J966" s="25" t="s">
        <v>1891</v>
      </c>
      <c r="N966" s="25" t="s">
        <v>2813</v>
      </c>
    </row>
    <row r="967" spans="1:14" x14ac:dyDescent="0.55000000000000004">
      <c r="A967">
        <v>966</v>
      </c>
      <c r="B967" s="25" t="s">
        <v>60</v>
      </c>
      <c r="C967" s="25">
        <v>25</v>
      </c>
      <c r="D967" s="25" t="s">
        <v>4383</v>
      </c>
      <c r="E967" s="25" t="s">
        <v>4402</v>
      </c>
      <c r="F967" s="25">
        <v>14.26</v>
      </c>
      <c r="G967" s="25" t="s">
        <v>1889</v>
      </c>
      <c r="H967" s="25">
        <f>4.45+6.81+3.01</f>
        <v>14.27</v>
      </c>
      <c r="I967" s="25">
        <f>4.45+6.81+3.01</f>
        <v>14.27</v>
      </c>
      <c r="J967" s="25" t="s">
        <v>1891</v>
      </c>
      <c r="N967" s="25" t="s">
        <v>2814</v>
      </c>
    </row>
    <row r="968" spans="1:14" x14ac:dyDescent="0.55000000000000004">
      <c r="A968">
        <v>967</v>
      </c>
      <c r="B968" s="25" t="s">
        <v>60</v>
      </c>
      <c r="C968" s="25">
        <v>25</v>
      </c>
      <c r="D968" s="25" t="s">
        <v>4383</v>
      </c>
      <c r="E968" s="25" t="s">
        <v>4403</v>
      </c>
      <c r="F968" s="25">
        <v>13.73</v>
      </c>
      <c r="G968" s="25" t="s">
        <v>1889</v>
      </c>
      <c r="H968" s="25">
        <f>2.95+2.58+3.4+2.65+2.25</f>
        <v>13.83</v>
      </c>
      <c r="I968" s="25">
        <f>2.95+2.58+3.4+2.65+2.25</f>
        <v>13.83</v>
      </c>
      <c r="J968" s="25" t="s">
        <v>1891</v>
      </c>
      <c r="N968" s="25" t="s">
        <v>2815</v>
      </c>
    </row>
    <row r="969" spans="1:14" x14ac:dyDescent="0.55000000000000004">
      <c r="A969">
        <v>968</v>
      </c>
      <c r="B969" s="25" t="s">
        <v>60</v>
      </c>
      <c r="C969" s="25">
        <v>25</v>
      </c>
      <c r="D969" s="25" t="s">
        <v>4383</v>
      </c>
      <c r="E969" s="25" t="s">
        <v>4404</v>
      </c>
      <c r="F969" s="25">
        <v>14.55</v>
      </c>
      <c r="G969" s="25" t="s">
        <v>1889</v>
      </c>
      <c r="H969" s="25">
        <f>5.37+2.17+7.31</f>
        <v>14.85</v>
      </c>
      <c r="I969" s="25">
        <f>5.37+2.17+7.31</f>
        <v>14.85</v>
      </c>
      <c r="J969" s="25" t="s">
        <v>1891</v>
      </c>
      <c r="N969" s="25" t="s">
        <v>2816</v>
      </c>
    </row>
    <row r="970" spans="1:14" x14ac:dyDescent="0.55000000000000004">
      <c r="A970">
        <v>969</v>
      </c>
      <c r="B970" s="25" t="s">
        <v>60</v>
      </c>
      <c r="C970" s="25">
        <v>25</v>
      </c>
      <c r="D970" s="25" t="s">
        <v>4383</v>
      </c>
      <c r="E970" s="25" t="s">
        <v>4405</v>
      </c>
      <c r="F970" s="25">
        <v>15.9</v>
      </c>
      <c r="G970" s="25" t="s">
        <v>1889</v>
      </c>
      <c r="H970" s="25">
        <f>2.63+2.6+6.65+3.88</f>
        <v>15.760000000000002</v>
      </c>
      <c r="I970" s="25">
        <f>2.63+2.6+6.65+3.88</f>
        <v>15.760000000000002</v>
      </c>
      <c r="J970" s="25" t="s">
        <v>1891</v>
      </c>
      <c r="N970" s="25" t="s">
        <v>2817</v>
      </c>
    </row>
    <row r="971" spans="1:14" x14ac:dyDescent="0.55000000000000004">
      <c r="A971">
        <v>970</v>
      </c>
      <c r="B971" s="25" t="s">
        <v>60</v>
      </c>
      <c r="C971" s="25">
        <v>25</v>
      </c>
      <c r="D971" s="25" t="s">
        <v>4383</v>
      </c>
      <c r="E971" s="25" t="s">
        <v>4406</v>
      </c>
      <c r="F971" s="25">
        <v>15.16</v>
      </c>
      <c r="G971" s="25" t="s">
        <v>2113</v>
      </c>
      <c r="I971" s="25">
        <v>15.16</v>
      </c>
      <c r="J971" s="25" t="s">
        <v>110</v>
      </c>
    </row>
    <row r="972" spans="1:14" x14ac:dyDescent="0.55000000000000004">
      <c r="A972">
        <v>971</v>
      </c>
      <c r="B972" s="25" t="s">
        <v>60</v>
      </c>
      <c r="C972" s="25">
        <v>25</v>
      </c>
      <c r="D972" s="25" t="s">
        <v>4383</v>
      </c>
      <c r="E972" s="25" t="s">
        <v>4407</v>
      </c>
      <c r="F972" s="25">
        <v>16.12</v>
      </c>
      <c r="G972" s="25" t="s">
        <v>2113</v>
      </c>
      <c r="I972" s="25">
        <v>16.12</v>
      </c>
      <c r="J972" s="25" t="s">
        <v>110</v>
      </c>
    </row>
    <row r="973" spans="1:14" x14ac:dyDescent="0.55000000000000004">
      <c r="A973">
        <v>972</v>
      </c>
      <c r="B973" s="25" t="s">
        <v>60</v>
      </c>
      <c r="C973" s="25">
        <v>25</v>
      </c>
      <c r="D973" s="25" t="s">
        <v>4383</v>
      </c>
      <c r="E973" s="25" t="s">
        <v>4408</v>
      </c>
      <c r="F973" s="25">
        <v>16.12</v>
      </c>
      <c r="G973" s="25" t="s">
        <v>2113</v>
      </c>
      <c r="I973" s="25">
        <v>16.12</v>
      </c>
      <c r="J973" s="25" t="s">
        <v>110</v>
      </c>
    </row>
    <row r="974" spans="1:14" x14ac:dyDescent="0.55000000000000004">
      <c r="A974">
        <v>973</v>
      </c>
      <c r="B974" s="25" t="s">
        <v>61</v>
      </c>
      <c r="C974" s="25">
        <v>25</v>
      </c>
      <c r="D974" s="25" t="s">
        <v>4409</v>
      </c>
      <c r="E974" s="25" t="s">
        <v>4410</v>
      </c>
      <c r="F974" s="25">
        <v>11.68</v>
      </c>
      <c r="G974" s="25" t="s">
        <v>1889</v>
      </c>
      <c r="H974" s="25">
        <f>3.92+2.74+3.16+1.86</f>
        <v>11.68</v>
      </c>
      <c r="I974" s="25">
        <f>3.92+2.74+3.16+1.86</f>
        <v>11.68</v>
      </c>
      <c r="J974" s="25" t="s">
        <v>1891</v>
      </c>
      <c r="K974" s="25" t="str">
        <f>VLOOKUP(E974,[1]PrelimAssignPOP!$I$1:$J$947,2,FALSE)</f>
        <v>ART</v>
      </c>
      <c r="L974" s="25" t="s">
        <v>215</v>
      </c>
      <c r="M974" s="25" t="s">
        <v>118</v>
      </c>
      <c r="N974" s="25" t="s">
        <v>2818</v>
      </c>
    </row>
    <row r="975" spans="1:14" x14ac:dyDescent="0.55000000000000004">
      <c r="A975">
        <v>974</v>
      </c>
      <c r="B975" s="25" t="s">
        <v>61</v>
      </c>
      <c r="C975" s="25">
        <v>25</v>
      </c>
      <c r="D975" s="25" t="s">
        <v>4409</v>
      </c>
      <c r="E975" s="25" t="s">
        <v>4411</v>
      </c>
      <c r="F975" s="25">
        <v>12.49</v>
      </c>
      <c r="G975" s="25" t="s">
        <v>1889</v>
      </c>
      <c r="H975" s="25">
        <f>4.03+5.45+3.05</f>
        <v>12.530000000000001</v>
      </c>
      <c r="I975" s="25">
        <f>4.03+5.45+3.05</f>
        <v>12.530000000000001</v>
      </c>
      <c r="J975" s="25" t="s">
        <v>1891</v>
      </c>
      <c r="K975" s="25" t="str">
        <f>VLOOKUP(E975,[1]PrelimAssignPOP!$I$1:$J$947,2,FALSE)</f>
        <v>ART</v>
      </c>
      <c r="L975" s="25" t="s">
        <v>215</v>
      </c>
      <c r="M975" s="25" t="s">
        <v>166</v>
      </c>
      <c r="N975" s="25" t="s">
        <v>2819</v>
      </c>
    </row>
    <row r="976" spans="1:14" x14ac:dyDescent="0.55000000000000004">
      <c r="A976">
        <v>975</v>
      </c>
      <c r="B976" s="25" t="s">
        <v>61</v>
      </c>
      <c r="C976" s="25">
        <v>25</v>
      </c>
      <c r="D976" s="25" t="s">
        <v>4409</v>
      </c>
      <c r="E976" s="25" t="s">
        <v>4412</v>
      </c>
      <c r="F976" s="25">
        <v>13.77</v>
      </c>
      <c r="G976" s="25" t="s">
        <v>1889</v>
      </c>
      <c r="H976" s="25">
        <f>6.53+3.71+3.71</f>
        <v>13.95</v>
      </c>
      <c r="I976" s="25">
        <f>6.53+3.71+3.71</f>
        <v>13.95</v>
      </c>
      <c r="J976" s="25" t="s">
        <v>1891</v>
      </c>
      <c r="K976" s="25" t="str">
        <f>VLOOKUP(E976,[1]PrelimAssignPOP!$I$1:$J$947,2,FALSE)</f>
        <v>ART</v>
      </c>
      <c r="L976" s="25" t="s">
        <v>215</v>
      </c>
      <c r="M976" s="25" t="s">
        <v>167</v>
      </c>
      <c r="N976" s="25" t="s">
        <v>2820</v>
      </c>
    </row>
    <row r="977" spans="1:14" x14ac:dyDescent="0.55000000000000004">
      <c r="A977">
        <v>976</v>
      </c>
      <c r="B977" s="25" t="s">
        <v>61</v>
      </c>
      <c r="C977" s="25">
        <v>25</v>
      </c>
      <c r="D977" s="25" t="s">
        <v>4409</v>
      </c>
      <c r="E977" s="25" t="s">
        <v>4413</v>
      </c>
      <c r="F977" s="25">
        <v>13.32</v>
      </c>
      <c r="G977" s="25" t="s">
        <v>1889</v>
      </c>
      <c r="H977" s="25">
        <f>10.56+3.1</f>
        <v>13.66</v>
      </c>
      <c r="I977" s="25">
        <f>10.56+3.1</f>
        <v>13.66</v>
      </c>
      <c r="J977" s="25" t="s">
        <v>1891</v>
      </c>
      <c r="K977" s="25" t="str">
        <f>VLOOKUP(E977,[1]PrelimAssignPOP!$I$1:$J$947,2,FALSE)</f>
        <v>HYB</v>
      </c>
      <c r="L977" s="25" t="s">
        <v>215</v>
      </c>
      <c r="M977" s="25" t="s">
        <v>168</v>
      </c>
      <c r="N977" s="25" t="s">
        <v>2821</v>
      </c>
    </row>
    <row r="978" spans="1:14" x14ac:dyDescent="0.55000000000000004">
      <c r="A978">
        <v>977</v>
      </c>
      <c r="B978" s="25" t="s">
        <v>61</v>
      </c>
      <c r="C978" s="25">
        <v>25</v>
      </c>
      <c r="D978" s="25" t="s">
        <v>4409</v>
      </c>
      <c r="E978" s="25" t="s">
        <v>4414</v>
      </c>
      <c r="F978" s="25">
        <v>12.29</v>
      </c>
      <c r="G978" s="25" t="s">
        <v>1889</v>
      </c>
      <c r="H978" s="25">
        <f>3.61+3.69+5.15</f>
        <v>12.45</v>
      </c>
      <c r="I978" s="25">
        <f>3.61+3.69+5.15</f>
        <v>12.45</v>
      </c>
      <c r="J978" s="25" t="s">
        <v>1891</v>
      </c>
      <c r="K978" s="25" t="str">
        <f>VLOOKUP(E978,[1]PrelimAssignPOP!$I$1:$J$947,2,FALSE)</f>
        <v>ART</v>
      </c>
      <c r="L978" s="25" t="s">
        <v>215</v>
      </c>
      <c r="M978" s="25" t="s">
        <v>169</v>
      </c>
      <c r="N978" s="25" t="s">
        <v>2822</v>
      </c>
    </row>
    <row r="979" spans="1:14" x14ac:dyDescent="0.55000000000000004">
      <c r="A979">
        <v>978</v>
      </c>
      <c r="B979" s="25" t="s">
        <v>61</v>
      </c>
      <c r="C979" s="25">
        <v>25</v>
      </c>
      <c r="D979" s="25" t="s">
        <v>4409</v>
      </c>
      <c r="E979" s="25" t="s">
        <v>4415</v>
      </c>
      <c r="F979" s="25">
        <v>14.14</v>
      </c>
      <c r="G979" s="25" t="s">
        <v>1889</v>
      </c>
      <c r="H979" s="25">
        <f>3.34+7.18+3.92</f>
        <v>14.44</v>
      </c>
      <c r="I979" s="25">
        <f>3.34+7.18+3.92</f>
        <v>14.44</v>
      </c>
      <c r="J979" s="25" t="s">
        <v>1891</v>
      </c>
      <c r="K979" s="25" t="str">
        <f>VLOOKUP(E979,[1]PrelimAssignPOP!$I$1:$J$947,2,FALSE)</f>
        <v>ART</v>
      </c>
      <c r="L979" s="25" t="s">
        <v>215</v>
      </c>
      <c r="M979" s="25" t="s">
        <v>170</v>
      </c>
      <c r="N979" s="25" t="s">
        <v>2823</v>
      </c>
    </row>
    <row r="980" spans="1:14" x14ac:dyDescent="0.55000000000000004">
      <c r="A980">
        <v>979</v>
      </c>
      <c r="B980" s="25" t="s">
        <v>61</v>
      </c>
      <c r="C980" s="25">
        <v>25</v>
      </c>
      <c r="D980" s="25" t="s">
        <v>4409</v>
      </c>
      <c r="E980" s="25" t="s">
        <v>4416</v>
      </c>
      <c r="F980" s="25">
        <v>12.96</v>
      </c>
      <c r="G980" s="25" t="s">
        <v>1889</v>
      </c>
      <c r="H980" s="25">
        <f>7.73+2.01+3.29</f>
        <v>13.030000000000001</v>
      </c>
      <c r="I980" s="25">
        <f>7.73+2.01+3.29</f>
        <v>13.030000000000001</v>
      </c>
      <c r="J980" s="25" t="s">
        <v>1891</v>
      </c>
      <c r="K980" s="25" t="str">
        <f>VLOOKUP(E980,[1]PrelimAssignPOP!$I$1:$J$947,2,FALSE)</f>
        <v>KIY</v>
      </c>
      <c r="L980" s="25" t="s">
        <v>215</v>
      </c>
      <c r="M980" s="25" t="s">
        <v>171</v>
      </c>
      <c r="N980" s="25" t="s">
        <v>2824</v>
      </c>
    </row>
    <row r="981" spans="1:14" x14ac:dyDescent="0.55000000000000004">
      <c r="A981">
        <v>980</v>
      </c>
      <c r="B981" s="25" t="s">
        <v>61</v>
      </c>
      <c r="C981" s="25">
        <v>25</v>
      </c>
      <c r="D981" s="25" t="s">
        <v>4409</v>
      </c>
      <c r="E981" s="25" t="s">
        <v>4417</v>
      </c>
      <c r="F981" s="25">
        <v>13.68</v>
      </c>
      <c r="G981" s="25" t="s">
        <v>1889</v>
      </c>
      <c r="H981" s="25">
        <f>3.27+4+2.4+4.26</f>
        <v>13.93</v>
      </c>
      <c r="I981" s="25">
        <f>3.27+4+2.4+4.26</f>
        <v>13.93</v>
      </c>
      <c r="J981" s="25" t="s">
        <v>1891</v>
      </c>
      <c r="K981" s="25" t="str">
        <f>VLOOKUP(E981,[1]PrelimAssignPOP!$I$1:$J$947,2,FALSE)</f>
        <v>ART</v>
      </c>
      <c r="L981" s="25" t="s">
        <v>215</v>
      </c>
      <c r="M981" s="25" t="s">
        <v>172</v>
      </c>
      <c r="N981" s="25" t="s">
        <v>2825</v>
      </c>
    </row>
    <row r="982" spans="1:14" x14ac:dyDescent="0.55000000000000004">
      <c r="A982">
        <v>981</v>
      </c>
      <c r="B982" s="25" t="s">
        <v>61</v>
      </c>
      <c r="C982" s="25">
        <v>25</v>
      </c>
      <c r="D982" s="25" t="s">
        <v>4409</v>
      </c>
      <c r="E982" s="25" t="s">
        <v>4418</v>
      </c>
      <c r="F982" s="25">
        <v>12.87</v>
      </c>
      <c r="G982" s="25" t="s">
        <v>1889</v>
      </c>
      <c r="H982" s="25">
        <f>1.93+2.14+3.86+1.59+3.66</f>
        <v>13.18</v>
      </c>
      <c r="I982" s="25">
        <f>1.93+2.14+3.86+1.59+3.66</f>
        <v>13.18</v>
      </c>
      <c r="J982" s="25" t="s">
        <v>1891</v>
      </c>
      <c r="K982" s="25" t="str">
        <f>VLOOKUP(E982,[1]PrelimAssignPOP!$I$1:$J$947,2,FALSE)</f>
        <v>ART</v>
      </c>
      <c r="L982" s="25" t="s">
        <v>215</v>
      </c>
      <c r="M982" s="25" t="s">
        <v>173</v>
      </c>
      <c r="N982" s="25" t="s">
        <v>2826</v>
      </c>
    </row>
    <row r="983" spans="1:14" x14ac:dyDescent="0.55000000000000004">
      <c r="A983">
        <v>982</v>
      </c>
      <c r="B983" s="25" t="s">
        <v>61</v>
      </c>
      <c r="C983" s="25">
        <v>25</v>
      </c>
      <c r="D983" s="25" t="s">
        <v>4409</v>
      </c>
      <c r="E983" s="25" t="s">
        <v>4419</v>
      </c>
      <c r="F983" s="25">
        <v>14.49</v>
      </c>
      <c r="G983" s="25" t="s">
        <v>1889</v>
      </c>
      <c r="H983" s="25">
        <f>4.13+2.26+8.18</f>
        <v>14.57</v>
      </c>
      <c r="I983" s="25">
        <f>4.13+2.26+8.18</f>
        <v>14.57</v>
      </c>
      <c r="J983" s="25" t="s">
        <v>1891</v>
      </c>
      <c r="K983" s="25" t="str">
        <f>VLOOKUP(E983,[1]PrelimAssignPOP!$I$1:$J$947,2,FALSE)</f>
        <v>ART</v>
      </c>
      <c r="L983" s="25" t="s">
        <v>215</v>
      </c>
      <c r="M983" s="25" t="s">
        <v>174</v>
      </c>
      <c r="N983" s="25" t="s">
        <v>2827</v>
      </c>
    </row>
    <row r="984" spans="1:14" x14ac:dyDescent="0.55000000000000004">
      <c r="A984">
        <v>983</v>
      </c>
      <c r="B984" s="25" t="s">
        <v>61</v>
      </c>
      <c r="C984" s="25">
        <v>25</v>
      </c>
      <c r="D984" s="25" t="s">
        <v>4409</v>
      </c>
      <c r="E984" s="25" t="s">
        <v>4420</v>
      </c>
      <c r="F984" s="25">
        <v>13.73</v>
      </c>
      <c r="G984" s="25" t="s">
        <v>1889</v>
      </c>
      <c r="H984" s="25">
        <f>3.79+2.72+7.31</f>
        <v>13.82</v>
      </c>
      <c r="I984" s="25">
        <f>3.79+2.72+7.31</f>
        <v>13.82</v>
      </c>
      <c r="J984" s="25" t="s">
        <v>1891</v>
      </c>
      <c r="K984" s="25" t="str">
        <f>VLOOKUP(E984,[1]PrelimAssignPOP!$I$1:$J$947,2,FALSE)</f>
        <v>ART</v>
      </c>
      <c r="L984" s="25" t="s">
        <v>215</v>
      </c>
      <c r="M984" s="25" t="s">
        <v>175</v>
      </c>
      <c r="N984" s="25" t="s">
        <v>2828</v>
      </c>
    </row>
    <row r="985" spans="1:14" x14ac:dyDescent="0.55000000000000004">
      <c r="A985">
        <v>984</v>
      </c>
      <c r="B985" s="25" t="s">
        <v>61</v>
      </c>
      <c r="C985" s="25">
        <v>25</v>
      </c>
      <c r="D985" s="25" t="s">
        <v>4409</v>
      </c>
      <c r="E985" s="25" t="s">
        <v>4421</v>
      </c>
      <c r="F985" s="25">
        <v>11.97</v>
      </c>
      <c r="G985" s="25" t="s">
        <v>1889</v>
      </c>
      <c r="H985" s="25">
        <f>9.36+2.82</f>
        <v>12.18</v>
      </c>
      <c r="I985" s="25">
        <f>9.36+2.82</f>
        <v>12.18</v>
      </c>
      <c r="J985" s="25" t="s">
        <v>1891</v>
      </c>
      <c r="K985" s="25" t="str">
        <f>VLOOKUP(E985,[1]PrelimAssignPOP!$I$1:$J$947,2,FALSE)</f>
        <v>ART</v>
      </c>
      <c r="L985" s="25" t="s">
        <v>215</v>
      </c>
      <c r="M985" s="25" t="s">
        <v>176</v>
      </c>
      <c r="N985" s="25" t="s">
        <v>2829</v>
      </c>
    </row>
    <row r="986" spans="1:14" x14ac:dyDescent="0.55000000000000004">
      <c r="A986">
        <v>985</v>
      </c>
      <c r="B986" s="25" t="s">
        <v>61</v>
      </c>
      <c r="C986" s="25">
        <v>25</v>
      </c>
      <c r="D986" s="25" t="s">
        <v>4409</v>
      </c>
      <c r="E986" s="25" t="s">
        <v>4422</v>
      </c>
      <c r="F986" s="25">
        <v>13.99</v>
      </c>
      <c r="G986" s="25" t="s">
        <v>1889</v>
      </c>
      <c r="H986" s="25">
        <f>4.16+3.13+3.08+3.68</f>
        <v>14.05</v>
      </c>
      <c r="I986" s="25">
        <f>4.16+3.13+3.08+3.68</f>
        <v>14.05</v>
      </c>
      <c r="J986" s="25" t="s">
        <v>1891</v>
      </c>
      <c r="N986" s="25" t="s">
        <v>2830</v>
      </c>
    </row>
    <row r="987" spans="1:14" x14ac:dyDescent="0.55000000000000004">
      <c r="A987">
        <v>986</v>
      </c>
      <c r="B987" s="25" t="s">
        <v>61</v>
      </c>
      <c r="C987" s="25">
        <v>25</v>
      </c>
      <c r="D987" s="25" t="s">
        <v>4409</v>
      </c>
      <c r="E987" s="25" t="s">
        <v>4423</v>
      </c>
      <c r="F987" s="25">
        <v>11.55</v>
      </c>
      <c r="G987" s="25" t="s">
        <v>1889</v>
      </c>
      <c r="H987" s="25">
        <f>2.96+0.99+1.4+1.48+4.87</f>
        <v>11.7</v>
      </c>
      <c r="I987" s="25">
        <f>2.96+0.99+1.4+1.48+4.87</f>
        <v>11.7</v>
      </c>
      <c r="J987" s="25" t="s">
        <v>1891</v>
      </c>
      <c r="N987" s="25" t="s">
        <v>2831</v>
      </c>
    </row>
    <row r="988" spans="1:14" x14ac:dyDescent="0.55000000000000004">
      <c r="A988">
        <v>987</v>
      </c>
      <c r="B988" s="25" t="s">
        <v>61</v>
      </c>
      <c r="C988" s="25">
        <v>25</v>
      </c>
      <c r="D988" s="25" t="s">
        <v>4409</v>
      </c>
      <c r="E988" s="25" t="s">
        <v>4424</v>
      </c>
      <c r="F988" s="25">
        <v>12.71</v>
      </c>
      <c r="G988" s="25" t="s">
        <v>1889</v>
      </c>
      <c r="H988" s="25">
        <f>4.12+3.02+2.35+3.34</f>
        <v>12.83</v>
      </c>
      <c r="I988" s="25">
        <f>4.12+3.02+2.35+3.34</f>
        <v>12.83</v>
      </c>
      <c r="J988" s="25" t="s">
        <v>1891</v>
      </c>
      <c r="N988" s="25" t="s">
        <v>2832</v>
      </c>
    </row>
    <row r="989" spans="1:14" x14ac:dyDescent="0.55000000000000004">
      <c r="A989">
        <v>988</v>
      </c>
      <c r="B989" s="25" t="s">
        <v>61</v>
      </c>
      <c r="C989" s="25">
        <v>25</v>
      </c>
      <c r="D989" s="25" t="s">
        <v>4409</v>
      </c>
      <c r="E989" s="25" t="s">
        <v>4425</v>
      </c>
      <c r="F989" s="25">
        <v>14.51</v>
      </c>
      <c r="G989" s="25" t="s">
        <v>1889</v>
      </c>
      <c r="H989" s="25">
        <f>2.81+1.66+5.2+5.07</f>
        <v>14.74</v>
      </c>
      <c r="I989" s="25">
        <f>2.81+1.66+5.2+5.07</f>
        <v>14.74</v>
      </c>
      <c r="J989" s="25" t="s">
        <v>1891</v>
      </c>
      <c r="N989" s="25" t="s">
        <v>2833</v>
      </c>
    </row>
    <row r="990" spans="1:14" x14ac:dyDescent="0.55000000000000004">
      <c r="A990">
        <v>989</v>
      </c>
      <c r="B990" s="25" t="s">
        <v>61</v>
      </c>
      <c r="C990" s="25">
        <v>25</v>
      </c>
      <c r="D990" s="25" t="s">
        <v>4409</v>
      </c>
      <c r="E990" s="25" t="s">
        <v>4426</v>
      </c>
      <c r="F990" s="25">
        <v>11.21</v>
      </c>
      <c r="G990" s="25" t="s">
        <v>1889</v>
      </c>
      <c r="H990" s="25">
        <f>11.25</f>
        <v>11.25</v>
      </c>
      <c r="I990" s="25">
        <f>11.25</f>
        <v>11.25</v>
      </c>
      <c r="J990" s="25" t="s">
        <v>1891</v>
      </c>
      <c r="N990" s="25" t="s">
        <v>2834</v>
      </c>
    </row>
    <row r="991" spans="1:14" x14ac:dyDescent="0.55000000000000004">
      <c r="A991">
        <v>990</v>
      </c>
      <c r="B991" s="25" t="s">
        <v>61</v>
      </c>
      <c r="C991" s="25">
        <v>25</v>
      </c>
      <c r="D991" s="25" t="s">
        <v>4409</v>
      </c>
      <c r="E991" s="25" t="s">
        <v>4427</v>
      </c>
      <c r="F991" s="25">
        <v>14.31</v>
      </c>
      <c r="G991" s="25" t="s">
        <v>1889</v>
      </c>
      <c r="H991" s="25">
        <f>5.48+8.8</f>
        <v>14.280000000000001</v>
      </c>
      <c r="I991" s="25">
        <f>5.48+8.8</f>
        <v>14.280000000000001</v>
      </c>
      <c r="J991" s="25" t="s">
        <v>1891</v>
      </c>
      <c r="N991" s="25" t="s">
        <v>2835</v>
      </c>
    </row>
    <row r="992" spans="1:14" x14ac:dyDescent="0.55000000000000004">
      <c r="A992">
        <v>991</v>
      </c>
      <c r="B992" s="25" t="s">
        <v>61</v>
      </c>
      <c r="C992" s="25">
        <v>25</v>
      </c>
      <c r="D992" s="25" t="s">
        <v>4409</v>
      </c>
      <c r="E992" s="25" t="s">
        <v>4428</v>
      </c>
      <c r="F992" s="25">
        <v>15.13</v>
      </c>
      <c r="G992" s="25" t="s">
        <v>1889</v>
      </c>
      <c r="H992" s="25">
        <f>4.36+3.71+3.2+4</f>
        <v>15.27</v>
      </c>
      <c r="I992" s="25">
        <f>4.36+3.71+3.2+4</f>
        <v>15.27</v>
      </c>
      <c r="J992" s="25" t="s">
        <v>1891</v>
      </c>
      <c r="N992" s="25" t="s">
        <v>2836</v>
      </c>
    </row>
    <row r="993" spans="1:14" x14ac:dyDescent="0.55000000000000004">
      <c r="A993">
        <v>992</v>
      </c>
      <c r="B993" s="25" t="s">
        <v>61</v>
      </c>
      <c r="C993" s="25">
        <v>25</v>
      </c>
      <c r="D993" s="25" t="s">
        <v>4409</v>
      </c>
      <c r="E993" s="25" t="s">
        <v>4429</v>
      </c>
      <c r="F993" s="25">
        <v>11.62</v>
      </c>
      <c r="G993" s="25" t="s">
        <v>1889</v>
      </c>
      <c r="H993" s="25">
        <f>3.15+2.38+2.29+2.19+2.07</f>
        <v>12.08</v>
      </c>
      <c r="I993" s="25">
        <f>3.15+2.38+2.29+2.19+2.07</f>
        <v>12.08</v>
      </c>
      <c r="J993" s="25" t="s">
        <v>1891</v>
      </c>
      <c r="N993" s="25" t="s">
        <v>2837</v>
      </c>
    </row>
    <row r="994" spans="1:14" x14ac:dyDescent="0.55000000000000004">
      <c r="A994">
        <v>993</v>
      </c>
      <c r="B994" s="25" t="s">
        <v>61</v>
      </c>
      <c r="C994" s="25">
        <v>25</v>
      </c>
      <c r="D994" s="25" t="s">
        <v>4409</v>
      </c>
      <c r="E994" s="25" t="s">
        <v>4430</v>
      </c>
      <c r="F994" s="25">
        <v>13.55</v>
      </c>
      <c r="G994" s="25" t="s">
        <v>1889</v>
      </c>
      <c r="H994" s="25">
        <f>4.44+3.07+2.32+3.85</f>
        <v>13.68</v>
      </c>
      <c r="I994" s="25">
        <f>4.44+3.07+2.32+3.85</f>
        <v>13.68</v>
      </c>
      <c r="J994" s="25" t="s">
        <v>1891</v>
      </c>
      <c r="N994" s="25" t="s">
        <v>2838</v>
      </c>
    </row>
    <row r="995" spans="1:14" x14ac:dyDescent="0.55000000000000004">
      <c r="A995">
        <v>994</v>
      </c>
      <c r="B995" s="25" t="s">
        <v>61</v>
      </c>
      <c r="C995" s="25">
        <v>25</v>
      </c>
      <c r="D995" s="25" t="s">
        <v>4409</v>
      </c>
      <c r="E995" s="25" t="s">
        <v>4431</v>
      </c>
      <c r="F995" s="25">
        <v>14.1</v>
      </c>
      <c r="G995" s="25" t="s">
        <v>1889</v>
      </c>
      <c r="H995" s="25">
        <f>2.76+3.89+3.18+4.04</f>
        <v>13.870000000000001</v>
      </c>
      <c r="I995" s="25">
        <f>2.76+3.89+3.18+4.04</f>
        <v>13.870000000000001</v>
      </c>
      <c r="J995" s="25" t="s">
        <v>1891</v>
      </c>
      <c r="N995" s="25" t="s">
        <v>2839</v>
      </c>
    </row>
    <row r="996" spans="1:14" x14ac:dyDescent="0.55000000000000004">
      <c r="A996">
        <v>995</v>
      </c>
      <c r="B996" s="25" t="s">
        <v>61</v>
      </c>
      <c r="C996" s="25">
        <v>25</v>
      </c>
      <c r="D996" s="25" t="s">
        <v>4409</v>
      </c>
      <c r="E996" s="25" t="s">
        <v>4432</v>
      </c>
      <c r="F996" s="25">
        <v>13.5</v>
      </c>
      <c r="G996" s="25" t="s">
        <v>1889</v>
      </c>
      <c r="H996" s="25">
        <f>6.04+2.96+4.28</f>
        <v>13.280000000000001</v>
      </c>
      <c r="I996" s="25">
        <f>6.04+2.96+4.28</f>
        <v>13.280000000000001</v>
      </c>
      <c r="J996" s="25" t="s">
        <v>1891</v>
      </c>
      <c r="N996" s="25" t="s">
        <v>2840</v>
      </c>
    </row>
    <row r="997" spans="1:14" x14ac:dyDescent="0.55000000000000004">
      <c r="A997">
        <v>996</v>
      </c>
      <c r="B997" s="25" t="s">
        <v>61</v>
      </c>
      <c r="C997" s="25">
        <v>25</v>
      </c>
      <c r="D997" s="25" t="s">
        <v>4409</v>
      </c>
      <c r="E997" s="25" t="s">
        <v>4433</v>
      </c>
      <c r="F997" s="25">
        <v>13.1</v>
      </c>
      <c r="G997" s="25" t="s">
        <v>1889</v>
      </c>
      <c r="H997" s="25">
        <f>4.28+2.96+6.04</f>
        <v>13.280000000000001</v>
      </c>
      <c r="I997" s="25">
        <f>4.28+2.96+6.04</f>
        <v>13.280000000000001</v>
      </c>
      <c r="J997" s="25" t="s">
        <v>1891</v>
      </c>
      <c r="N997" s="25" t="s">
        <v>2841</v>
      </c>
    </row>
    <row r="998" spans="1:14" x14ac:dyDescent="0.55000000000000004">
      <c r="A998">
        <v>997</v>
      </c>
      <c r="B998" s="25" t="s">
        <v>61</v>
      </c>
      <c r="C998" s="25">
        <v>25</v>
      </c>
      <c r="D998" s="25" t="s">
        <v>4409</v>
      </c>
      <c r="E998" s="25" t="s">
        <v>4434</v>
      </c>
      <c r="F998" s="25">
        <v>13.59</v>
      </c>
      <c r="G998" s="25" t="s">
        <v>1889</v>
      </c>
      <c r="H998" s="25">
        <f>3.96+4.99+4.9</f>
        <v>13.85</v>
      </c>
      <c r="I998" s="25">
        <f>3.96+4.99+4.9</f>
        <v>13.85</v>
      </c>
      <c r="J998" s="25" t="s">
        <v>1891</v>
      </c>
      <c r="N998" s="25" t="s">
        <v>2842</v>
      </c>
    </row>
    <row r="999" spans="1:14" x14ac:dyDescent="0.55000000000000004">
      <c r="A999">
        <v>998</v>
      </c>
      <c r="B999" s="25" t="s">
        <v>62</v>
      </c>
      <c r="C999" s="25">
        <v>25</v>
      </c>
      <c r="D999" s="25" t="s">
        <v>4435</v>
      </c>
      <c r="E999" s="25" t="s">
        <v>4436</v>
      </c>
      <c r="F999" s="25">
        <v>13.68</v>
      </c>
      <c r="G999" s="25" t="s">
        <v>1889</v>
      </c>
      <c r="H999" s="25">
        <f>2.68+1.71+2.38+3.11+3.65</f>
        <v>13.530000000000001</v>
      </c>
      <c r="I999" s="25">
        <f>2.68+1.71+2.38+3.11+3.65</f>
        <v>13.530000000000001</v>
      </c>
      <c r="J999" s="25" t="s">
        <v>1891</v>
      </c>
      <c r="K999" s="25" t="str">
        <f>VLOOKUP(E999,[1]PrelimAssignPOP!$I$1:$J$947,2,FALSE)</f>
        <v>ART</v>
      </c>
      <c r="L999" s="25" t="s">
        <v>215</v>
      </c>
      <c r="M999" s="25" t="s">
        <v>119</v>
      </c>
      <c r="N999" s="25" t="s">
        <v>2843</v>
      </c>
    </row>
    <row r="1000" spans="1:14" x14ac:dyDescent="0.55000000000000004">
      <c r="A1000">
        <v>999</v>
      </c>
      <c r="B1000" s="25" t="s">
        <v>62</v>
      </c>
      <c r="C1000" s="25">
        <v>25</v>
      </c>
      <c r="D1000" s="25" t="s">
        <v>4435</v>
      </c>
      <c r="E1000" s="25" t="s">
        <v>4437</v>
      </c>
      <c r="F1000" s="25">
        <v>13.26</v>
      </c>
      <c r="G1000" s="25" t="s">
        <v>1889</v>
      </c>
      <c r="H1000" s="25">
        <f>3.45+1.86+6.13+1.98</f>
        <v>13.420000000000002</v>
      </c>
      <c r="I1000" s="25">
        <f>3.45+1.86+6.13+1.98</f>
        <v>13.420000000000002</v>
      </c>
      <c r="J1000" s="25" t="s">
        <v>1891</v>
      </c>
      <c r="K1000" s="25" t="str">
        <f>VLOOKUP(E1000,[1]PrelimAssignPOP!$I$1:$J$947,2,FALSE)</f>
        <v>CLUP</v>
      </c>
      <c r="L1000" s="25" t="s">
        <v>215</v>
      </c>
      <c r="M1000" s="25" t="s">
        <v>177</v>
      </c>
      <c r="N1000" s="25" t="s">
        <v>2844</v>
      </c>
    </row>
    <row r="1001" spans="1:14" x14ac:dyDescent="0.55000000000000004">
      <c r="A1001">
        <v>1000</v>
      </c>
      <c r="B1001" s="25" t="s">
        <v>62</v>
      </c>
      <c r="C1001" s="25">
        <v>25</v>
      </c>
      <c r="D1001" s="25" t="s">
        <v>4435</v>
      </c>
      <c r="E1001" s="25" t="s">
        <v>4438</v>
      </c>
      <c r="F1001" s="25">
        <v>14.75</v>
      </c>
      <c r="G1001" s="25" t="s">
        <v>1889</v>
      </c>
      <c r="H1001" s="25">
        <f>2.05+4.69+2.4+5.96</f>
        <v>15.100000000000001</v>
      </c>
      <c r="I1001" s="25">
        <f>2.05+4.69+2.4+5.96</f>
        <v>15.100000000000001</v>
      </c>
      <c r="J1001" s="25" t="s">
        <v>1891</v>
      </c>
      <c r="K1001" s="25" t="str">
        <f>VLOOKUP(E1001,[1]PrelimAssignPOP!$I$1:$J$947,2,FALSE)</f>
        <v>ART</v>
      </c>
      <c r="L1001" s="25" t="s">
        <v>215</v>
      </c>
      <c r="M1001" s="25" t="s">
        <v>178</v>
      </c>
      <c r="N1001" s="25" t="s">
        <v>2845</v>
      </c>
    </row>
    <row r="1002" spans="1:14" x14ac:dyDescent="0.55000000000000004">
      <c r="A1002">
        <v>1001</v>
      </c>
      <c r="B1002" s="25" t="s">
        <v>62</v>
      </c>
      <c r="C1002" s="25">
        <v>25</v>
      </c>
      <c r="D1002" s="25" t="s">
        <v>4435</v>
      </c>
      <c r="E1002" s="25" t="s">
        <v>4439</v>
      </c>
      <c r="F1002" s="25">
        <v>15.19</v>
      </c>
      <c r="G1002" s="25" t="s">
        <v>1889</v>
      </c>
      <c r="H1002" s="25">
        <f>6.19+3.9+1.42+3.87</f>
        <v>15.379999999999999</v>
      </c>
      <c r="I1002" s="25">
        <f>6.19+3.9+1.42+3.87</f>
        <v>15.379999999999999</v>
      </c>
      <c r="J1002" s="25" t="s">
        <v>1891</v>
      </c>
      <c r="K1002" s="25" t="str">
        <f>VLOOKUP(E1002,[1]PrelimAssignPOP!$I$1:$J$947,2,FALSE)</f>
        <v>CLUP</v>
      </c>
      <c r="L1002" s="25" t="s">
        <v>215</v>
      </c>
      <c r="M1002" s="25" t="s">
        <v>179</v>
      </c>
      <c r="N1002" s="25" t="s">
        <v>2846</v>
      </c>
    </row>
    <row r="1003" spans="1:14" x14ac:dyDescent="0.55000000000000004">
      <c r="A1003">
        <v>1002</v>
      </c>
      <c r="B1003" s="25" t="s">
        <v>62</v>
      </c>
      <c r="C1003" s="25">
        <v>25</v>
      </c>
      <c r="D1003" s="25" t="s">
        <v>4435</v>
      </c>
      <c r="E1003" s="25" t="s">
        <v>4440</v>
      </c>
      <c r="F1003" s="25">
        <v>15.18</v>
      </c>
      <c r="G1003" s="25" t="s">
        <v>2113</v>
      </c>
      <c r="I1003" s="25">
        <v>15.18</v>
      </c>
      <c r="J1003" s="25" t="s">
        <v>110</v>
      </c>
      <c r="K1003" s="25" t="str">
        <f>VLOOKUP(E1003,[1]PrelimAssignPOP!$I$1:$J$947,2,FALSE)</f>
        <v>ART</v>
      </c>
      <c r="L1003" s="25" t="s">
        <v>215</v>
      </c>
      <c r="M1003" s="25" t="s">
        <v>180</v>
      </c>
    </row>
    <row r="1004" spans="1:14" x14ac:dyDescent="0.55000000000000004">
      <c r="A1004">
        <v>1003</v>
      </c>
      <c r="B1004" s="25" t="s">
        <v>62</v>
      </c>
      <c r="C1004" s="25">
        <v>25</v>
      </c>
      <c r="D1004" s="25" t="s">
        <v>4435</v>
      </c>
      <c r="E1004" s="25" t="s">
        <v>4441</v>
      </c>
      <c r="F1004" s="25">
        <v>16.3</v>
      </c>
      <c r="G1004" s="25" t="s">
        <v>2113</v>
      </c>
      <c r="I1004" s="25">
        <v>16.3</v>
      </c>
      <c r="J1004" s="25" t="s">
        <v>110</v>
      </c>
      <c r="K1004" s="25" t="str">
        <f>VLOOKUP(E1004,[1]PrelimAssignPOP!$I$1:$J$947,2,FALSE)</f>
        <v>CLUP</v>
      </c>
      <c r="L1004" s="25" t="s">
        <v>215</v>
      </c>
      <c r="M1004" s="25" t="s">
        <v>181</v>
      </c>
    </row>
    <row r="1005" spans="1:14" x14ac:dyDescent="0.55000000000000004">
      <c r="A1005">
        <v>1004</v>
      </c>
      <c r="B1005" s="25" t="s">
        <v>62</v>
      </c>
      <c r="C1005" s="25">
        <v>25</v>
      </c>
      <c r="D1005" s="25" t="s">
        <v>4435</v>
      </c>
      <c r="E1005" s="25" t="s">
        <v>4442</v>
      </c>
      <c r="F1005" s="25">
        <v>15.18</v>
      </c>
      <c r="G1005" s="25" t="s">
        <v>2113</v>
      </c>
      <c r="I1005" s="25">
        <v>15.18</v>
      </c>
      <c r="J1005" s="25" t="s">
        <v>110</v>
      </c>
      <c r="K1005" s="25" t="str">
        <f>VLOOKUP(E1005,[1]PrelimAssignPOP!$I$1:$J$947,2,FALSE)</f>
        <v>CLUP</v>
      </c>
      <c r="L1005" s="25" t="s">
        <v>215</v>
      </c>
      <c r="M1005" s="25" t="s">
        <v>182</v>
      </c>
    </row>
    <row r="1006" spans="1:14" x14ac:dyDescent="0.55000000000000004">
      <c r="A1006">
        <v>1005</v>
      </c>
      <c r="B1006" s="25" t="s">
        <v>62</v>
      </c>
      <c r="C1006" s="25">
        <v>25</v>
      </c>
      <c r="D1006" s="25" t="s">
        <v>4435</v>
      </c>
      <c r="E1006" s="25" t="s">
        <v>4443</v>
      </c>
      <c r="F1006" s="25">
        <v>15.65</v>
      </c>
      <c r="G1006" s="25" t="s">
        <v>2113</v>
      </c>
      <c r="I1006" s="25">
        <v>15.65</v>
      </c>
      <c r="J1006" s="25" t="s">
        <v>110</v>
      </c>
      <c r="K1006" s="25" t="str">
        <f>VLOOKUP(E1006,[1]PrelimAssignPOP!$I$1:$J$947,2,FALSE)</f>
        <v>ART</v>
      </c>
      <c r="L1006" s="25" t="s">
        <v>215</v>
      </c>
      <c r="M1006" s="25" t="s">
        <v>183</v>
      </c>
    </row>
    <row r="1007" spans="1:14" x14ac:dyDescent="0.55000000000000004">
      <c r="A1007">
        <v>1006</v>
      </c>
      <c r="B1007" s="25" t="s">
        <v>62</v>
      </c>
      <c r="C1007" s="25">
        <v>25</v>
      </c>
      <c r="D1007" s="25" t="s">
        <v>4435</v>
      </c>
      <c r="E1007" s="25" t="s">
        <v>4444</v>
      </c>
      <c r="F1007" s="25">
        <v>16.190000000000001</v>
      </c>
      <c r="G1007" s="25" t="s">
        <v>2113</v>
      </c>
      <c r="I1007" s="25">
        <v>16.190000000000001</v>
      </c>
      <c r="J1007" s="25" t="s">
        <v>110</v>
      </c>
      <c r="K1007" s="25" t="str">
        <f>VLOOKUP(E1007,[1]PrelimAssignPOP!$I$1:$J$947,2,FALSE)</f>
        <v>CLUP</v>
      </c>
      <c r="L1007" s="25" t="s">
        <v>215</v>
      </c>
      <c r="M1007" s="25" t="s">
        <v>184</v>
      </c>
    </row>
    <row r="1008" spans="1:14" x14ac:dyDescent="0.55000000000000004">
      <c r="A1008">
        <v>1007</v>
      </c>
      <c r="B1008" s="25" t="s">
        <v>62</v>
      </c>
      <c r="C1008" s="25">
        <v>25</v>
      </c>
      <c r="D1008" s="25" t="s">
        <v>4435</v>
      </c>
      <c r="E1008" s="25" t="s">
        <v>4445</v>
      </c>
      <c r="F1008" s="25">
        <v>16.07</v>
      </c>
      <c r="G1008" s="25" t="s">
        <v>2113</v>
      </c>
      <c r="I1008" s="25">
        <v>16.07</v>
      </c>
      <c r="J1008" s="25" t="s">
        <v>110</v>
      </c>
      <c r="K1008" s="25" t="str">
        <f>VLOOKUP(E1008,[1]PrelimAssignPOP!$I$1:$J$947,2,FALSE)</f>
        <v>ART</v>
      </c>
      <c r="L1008" s="25" t="s">
        <v>215</v>
      </c>
      <c r="M1008" s="25" t="s">
        <v>185</v>
      </c>
    </row>
    <row r="1009" spans="1:14" x14ac:dyDescent="0.55000000000000004">
      <c r="A1009">
        <v>1008</v>
      </c>
      <c r="B1009" s="25" t="s">
        <v>62</v>
      </c>
      <c r="C1009" s="25">
        <v>25</v>
      </c>
      <c r="D1009" s="25" t="s">
        <v>4435</v>
      </c>
      <c r="E1009" s="25" t="s">
        <v>4446</v>
      </c>
      <c r="F1009" s="25">
        <v>15.89</v>
      </c>
      <c r="G1009" s="25" t="s">
        <v>2113</v>
      </c>
      <c r="I1009" s="25">
        <v>15.89</v>
      </c>
      <c r="J1009" s="25" t="s">
        <v>110</v>
      </c>
      <c r="K1009" s="25" t="str">
        <f>VLOOKUP(E1009,[1]PrelimAssignPOP!$I$1:$J$947,2,FALSE)</f>
        <v>CLUP</v>
      </c>
      <c r="L1009" s="25" t="s">
        <v>215</v>
      </c>
      <c r="M1009" s="25" t="s">
        <v>186</v>
      </c>
    </row>
    <row r="1010" spans="1:14" x14ac:dyDescent="0.55000000000000004">
      <c r="A1010">
        <v>1009</v>
      </c>
      <c r="B1010" s="25" t="s">
        <v>62</v>
      </c>
      <c r="C1010" s="25">
        <v>25</v>
      </c>
      <c r="D1010" s="25" t="s">
        <v>4435</v>
      </c>
      <c r="E1010" s="25" t="s">
        <v>4447</v>
      </c>
      <c r="F1010" s="25">
        <v>17.11</v>
      </c>
      <c r="G1010" s="25" t="s">
        <v>2113</v>
      </c>
      <c r="I1010" s="25">
        <v>17.11</v>
      </c>
      <c r="J1010" s="25" t="s">
        <v>110</v>
      </c>
      <c r="K1010" s="25" t="str">
        <f>VLOOKUP(E1010,[1]PrelimAssignPOP!$I$1:$J$947,2,FALSE)</f>
        <v>CLUP</v>
      </c>
      <c r="L1010" s="25" t="s">
        <v>215</v>
      </c>
      <c r="M1010" s="25" t="s">
        <v>187</v>
      </c>
    </row>
    <row r="1011" spans="1:14" x14ac:dyDescent="0.55000000000000004">
      <c r="A1011">
        <v>1010</v>
      </c>
      <c r="B1011" s="25" t="s">
        <v>62</v>
      </c>
      <c r="C1011" s="25">
        <v>25</v>
      </c>
      <c r="D1011" s="25" t="s">
        <v>4435</v>
      </c>
      <c r="E1011" s="25" t="s">
        <v>4448</v>
      </c>
      <c r="F1011" s="25">
        <v>16.12</v>
      </c>
      <c r="G1011" s="25" t="s">
        <v>2113</v>
      </c>
      <c r="I1011" s="25">
        <v>16.12</v>
      </c>
    </row>
    <row r="1012" spans="1:14" x14ac:dyDescent="0.55000000000000004">
      <c r="A1012">
        <v>1011</v>
      </c>
      <c r="B1012" s="25" t="s">
        <v>62</v>
      </c>
      <c r="C1012" s="25">
        <v>25</v>
      </c>
      <c r="D1012" s="25" t="s">
        <v>4435</v>
      </c>
      <c r="E1012" s="25" t="s">
        <v>4449</v>
      </c>
      <c r="F1012" s="25">
        <v>16.12</v>
      </c>
      <c r="G1012" s="25" t="s">
        <v>2113</v>
      </c>
      <c r="I1012" s="25">
        <v>16.12</v>
      </c>
    </row>
    <row r="1013" spans="1:14" x14ac:dyDescent="0.55000000000000004">
      <c r="A1013">
        <v>1012</v>
      </c>
      <c r="B1013" s="25" t="s">
        <v>62</v>
      </c>
      <c r="C1013" s="25">
        <v>25</v>
      </c>
      <c r="D1013" s="25" t="s">
        <v>4435</v>
      </c>
      <c r="E1013" s="25" t="s">
        <v>4450</v>
      </c>
      <c r="F1013" s="25">
        <v>15.18</v>
      </c>
      <c r="G1013" s="25" t="s">
        <v>2113</v>
      </c>
      <c r="I1013" s="25">
        <v>15.18</v>
      </c>
    </row>
    <row r="1014" spans="1:14" x14ac:dyDescent="0.55000000000000004">
      <c r="A1014">
        <v>1013</v>
      </c>
      <c r="B1014" s="25" t="s">
        <v>62</v>
      </c>
      <c r="C1014" s="25">
        <v>25</v>
      </c>
      <c r="D1014" s="25" t="s">
        <v>4435</v>
      </c>
      <c r="E1014" s="25" t="s">
        <v>4451</v>
      </c>
      <c r="F1014" s="25">
        <v>13.35</v>
      </c>
      <c r="G1014" s="25" t="s">
        <v>2113</v>
      </c>
      <c r="I1014" s="25">
        <v>13.35</v>
      </c>
    </row>
    <row r="1015" spans="1:14" x14ac:dyDescent="0.55000000000000004">
      <c r="A1015">
        <v>1014</v>
      </c>
      <c r="B1015" s="25" t="s">
        <v>62</v>
      </c>
      <c r="C1015" s="25">
        <v>25</v>
      </c>
      <c r="D1015" s="25" t="s">
        <v>4435</v>
      </c>
      <c r="E1015" s="25" t="s">
        <v>4452</v>
      </c>
      <c r="F1015" s="25">
        <v>16.89</v>
      </c>
      <c r="G1015" s="25" t="s">
        <v>2113</v>
      </c>
      <c r="I1015" s="25">
        <v>16.89</v>
      </c>
    </row>
    <row r="1016" spans="1:14" x14ac:dyDescent="0.55000000000000004">
      <c r="A1016">
        <v>1015</v>
      </c>
      <c r="B1016" s="25" t="s">
        <v>62</v>
      </c>
      <c r="C1016" s="25">
        <v>25</v>
      </c>
      <c r="D1016" s="25" t="s">
        <v>4435</v>
      </c>
      <c r="E1016" s="25" t="s">
        <v>4453</v>
      </c>
      <c r="F1016" s="25">
        <v>16.89</v>
      </c>
      <c r="G1016" s="25" t="s">
        <v>2113</v>
      </c>
      <c r="I1016" s="25">
        <v>16.89</v>
      </c>
    </row>
    <row r="1017" spans="1:14" x14ac:dyDescent="0.55000000000000004">
      <c r="A1017">
        <v>1016</v>
      </c>
      <c r="B1017" s="25" t="s">
        <v>62</v>
      </c>
      <c r="C1017" s="25">
        <v>25</v>
      </c>
      <c r="D1017" s="25" t="s">
        <v>4435</v>
      </c>
      <c r="E1017" s="25" t="s">
        <v>4454</v>
      </c>
      <c r="F1017" s="25">
        <v>15.08</v>
      </c>
      <c r="G1017" s="25" t="s">
        <v>2113</v>
      </c>
      <c r="I1017" s="25">
        <v>15.08</v>
      </c>
    </row>
    <row r="1018" spans="1:14" x14ac:dyDescent="0.55000000000000004">
      <c r="A1018">
        <v>1017</v>
      </c>
      <c r="B1018" s="25" t="s">
        <v>62</v>
      </c>
      <c r="C1018" s="25">
        <v>25</v>
      </c>
      <c r="D1018" s="25" t="s">
        <v>4435</v>
      </c>
      <c r="E1018" s="25" t="s">
        <v>4455</v>
      </c>
      <c r="F1018" s="25">
        <v>17.43</v>
      </c>
      <c r="G1018" s="25" t="s">
        <v>2113</v>
      </c>
      <c r="I1018" s="25">
        <v>17.43</v>
      </c>
    </row>
    <row r="1019" spans="1:14" x14ac:dyDescent="0.55000000000000004">
      <c r="A1019">
        <v>1018</v>
      </c>
      <c r="B1019" s="25" t="s">
        <v>62</v>
      </c>
      <c r="C1019" s="25">
        <v>25</v>
      </c>
      <c r="D1019" s="25" t="s">
        <v>4435</v>
      </c>
      <c r="E1019" s="25" t="s">
        <v>4456</v>
      </c>
      <c r="F1019" s="25">
        <v>14.71</v>
      </c>
      <c r="G1019" s="25" t="s">
        <v>1889</v>
      </c>
      <c r="H1019" s="25">
        <f>2.02+3.31+2.9+3.15+3.34</f>
        <v>14.72</v>
      </c>
      <c r="I1019" s="25">
        <f>2.02+3.31+2.9+3.15+3.34</f>
        <v>14.72</v>
      </c>
      <c r="J1019" s="25" t="s">
        <v>1891</v>
      </c>
      <c r="N1019" s="25" t="s">
        <v>2847</v>
      </c>
    </row>
    <row r="1020" spans="1:14" x14ac:dyDescent="0.55000000000000004">
      <c r="A1020">
        <v>1019</v>
      </c>
      <c r="B1020" s="25" t="s">
        <v>62</v>
      </c>
      <c r="C1020" s="25">
        <v>25</v>
      </c>
      <c r="D1020" s="25" t="s">
        <v>4435</v>
      </c>
      <c r="E1020" s="25" t="s">
        <v>4457</v>
      </c>
      <c r="F1020" s="25">
        <v>15.49</v>
      </c>
      <c r="G1020" s="25" t="s">
        <v>1889</v>
      </c>
      <c r="H1020" s="25">
        <f>15.53</f>
        <v>15.53</v>
      </c>
      <c r="I1020" s="25">
        <f>15.53</f>
        <v>15.53</v>
      </c>
      <c r="J1020" s="25" t="s">
        <v>1891</v>
      </c>
      <c r="N1020" s="25" t="s">
        <v>2848</v>
      </c>
    </row>
    <row r="1021" spans="1:14" x14ac:dyDescent="0.55000000000000004">
      <c r="A1021">
        <v>1020</v>
      </c>
      <c r="B1021" s="25" t="s">
        <v>62</v>
      </c>
      <c r="C1021" s="25">
        <v>25</v>
      </c>
      <c r="D1021" s="25" t="s">
        <v>4435</v>
      </c>
      <c r="E1021" s="25" t="s">
        <v>4458</v>
      </c>
      <c r="F1021" s="25">
        <v>14.62</v>
      </c>
      <c r="G1021" s="25" t="s">
        <v>1889</v>
      </c>
      <c r="H1021" s="25">
        <f>2.38+5.76+2.88+3.9</f>
        <v>14.92</v>
      </c>
      <c r="I1021" s="25">
        <f>2.38+5.76+2.88+3.9</f>
        <v>14.92</v>
      </c>
      <c r="J1021" s="25" t="s">
        <v>1891</v>
      </c>
      <c r="N1021" s="25" t="s">
        <v>2849</v>
      </c>
    </row>
    <row r="1022" spans="1:14" x14ac:dyDescent="0.55000000000000004">
      <c r="A1022">
        <v>1021</v>
      </c>
      <c r="B1022" s="25" t="s">
        <v>62</v>
      </c>
      <c r="C1022" s="25">
        <v>25</v>
      </c>
      <c r="D1022" s="25" t="s">
        <v>4435</v>
      </c>
      <c r="E1022" s="25" t="s">
        <v>4459</v>
      </c>
      <c r="F1022" s="25">
        <v>15.01</v>
      </c>
      <c r="G1022" s="25" t="s">
        <v>1889</v>
      </c>
      <c r="H1022" s="25">
        <f>3.67+2.29+3.91+1.72+3.57</f>
        <v>15.160000000000002</v>
      </c>
      <c r="I1022" s="25">
        <f>3.67+2.29+3.91+1.72+3.57</f>
        <v>15.160000000000002</v>
      </c>
      <c r="J1022" s="25" t="s">
        <v>1891</v>
      </c>
      <c r="N1022" s="25" t="s">
        <v>2850</v>
      </c>
    </row>
    <row r="1023" spans="1:14" x14ac:dyDescent="0.55000000000000004">
      <c r="A1023">
        <v>1022</v>
      </c>
      <c r="B1023" s="25" t="s">
        <v>62</v>
      </c>
      <c r="C1023" s="25">
        <v>25</v>
      </c>
      <c r="D1023" s="25" t="s">
        <v>4435</v>
      </c>
      <c r="E1023" s="25" t="s">
        <v>4460</v>
      </c>
      <c r="F1023" s="25">
        <v>15.11</v>
      </c>
      <c r="G1023" s="25" t="s">
        <v>1889</v>
      </c>
      <c r="H1023" s="25">
        <f>4.39+7.39+3.45</f>
        <v>15.23</v>
      </c>
      <c r="I1023" s="25">
        <f>4.39+7.39+3.45</f>
        <v>15.23</v>
      </c>
      <c r="J1023" s="25" t="s">
        <v>1891</v>
      </c>
      <c r="N1023" s="25" t="s">
        <v>2851</v>
      </c>
    </row>
    <row r="1024" spans="1:14" x14ac:dyDescent="0.55000000000000004">
      <c r="A1024">
        <v>1023</v>
      </c>
      <c r="B1024" s="25" t="s">
        <v>63</v>
      </c>
      <c r="C1024" s="25">
        <v>11</v>
      </c>
      <c r="D1024" s="25" t="s">
        <v>4461</v>
      </c>
      <c r="E1024" s="25" t="s">
        <v>4462</v>
      </c>
      <c r="F1024" s="25">
        <v>14.25</v>
      </c>
      <c r="G1024" s="25" t="s">
        <v>1889</v>
      </c>
      <c r="H1024" s="25">
        <f>8.15+6.27</f>
        <v>14.42</v>
      </c>
      <c r="I1024" s="25">
        <f>8.15+6.27</f>
        <v>14.42</v>
      </c>
      <c r="J1024" s="25" t="s">
        <v>1891</v>
      </c>
      <c r="K1024" s="25" t="str">
        <f>VLOOKUP(E1024,[1]PrelimAssignPOP!$I$1:$J$947,2,FALSE)</f>
        <v>ART</v>
      </c>
      <c r="L1024" s="25" t="s">
        <v>215</v>
      </c>
      <c r="M1024" s="25" t="s">
        <v>120</v>
      </c>
      <c r="N1024" s="25" t="s">
        <v>2852</v>
      </c>
    </row>
    <row r="1025" spans="1:14" x14ac:dyDescent="0.55000000000000004">
      <c r="A1025">
        <v>1024</v>
      </c>
      <c r="B1025" s="25" t="s">
        <v>63</v>
      </c>
      <c r="C1025" s="25">
        <v>11</v>
      </c>
      <c r="D1025" s="25" t="s">
        <v>4461</v>
      </c>
      <c r="E1025" s="25" t="s">
        <v>4463</v>
      </c>
      <c r="F1025" s="25">
        <v>13.66</v>
      </c>
      <c r="G1025" s="25" t="s">
        <v>1889</v>
      </c>
      <c r="H1025" s="25">
        <f>1.49+3.73+4.99+2.26+1.43</f>
        <v>13.9</v>
      </c>
      <c r="I1025" s="25">
        <f>1.49+3.73+4.99+2.26+1.43</f>
        <v>13.9</v>
      </c>
      <c r="J1025" s="25" t="s">
        <v>1891</v>
      </c>
      <c r="K1025" s="25" t="str">
        <f>VLOOKUP(E1025,[1]PrelimAssignPOP!$I$1:$J$947,2,FALSE)</f>
        <v>ART</v>
      </c>
      <c r="L1025" s="25" t="s">
        <v>215</v>
      </c>
      <c r="M1025" s="25" t="s">
        <v>188</v>
      </c>
      <c r="N1025" s="25" t="s">
        <v>2853</v>
      </c>
    </row>
    <row r="1026" spans="1:14" x14ac:dyDescent="0.55000000000000004">
      <c r="A1026">
        <v>1025</v>
      </c>
      <c r="B1026" s="25" t="s">
        <v>63</v>
      </c>
      <c r="C1026" s="25">
        <v>11</v>
      </c>
      <c r="D1026" s="25" t="s">
        <v>4461</v>
      </c>
      <c r="E1026" s="25" t="s">
        <v>4464</v>
      </c>
      <c r="F1026" s="25">
        <v>12.1</v>
      </c>
      <c r="G1026" s="25" t="s">
        <v>1889</v>
      </c>
      <c r="H1026" s="25">
        <f>4.7+2.96+1.91+2.59</f>
        <v>12.16</v>
      </c>
      <c r="I1026" s="25">
        <f>4.7+2.96+1.91+2.59</f>
        <v>12.16</v>
      </c>
      <c r="J1026" s="25" t="s">
        <v>1891</v>
      </c>
      <c r="K1026" s="25" t="str">
        <f>VLOOKUP(E1026,[1]PrelimAssignPOP!$I$1:$J$947,2,FALSE)</f>
        <v>ART</v>
      </c>
      <c r="L1026" s="25" t="s">
        <v>215</v>
      </c>
      <c r="M1026" s="25" t="s">
        <v>189</v>
      </c>
      <c r="N1026" s="25" t="s">
        <v>2854</v>
      </c>
    </row>
    <row r="1027" spans="1:14" x14ac:dyDescent="0.55000000000000004">
      <c r="A1027">
        <v>1026</v>
      </c>
      <c r="B1027" s="25" t="s">
        <v>63</v>
      </c>
      <c r="C1027" s="25">
        <v>11</v>
      </c>
      <c r="D1027" s="25" t="s">
        <v>4461</v>
      </c>
      <c r="E1027" s="25" t="s">
        <v>4465</v>
      </c>
      <c r="F1027" s="25">
        <v>12.41</v>
      </c>
      <c r="G1027" s="25" t="s">
        <v>1889</v>
      </c>
      <c r="H1027" s="25">
        <f>5.2+1.87+1.27+4.57</f>
        <v>12.91</v>
      </c>
      <c r="I1027" s="25">
        <f>5.2+1.87+1.27+4.57</f>
        <v>12.91</v>
      </c>
      <c r="J1027" s="25" t="s">
        <v>1891</v>
      </c>
      <c r="K1027" s="25" t="str">
        <f>VLOOKUP(E1027,[1]PrelimAssignPOP!$I$1:$J$947,2,FALSE)</f>
        <v>ART</v>
      </c>
      <c r="L1027" s="25" t="s">
        <v>215</v>
      </c>
      <c r="M1027" s="25" t="s">
        <v>190</v>
      </c>
      <c r="N1027" s="25" t="s">
        <v>2855</v>
      </c>
    </row>
    <row r="1028" spans="1:14" x14ac:dyDescent="0.55000000000000004">
      <c r="A1028">
        <v>1027</v>
      </c>
      <c r="B1028" s="25" t="s">
        <v>63</v>
      </c>
      <c r="C1028" s="25">
        <v>11</v>
      </c>
      <c r="D1028" s="25" t="s">
        <v>4461</v>
      </c>
      <c r="E1028" s="25" t="s">
        <v>4466</v>
      </c>
      <c r="F1028" s="25">
        <v>13.9</v>
      </c>
      <c r="G1028" s="25" t="s">
        <v>1889</v>
      </c>
      <c r="H1028" s="25">
        <f>3.66+2.37+2.97+3.44+1.69</f>
        <v>14.129999999999999</v>
      </c>
      <c r="I1028" s="25">
        <f>3.66+2.37+2.97+3.44+1.69</f>
        <v>14.129999999999999</v>
      </c>
      <c r="J1028" s="25" t="s">
        <v>1891</v>
      </c>
      <c r="K1028" s="25" t="str">
        <f>VLOOKUP(E1028,[1]PrelimAssignPOP!$I$1:$J$947,2,FALSE)</f>
        <v>KIY</v>
      </c>
      <c r="L1028" s="25" t="s">
        <v>215</v>
      </c>
      <c r="M1028" s="25" t="s">
        <v>191</v>
      </c>
      <c r="N1028" s="25" t="s">
        <v>2856</v>
      </c>
    </row>
    <row r="1029" spans="1:14" x14ac:dyDescent="0.55000000000000004">
      <c r="A1029">
        <v>1028</v>
      </c>
      <c r="B1029" s="25" t="s">
        <v>63</v>
      </c>
      <c r="C1029" s="25">
        <v>11</v>
      </c>
      <c r="D1029" s="25" t="s">
        <v>4461</v>
      </c>
      <c r="E1029" s="25" t="s">
        <v>4467</v>
      </c>
      <c r="F1029" s="25">
        <v>16</v>
      </c>
      <c r="G1029" s="25" t="s">
        <v>1889</v>
      </c>
      <c r="H1029" s="25">
        <f>10.45+3.16+2.4</f>
        <v>16.009999999999998</v>
      </c>
      <c r="I1029" s="25">
        <f>10.45+3.16+2.4</f>
        <v>16.009999999999998</v>
      </c>
      <c r="J1029" s="25" t="s">
        <v>1891</v>
      </c>
      <c r="K1029" s="25" t="str">
        <f>VLOOKUP(E1029,[1]PrelimAssignPOP!$I$1:$J$947,2,FALSE)</f>
        <v>ART</v>
      </c>
      <c r="L1029" s="25" t="s">
        <v>215</v>
      </c>
      <c r="M1029" s="25" t="s">
        <v>192</v>
      </c>
      <c r="N1029" s="25" t="s">
        <v>2857</v>
      </c>
    </row>
    <row r="1030" spans="1:14" x14ac:dyDescent="0.55000000000000004">
      <c r="A1030">
        <v>1029</v>
      </c>
      <c r="B1030" s="25" t="s">
        <v>63</v>
      </c>
      <c r="C1030" s="25">
        <v>11</v>
      </c>
      <c r="D1030" s="25" t="s">
        <v>4461</v>
      </c>
      <c r="E1030" s="25" t="s">
        <v>4468</v>
      </c>
      <c r="F1030" s="25">
        <v>12.97</v>
      </c>
      <c r="G1030" s="25" t="s">
        <v>1889</v>
      </c>
      <c r="H1030" s="25">
        <f>2.85+3.28+1.4+2.77+3.08</f>
        <v>13.379999999999999</v>
      </c>
      <c r="I1030" s="25">
        <f>2.85+3.28+1.4+2.77+3.08</f>
        <v>13.379999999999999</v>
      </c>
      <c r="J1030" s="25" t="s">
        <v>1891</v>
      </c>
      <c r="K1030" s="25" t="str">
        <f>VLOOKUP(E1030,[1]PrelimAssignPOP!$I$1:$J$947,2,FALSE)</f>
        <v>ART</v>
      </c>
      <c r="L1030" s="25" t="s">
        <v>215</v>
      </c>
      <c r="M1030" s="25" t="s">
        <v>193</v>
      </c>
      <c r="N1030" s="25" t="s">
        <v>2858</v>
      </c>
    </row>
    <row r="1031" spans="1:14" x14ac:dyDescent="0.55000000000000004">
      <c r="A1031">
        <v>1030</v>
      </c>
      <c r="B1031" s="25" t="s">
        <v>63</v>
      </c>
      <c r="C1031" s="25">
        <v>11</v>
      </c>
      <c r="D1031" s="25" t="s">
        <v>4461</v>
      </c>
      <c r="E1031" s="25" t="s">
        <v>4469</v>
      </c>
      <c r="F1031" s="25">
        <v>10.51</v>
      </c>
      <c r="G1031" s="25" t="s">
        <v>1889</v>
      </c>
      <c r="H1031" s="25">
        <f>2.88+3.17+2.34+1.98</f>
        <v>10.370000000000001</v>
      </c>
      <c r="I1031" s="25">
        <f>2.88+3.17+2.34+1.98</f>
        <v>10.370000000000001</v>
      </c>
      <c r="J1031" s="25" t="s">
        <v>1891</v>
      </c>
      <c r="K1031" s="25" t="str">
        <f>VLOOKUP(E1031,[1]PrelimAssignPOP!$I$1:$J$947,2,FALSE)</f>
        <v>ART</v>
      </c>
      <c r="L1031" s="25" t="s">
        <v>215</v>
      </c>
      <c r="M1031" s="25" t="s">
        <v>194</v>
      </c>
      <c r="N1031" s="25" t="s">
        <v>2859</v>
      </c>
    </row>
    <row r="1032" spans="1:14" x14ac:dyDescent="0.55000000000000004">
      <c r="A1032">
        <v>1031</v>
      </c>
      <c r="B1032" s="25" t="s">
        <v>63</v>
      </c>
      <c r="C1032" s="25">
        <v>11</v>
      </c>
      <c r="D1032" s="25" t="s">
        <v>4461</v>
      </c>
      <c r="E1032" s="25" t="s">
        <v>4470</v>
      </c>
      <c r="F1032" s="25">
        <v>15.73</v>
      </c>
      <c r="G1032" s="25" t="s">
        <v>1889</v>
      </c>
      <c r="H1032" s="25">
        <f>12.17+3.84</f>
        <v>16.009999999999998</v>
      </c>
      <c r="I1032" s="25">
        <f>12.17+3.84</f>
        <v>16.009999999999998</v>
      </c>
      <c r="J1032" s="25" t="s">
        <v>1891</v>
      </c>
      <c r="K1032" s="25" t="str">
        <f>VLOOKUP(E1032,[1]PrelimAssignPOP!$I$1:$J$947,2,FALSE)</f>
        <v>ART</v>
      </c>
      <c r="L1032" s="25" t="s">
        <v>215</v>
      </c>
      <c r="M1032" s="25" t="s">
        <v>195</v>
      </c>
      <c r="N1032" s="25" t="s">
        <v>2860</v>
      </c>
    </row>
    <row r="1033" spans="1:14" x14ac:dyDescent="0.55000000000000004">
      <c r="A1033">
        <v>1032</v>
      </c>
      <c r="B1033" s="25" t="s">
        <v>63</v>
      </c>
      <c r="C1033" s="25">
        <v>11</v>
      </c>
      <c r="D1033" s="25" t="s">
        <v>4461</v>
      </c>
      <c r="E1033" s="25" t="s">
        <v>4471</v>
      </c>
      <c r="F1033" s="25">
        <v>15.75</v>
      </c>
      <c r="G1033" s="25" t="s">
        <v>1889</v>
      </c>
      <c r="H1033" s="25">
        <f>3.94+2.33+3.62+2.82+3.34</f>
        <v>16.05</v>
      </c>
      <c r="I1033" s="25">
        <f>3.94+2.33+3.62+2.82+3.34</f>
        <v>16.05</v>
      </c>
      <c r="J1033" s="25" t="s">
        <v>1891</v>
      </c>
      <c r="K1033" s="25" t="str">
        <f>VLOOKUP(E1033,[1]PrelimAssignPOP!$I$1:$J$947,2,FALSE)</f>
        <v>ART</v>
      </c>
      <c r="L1033" s="25" t="s">
        <v>215</v>
      </c>
      <c r="M1033" s="25" t="s">
        <v>196</v>
      </c>
      <c r="N1033" s="25" t="s">
        <v>2861</v>
      </c>
    </row>
    <row r="1034" spans="1:14" x14ac:dyDescent="0.55000000000000004">
      <c r="A1034">
        <v>1033</v>
      </c>
      <c r="B1034" s="25" t="s">
        <v>63</v>
      </c>
      <c r="C1034" s="25">
        <v>11</v>
      </c>
      <c r="D1034" s="25" t="s">
        <v>4461</v>
      </c>
      <c r="E1034" s="25" t="s">
        <v>4472</v>
      </c>
      <c r="F1034" s="25">
        <v>15.71</v>
      </c>
      <c r="G1034" s="25" t="s">
        <v>1889</v>
      </c>
      <c r="H1034" s="25">
        <f>4.46+3.69+3.39+4.32</f>
        <v>15.860000000000001</v>
      </c>
      <c r="I1034" s="25">
        <f>4.46+3.69+3.39+4.32</f>
        <v>15.860000000000001</v>
      </c>
      <c r="J1034" s="25" t="s">
        <v>1891</v>
      </c>
      <c r="K1034" s="25" t="str">
        <f>VLOOKUP(E1034,[1]PrelimAssignPOP!$I$1:$J$947,2,FALSE)</f>
        <v>ART</v>
      </c>
      <c r="L1034" s="25" t="s">
        <v>215</v>
      </c>
      <c r="M1034" s="25" t="s">
        <v>197</v>
      </c>
      <c r="N1034" s="25" t="s">
        <v>2862</v>
      </c>
    </row>
    <row r="1035" spans="1:14" x14ac:dyDescent="0.55000000000000004">
      <c r="A1035">
        <v>1034</v>
      </c>
      <c r="B1035" s="25" t="s">
        <v>64</v>
      </c>
      <c r="C1035" s="25">
        <v>25</v>
      </c>
      <c r="D1035" s="25" t="s">
        <v>4473</v>
      </c>
      <c r="E1035" s="25" t="s">
        <v>4474</v>
      </c>
      <c r="F1035" s="25">
        <v>14.18</v>
      </c>
      <c r="G1035" s="25" t="s">
        <v>1889</v>
      </c>
      <c r="H1035" s="25">
        <f>1.68+2.39+6.89+3.73</f>
        <v>14.690000000000001</v>
      </c>
      <c r="I1035" s="25">
        <f>1.68+2.39+6.89+3.73</f>
        <v>14.690000000000001</v>
      </c>
      <c r="J1035" s="25" t="s">
        <v>1891</v>
      </c>
      <c r="K1035" s="25" t="str">
        <f>VLOOKUP(E1035,[1]PrelimAssignPOP!$I$1:$J$947,2,FALSE)</f>
        <v>ART</v>
      </c>
      <c r="L1035" s="25" t="s">
        <v>215</v>
      </c>
      <c r="M1035" s="25" t="s">
        <v>198</v>
      </c>
      <c r="N1035" s="25" t="s">
        <v>2863</v>
      </c>
    </row>
    <row r="1036" spans="1:14" x14ac:dyDescent="0.55000000000000004">
      <c r="A1036">
        <v>1035</v>
      </c>
      <c r="B1036" s="25" t="s">
        <v>64</v>
      </c>
      <c r="C1036" s="25">
        <v>25</v>
      </c>
      <c r="D1036" s="25" t="s">
        <v>4473</v>
      </c>
      <c r="E1036" s="25" t="s">
        <v>4475</v>
      </c>
      <c r="F1036" s="25">
        <v>13.42</v>
      </c>
      <c r="G1036" s="25" t="s">
        <v>1889</v>
      </c>
      <c r="H1036" s="25">
        <f>3.35+3.83+2.98+3.59</f>
        <v>13.75</v>
      </c>
      <c r="I1036" s="25">
        <f>3.35+3.83+2.98+3.59</f>
        <v>13.75</v>
      </c>
      <c r="J1036" s="25" t="s">
        <v>1891</v>
      </c>
      <c r="K1036" s="25" t="str">
        <f>VLOOKUP(E1036,[1]PrelimAssignPOP!$I$1:$J$947,2,FALSE)</f>
        <v>ART</v>
      </c>
      <c r="L1036" s="25" t="s">
        <v>215</v>
      </c>
      <c r="M1036" s="25" t="s">
        <v>121</v>
      </c>
      <c r="N1036" s="25" t="s">
        <v>2864</v>
      </c>
    </row>
    <row r="1037" spans="1:14" x14ac:dyDescent="0.55000000000000004">
      <c r="A1037">
        <v>1036</v>
      </c>
      <c r="B1037" s="25" t="s">
        <v>64</v>
      </c>
      <c r="C1037" s="25">
        <v>25</v>
      </c>
      <c r="D1037" s="25" t="s">
        <v>4473</v>
      </c>
      <c r="E1037" s="25" t="s">
        <v>4476</v>
      </c>
      <c r="F1037" s="25">
        <v>14.89</v>
      </c>
      <c r="G1037" s="25" t="s">
        <v>1889</v>
      </c>
      <c r="H1037" s="25">
        <f>2.95+4.17+5.16+3.16</f>
        <v>15.440000000000001</v>
      </c>
      <c r="I1037" s="25">
        <f>2.95+4.17+5.16+3.16</f>
        <v>15.440000000000001</v>
      </c>
      <c r="J1037" s="25" t="s">
        <v>1891</v>
      </c>
      <c r="K1037" s="25" t="str">
        <f>VLOOKUP(E1037,[1]PrelimAssignPOP!$I$1:$J$947,2,FALSE)</f>
        <v>ART</v>
      </c>
      <c r="L1037" s="25" t="s">
        <v>215</v>
      </c>
      <c r="M1037" s="25" t="s">
        <v>199</v>
      </c>
      <c r="N1037" s="25" t="s">
        <v>2865</v>
      </c>
    </row>
    <row r="1038" spans="1:14" x14ac:dyDescent="0.55000000000000004">
      <c r="A1038">
        <v>1037</v>
      </c>
      <c r="B1038" s="25" t="s">
        <v>64</v>
      </c>
      <c r="C1038" s="25">
        <v>25</v>
      </c>
      <c r="D1038" s="25" t="s">
        <v>4473</v>
      </c>
      <c r="E1038" s="25" t="s">
        <v>4477</v>
      </c>
      <c r="F1038" s="25">
        <v>15.76</v>
      </c>
      <c r="G1038" s="25" t="s">
        <v>1889</v>
      </c>
      <c r="H1038" s="25">
        <f>4.05+4.35+3.89+1.72+2.06</f>
        <v>16.07</v>
      </c>
      <c r="I1038" s="25">
        <f>4.05+4.35+3.89+1.72+2.06</f>
        <v>16.07</v>
      </c>
      <c r="J1038" s="25" t="s">
        <v>1891</v>
      </c>
      <c r="K1038" s="25" t="str">
        <f>VLOOKUP(E1038,[1]PrelimAssignPOP!$I$1:$J$947,2,FALSE)</f>
        <v>KIY</v>
      </c>
      <c r="L1038" s="25" t="s">
        <v>215</v>
      </c>
      <c r="M1038" s="25" t="s">
        <v>200</v>
      </c>
      <c r="N1038" s="25" t="s">
        <v>2866</v>
      </c>
    </row>
    <row r="1039" spans="1:14" x14ac:dyDescent="0.55000000000000004">
      <c r="A1039">
        <v>1038</v>
      </c>
      <c r="B1039" s="25" t="s">
        <v>64</v>
      </c>
      <c r="C1039" s="25">
        <v>25</v>
      </c>
      <c r="D1039" s="25" t="s">
        <v>4473</v>
      </c>
      <c r="E1039" s="25" t="s">
        <v>4478</v>
      </c>
      <c r="F1039" s="25">
        <v>12.92</v>
      </c>
      <c r="G1039" s="25" t="s">
        <v>1889</v>
      </c>
      <c r="H1039" s="25">
        <f>3.72+3.59+2.85+3.12</f>
        <v>13.280000000000001</v>
      </c>
      <c r="I1039" s="25">
        <f>3.72+3.59+2.85+3.12</f>
        <v>13.280000000000001</v>
      </c>
      <c r="J1039" s="25" t="s">
        <v>1891</v>
      </c>
      <c r="K1039" s="25" t="str">
        <f>VLOOKUP(E1039,[1]PrelimAssignPOP!$I$1:$J$947,2,FALSE)</f>
        <v>ART</v>
      </c>
      <c r="L1039" s="25" t="s">
        <v>215</v>
      </c>
      <c r="M1039" s="25" t="s">
        <v>201</v>
      </c>
      <c r="N1039" s="25" t="s">
        <v>2867</v>
      </c>
    </row>
    <row r="1040" spans="1:14" x14ac:dyDescent="0.55000000000000004">
      <c r="A1040">
        <v>1039</v>
      </c>
      <c r="B1040" s="25" t="s">
        <v>64</v>
      </c>
      <c r="C1040" s="25">
        <v>25</v>
      </c>
      <c r="D1040" s="25" t="s">
        <v>4473</v>
      </c>
      <c r="E1040" s="25" t="s">
        <v>4479</v>
      </c>
      <c r="F1040" s="25">
        <v>10.94</v>
      </c>
      <c r="G1040" s="25" t="s">
        <v>1889</v>
      </c>
      <c r="H1040" s="25">
        <f>2.93+1.92+2.31+3.76</f>
        <v>10.92</v>
      </c>
      <c r="I1040" s="25">
        <f>2.93+1.92+2.31+3.76</f>
        <v>10.92</v>
      </c>
      <c r="J1040" s="25" t="s">
        <v>1891</v>
      </c>
      <c r="K1040" s="25" t="str">
        <f>VLOOKUP(E1040,[1]PrelimAssignPOP!$I$1:$J$947,2,FALSE)</f>
        <v>HYB</v>
      </c>
      <c r="L1040" s="25" t="s">
        <v>215</v>
      </c>
      <c r="M1040" s="25" t="s">
        <v>202</v>
      </c>
      <c r="N1040" s="25" t="s">
        <v>2868</v>
      </c>
    </row>
    <row r="1041" spans="1:14" x14ac:dyDescent="0.55000000000000004">
      <c r="A1041">
        <v>1040</v>
      </c>
      <c r="B1041" s="25" t="s">
        <v>64</v>
      </c>
      <c r="C1041" s="25">
        <v>25</v>
      </c>
      <c r="D1041" s="25" t="s">
        <v>4473</v>
      </c>
      <c r="E1041" s="25" t="s">
        <v>4480</v>
      </c>
      <c r="F1041" s="25">
        <v>14.01</v>
      </c>
      <c r="G1041" s="25" t="s">
        <v>1889</v>
      </c>
      <c r="H1041" s="25">
        <f>4.42+3.4+3.41+3.07</f>
        <v>14.3</v>
      </c>
      <c r="I1041" s="25">
        <f>4.42+3.4+3.41+3.07</f>
        <v>14.3</v>
      </c>
      <c r="J1041" s="25" t="s">
        <v>1891</v>
      </c>
      <c r="K1041" s="25" t="str">
        <f>VLOOKUP(E1041,[1]PrelimAssignPOP!$I$1:$J$947,2,FALSE)</f>
        <v>HYB</v>
      </c>
      <c r="L1041" s="25" t="s">
        <v>215</v>
      </c>
      <c r="M1041" s="25" t="s">
        <v>203</v>
      </c>
      <c r="N1041" s="25" t="s">
        <v>2869</v>
      </c>
    </row>
    <row r="1042" spans="1:14" x14ac:dyDescent="0.55000000000000004">
      <c r="A1042">
        <v>1041</v>
      </c>
      <c r="B1042" s="25" t="s">
        <v>64</v>
      </c>
      <c r="C1042" s="25">
        <v>25</v>
      </c>
      <c r="D1042" s="25" t="s">
        <v>4473</v>
      </c>
      <c r="E1042" s="25" t="s">
        <v>4481</v>
      </c>
      <c r="F1042" s="25">
        <v>15.15</v>
      </c>
      <c r="G1042" s="25" t="s">
        <v>1889</v>
      </c>
      <c r="H1042" s="25">
        <f>7.19+2.18+5.81</f>
        <v>15.18</v>
      </c>
      <c r="I1042" s="25">
        <f>7.19+2.18+5.81</f>
        <v>15.18</v>
      </c>
      <c r="J1042" s="25" t="s">
        <v>1891</v>
      </c>
      <c r="K1042" s="25" t="str">
        <f>VLOOKUP(E1042,[1]PrelimAssignPOP!$I$1:$J$947,2,FALSE)</f>
        <v>HYB</v>
      </c>
      <c r="L1042" s="25" t="s">
        <v>215</v>
      </c>
      <c r="M1042" s="25" t="s">
        <v>204</v>
      </c>
      <c r="N1042" s="25" t="s">
        <v>2870</v>
      </c>
    </row>
    <row r="1043" spans="1:14" x14ac:dyDescent="0.55000000000000004">
      <c r="A1043">
        <v>1042</v>
      </c>
      <c r="B1043" s="25" t="s">
        <v>64</v>
      </c>
      <c r="C1043" s="25">
        <v>25</v>
      </c>
      <c r="D1043" s="25" t="s">
        <v>4473</v>
      </c>
      <c r="E1043" s="25" t="s">
        <v>4482</v>
      </c>
      <c r="F1043" s="25">
        <v>13.64</v>
      </c>
      <c r="G1043" s="25" t="s">
        <v>1889</v>
      </c>
      <c r="H1043" s="25">
        <f>10.18+3.43</f>
        <v>13.61</v>
      </c>
      <c r="I1043" s="25">
        <f>10.18+3.43</f>
        <v>13.61</v>
      </c>
      <c r="J1043" s="25" t="s">
        <v>1891</v>
      </c>
      <c r="K1043" s="25" t="str">
        <f>VLOOKUP(E1043,[1]PrelimAssignPOP!$I$1:$J$947,2,FALSE)</f>
        <v>HYB</v>
      </c>
      <c r="L1043" s="25" t="s">
        <v>215</v>
      </c>
      <c r="M1043" s="25" t="s">
        <v>205</v>
      </c>
      <c r="N1043" s="25" t="s">
        <v>2871</v>
      </c>
    </row>
    <row r="1044" spans="1:14" x14ac:dyDescent="0.55000000000000004">
      <c r="A1044">
        <v>1043</v>
      </c>
      <c r="B1044" s="25" t="s">
        <v>64</v>
      </c>
      <c r="C1044" s="25">
        <v>25</v>
      </c>
      <c r="D1044" s="25" t="s">
        <v>4473</v>
      </c>
      <c r="E1044" s="25" t="s">
        <v>4483</v>
      </c>
      <c r="F1044" s="25">
        <v>13.31</v>
      </c>
      <c r="G1044" s="25" t="s">
        <v>1889</v>
      </c>
      <c r="H1044" s="25">
        <f>4.62+5.24+3.67</f>
        <v>13.53</v>
      </c>
      <c r="I1044" s="25">
        <f>4.62+5.24+3.67</f>
        <v>13.53</v>
      </c>
      <c r="J1044" s="25" t="s">
        <v>1891</v>
      </c>
      <c r="K1044" s="25" t="str">
        <f>VLOOKUP(E1044,[1]PrelimAssignPOP!$I$1:$J$947,2,FALSE)</f>
        <v>ART</v>
      </c>
      <c r="L1044" s="25" t="s">
        <v>215</v>
      </c>
      <c r="M1044" s="25" t="s">
        <v>206</v>
      </c>
      <c r="N1044" s="25" t="s">
        <v>2872</v>
      </c>
    </row>
    <row r="1045" spans="1:14" x14ac:dyDescent="0.55000000000000004">
      <c r="A1045">
        <v>1044</v>
      </c>
      <c r="B1045" s="25" t="s">
        <v>64</v>
      </c>
      <c r="C1045" s="25">
        <v>25</v>
      </c>
      <c r="D1045" s="25" t="s">
        <v>4473</v>
      </c>
      <c r="E1045" s="25" t="s">
        <v>4484</v>
      </c>
      <c r="F1045" s="25">
        <v>13.61</v>
      </c>
      <c r="G1045" s="25" t="s">
        <v>1889</v>
      </c>
      <c r="H1045" s="25">
        <f>4.53+1.79+4.42+3.17</f>
        <v>13.91</v>
      </c>
      <c r="I1045" s="25">
        <f>4.53+1.79+4.42+3.17</f>
        <v>13.91</v>
      </c>
      <c r="J1045" s="25" t="s">
        <v>1891</v>
      </c>
      <c r="K1045" s="25" t="str">
        <f>VLOOKUP(E1045,[1]PrelimAssignPOP!$I$1:$J$947,2,FALSE)</f>
        <v>HYB</v>
      </c>
      <c r="L1045" s="25" t="s">
        <v>215</v>
      </c>
      <c r="M1045" s="25" t="s">
        <v>207</v>
      </c>
      <c r="N1045" s="25" t="s">
        <v>2873</v>
      </c>
    </row>
    <row r="1046" spans="1:14" x14ac:dyDescent="0.55000000000000004">
      <c r="A1046">
        <v>1045</v>
      </c>
      <c r="B1046" s="25" t="s">
        <v>64</v>
      </c>
      <c r="C1046" s="25">
        <v>25</v>
      </c>
      <c r="D1046" s="25" t="s">
        <v>4473</v>
      </c>
      <c r="E1046" s="25" t="s">
        <v>4485</v>
      </c>
      <c r="F1046" s="25">
        <v>14.01</v>
      </c>
      <c r="G1046" s="25" t="s">
        <v>1889</v>
      </c>
      <c r="H1046" s="25">
        <f>3.38+3.41+2.44+4.86</f>
        <v>14.09</v>
      </c>
      <c r="I1046" s="25">
        <f>3.38+3.41+2.44+4.86</f>
        <v>14.09</v>
      </c>
      <c r="J1046" s="25" t="s">
        <v>1891</v>
      </c>
      <c r="K1046" s="25" t="str">
        <f>VLOOKUP(E1046,[1]PrelimAssignPOP!$I$1:$J$947,2,FALSE)</f>
        <v>HOY</v>
      </c>
      <c r="L1046" s="25" t="s">
        <v>215</v>
      </c>
      <c r="M1046" s="25" t="s">
        <v>208</v>
      </c>
      <c r="N1046" s="25" t="s">
        <v>2874</v>
      </c>
    </row>
    <row r="1047" spans="1:14" x14ac:dyDescent="0.55000000000000004">
      <c r="A1047">
        <v>1046</v>
      </c>
      <c r="B1047" s="25" t="s">
        <v>64</v>
      </c>
      <c r="C1047" s="25">
        <v>25</v>
      </c>
      <c r="D1047" s="25" t="s">
        <v>4473</v>
      </c>
      <c r="E1047" s="25" t="s">
        <v>4486</v>
      </c>
      <c r="F1047" s="25">
        <v>12.43</v>
      </c>
      <c r="G1047" s="25" t="s">
        <v>1889</v>
      </c>
      <c r="H1047" s="25">
        <f>2.87+3.11+3.06+3.64</f>
        <v>12.680000000000001</v>
      </c>
      <c r="I1047" s="25">
        <f>2.87+3.11+3.06+3.64</f>
        <v>12.680000000000001</v>
      </c>
      <c r="J1047" s="25" t="s">
        <v>1891</v>
      </c>
      <c r="N1047" s="25" t="s">
        <v>2875</v>
      </c>
    </row>
    <row r="1048" spans="1:14" x14ac:dyDescent="0.55000000000000004">
      <c r="A1048">
        <v>1047</v>
      </c>
      <c r="B1048" s="25" t="s">
        <v>64</v>
      </c>
      <c r="C1048" s="25">
        <v>25</v>
      </c>
      <c r="D1048" s="25" t="s">
        <v>4473</v>
      </c>
      <c r="E1048" s="25" t="s">
        <v>4487</v>
      </c>
      <c r="F1048" s="25">
        <v>15.42</v>
      </c>
      <c r="G1048" s="25" t="s">
        <v>1889</v>
      </c>
      <c r="H1048" s="25">
        <f>2.52+3.53+9.39</f>
        <v>15.440000000000001</v>
      </c>
      <c r="I1048" s="25">
        <f>2.52+3.53+9.39</f>
        <v>15.440000000000001</v>
      </c>
      <c r="J1048" s="25" t="s">
        <v>1891</v>
      </c>
      <c r="N1048" s="25" t="s">
        <v>2876</v>
      </c>
    </row>
    <row r="1049" spans="1:14" x14ac:dyDescent="0.55000000000000004">
      <c r="A1049">
        <v>1048</v>
      </c>
      <c r="B1049" s="25" t="s">
        <v>64</v>
      </c>
      <c r="C1049" s="25">
        <v>25</v>
      </c>
      <c r="D1049" s="25" t="s">
        <v>4473</v>
      </c>
      <c r="E1049" s="25" t="s">
        <v>4488</v>
      </c>
      <c r="F1049" s="25">
        <v>15.2</v>
      </c>
      <c r="G1049" s="25" t="s">
        <v>1889</v>
      </c>
      <c r="H1049" s="25">
        <f>4.32+2.03+2.78+3.4+2.92</f>
        <v>15.45</v>
      </c>
      <c r="I1049" s="25">
        <f>4.32+2.03+2.78+3.4+2.92</f>
        <v>15.45</v>
      </c>
      <c r="J1049" s="25" t="s">
        <v>1891</v>
      </c>
      <c r="N1049" s="25" t="s">
        <v>2877</v>
      </c>
    </row>
    <row r="1050" spans="1:14" x14ac:dyDescent="0.55000000000000004">
      <c r="A1050">
        <v>1049</v>
      </c>
      <c r="B1050" s="25" t="s">
        <v>64</v>
      </c>
      <c r="C1050" s="25">
        <v>25</v>
      </c>
      <c r="D1050" s="25" t="s">
        <v>4473</v>
      </c>
      <c r="E1050" s="25" t="s">
        <v>4489</v>
      </c>
      <c r="F1050" s="25">
        <v>16.170000000000002</v>
      </c>
      <c r="G1050" s="25" t="s">
        <v>1889</v>
      </c>
      <c r="H1050" s="25">
        <f>2.01+4.32+5.9+4.2</f>
        <v>16.43</v>
      </c>
      <c r="I1050" s="25">
        <f>2.01+4.32+5.9+4.2</f>
        <v>16.43</v>
      </c>
      <c r="J1050" s="25" t="s">
        <v>1891</v>
      </c>
      <c r="N1050" s="25" t="s">
        <v>2878</v>
      </c>
    </row>
    <row r="1051" spans="1:14" x14ac:dyDescent="0.55000000000000004">
      <c r="A1051">
        <v>1050</v>
      </c>
      <c r="B1051" s="25" t="s">
        <v>64</v>
      </c>
      <c r="C1051" s="25">
        <v>25</v>
      </c>
      <c r="D1051" s="25" t="s">
        <v>4473</v>
      </c>
      <c r="E1051" s="25" t="s">
        <v>4490</v>
      </c>
      <c r="F1051" s="25">
        <v>15.71</v>
      </c>
      <c r="G1051" s="25" t="s">
        <v>1889</v>
      </c>
      <c r="H1051" s="25">
        <f>4.5+3.69+2.34+5.84</f>
        <v>16.369999999999997</v>
      </c>
      <c r="I1051" s="25">
        <f>4.5+3.69+2.34+5.84</f>
        <v>16.369999999999997</v>
      </c>
      <c r="J1051" s="25" t="s">
        <v>1891</v>
      </c>
      <c r="N1051" s="25" t="s">
        <v>2879</v>
      </c>
    </row>
    <row r="1052" spans="1:14" x14ac:dyDescent="0.55000000000000004">
      <c r="A1052">
        <v>1051</v>
      </c>
      <c r="B1052" s="25" t="s">
        <v>64</v>
      </c>
      <c r="C1052" s="25">
        <v>25</v>
      </c>
      <c r="D1052" s="25" t="s">
        <v>4473</v>
      </c>
      <c r="E1052" s="25" t="s">
        <v>4491</v>
      </c>
      <c r="F1052" s="25">
        <v>15.38</v>
      </c>
      <c r="G1052" s="25" t="s">
        <v>1889</v>
      </c>
      <c r="H1052" s="25">
        <f>9.39+3.37+2.61</f>
        <v>15.370000000000001</v>
      </c>
      <c r="I1052" s="25">
        <f>9.39+3.37+2.61</f>
        <v>15.370000000000001</v>
      </c>
      <c r="J1052" s="25" t="s">
        <v>1891</v>
      </c>
      <c r="N1052" s="25" t="s">
        <v>2880</v>
      </c>
    </row>
    <row r="1053" spans="1:14" x14ac:dyDescent="0.55000000000000004">
      <c r="A1053">
        <v>1052</v>
      </c>
      <c r="B1053" s="25" t="s">
        <v>64</v>
      </c>
      <c r="C1053" s="25">
        <v>25</v>
      </c>
      <c r="D1053" s="25" t="s">
        <v>4473</v>
      </c>
      <c r="E1053" s="25" t="s">
        <v>4492</v>
      </c>
      <c r="F1053" s="25">
        <v>16.329999999999998</v>
      </c>
      <c r="G1053" s="25" t="s">
        <v>2113</v>
      </c>
      <c r="I1053" s="25">
        <v>16.329999999999998</v>
      </c>
      <c r="J1053" s="25" t="s">
        <v>110</v>
      </c>
    </row>
    <row r="1054" spans="1:14" x14ac:dyDescent="0.55000000000000004">
      <c r="A1054">
        <v>1053</v>
      </c>
      <c r="B1054" s="25" t="s">
        <v>64</v>
      </c>
      <c r="C1054" s="25">
        <v>25</v>
      </c>
      <c r="D1054" s="25" t="s">
        <v>4473</v>
      </c>
      <c r="E1054" s="25" t="s">
        <v>4493</v>
      </c>
      <c r="F1054" s="25">
        <v>14.73</v>
      </c>
      <c r="G1054" s="25" t="s">
        <v>2113</v>
      </c>
      <c r="I1054" s="25">
        <v>14.73</v>
      </c>
      <c r="J1054" s="25" t="s">
        <v>110</v>
      </c>
    </row>
    <row r="1055" spans="1:14" x14ac:dyDescent="0.55000000000000004">
      <c r="A1055">
        <v>1054</v>
      </c>
      <c r="B1055" s="25" t="s">
        <v>64</v>
      </c>
      <c r="C1055" s="25">
        <v>25</v>
      </c>
      <c r="D1055" s="25" t="s">
        <v>4473</v>
      </c>
      <c r="E1055" s="25" t="s">
        <v>4494</v>
      </c>
      <c r="F1055" s="25">
        <v>15.45</v>
      </c>
      <c r="G1055" s="25" t="s">
        <v>2113</v>
      </c>
      <c r="I1055" s="25">
        <v>15.45</v>
      </c>
      <c r="J1055" s="25" t="s">
        <v>110</v>
      </c>
    </row>
    <row r="1056" spans="1:14" x14ac:dyDescent="0.55000000000000004">
      <c r="A1056">
        <v>1055</v>
      </c>
      <c r="B1056" s="25" t="s">
        <v>64</v>
      </c>
      <c r="C1056" s="25">
        <v>25</v>
      </c>
      <c r="D1056" s="25" t="s">
        <v>4473</v>
      </c>
      <c r="E1056" s="25" t="s">
        <v>4495</v>
      </c>
      <c r="F1056" s="25">
        <v>16.09</v>
      </c>
      <c r="G1056" s="25" t="s">
        <v>2113</v>
      </c>
      <c r="I1056" s="25">
        <v>16.09</v>
      </c>
      <c r="J1056" s="25" t="s">
        <v>110</v>
      </c>
    </row>
    <row r="1057" spans="1:14" x14ac:dyDescent="0.55000000000000004">
      <c r="A1057">
        <v>1056</v>
      </c>
      <c r="B1057" s="25" t="s">
        <v>64</v>
      </c>
      <c r="C1057" s="25">
        <v>25</v>
      </c>
      <c r="D1057" s="25" t="s">
        <v>4473</v>
      </c>
      <c r="E1057" s="25" t="s">
        <v>4496</v>
      </c>
      <c r="F1057" s="25">
        <v>16.09</v>
      </c>
      <c r="G1057" s="25" t="s">
        <v>2113</v>
      </c>
      <c r="I1057" s="25">
        <v>16.09</v>
      </c>
      <c r="J1057" s="25" t="s">
        <v>110</v>
      </c>
    </row>
    <row r="1058" spans="1:14" x14ac:dyDescent="0.55000000000000004">
      <c r="A1058">
        <v>1057</v>
      </c>
      <c r="B1058" s="25" t="s">
        <v>64</v>
      </c>
      <c r="C1058" s="25">
        <v>25</v>
      </c>
      <c r="D1058" s="25" t="s">
        <v>4473</v>
      </c>
      <c r="E1058" s="25" t="s">
        <v>4497</v>
      </c>
      <c r="F1058" s="25">
        <v>14.96</v>
      </c>
      <c r="G1058" s="25" t="s">
        <v>2113</v>
      </c>
      <c r="I1058" s="25">
        <v>14.96</v>
      </c>
      <c r="J1058" s="25" t="s">
        <v>110</v>
      </c>
    </row>
    <row r="1059" spans="1:14" x14ac:dyDescent="0.55000000000000004">
      <c r="A1059">
        <v>1058</v>
      </c>
      <c r="B1059" s="25" t="s">
        <v>64</v>
      </c>
      <c r="C1059" s="25">
        <v>25</v>
      </c>
      <c r="D1059" s="25" t="s">
        <v>4473</v>
      </c>
      <c r="E1059" s="25" t="s">
        <v>4498</v>
      </c>
      <c r="F1059" s="25">
        <v>17.5</v>
      </c>
      <c r="G1059" s="25" t="s">
        <v>2113</v>
      </c>
      <c r="I1059" s="25">
        <v>17.5</v>
      </c>
      <c r="J1059" s="25" t="s">
        <v>110</v>
      </c>
    </row>
    <row r="1060" spans="1:14" x14ac:dyDescent="0.55000000000000004">
      <c r="A1060">
        <v>1059</v>
      </c>
      <c r="B1060" s="25" t="s">
        <v>65</v>
      </c>
      <c r="C1060" s="25">
        <v>25</v>
      </c>
      <c r="D1060" s="25" t="s">
        <v>4499</v>
      </c>
      <c r="E1060" s="25" t="s">
        <v>4500</v>
      </c>
      <c r="F1060" s="25">
        <v>15.74</v>
      </c>
      <c r="G1060" s="25" t="s">
        <v>1889</v>
      </c>
      <c r="H1060" s="25">
        <f>4.72+6.16+3.79+1.35</f>
        <v>16.02</v>
      </c>
      <c r="I1060" s="25">
        <f>4.72+6.16+3.79+1.35</f>
        <v>16.02</v>
      </c>
      <c r="J1060" s="25" t="s">
        <v>1891</v>
      </c>
      <c r="K1060" s="25" t="str">
        <f>VLOOKUP(E1060,[1]PrelimAssignPOP!$I$1:$J$947,2,FALSE)</f>
        <v>ART</v>
      </c>
      <c r="L1060" s="25" t="s">
        <v>215</v>
      </c>
      <c r="M1060" s="25" t="s">
        <v>209</v>
      </c>
      <c r="N1060" s="25" t="s">
        <v>2881</v>
      </c>
    </row>
    <row r="1061" spans="1:14" x14ac:dyDescent="0.55000000000000004">
      <c r="A1061">
        <v>1060</v>
      </c>
      <c r="B1061" s="25" t="s">
        <v>65</v>
      </c>
      <c r="C1061" s="25">
        <v>25</v>
      </c>
      <c r="D1061" s="25" t="s">
        <v>4499</v>
      </c>
      <c r="E1061" s="25" t="s">
        <v>4501</v>
      </c>
      <c r="F1061" s="25">
        <v>14.3</v>
      </c>
      <c r="G1061" s="25" t="s">
        <v>1889</v>
      </c>
      <c r="H1061" s="25">
        <f>3.05+3.28+2.84+5.48</f>
        <v>14.65</v>
      </c>
      <c r="I1061" s="25">
        <f>3.05+3.28+2.84+5.48</f>
        <v>14.65</v>
      </c>
      <c r="J1061" s="25" t="s">
        <v>1891</v>
      </c>
      <c r="K1061" s="25" t="str">
        <f>VLOOKUP(E1061,[1]PrelimAssignPOP!$I$1:$J$947,2,FALSE)</f>
        <v>HYB</v>
      </c>
      <c r="L1061" s="25" t="s">
        <v>216</v>
      </c>
      <c r="M1061" s="25" t="s">
        <v>114</v>
      </c>
      <c r="N1061" s="25" t="s">
        <v>2882</v>
      </c>
    </row>
    <row r="1062" spans="1:14" x14ac:dyDescent="0.55000000000000004">
      <c r="A1062">
        <v>1061</v>
      </c>
      <c r="B1062" s="25" t="s">
        <v>65</v>
      </c>
      <c r="C1062" s="25">
        <v>25</v>
      </c>
      <c r="D1062" s="25" t="s">
        <v>4499</v>
      </c>
      <c r="E1062" s="25" t="s">
        <v>4502</v>
      </c>
      <c r="F1062" s="25">
        <v>14.52</v>
      </c>
      <c r="G1062" s="25" t="s">
        <v>1889</v>
      </c>
      <c r="H1062" s="25">
        <f>3.03+2.61+2.38+2.79+3.78</f>
        <v>14.589999999999998</v>
      </c>
      <c r="I1062" s="25">
        <f>3.03+2.61+2.38+2.79+3.78</f>
        <v>14.589999999999998</v>
      </c>
      <c r="J1062" s="25" t="s">
        <v>1891</v>
      </c>
      <c r="K1062" s="25" t="str">
        <f>VLOOKUP(E1062,[1]PrelimAssignPOP!$I$1:$J$947,2,FALSE)</f>
        <v>HYB</v>
      </c>
      <c r="L1062" s="25" t="s">
        <v>216</v>
      </c>
      <c r="M1062" s="25" t="s">
        <v>122</v>
      </c>
      <c r="N1062" s="25" t="s">
        <v>2883</v>
      </c>
    </row>
    <row r="1063" spans="1:14" x14ac:dyDescent="0.55000000000000004">
      <c r="A1063">
        <v>1062</v>
      </c>
      <c r="B1063" s="25" t="s">
        <v>65</v>
      </c>
      <c r="C1063" s="25">
        <v>25</v>
      </c>
      <c r="D1063" s="25" t="s">
        <v>4499</v>
      </c>
      <c r="E1063" s="25" t="s">
        <v>4503</v>
      </c>
      <c r="F1063" s="25">
        <v>15.22</v>
      </c>
      <c r="G1063" s="25" t="s">
        <v>1889</v>
      </c>
      <c r="H1063" s="25">
        <f>10.68+4.67</f>
        <v>15.35</v>
      </c>
      <c r="I1063" s="25">
        <f>10.68+4.67</f>
        <v>15.35</v>
      </c>
      <c r="J1063" s="25" t="s">
        <v>1891</v>
      </c>
      <c r="K1063" s="25" t="str">
        <f>VLOOKUP(E1063,[1]PrelimAssignPOP!$I$1:$J$947,2,FALSE)</f>
        <v>KIY</v>
      </c>
      <c r="L1063" s="25" t="s">
        <v>216</v>
      </c>
      <c r="M1063" s="25" t="s">
        <v>123</v>
      </c>
      <c r="N1063" s="25" t="s">
        <v>2884</v>
      </c>
    </row>
    <row r="1064" spans="1:14" x14ac:dyDescent="0.55000000000000004">
      <c r="A1064">
        <v>1063</v>
      </c>
      <c r="B1064" s="25" t="s">
        <v>65</v>
      </c>
      <c r="C1064" s="25">
        <v>25</v>
      </c>
      <c r="D1064" s="25" t="s">
        <v>4499</v>
      </c>
      <c r="E1064" s="25" t="s">
        <v>4504</v>
      </c>
      <c r="F1064" s="25">
        <v>15.26</v>
      </c>
      <c r="G1064" s="25" t="s">
        <v>1889</v>
      </c>
      <c r="H1064" s="25">
        <f>4.99+5.21+2.59+2.34</f>
        <v>15.129999999999999</v>
      </c>
      <c r="I1064" s="25">
        <f>4.99+5.21+2.59+2.34</f>
        <v>15.129999999999999</v>
      </c>
      <c r="J1064" s="25" t="s">
        <v>1891</v>
      </c>
      <c r="K1064" s="25" t="str">
        <f>VLOOKUP(E1064,[1]PrelimAssignPOP!$I$1:$J$947,2,FALSE)</f>
        <v>ART</v>
      </c>
      <c r="L1064" s="25" t="s">
        <v>216</v>
      </c>
      <c r="M1064" s="25" t="s">
        <v>124</v>
      </c>
      <c r="N1064" s="25" t="s">
        <v>2885</v>
      </c>
    </row>
    <row r="1065" spans="1:14" x14ac:dyDescent="0.55000000000000004">
      <c r="A1065">
        <v>1064</v>
      </c>
      <c r="B1065" s="25" t="s">
        <v>65</v>
      </c>
      <c r="C1065" s="25">
        <v>25</v>
      </c>
      <c r="D1065" s="25" t="s">
        <v>4499</v>
      </c>
      <c r="E1065" s="25" t="s">
        <v>4505</v>
      </c>
      <c r="F1065" s="25">
        <v>15.24</v>
      </c>
      <c r="G1065" s="25" t="s">
        <v>1889</v>
      </c>
      <c r="H1065" s="25">
        <f>4+4.1+7.21</f>
        <v>15.309999999999999</v>
      </c>
      <c r="I1065" s="25">
        <f>4+4.1+7.21</f>
        <v>15.309999999999999</v>
      </c>
      <c r="J1065" s="25" t="s">
        <v>1891</v>
      </c>
      <c r="K1065" s="25" t="str">
        <f>VLOOKUP(E1065,[1]PrelimAssignPOP!$I$1:$J$947,2,FALSE)</f>
        <v>HYB</v>
      </c>
      <c r="L1065" s="25" t="s">
        <v>216</v>
      </c>
      <c r="M1065" s="25" t="s">
        <v>125</v>
      </c>
      <c r="N1065" s="25" t="s">
        <v>2886</v>
      </c>
    </row>
    <row r="1066" spans="1:14" x14ac:dyDescent="0.55000000000000004">
      <c r="A1066">
        <v>1065</v>
      </c>
      <c r="B1066" s="25" t="s">
        <v>65</v>
      </c>
      <c r="C1066" s="25">
        <v>25</v>
      </c>
      <c r="D1066" s="25" t="s">
        <v>4499</v>
      </c>
      <c r="E1066" s="25" t="s">
        <v>4506</v>
      </c>
      <c r="F1066" s="25">
        <v>14.25</v>
      </c>
      <c r="G1066" s="25" t="s">
        <v>1889</v>
      </c>
      <c r="H1066" s="25">
        <f>2.99+3.87+3.85+3.82</f>
        <v>14.530000000000001</v>
      </c>
      <c r="I1066" s="25">
        <f>2.99+3.87+3.85+3.82</f>
        <v>14.530000000000001</v>
      </c>
      <c r="J1066" s="25" t="s">
        <v>1891</v>
      </c>
      <c r="K1066" s="25" t="str">
        <f>VLOOKUP(E1066,[1]PrelimAssignPOP!$I$1:$J$947,2,FALSE)</f>
        <v>HYB</v>
      </c>
      <c r="L1066" s="25" t="s">
        <v>216</v>
      </c>
      <c r="M1066" s="25" t="s">
        <v>126</v>
      </c>
      <c r="N1066" s="25" t="s">
        <v>2887</v>
      </c>
    </row>
    <row r="1067" spans="1:14" x14ac:dyDescent="0.55000000000000004">
      <c r="A1067">
        <v>1066</v>
      </c>
      <c r="B1067" s="25" t="s">
        <v>65</v>
      </c>
      <c r="C1067" s="25">
        <v>25</v>
      </c>
      <c r="D1067" s="25" t="s">
        <v>4499</v>
      </c>
      <c r="E1067" s="25" t="s">
        <v>4507</v>
      </c>
      <c r="F1067" s="25">
        <v>13.57</v>
      </c>
      <c r="G1067" s="25" t="s">
        <v>1889</v>
      </c>
      <c r="H1067" s="25">
        <f>2.93+3.98+3.39+3.51</f>
        <v>13.81</v>
      </c>
      <c r="I1067" s="25">
        <f>2.93+3.98+3.39+3.51</f>
        <v>13.81</v>
      </c>
      <c r="J1067" s="25" t="s">
        <v>1891</v>
      </c>
      <c r="K1067" s="25" t="str">
        <f>VLOOKUP(E1067,[1]PrelimAssignPOP!$I$1:$J$947,2,FALSE)</f>
        <v>HYB</v>
      </c>
      <c r="L1067" s="25" t="s">
        <v>216</v>
      </c>
      <c r="M1067" s="25" t="s">
        <v>127</v>
      </c>
      <c r="N1067" s="25" t="s">
        <v>2888</v>
      </c>
    </row>
    <row r="1068" spans="1:14" x14ac:dyDescent="0.55000000000000004">
      <c r="A1068">
        <v>1067</v>
      </c>
      <c r="B1068" s="25" t="s">
        <v>65</v>
      </c>
      <c r="C1068" s="25">
        <v>25</v>
      </c>
      <c r="D1068" s="25" t="s">
        <v>4499</v>
      </c>
      <c r="E1068" s="25" t="s">
        <v>4508</v>
      </c>
      <c r="F1068" s="25">
        <v>17.66</v>
      </c>
      <c r="G1068" s="25" t="s">
        <v>2113</v>
      </c>
      <c r="I1068" s="25">
        <v>17.66</v>
      </c>
      <c r="J1068" s="25" t="s">
        <v>110</v>
      </c>
      <c r="K1068" s="25" t="str">
        <f>VLOOKUP(E1068,[1]PrelimAssignPOP!$I$1:$J$947,2,FALSE)</f>
        <v>ART</v>
      </c>
      <c r="L1068" s="25" t="s">
        <v>216</v>
      </c>
      <c r="M1068" s="25" t="s">
        <v>128</v>
      </c>
    </row>
    <row r="1069" spans="1:14" x14ac:dyDescent="0.55000000000000004">
      <c r="A1069">
        <v>1068</v>
      </c>
      <c r="B1069" s="25" t="s">
        <v>65</v>
      </c>
      <c r="C1069" s="25">
        <v>25</v>
      </c>
      <c r="D1069" s="25" t="s">
        <v>4499</v>
      </c>
      <c r="E1069" s="25" t="s">
        <v>4509</v>
      </c>
      <c r="F1069" s="25">
        <v>17.88</v>
      </c>
      <c r="G1069" s="25" t="s">
        <v>2113</v>
      </c>
      <c r="I1069" s="25">
        <v>17.88</v>
      </c>
      <c r="J1069" s="25" t="s">
        <v>110</v>
      </c>
      <c r="K1069" s="25" t="str">
        <f>VLOOKUP(E1069,[1]PrelimAssignPOP!$I$1:$J$947,2,FALSE)</f>
        <v>ART</v>
      </c>
      <c r="L1069" s="25" t="s">
        <v>216</v>
      </c>
      <c r="M1069" s="25" t="s">
        <v>129</v>
      </c>
    </row>
    <row r="1070" spans="1:14" x14ac:dyDescent="0.55000000000000004">
      <c r="A1070">
        <v>1069</v>
      </c>
      <c r="B1070" s="25" t="s">
        <v>65</v>
      </c>
      <c r="C1070" s="25">
        <v>25</v>
      </c>
      <c r="D1070" s="25" t="s">
        <v>4499</v>
      </c>
      <c r="E1070" s="25" t="s">
        <v>4510</v>
      </c>
      <c r="F1070" s="25">
        <v>14.08</v>
      </c>
      <c r="G1070" s="25" t="s">
        <v>2113</v>
      </c>
      <c r="I1070" s="25">
        <v>14.08</v>
      </c>
      <c r="J1070" s="25" t="s">
        <v>110</v>
      </c>
      <c r="K1070" s="25" t="str">
        <f>VLOOKUP(E1070,[1]PrelimAssignPOP!$I$1:$J$947,2,FALSE)</f>
        <v>HYB</v>
      </c>
      <c r="L1070" s="25" t="s">
        <v>216</v>
      </c>
      <c r="M1070" s="25" t="s">
        <v>130</v>
      </c>
    </row>
    <row r="1071" spans="1:14" x14ac:dyDescent="0.55000000000000004">
      <c r="A1071">
        <v>1070</v>
      </c>
      <c r="B1071" s="25" t="s">
        <v>65</v>
      </c>
      <c r="C1071" s="25">
        <v>25</v>
      </c>
      <c r="D1071" s="25" t="s">
        <v>4499</v>
      </c>
      <c r="E1071" s="25" t="s">
        <v>4511</v>
      </c>
      <c r="F1071" s="25">
        <v>16.170000000000002</v>
      </c>
      <c r="G1071" s="25" t="s">
        <v>2113</v>
      </c>
      <c r="I1071" s="25">
        <v>16.170000000000002</v>
      </c>
      <c r="J1071" s="25" t="s">
        <v>110</v>
      </c>
      <c r="K1071" s="25" t="str">
        <f>VLOOKUP(E1071,[1]PrelimAssignPOP!$I$1:$J$947,2,FALSE)</f>
        <v>HYB</v>
      </c>
      <c r="L1071" s="25" t="s">
        <v>216</v>
      </c>
      <c r="M1071" s="25" t="s">
        <v>131</v>
      </c>
    </row>
    <row r="1072" spans="1:14" x14ac:dyDescent="0.55000000000000004">
      <c r="A1072">
        <v>1071</v>
      </c>
      <c r="B1072" s="25" t="s">
        <v>65</v>
      </c>
      <c r="C1072" s="25">
        <v>25</v>
      </c>
      <c r="D1072" s="25" t="s">
        <v>4499</v>
      </c>
      <c r="E1072" s="25" t="s">
        <v>4512</v>
      </c>
      <c r="F1072" s="25">
        <v>11.71</v>
      </c>
      <c r="G1072" s="25" t="s">
        <v>1889</v>
      </c>
      <c r="H1072" s="25">
        <f>2.52+3.79+5.51</f>
        <v>11.82</v>
      </c>
      <c r="I1072" s="25">
        <f>2.52+3.79+5.51</f>
        <v>11.82</v>
      </c>
      <c r="J1072" s="25" t="s">
        <v>1891</v>
      </c>
      <c r="N1072" s="25" t="s">
        <v>2889</v>
      </c>
    </row>
    <row r="1073" spans="1:14" x14ac:dyDescent="0.55000000000000004">
      <c r="A1073">
        <v>1072</v>
      </c>
      <c r="B1073" s="25" t="s">
        <v>65</v>
      </c>
      <c r="C1073" s="25">
        <v>25</v>
      </c>
      <c r="D1073" s="25" t="s">
        <v>4499</v>
      </c>
      <c r="E1073" s="25" t="s">
        <v>4513</v>
      </c>
      <c r="F1073" s="25">
        <v>14.75</v>
      </c>
      <c r="G1073" s="25" t="s">
        <v>1889</v>
      </c>
      <c r="H1073" s="25">
        <f>7.97+3.72+3.26</f>
        <v>14.95</v>
      </c>
      <c r="I1073" s="25">
        <f>7.97+3.72+3.26</f>
        <v>14.95</v>
      </c>
      <c r="J1073" s="25" t="s">
        <v>1891</v>
      </c>
      <c r="N1073" s="25" t="s">
        <v>2890</v>
      </c>
    </row>
    <row r="1074" spans="1:14" x14ac:dyDescent="0.55000000000000004">
      <c r="A1074">
        <v>1073</v>
      </c>
      <c r="B1074" s="25" t="s">
        <v>65</v>
      </c>
      <c r="C1074" s="25">
        <v>25</v>
      </c>
      <c r="D1074" s="25" t="s">
        <v>4499</v>
      </c>
      <c r="E1074" s="25" t="s">
        <v>4514</v>
      </c>
      <c r="F1074" s="25">
        <v>14.9</v>
      </c>
      <c r="G1074" s="25" t="s">
        <v>1889</v>
      </c>
      <c r="H1074" s="25">
        <f>4.82+5.53+4.64</f>
        <v>14.990000000000002</v>
      </c>
      <c r="I1074" s="25">
        <f>4.82+5.53+4.64</f>
        <v>14.990000000000002</v>
      </c>
      <c r="J1074" s="25" t="s">
        <v>1891</v>
      </c>
      <c r="N1074" s="25" t="s">
        <v>2891</v>
      </c>
    </row>
    <row r="1075" spans="1:14" x14ac:dyDescent="0.55000000000000004">
      <c r="A1075">
        <v>1074</v>
      </c>
      <c r="B1075" s="25" t="s">
        <v>65</v>
      </c>
      <c r="C1075" s="25">
        <v>25</v>
      </c>
      <c r="D1075" s="25" t="s">
        <v>4499</v>
      </c>
      <c r="E1075" s="25" t="s">
        <v>4515</v>
      </c>
      <c r="F1075" s="25">
        <v>14.4</v>
      </c>
      <c r="G1075" s="25" t="s">
        <v>1889</v>
      </c>
      <c r="H1075" s="25">
        <f>4.36+5.78+4.74</f>
        <v>14.88</v>
      </c>
      <c r="I1075" s="25">
        <f>4.36+5.78+4.74</f>
        <v>14.88</v>
      </c>
      <c r="J1075" s="25" t="s">
        <v>1891</v>
      </c>
      <c r="N1075" s="25" t="s">
        <v>2892</v>
      </c>
    </row>
    <row r="1076" spans="1:14" x14ac:dyDescent="0.55000000000000004">
      <c r="A1076">
        <v>1075</v>
      </c>
      <c r="B1076" s="25" t="s">
        <v>65</v>
      </c>
      <c r="C1076" s="25">
        <v>25</v>
      </c>
      <c r="D1076" s="25" t="s">
        <v>4499</v>
      </c>
      <c r="E1076" s="25" t="s">
        <v>4516</v>
      </c>
      <c r="F1076" s="25">
        <v>14.67</v>
      </c>
      <c r="G1076" s="25" t="s">
        <v>1889</v>
      </c>
      <c r="H1076" s="25">
        <f>3.89+3.7+3.76+3.64</f>
        <v>14.99</v>
      </c>
      <c r="I1076" s="25">
        <f>3.89+3.7+3.76+3.64</f>
        <v>14.99</v>
      </c>
      <c r="J1076" s="25" t="s">
        <v>1891</v>
      </c>
      <c r="N1076" s="25" t="s">
        <v>2893</v>
      </c>
    </row>
    <row r="1077" spans="1:14" x14ac:dyDescent="0.55000000000000004">
      <c r="A1077">
        <v>1076</v>
      </c>
      <c r="B1077" s="25" t="s">
        <v>65</v>
      </c>
      <c r="C1077" s="25">
        <v>25</v>
      </c>
      <c r="D1077" s="25" t="s">
        <v>4499</v>
      </c>
      <c r="E1077" s="25" t="s">
        <v>4517</v>
      </c>
      <c r="F1077" s="25">
        <v>13.78</v>
      </c>
      <c r="G1077" s="25" t="s">
        <v>1889</v>
      </c>
      <c r="H1077" s="25">
        <f>4.58+3.06+6.22</f>
        <v>13.86</v>
      </c>
      <c r="I1077" s="25">
        <f>4.58+3.06+6.22</f>
        <v>13.86</v>
      </c>
      <c r="J1077" s="25" t="s">
        <v>1891</v>
      </c>
      <c r="N1077" s="25" t="s">
        <v>2894</v>
      </c>
    </row>
    <row r="1078" spans="1:14" x14ac:dyDescent="0.55000000000000004">
      <c r="A1078">
        <v>1077</v>
      </c>
      <c r="B1078" s="25" t="s">
        <v>65</v>
      </c>
      <c r="C1078" s="25">
        <v>25</v>
      </c>
      <c r="D1078" s="25" t="s">
        <v>4499</v>
      </c>
      <c r="E1078" s="25" t="s">
        <v>4518</v>
      </c>
      <c r="F1078" s="25">
        <v>13.64</v>
      </c>
      <c r="G1078" s="25" t="s">
        <v>1889</v>
      </c>
      <c r="H1078" s="25">
        <f>6.74+7.18</f>
        <v>13.92</v>
      </c>
      <c r="I1078" s="25">
        <f>6.74+7.18</f>
        <v>13.92</v>
      </c>
      <c r="J1078" s="25" t="s">
        <v>1891</v>
      </c>
      <c r="N1078" s="25" t="s">
        <v>2895</v>
      </c>
    </row>
    <row r="1079" spans="1:14" x14ac:dyDescent="0.55000000000000004">
      <c r="A1079">
        <v>1078</v>
      </c>
      <c r="B1079" s="25" t="s">
        <v>65</v>
      </c>
      <c r="C1079" s="25">
        <v>25</v>
      </c>
      <c r="D1079" s="25" t="s">
        <v>4499</v>
      </c>
      <c r="E1079" s="25" t="s">
        <v>4519</v>
      </c>
      <c r="F1079" s="25">
        <v>14.67</v>
      </c>
      <c r="G1079" s="25" t="s">
        <v>1889</v>
      </c>
      <c r="H1079" s="25">
        <f>3.41+5.99+3.22+2.35</f>
        <v>14.97</v>
      </c>
      <c r="I1079" s="25">
        <f>3.41+5.99+3.22+2.35</f>
        <v>14.97</v>
      </c>
      <c r="J1079" s="25" t="s">
        <v>1891</v>
      </c>
      <c r="N1079" s="25" t="s">
        <v>2896</v>
      </c>
    </row>
    <row r="1080" spans="1:14" x14ac:dyDescent="0.55000000000000004">
      <c r="A1080">
        <v>1079</v>
      </c>
      <c r="B1080" s="25" t="s">
        <v>65</v>
      </c>
      <c r="C1080" s="25">
        <v>25</v>
      </c>
      <c r="D1080" s="25" t="s">
        <v>4499</v>
      </c>
      <c r="E1080" s="25" t="s">
        <v>4520</v>
      </c>
      <c r="F1080" s="25">
        <v>14.89</v>
      </c>
      <c r="G1080" s="25" t="s">
        <v>1889</v>
      </c>
      <c r="H1080" s="25">
        <f>10.71+4.17</f>
        <v>14.88</v>
      </c>
      <c r="I1080" s="25">
        <f>10.71+4.17</f>
        <v>14.88</v>
      </c>
      <c r="J1080" s="25" t="s">
        <v>1891</v>
      </c>
      <c r="N1080" s="25" t="s">
        <v>2897</v>
      </c>
    </row>
    <row r="1081" spans="1:14" x14ac:dyDescent="0.55000000000000004">
      <c r="A1081">
        <v>1080</v>
      </c>
      <c r="B1081" s="25" t="s">
        <v>65</v>
      </c>
      <c r="C1081" s="25">
        <v>25</v>
      </c>
      <c r="D1081" s="25" t="s">
        <v>4499</v>
      </c>
      <c r="E1081" s="25" t="s">
        <v>4521</v>
      </c>
      <c r="F1081" s="25">
        <v>15.37</v>
      </c>
      <c r="G1081" s="25" t="s">
        <v>1889</v>
      </c>
      <c r="H1081" s="25">
        <f>1.65+3.27+3.11+7.71</f>
        <v>15.739999999999998</v>
      </c>
      <c r="I1081" s="25">
        <f>1.65+3.27+3.11+7.71</f>
        <v>15.739999999999998</v>
      </c>
      <c r="J1081" s="25" t="s">
        <v>1891</v>
      </c>
      <c r="N1081" s="25" t="s">
        <v>2898</v>
      </c>
    </row>
    <row r="1082" spans="1:14" x14ac:dyDescent="0.55000000000000004">
      <c r="A1082">
        <v>1081</v>
      </c>
      <c r="B1082" s="25" t="s">
        <v>65</v>
      </c>
      <c r="C1082" s="25">
        <v>25</v>
      </c>
      <c r="D1082" s="25" t="s">
        <v>4499</v>
      </c>
      <c r="E1082" s="25" t="s">
        <v>4522</v>
      </c>
      <c r="F1082" s="25">
        <v>15.33</v>
      </c>
      <c r="G1082" s="25" t="s">
        <v>1889</v>
      </c>
      <c r="H1082" s="25">
        <f>5.71+5.54+4.31</f>
        <v>15.559999999999999</v>
      </c>
      <c r="I1082" s="25">
        <f>5.71+5.54+4.31</f>
        <v>15.559999999999999</v>
      </c>
      <c r="J1082" s="25" t="s">
        <v>1891</v>
      </c>
      <c r="N1082" s="25" t="s">
        <v>2899</v>
      </c>
    </row>
    <row r="1083" spans="1:14" x14ac:dyDescent="0.55000000000000004">
      <c r="A1083">
        <v>1082</v>
      </c>
      <c r="B1083" s="25" t="s">
        <v>65</v>
      </c>
      <c r="C1083" s="25">
        <v>25</v>
      </c>
      <c r="D1083" s="25" t="s">
        <v>4499</v>
      </c>
      <c r="E1083" s="25" t="s">
        <v>4523</v>
      </c>
      <c r="F1083" s="25">
        <v>15.61</v>
      </c>
      <c r="G1083" s="25" t="s">
        <v>2113</v>
      </c>
      <c r="I1083" s="25">
        <v>15.61</v>
      </c>
      <c r="J1083" s="25" t="s">
        <v>110</v>
      </c>
    </row>
    <row r="1084" spans="1:14" x14ac:dyDescent="0.55000000000000004">
      <c r="A1084">
        <v>1083</v>
      </c>
      <c r="B1084" s="25" t="s">
        <v>65</v>
      </c>
      <c r="C1084" s="25">
        <v>25</v>
      </c>
      <c r="D1084" s="25" t="s">
        <v>4499</v>
      </c>
      <c r="E1084" s="25" t="s">
        <v>4524</v>
      </c>
      <c r="F1084" s="25">
        <v>17.489999999999998</v>
      </c>
      <c r="G1084" s="25" t="s">
        <v>2113</v>
      </c>
      <c r="I1084" s="25">
        <v>17.489999999999998</v>
      </c>
      <c r="J1084" s="25" t="s">
        <v>110</v>
      </c>
    </row>
    <row r="1085" spans="1:14" x14ac:dyDescent="0.55000000000000004">
      <c r="A1085">
        <v>1084</v>
      </c>
      <c r="B1085" s="25" t="s">
        <v>66</v>
      </c>
      <c r="C1085" s="25">
        <v>1</v>
      </c>
      <c r="D1085" s="25" t="s">
        <v>4525</v>
      </c>
      <c r="E1085" s="25" t="s">
        <v>4526</v>
      </c>
      <c r="F1085" s="25">
        <v>11.12</v>
      </c>
      <c r="G1085" s="25" t="s">
        <v>1889</v>
      </c>
      <c r="H1085" s="25">
        <f>3.19+5.07+2.99</f>
        <v>11.25</v>
      </c>
      <c r="I1085" s="25">
        <f>3.19+5.07+2.99</f>
        <v>11.25</v>
      </c>
      <c r="J1085" s="25" t="s">
        <v>1891</v>
      </c>
      <c r="K1085" s="25" t="str">
        <f>VLOOKUP(E1085,[1]PrelimAssignPOP!$I$1:$J$947,2,FALSE)</f>
        <v>HYB</v>
      </c>
      <c r="L1085" s="25" t="s">
        <v>216</v>
      </c>
      <c r="M1085" s="25" t="s">
        <v>132</v>
      </c>
      <c r="N1085" s="25" t="s">
        <v>2900</v>
      </c>
    </row>
    <row r="1086" spans="1:14" x14ac:dyDescent="0.55000000000000004">
      <c r="A1086">
        <v>1085</v>
      </c>
      <c r="B1086" s="25" t="s">
        <v>67</v>
      </c>
      <c r="C1086" s="25">
        <v>4</v>
      </c>
      <c r="D1086" s="25" t="s">
        <v>4527</v>
      </c>
      <c r="E1086" s="25" t="s">
        <v>4528</v>
      </c>
      <c r="F1086" s="25">
        <v>15.51</v>
      </c>
      <c r="G1086" s="25" t="s">
        <v>1889</v>
      </c>
      <c r="H1086" s="25">
        <f>3.56+12.2</f>
        <v>15.76</v>
      </c>
      <c r="I1086" s="25">
        <f>3.56+12.2</f>
        <v>15.76</v>
      </c>
      <c r="K1086" s="25" t="str">
        <f>VLOOKUP(E1086,[1]PrelimAssignPOP!$I$1:$J$947,2,FALSE)</f>
        <v>KIY</v>
      </c>
      <c r="L1086" s="25" t="s">
        <v>216</v>
      </c>
      <c r="M1086" s="25" t="s">
        <v>115</v>
      </c>
      <c r="N1086" s="25" t="s">
        <v>2901</v>
      </c>
    </row>
    <row r="1087" spans="1:14" x14ac:dyDescent="0.55000000000000004">
      <c r="A1087">
        <v>1086</v>
      </c>
      <c r="B1087" s="25" t="s">
        <v>67</v>
      </c>
      <c r="C1087" s="25">
        <v>4</v>
      </c>
      <c r="D1087" s="25" t="s">
        <v>4527</v>
      </c>
      <c r="E1087" s="25" t="s">
        <v>4529</v>
      </c>
      <c r="F1087" s="25">
        <v>9.1300000000000008</v>
      </c>
      <c r="G1087" s="25" t="s">
        <v>1889</v>
      </c>
      <c r="H1087" s="25">
        <f>3.34+3.03+2.61+0.78</f>
        <v>9.759999999999998</v>
      </c>
      <c r="I1087" s="25">
        <f>3.34+3.03+2.61+0.78</f>
        <v>9.759999999999998</v>
      </c>
      <c r="K1087" s="25" t="str">
        <f>VLOOKUP(E1087,[1]PrelimAssignPOP!$I$1:$J$947,2,FALSE)</f>
        <v>HYB</v>
      </c>
      <c r="L1087" s="25" t="s">
        <v>216</v>
      </c>
      <c r="M1087" s="25" t="s">
        <v>133</v>
      </c>
      <c r="N1087" s="25" t="s">
        <v>2902</v>
      </c>
    </row>
    <row r="1088" spans="1:14" x14ac:dyDescent="0.55000000000000004">
      <c r="A1088">
        <v>1087</v>
      </c>
      <c r="B1088" s="25" t="s">
        <v>67</v>
      </c>
      <c r="C1088" s="25">
        <v>4</v>
      </c>
      <c r="D1088" s="25" t="s">
        <v>4527</v>
      </c>
      <c r="E1088" s="25" t="s">
        <v>4530</v>
      </c>
      <c r="F1088" s="25">
        <v>14.01</v>
      </c>
      <c r="G1088" s="25" t="s">
        <v>1889</v>
      </c>
      <c r="H1088" s="25">
        <f>4.64+5.79+3.84</f>
        <v>14.27</v>
      </c>
      <c r="I1088" s="25">
        <f>4.64+5.79+3.84</f>
        <v>14.27</v>
      </c>
      <c r="K1088" s="25" t="str">
        <f>VLOOKUP(E1088,[1]PrelimAssignPOP!$I$1:$J$947,2,FALSE)</f>
        <v>ART</v>
      </c>
      <c r="L1088" s="25" t="s">
        <v>216</v>
      </c>
      <c r="M1088" s="25" t="s">
        <v>134</v>
      </c>
      <c r="N1088" s="25" t="s">
        <v>2903</v>
      </c>
    </row>
    <row r="1089" spans="1:14" x14ac:dyDescent="0.55000000000000004">
      <c r="A1089">
        <v>1088</v>
      </c>
      <c r="B1089" s="25" t="s">
        <v>67</v>
      </c>
      <c r="C1089" s="25">
        <v>4</v>
      </c>
      <c r="D1089" s="25" t="s">
        <v>4527</v>
      </c>
      <c r="E1089" s="25" t="s">
        <v>4531</v>
      </c>
      <c r="F1089" s="25">
        <v>21.04</v>
      </c>
      <c r="G1089" s="25" t="s">
        <v>2113</v>
      </c>
      <c r="I1089" s="25">
        <v>21.04</v>
      </c>
      <c r="J1089" s="25" t="s">
        <v>110</v>
      </c>
      <c r="K1089" s="25" t="str">
        <f>VLOOKUP(E1089,[1]PrelimAssignPOP!$I$1:$J$947,2,FALSE)</f>
        <v>ART</v>
      </c>
      <c r="L1089" s="25" t="s">
        <v>216</v>
      </c>
      <c r="M1089" s="25" t="s">
        <v>135</v>
      </c>
    </row>
    <row r="1090" spans="1:14" x14ac:dyDescent="0.55000000000000004">
      <c r="A1090">
        <v>1089</v>
      </c>
      <c r="B1090" s="25" t="s">
        <v>68</v>
      </c>
      <c r="C1090" s="25">
        <v>25</v>
      </c>
      <c r="D1090" s="25" t="s">
        <v>4532</v>
      </c>
      <c r="E1090" s="25" t="s">
        <v>4533</v>
      </c>
      <c r="F1090" s="25">
        <v>16.489999999999998</v>
      </c>
      <c r="G1090" s="25" t="s">
        <v>2113</v>
      </c>
      <c r="I1090" s="25">
        <v>16.489999999999998</v>
      </c>
      <c r="J1090" s="25" t="s">
        <v>110</v>
      </c>
      <c r="K1090" s="25" t="str">
        <f>VLOOKUP(E1090,[1]PrelimAssignPOP!$I$1:$J$947,2,FALSE)</f>
        <v>KIY</v>
      </c>
      <c r="L1090" s="25" t="s">
        <v>216</v>
      </c>
      <c r="M1090" s="25" t="s">
        <v>136</v>
      </c>
    </row>
    <row r="1091" spans="1:14" x14ac:dyDescent="0.55000000000000004">
      <c r="A1091">
        <v>1090</v>
      </c>
      <c r="B1091" s="25" t="s">
        <v>68</v>
      </c>
      <c r="C1091" s="25">
        <v>25</v>
      </c>
      <c r="D1091" s="25" t="s">
        <v>4532</v>
      </c>
      <c r="E1091" s="25" t="s">
        <v>4534</v>
      </c>
      <c r="F1091" s="25">
        <v>19.98</v>
      </c>
      <c r="G1091" s="25" t="s">
        <v>2113</v>
      </c>
      <c r="I1091" s="25">
        <v>19.98</v>
      </c>
      <c r="J1091" s="25" t="s">
        <v>110</v>
      </c>
      <c r="K1091" s="25" t="str">
        <f>VLOOKUP(E1091,[1]PrelimAssignPOP!$I$1:$J$947,2,FALSE)</f>
        <v>ART</v>
      </c>
      <c r="L1091" s="25" t="s">
        <v>216</v>
      </c>
      <c r="M1091" s="25" t="s">
        <v>137</v>
      </c>
    </row>
    <row r="1092" spans="1:14" x14ac:dyDescent="0.55000000000000004">
      <c r="A1092">
        <v>1091</v>
      </c>
      <c r="B1092" s="25" t="s">
        <v>68</v>
      </c>
      <c r="C1092" s="25">
        <v>25</v>
      </c>
      <c r="D1092" s="25" t="s">
        <v>4532</v>
      </c>
      <c r="E1092" s="25" t="s">
        <v>4535</v>
      </c>
      <c r="F1092" s="25">
        <v>16.5</v>
      </c>
      <c r="G1092" s="25" t="s">
        <v>2113</v>
      </c>
      <c r="I1092" s="25">
        <v>16.5</v>
      </c>
      <c r="J1092" s="25" t="s">
        <v>110</v>
      </c>
      <c r="K1092" s="25" t="str">
        <f>VLOOKUP(E1092,[1]PrelimAssignPOP!$I$1:$J$947,2,FALSE)</f>
        <v>ART</v>
      </c>
      <c r="L1092" s="25" t="s">
        <v>216</v>
      </c>
      <c r="M1092" s="25" t="s">
        <v>138</v>
      </c>
    </row>
    <row r="1093" spans="1:14" x14ac:dyDescent="0.55000000000000004">
      <c r="A1093">
        <v>1092</v>
      </c>
      <c r="B1093" s="25" t="s">
        <v>68</v>
      </c>
      <c r="C1093" s="25">
        <v>25</v>
      </c>
      <c r="D1093" s="25" t="s">
        <v>4532</v>
      </c>
      <c r="E1093" s="25" t="s">
        <v>4536</v>
      </c>
      <c r="F1093" s="25">
        <v>16.399999999999999</v>
      </c>
      <c r="G1093" s="25" t="s">
        <v>2113</v>
      </c>
      <c r="I1093" s="25">
        <v>16.399999999999999</v>
      </c>
      <c r="J1093" s="25" t="s">
        <v>110</v>
      </c>
      <c r="K1093" s="25" t="str">
        <f>VLOOKUP(E1093,[1]PrelimAssignPOP!$I$1:$J$947,2,FALSE)</f>
        <v>ART</v>
      </c>
      <c r="L1093" s="25" t="s">
        <v>216</v>
      </c>
      <c r="M1093" s="25" t="s">
        <v>139</v>
      </c>
    </row>
    <row r="1094" spans="1:14" x14ac:dyDescent="0.55000000000000004">
      <c r="A1094">
        <v>1093</v>
      </c>
      <c r="B1094" s="25" t="s">
        <v>68</v>
      </c>
      <c r="C1094" s="25">
        <v>25</v>
      </c>
      <c r="D1094" s="25" t="s">
        <v>4532</v>
      </c>
      <c r="E1094" s="25" t="s">
        <v>4537</v>
      </c>
      <c r="F1094" s="25">
        <v>16.100000000000001</v>
      </c>
      <c r="G1094" s="25" t="s">
        <v>2113</v>
      </c>
      <c r="I1094" s="25">
        <v>16.100000000000001</v>
      </c>
      <c r="J1094" s="25" t="s">
        <v>110</v>
      </c>
      <c r="K1094" s="25" t="str">
        <f>VLOOKUP(E1094,[1]PrelimAssignPOP!$I$1:$J$947,2,FALSE)</f>
        <v>ART</v>
      </c>
      <c r="L1094" s="25" t="s">
        <v>216</v>
      </c>
      <c r="M1094" s="25" t="s">
        <v>140</v>
      </c>
    </row>
    <row r="1095" spans="1:14" x14ac:dyDescent="0.55000000000000004">
      <c r="A1095">
        <v>1094</v>
      </c>
      <c r="B1095" s="25" t="s">
        <v>68</v>
      </c>
      <c r="C1095" s="25">
        <v>25</v>
      </c>
      <c r="D1095" s="25" t="s">
        <v>4532</v>
      </c>
      <c r="E1095" s="25" t="s">
        <v>4538</v>
      </c>
      <c r="F1095" s="25">
        <v>19.8</v>
      </c>
      <c r="G1095" s="25" t="s">
        <v>2113</v>
      </c>
      <c r="I1095" s="25">
        <v>19.8</v>
      </c>
      <c r="J1095" s="25" t="s">
        <v>110</v>
      </c>
      <c r="K1095" s="25" t="str">
        <f>VLOOKUP(E1095,[1]PrelimAssignPOP!$I$1:$J$947,2,FALSE)</f>
        <v>ART</v>
      </c>
      <c r="L1095" s="25" t="s">
        <v>216</v>
      </c>
      <c r="M1095" s="25" t="s">
        <v>141</v>
      </c>
    </row>
    <row r="1096" spans="1:14" x14ac:dyDescent="0.55000000000000004">
      <c r="A1096">
        <v>1095</v>
      </c>
      <c r="B1096" s="25" t="s">
        <v>68</v>
      </c>
      <c r="C1096" s="25">
        <v>25</v>
      </c>
      <c r="D1096" s="25" t="s">
        <v>4532</v>
      </c>
      <c r="E1096" s="25" t="s">
        <v>4539</v>
      </c>
      <c r="F1096" s="25">
        <v>9.9600000000000009</v>
      </c>
      <c r="G1096" s="25" t="s">
        <v>1889</v>
      </c>
      <c r="H1096" s="25">
        <f>2.49+2.66+1.62+3.38</f>
        <v>10.15</v>
      </c>
      <c r="I1096" s="25">
        <f>2.49+2.66+1.62+3.38</f>
        <v>10.15</v>
      </c>
      <c r="J1096" s="25" t="s">
        <v>1891</v>
      </c>
      <c r="K1096" s="25" t="str">
        <f>VLOOKUP(E1096,[1]PrelimAssignPOP!$I$1:$J$947,2,FALSE)</f>
        <v>ART</v>
      </c>
      <c r="L1096" s="25" t="s">
        <v>216</v>
      </c>
      <c r="M1096" s="25" t="s">
        <v>142</v>
      </c>
      <c r="N1096" s="25" t="s">
        <v>2904</v>
      </c>
    </row>
    <row r="1097" spans="1:14" x14ac:dyDescent="0.55000000000000004">
      <c r="A1097">
        <v>1096</v>
      </c>
      <c r="B1097" s="25" t="s">
        <v>68</v>
      </c>
      <c r="C1097" s="25">
        <v>25</v>
      </c>
      <c r="D1097" s="25" t="s">
        <v>4532</v>
      </c>
      <c r="E1097" s="25" t="s">
        <v>4540</v>
      </c>
      <c r="F1097" s="25">
        <v>9.99</v>
      </c>
      <c r="G1097" s="25" t="s">
        <v>1889</v>
      </c>
      <c r="H1097" s="25">
        <f>3.76+2.24+2.02+2.26</f>
        <v>10.28</v>
      </c>
      <c r="I1097" s="25">
        <f>3.76+2.24+2.02+2.26</f>
        <v>10.28</v>
      </c>
      <c r="J1097" s="25" t="s">
        <v>1891</v>
      </c>
      <c r="K1097" s="25" t="str">
        <f>VLOOKUP(E1097,[1]PrelimAssignPOP!$I$1:$J$947,2,FALSE)</f>
        <v>ART</v>
      </c>
      <c r="L1097" s="25" t="s">
        <v>216</v>
      </c>
      <c r="M1097" s="25" t="s">
        <v>143</v>
      </c>
      <c r="N1097" s="25" t="s">
        <v>2905</v>
      </c>
    </row>
    <row r="1098" spans="1:14" x14ac:dyDescent="0.55000000000000004">
      <c r="A1098">
        <v>1097</v>
      </c>
      <c r="B1098" s="25" t="s">
        <v>68</v>
      </c>
      <c r="C1098" s="25">
        <v>25</v>
      </c>
      <c r="D1098" s="25" t="s">
        <v>4532</v>
      </c>
      <c r="E1098" s="25" t="s">
        <v>4541</v>
      </c>
      <c r="F1098" s="25">
        <v>10.119999999999999</v>
      </c>
      <c r="G1098" s="25" t="s">
        <v>1889</v>
      </c>
      <c r="H1098" s="25">
        <f>2.63+1.41+1.63+4.74</f>
        <v>10.41</v>
      </c>
      <c r="I1098" s="25">
        <f>2.63+1.41+1.63+4.74</f>
        <v>10.41</v>
      </c>
      <c r="J1098" s="25" t="s">
        <v>1891</v>
      </c>
      <c r="K1098" s="25" t="str">
        <f>VLOOKUP(E1098,[1]PrelimAssignPOP!$I$1:$J$947,2,FALSE)</f>
        <v>ART</v>
      </c>
      <c r="L1098" s="25" t="s">
        <v>216</v>
      </c>
      <c r="M1098" s="25" t="s">
        <v>116</v>
      </c>
      <c r="N1098" s="25" t="s">
        <v>2906</v>
      </c>
    </row>
    <row r="1099" spans="1:14" x14ac:dyDescent="0.55000000000000004">
      <c r="A1099">
        <v>1098</v>
      </c>
      <c r="B1099" s="25" t="s">
        <v>68</v>
      </c>
      <c r="C1099" s="25">
        <v>25</v>
      </c>
      <c r="D1099" s="25" t="s">
        <v>4532</v>
      </c>
      <c r="E1099" s="25" t="s">
        <v>4542</v>
      </c>
      <c r="F1099" s="25">
        <v>10.79</v>
      </c>
      <c r="G1099" s="25" t="s">
        <v>1889</v>
      </c>
      <c r="H1099" s="25">
        <f>5.39+1.85+2.19+1.67</f>
        <v>11.1</v>
      </c>
      <c r="I1099" s="25">
        <f>5.39+1.85+2.19+1.67</f>
        <v>11.1</v>
      </c>
      <c r="J1099" s="25" t="s">
        <v>1891</v>
      </c>
      <c r="K1099" s="25" t="str">
        <f>VLOOKUP(E1099,[1]PrelimAssignPOP!$I$1:$J$947,2,FALSE)</f>
        <v>ART</v>
      </c>
      <c r="L1099" s="25" t="s">
        <v>216</v>
      </c>
      <c r="M1099" s="25" t="s">
        <v>144</v>
      </c>
      <c r="N1099" s="25" t="s">
        <v>2907</v>
      </c>
    </row>
    <row r="1100" spans="1:14" x14ac:dyDescent="0.55000000000000004">
      <c r="A1100">
        <v>1099</v>
      </c>
      <c r="B1100" s="25" t="s">
        <v>68</v>
      </c>
      <c r="C1100" s="25">
        <v>25</v>
      </c>
      <c r="D1100" s="25" t="s">
        <v>4532</v>
      </c>
      <c r="E1100" s="25" t="s">
        <v>4543</v>
      </c>
      <c r="F1100" s="25">
        <v>9.65</v>
      </c>
      <c r="G1100" s="25" t="s">
        <v>1889</v>
      </c>
      <c r="H1100" s="25">
        <f>7.6+2.19</f>
        <v>9.7899999999999991</v>
      </c>
      <c r="I1100" s="25">
        <f>7.6+2.19</f>
        <v>9.7899999999999991</v>
      </c>
      <c r="J1100" s="25" t="s">
        <v>1891</v>
      </c>
      <c r="K1100" s="25" t="str">
        <f>VLOOKUP(E1100,[1]PrelimAssignPOP!$I$1:$J$947,2,FALSE)</f>
        <v>ART</v>
      </c>
      <c r="L1100" s="25" t="s">
        <v>216</v>
      </c>
      <c r="M1100" s="25" t="s">
        <v>145</v>
      </c>
      <c r="N1100" s="25" t="s">
        <v>2908</v>
      </c>
    </row>
    <row r="1101" spans="1:14" x14ac:dyDescent="0.55000000000000004">
      <c r="A1101">
        <v>1100</v>
      </c>
      <c r="B1101" s="25" t="s">
        <v>68</v>
      </c>
      <c r="C1101" s="25">
        <v>25</v>
      </c>
      <c r="D1101" s="25" t="s">
        <v>4532</v>
      </c>
      <c r="E1101" s="25" t="s">
        <v>4544</v>
      </c>
      <c r="F1101" s="25">
        <v>12.24</v>
      </c>
      <c r="G1101" s="25" t="s">
        <v>1889</v>
      </c>
      <c r="H1101" s="25">
        <f>4.61+1.64+2.03+3.84</f>
        <v>12.12</v>
      </c>
      <c r="I1101" s="25">
        <f>4.61+1.64+2.03+3.84</f>
        <v>12.12</v>
      </c>
      <c r="J1101" s="25" t="s">
        <v>1891</v>
      </c>
      <c r="K1101" s="25" t="str">
        <f>VLOOKUP(E1101,[1]PrelimAssignPOP!$I$1:$J$947,2,FALSE)</f>
        <v>ART</v>
      </c>
      <c r="L1101" s="25" t="s">
        <v>216</v>
      </c>
      <c r="M1101" s="25" t="s">
        <v>146</v>
      </c>
      <c r="N1101" s="25" t="s">
        <v>2909</v>
      </c>
    </row>
    <row r="1102" spans="1:14" x14ac:dyDescent="0.55000000000000004">
      <c r="A1102">
        <v>1101</v>
      </c>
      <c r="B1102" s="25" t="s">
        <v>68</v>
      </c>
      <c r="C1102" s="25">
        <v>25</v>
      </c>
      <c r="D1102" s="25" t="s">
        <v>4532</v>
      </c>
      <c r="E1102" s="25" t="s">
        <v>4545</v>
      </c>
      <c r="F1102" s="25">
        <v>14.19</v>
      </c>
      <c r="G1102" s="25" t="s">
        <v>2113</v>
      </c>
      <c r="I1102" s="25">
        <v>14.19</v>
      </c>
      <c r="J1102" s="25" t="s">
        <v>110</v>
      </c>
    </row>
    <row r="1103" spans="1:14" x14ac:dyDescent="0.55000000000000004">
      <c r="A1103">
        <v>1102</v>
      </c>
      <c r="B1103" s="25" t="s">
        <v>68</v>
      </c>
      <c r="C1103" s="25">
        <v>25</v>
      </c>
      <c r="D1103" s="25" t="s">
        <v>4532</v>
      </c>
      <c r="E1103" s="25" t="s">
        <v>4546</v>
      </c>
      <c r="F1103" s="25">
        <v>17.649999999999999</v>
      </c>
      <c r="G1103" s="25" t="s">
        <v>2113</v>
      </c>
      <c r="I1103" s="25">
        <v>17.649999999999999</v>
      </c>
      <c r="J1103" s="25" t="s">
        <v>110</v>
      </c>
    </row>
    <row r="1104" spans="1:14" x14ac:dyDescent="0.55000000000000004">
      <c r="A1104">
        <v>1103</v>
      </c>
      <c r="B1104" s="25" t="s">
        <v>68</v>
      </c>
      <c r="C1104" s="25">
        <v>25</v>
      </c>
      <c r="D1104" s="25" t="s">
        <v>4532</v>
      </c>
      <c r="E1104" s="25" t="s">
        <v>4547</v>
      </c>
      <c r="F1104" s="25">
        <v>15.14</v>
      </c>
      <c r="G1104" s="25" t="s">
        <v>2113</v>
      </c>
      <c r="I1104" s="25">
        <v>15.14</v>
      </c>
      <c r="J1104" s="25" t="s">
        <v>110</v>
      </c>
    </row>
    <row r="1105" spans="1:14" x14ac:dyDescent="0.55000000000000004">
      <c r="A1105">
        <v>1104</v>
      </c>
      <c r="B1105" s="25" t="s">
        <v>68</v>
      </c>
      <c r="C1105" s="25">
        <v>25</v>
      </c>
      <c r="D1105" s="25" t="s">
        <v>4532</v>
      </c>
      <c r="E1105" s="25" t="s">
        <v>4548</v>
      </c>
      <c r="F1105" s="25">
        <v>13.89</v>
      </c>
      <c r="G1105" s="25" t="s">
        <v>1889</v>
      </c>
      <c r="H1105" s="25">
        <f>4.38+9.43</f>
        <v>13.809999999999999</v>
      </c>
      <c r="I1105" s="25">
        <f>4.38+9.43</f>
        <v>13.809999999999999</v>
      </c>
      <c r="J1105" s="25" t="s">
        <v>1891</v>
      </c>
      <c r="N1105" s="25" t="s">
        <v>2910</v>
      </c>
    </row>
    <row r="1106" spans="1:14" x14ac:dyDescent="0.55000000000000004">
      <c r="A1106">
        <v>1105</v>
      </c>
      <c r="B1106" s="25" t="s">
        <v>68</v>
      </c>
      <c r="C1106" s="25">
        <v>25</v>
      </c>
      <c r="D1106" s="25" t="s">
        <v>4532</v>
      </c>
      <c r="E1106" s="25" t="s">
        <v>4549</v>
      </c>
      <c r="F1106" s="25">
        <v>12.81</v>
      </c>
      <c r="G1106" s="25" t="s">
        <v>1889</v>
      </c>
      <c r="H1106" s="25">
        <f>3.07+3.15+0.95+5.19</f>
        <v>12.36</v>
      </c>
      <c r="I1106" s="25">
        <f>3.07+3.15+0.95+5.19</f>
        <v>12.36</v>
      </c>
      <c r="J1106" s="25" t="s">
        <v>1891</v>
      </c>
      <c r="N1106" s="25" t="s">
        <v>2911</v>
      </c>
    </row>
    <row r="1107" spans="1:14" x14ac:dyDescent="0.55000000000000004">
      <c r="A1107">
        <v>1106</v>
      </c>
      <c r="B1107" s="25" t="s">
        <v>68</v>
      </c>
      <c r="C1107" s="25">
        <v>25</v>
      </c>
      <c r="D1107" s="25" t="s">
        <v>4532</v>
      </c>
      <c r="E1107" s="25" t="s">
        <v>4550</v>
      </c>
      <c r="F1107" s="25">
        <v>13.05</v>
      </c>
      <c r="G1107" s="25" t="s">
        <v>1889</v>
      </c>
      <c r="H1107" s="25">
        <f>2.71+4.87+3.2+2.53</f>
        <v>13.31</v>
      </c>
      <c r="I1107" s="25">
        <f>2.71+4.87+3.2+2.53</f>
        <v>13.31</v>
      </c>
      <c r="J1107" s="25" t="s">
        <v>1891</v>
      </c>
      <c r="N1107" s="25" t="s">
        <v>2912</v>
      </c>
    </row>
    <row r="1108" spans="1:14" x14ac:dyDescent="0.55000000000000004">
      <c r="A1108">
        <v>1107</v>
      </c>
      <c r="B1108" s="25" t="s">
        <v>68</v>
      </c>
      <c r="C1108" s="25">
        <v>25</v>
      </c>
      <c r="D1108" s="25" t="s">
        <v>4532</v>
      </c>
      <c r="E1108" s="25" t="s">
        <v>4551</v>
      </c>
      <c r="F1108" s="25">
        <v>11.74</v>
      </c>
      <c r="G1108" s="25" t="s">
        <v>1889</v>
      </c>
      <c r="H1108" s="25">
        <f>2.9+3.6+5.37</f>
        <v>11.870000000000001</v>
      </c>
      <c r="I1108" s="25">
        <f>2.9+3.6+5.37</f>
        <v>11.870000000000001</v>
      </c>
      <c r="J1108" s="25" t="s">
        <v>1891</v>
      </c>
      <c r="N1108" s="25" t="s">
        <v>2913</v>
      </c>
    </row>
    <row r="1109" spans="1:14" x14ac:dyDescent="0.55000000000000004">
      <c r="A1109">
        <v>1108</v>
      </c>
      <c r="B1109" s="25" t="s">
        <v>68</v>
      </c>
      <c r="C1109" s="25">
        <v>25</v>
      </c>
      <c r="D1109" s="25" t="s">
        <v>4532</v>
      </c>
      <c r="E1109" s="25" t="s">
        <v>4552</v>
      </c>
      <c r="F1109" s="25">
        <v>10.46</v>
      </c>
      <c r="G1109" s="25" t="s">
        <v>1889</v>
      </c>
      <c r="H1109" s="25">
        <f>3.18+1.46+2.99+3.02</f>
        <v>10.65</v>
      </c>
      <c r="I1109" s="25">
        <f>3.18+1.46+2.99+3.02</f>
        <v>10.65</v>
      </c>
      <c r="J1109" s="25" t="s">
        <v>1891</v>
      </c>
      <c r="N1109" s="25" t="s">
        <v>2914</v>
      </c>
    </row>
    <row r="1110" spans="1:14" x14ac:dyDescent="0.55000000000000004">
      <c r="A1110">
        <v>1109</v>
      </c>
      <c r="B1110" s="25" t="s">
        <v>68</v>
      </c>
      <c r="C1110" s="25">
        <v>25</v>
      </c>
      <c r="D1110" s="25" t="s">
        <v>4532</v>
      </c>
      <c r="E1110" s="25" t="s">
        <v>4553</v>
      </c>
      <c r="F1110" s="25">
        <v>9.6199999999999992</v>
      </c>
      <c r="G1110" s="25" t="s">
        <v>1889</v>
      </c>
      <c r="H1110" s="25">
        <f>3.24+2.55+1.85+2.19</f>
        <v>9.83</v>
      </c>
      <c r="I1110" s="25">
        <f>3.24+2.55+1.85+2.19</f>
        <v>9.83</v>
      </c>
      <c r="J1110" s="25" t="s">
        <v>1891</v>
      </c>
      <c r="N1110" s="25" t="s">
        <v>2915</v>
      </c>
    </row>
    <row r="1111" spans="1:14" x14ac:dyDescent="0.55000000000000004">
      <c r="A1111">
        <v>1110</v>
      </c>
      <c r="B1111" s="25" t="s">
        <v>68</v>
      </c>
      <c r="C1111" s="25">
        <v>25</v>
      </c>
      <c r="D1111" s="25" t="s">
        <v>4532</v>
      </c>
      <c r="E1111" s="25" t="s">
        <v>4554</v>
      </c>
      <c r="F1111" s="25">
        <v>12.85</v>
      </c>
      <c r="G1111" s="25" t="s">
        <v>1889</v>
      </c>
      <c r="H1111" s="25">
        <f>3.64+4.58+4.7</f>
        <v>12.920000000000002</v>
      </c>
      <c r="I1111" s="25">
        <f>3.64+4.58+4.7</f>
        <v>12.920000000000002</v>
      </c>
      <c r="J1111" s="25" t="s">
        <v>1891</v>
      </c>
      <c r="N1111" s="25" t="s">
        <v>2916</v>
      </c>
    </row>
    <row r="1112" spans="1:14" x14ac:dyDescent="0.55000000000000004">
      <c r="A1112">
        <v>1111</v>
      </c>
      <c r="B1112" s="25" t="s">
        <v>68</v>
      </c>
      <c r="C1112" s="25">
        <v>25</v>
      </c>
      <c r="D1112" s="25" t="s">
        <v>4532</v>
      </c>
      <c r="E1112" s="25" t="s">
        <v>4555</v>
      </c>
      <c r="F1112" s="25">
        <v>12.5</v>
      </c>
      <c r="G1112" s="25" t="s">
        <v>1889</v>
      </c>
      <c r="H1112" s="25">
        <f>2.27+1.83+5.28+3.13</f>
        <v>12.509999999999998</v>
      </c>
      <c r="I1112" s="25">
        <f>2.27+1.83+5.28+3.13</f>
        <v>12.509999999999998</v>
      </c>
      <c r="J1112" s="25" t="s">
        <v>1891</v>
      </c>
      <c r="N1112" s="25" t="s">
        <v>2917</v>
      </c>
    </row>
    <row r="1113" spans="1:14" x14ac:dyDescent="0.55000000000000004">
      <c r="A1113">
        <v>1112</v>
      </c>
      <c r="B1113" s="25" t="s">
        <v>68</v>
      </c>
      <c r="C1113" s="25">
        <v>25</v>
      </c>
      <c r="D1113" s="25" t="s">
        <v>4532</v>
      </c>
      <c r="E1113" s="25" t="s">
        <v>4556</v>
      </c>
      <c r="F1113" s="25">
        <v>13.79</v>
      </c>
      <c r="G1113" s="25" t="s">
        <v>1889</v>
      </c>
      <c r="H1113" s="25">
        <f>3.78+4.87+4.88</f>
        <v>13.530000000000001</v>
      </c>
      <c r="I1113" s="25">
        <f>3.78+4.87+4.88</f>
        <v>13.530000000000001</v>
      </c>
      <c r="J1113" s="25" t="s">
        <v>1891</v>
      </c>
      <c r="N1113" s="25" t="s">
        <v>2918</v>
      </c>
    </row>
    <row r="1114" spans="1:14" x14ac:dyDescent="0.55000000000000004">
      <c r="A1114">
        <v>1113</v>
      </c>
      <c r="B1114" s="25" t="s">
        <v>68</v>
      </c>
      <c r="C1114" s="25">
        <v>25</v>
      </c>
      <c r="D1114" s="25" t="s">
        <v>4532</v>
      </c>
      <c r="E1114" s="25" t="s">
        <v>4557</v>
      </c>
      <c r="G1114" s="25" t="s">
        <v>1941</v>
      </c>
      <c r="J1114" s="25" t="s">
        <v>1941</v>
      </c>
    </row>
    <row r="1115" spans="1:14" x14ac:dyDescent="0.55000000000000004">
      <c r="A1115">
        <v>1114</v>
      </c>
      <c r="B1115" s="25" t="s">
        <v>69</v>
      </c>
      <c r="C1115" s="25">
        <v>25</v>
      </c>
      <c r="D1115" s="25" t="s">
        <v>4558</v>
      </c>
      <c r="E1115" s="25" t="s">
        <v>4559</v>
      </c>
      <c r="F1115" s="25">
        <v>13.64</v>
      </c>
      <c r="G1115" s="25" t="s">
        <v>1889</v>
      </c>
      <c r="H1115" s="25">
        <f>13.7</f>
        <v>13.7</v>
      </c>
      <c r="I1115" s="25">
        <f>13.7</f>
        <v>13.7</v>
      </c>
      <c r="K1115" s="25" t="str">
        <f>VLOOKUP(E1115,[1]PrelimAssignPOP!$I$1:$J$947,2,FALSE)</f>
        <v>ART</v>
      </c>
      <c r="L1115" s="25" t="s">
        <v>216</v>
      </c>
      <c r="M1115" s="25" t="s">
        <v>147</v>
      </c>
      <c r="N1115" s="25" t="s">
        <v>2919</v>
      </c>
    </row>
    <row r="1116" spans="1:14" x14ac:dyDescent="0.55000000000000004">
      <c r="A1116">
        <v>1115</v>
      </c>
      <c r="B1116" s="25" t="s">
        <v>69</v>
      </c>
      <c r="C1116" s="25">
        <v>25</v>
      </c>
      <c r="D1116" s="25" t="s">
        <v>4558</v>
      </c>
      <c r="E1116" s="25" t="s">
        <v>4560</v>
      </c>
      <c r="F1116" s="25">
        <v>13.98</v>
      </c>
      <c r="G1116" s="25" t="s">
        <v>1889</v>
      </c>
      <c r="H1116" s="25">
        <f>3.34+3.59+3.17+3.94</f>
        <v>14.04</v>
      </c>
      <c r="I1116" s="25">
        <f>3.34+3.59+3.17+3.94</f>
        <v>14.04</v>
      </c>
      <c r="K1116" s="25" t="str">
        <f>VLOOKUP(E1116,[1]PrelimAssignPOP!$I$1:$J$947,2,FALSE)</f>
        <v>ART</v>
      </c>
      <c r="L1116" s="25" t="s">
        <v>216</v>
      </c>
      <c r="M1116" s="25" t="s">
        <v>148</v>
      </c>
      <c r="N1116" s="25" t="s">
        <v>2920</v>
      </c>
    </row>
    <row r="1117" spans="1:14" x14ac:dyDescent="0.55000000000000004">
      <c r="A1117">
        <v>1116</v>
      </c>
      <c r="B1117" s="25" t="s">
        <v>69</v>
      </c>
      <c r="C1117" s="25">
        <v>25</v>
      </c>
      <c r="D1117" s="25" t="s">
        <v>4558</v>
      </c>
      <c r="E1117" s="25" t="s">
        <v>4561</v>
      </c>
      <c r="F1117" s="25">
        <v>15.39</v>
      </c>
      <c r="G1117" s="25" t="s">
        <v>1889</v>
      </c>
      <c r="H1117" s="25">
        <f>3.07+3.46+3.14+5.77</f>
        <v>15.44</v>
      </c>
      <c r="I1117" s="25">
        <f>3.07+3.46+3.14+5.77</f>
        <v>15.44</v>
      </c>
      <c r="K1117" s="25" t="str">
        <f>VLOOKUP(E1117,[1]PrelimAssignPOP!$I$1:$J$947,2,FALSE)</f>
        <v>ART</v>
      </c>
      <c r="L1117" s="25" t="s">
        <v>216</v>
      </c>
      <c r="M1117" s="25" t="s">
        <v>149</v>
      </c>
      <c r="N1117" s="25" t="s">
        <v>2921</v>
      </c>
    </row>
    <row r="1118" spans="1:14" x14ac:dyDescent="0.55000000000000004">
      <c r="A1118">
        <v>1117</v>
      </c>
      <c r="B1118" s="25" t="s">
        <v>69</v>
      </c>
      <c r="C1118" s="25">
        <v>25</v>
      </c>
      <c r="D1118" s="25" t="s">
        <v>4558</v>
      </c>
      <c r="E1118" s="25" t="s">
        <v>4562</v>
      </c>
      <c r="F1118" s="25">
        <v>13.59</v>
      </c>
      <c r="G1118" s="25" t="s">
        <v>1889</v>
      </c>
      <c r="H1118" s="25">
        <f>3.94+6.4+3.58</f>
        <v>13.92</v>
      </c>
      <c r="I1118" s="25">
        <f>3.94+6.4+3.58</f>
        <v>13.92</v>
      </c>
      <c r="K1118" s="25" t="str">
        <f>VLOOKUP(E1118,[1]PrelimAssignPOP!$I$1:$J$947,2,FALSE)</f>
        <v>ART</v>
      </c>
      <c r="L1118" s="25" t="s">
        <v>216</v>
      </c>
      <c r="M1118" s="25" t="s">
        <v>150</v>
      </c>
      <c r="N1118" s="25" t="s">
        <v>2922</v>
      </c>
    </row>
    <row r="1119" spans="1:14" x14ac:dyDescent="0.55000000000000004">
      <c r="A1119">
        <v>1118</v>
      </c>
      <c r="B1119" s="25" t="s">
        <v>69</v>
      </c>
      <c r="C1119" s="25">
        <v>25</v>
      </c>
      <c r="D1119" s="25" t="s">
        <v>4558</v>
      </c>
      <c r="E1119" s="25" t="s">
        <v>4563</v>
      </c>
      <c r="F1119" s="25">
        <v>14.52</v>
      </c>
      <c r="G1119" s="25" t="s">
        <v>1889</v>
      </c>
      <c r="H1119" s="25">
        <f>3.58+4.91+4.7+1.78</f>
        <v>14.97</v>
      </c>
      <c r="I1119" s="25">
        <f>3.58+4.91+4.7+1.78</f>
        <v>14.97</v>
      </c>
      <c r="K1119" s="25" t="str">
        <f>VLOOKUP(E1119,[1]PrelimAssignPOP!$I$1:$J$947,2,FALSE)</f>
        <v>ART</v>
      </c>
      <c r="L1119" s="25" t="s">
        <v>216</v>
      </c>
      <c r="M1119" s="25" t="s">
        <v>151</v>
      </c>
      <c r="N1119" s="25" t="s">
        <v>2923</v>
      </c>
    </row>
    <row r="1120" spans="1:14" x14ac:dyDescent="0.55000000000000004">
      <c r="A1120">
        <v>1119</v>
      </c>
      <c r="B1120" s="25" t="s">
        <v>69</v>
      </c>
      <c r="C1120" s="25">
        <v>25</v>
      </c>
      <c r="D1120" s="25" t="s">
        <v>4558</v>
      </c>
      <c r="E1120" s="25" t="s">
        <v>4564</v>
      </c>
      <c r="F1120" s="25">
        <v>13.05</v>
      </c>
      <c r="G1120" s="25" t="s">
        <v>1889</v>
      </c>
      <c r="H1120" s="25">
        <f>8.96+4.25</f>
        <v>13.21</v>
      </c>
      <c r="I1120" s="25">
        <f>8.96+4.25</f>
        <v>13.21</v>
      </c>
      <c r="K1120" s="25" t="str">
        <f>VLOOKUP(E1120,[1]PrelimAssignPOP!$I$1:$J$947,2,FALSE)</f>
        <v>ART</v>
      </c>
      <c r="L1120" s="25" t="s">
        <v>216</v>
      </c>
      <c r="M1120" s="25" t="s">
        <v>152</v>
      </c>
      <c r="N1120" s="25" t="s">
        <v>2924</v>
      </c>
    </row>
    <row r="1121" spans="1:14" x14ac:dyDescent="0.55000000000000004">
      <c r="A1121">
        <v>1120</v>
      </c>
      <c r="B1121" s="25" t="s">
        <v>69</v>
      </c>
      <c r="C1121" s="25">
        <v>25</v>
      </c>
      <c r="D1121" s="25" t="s">
        <v>4558</v>
      </c>
      <c r="E1121" s="25" t="s">
        <v>4565</v>
      </c>
      <c r="F1121" s="25">
        <v>15.48</v>
      </c>
      <c r="G1121" s="25" t="s">
        <v>2113</v>
      </c>
      <c r="I1121" s="25">
        <v>15.48</v>
      </c>
      <c r="J1121" s="25" t="s">
        <v>110</v>
      </c>
      <c r="K1121" s="25" t="str">
        <f>VLOOKUP(E1121,[1]PrelimAssignPOP!$I$1:$J$947,2,FALSE)</f>
        <v>ART</v>
      </c>
      <c r="L1121" s="25" t="s">
        <v>216</v>
      </c>
      <c r="M1121" s="25" t="s">
        <v>153</v>
      </c>
    </row>
    <row r="1122" spans="1:14" x14ac:dyDescent="0.55000000000000004">
      <c r="A1122">
        <v>1121</v>
      </c>
      <c r="B1122" s="25" t="s">
        <v>69</v>
      </c>
      <c r="C1122" s="25">
        <v>25</v>
      </c>
      <c r="D1122" s="25" t="s">
        <v>4558</v>
      </c>
      <c r="E1122" s="25" t="s">
        <v>4566</v>
      </c>
      <c r="F1122" s="25">
        <v>15.48</v>
      </c>
      <c r="G1122" s="25" t="s">
        <v>2113</v>
      </c>
      <c r="I1122" s="25">
        <v>15.48</v>
      </c>
      <c r="J1122" s="25" t="s">
        <v>110</v>
      </c>
      <c r="K1122" s="25" t="str">
        <f>VLOOKUP(E1122,[1]PrelimAssignPOP!$I$1:$J$947,2,FALSE)</f>
        <v>ART</v>
      </c>
      <c r="L1122" s="25" t="s">
        <v>216</v>
      </c>
      <c r="M1122" s="25" t="s">
        <v>154</v>
      </c>
    </row>
    <row r="1123" spans="1:14" x14ac:dyDescent="0.55000000000000004">
      <c r="A1123">
        <v>1122</v>
      </c>
      <c r="B1123" s="25" t="s">
        <v>69</v>
      </c>
      <c r="C1123" s="25">
        <v>25</v>
      </c>
      <c r="D1123" s="25" t="s">
        <v>4558</v>
      </c>
      <c r="E1123" s="25" t="s">
        <v>4567</v>
      </c>
      <c r="F1123" s="25">
        <v>14.67</v>
      </c>
      <c r="G1123" s="25" t="s">
        <v>2113</v>
      </c>
      <c r="I1123" s="25">
        <v>14.67</v>
      </c>
      <c r="J1123" s="25" t="s">
        <v>110</v>
      </c>
      <c r="K1123" s="25" t="str">
        <f>VLOOKUP(E1123,[1]PrelimAssignPOP!$I$1:$J$947,2,FALSE)</f>
        <v>ART</v>
      </c>
      <c r="L1123" s="25" t="s">
        <v>216</v>
      </c>
      <c r="M1123" s="25" t="s">
        <v>117</v>
      </c>
    </row>
    <row r="1124" spans="1:14" x14ac:dyDescent="0.55000000000000004">
      <c r="A1124">
        <v>1123</v>
      </c>
      <c r="B1124" s="25" t="s">
        <v>69</v>
      </c>
      <c r="C1124" s="25">
        <v>25</v>
      </c>
      <c r="D1124" s="25" t="s">
        <v>4558</v>
      </c>
      <c r="E1124" s="25" t="s">
        <v>4568</v>
      </c>
      <c r="F1124" s="25">
        <v>13.58</v>
      </c>
      <c r="G1124" s="25" t="s">
        <v>2113</v>
      </c>
      <c r="I1124" s="25">
        <v>13.58</v>
      </c>
      <c r="J1124" s="25" t="s">
        <v>110</v>
      </c>
      <c r="K1124" s="25" t="str">
        <f>VLOOKUP(E1124,[1]PrelimAssignPOP!$I$1:$J$947,2,FALSE)</f>
        <v>ART</v>
      </c>
      <c r="L1124" s="25" t="s">
        <v>216</v>
      </c>
      <c r="M1124" s="25" t="s">
        <v>155</v>
      </c>
    </row>
    <row r="1125" spans="1:14" x14ac:dyDescent="0.55000000000000004">
      <c r="A1125">
        <v>1124</v>
      </c>
      <c r="B1125" s="25" t="s">
        <v>69</v>
      </c>
      <c r="C1125" s="25">
        <v>25</v>
      </c>
      <c r="D1125" s="25" t="s">
        <v>4558</v>
      </c>
      <c r="E1125" s="25" t="s">
        <v>4569</v>
      </c>
      <c r="F1125" s="25">
        <v>14.46</v>
      </c>
      <c r="G1125" s="25" t="s">
        <v>2113</v>
      </c>
      <c r="I1125" s="25">
        <v>14.46</v>
      </c>
      <c r="J1125" s="25" t="s">
        <v>110</v>
      </c>
      <c r="K1125" s="25" t="str">
        <f>VLOOKUP(E1125,[1]PrelimAssignPOP!$I$1:$J$947,2,FALSE)</f>
        <v>ART</v>
      </c>
      <c r="L1125" s="25" t="s">
        <v>216</v>
      </c>
      <c r="M1125" s="25" t="s">
        <v>156</v>
      </c>
    </row>
    <row r="1126" spans="1:14" x14ac:dyDescent="0.55000000000000004">
      <c r="A1126">
        <v>1125</v>
      </c>
      <c r="B1126" s="25" t="s">
        <v>69</v>
      </c>
      <c r="C1126" s="25">
        <v>25</v>
      </c>
      <c r="D1126" s="25" t="s">
        <v>4558</v>
      </c>
      <c r="E1126" s="25" t="s">
        <v>4570</v>
      </c>
      <c r="F1126" s="25">
        <v>14.46</v>
      </c>
      <c r="G1126" s="25" t="s">
        <v>2113</v>
      </c>
      <c r="I1126" s="25">
        <v>14.46</v>
      </c>
      <c r="J1126" s="25" t="s">
        <v>110</v>
      </c>
      <c r="K1126" s="25" t="str">
        <f>VLOOKUP(E1126,[1]PrelimAssignPOP!$I$1:$J$947,2,FALSE)</f>
        <v>ART</v>
      </c>
      <c r="L1126" s="25" t="s">
        <v>216</v>
      </c>
      <c r="M1126" s="25" t="s">
        <v>157</v>
      </c>
    </row>
    <row r="1127" spans="1:14" x14ac:dyDescent="0.55000000000000004">
      <c r="A1127">
        <v>1126</v>
      </c>
      <c r="B1127" s="25" t="s">
        <v>69</v>
      </c>
      <c r="C1127" s="25">
        <v>25</v>
      </c>
      <c r="D1127" s="25" t="s">
        <v>4558</v>
      </c>
      <c r="E1127" s="25" t="s">
        <v>4571</v>
      </c>
      <c r="F1127" s="25">
        <v>15.42</v>
      </c>
      <c r="G1127" s="25" t="s">
        <v>2113</v>
      </c>
      <c r="I1127" s="25">
        <v>15.42</v>
      </c>
      <c r="J1127" s="25" t="s">
        <v>110</v>
      </c>
    </row>
    <row r="1128" spans="1:14" x14ac:dyDescent="0.55000000000000004">
      <c r="A1128">
        <v>1127</v>
      </c>
      <c r="B1128" s="25" t="s">
        <v>69</v>
      </c>
      <c r="C1128" s="25">
        <v>25</v>
      </c>
      <c r="D1128" s="25" t="s">
        <v>4558</v>
      </c>
      <c r="E1128" s="25" t="s">
        <v>4572</v>
      </c>
      <c r="F1128" s="25">
        <v>15.66</v>
      </c>
      <c r="G1128" s="25" t="s">
        <v>2113</v>
      </c>
      <c r="I1128" s="25">
        <v>15.66</v>
      </c>
      <c r="J1128" s="25" t="s">
        <v>110</v>
      </c>
    </row>
    <row r="1129" spans="1:14" x14ac:dyDescent="0.55000000000000004">
      <c r="A1129">
        <v>1128</v>
      </c>
      <c r="B1129" s="25" t="s">
        <v>69</v>
      </c>
      <c r="C1129" s="25">
        <v>25</v>
      </c>
      <c r="D1129" s="25" t="s">
        <v>4558</v>
      </c>
      <c r="E1129" s="25" t="s">
        <v>4573</v>
      </c>
      <c r="F1129" s="25">
        <v>13.93</v>
      </c>
      <c r="G1129" s="25" t="s">
        <v>2113</v>
      </c>
      <c r="I1129" s="25">
        <v>13.93</v>
      </c>
      <c r="J1129" s="25" t="s">
        <v>110</v>
      </c>
    </row>
    <row r="1130" spans="1:14" x14ac:dyDescent="0.55000000000000004">
      <c r="A1130">
        <v>1129</v>
      </c>
      <c r="B1130" s="25" t="s">
        <v>69</v>
      </c>
      <c r="C1130" s="25">
        <v>25</v>
      </c>
      <c r="D1130" s="25" t="s">
        <v>4558</v>
      </c>
      <c r="E1130" s="25" t="s">
        <v>4574</v>
      </c>
      <c r="F1130" s="25">
        <v>14.77</v>
      </c>
      <c r="G1130" s="25" t="s">
        <v>2113</v>
      </c>
      <c r="I1130" s="25">
        <v>14.77</v>
      </c>
      <c r="J1130" s="25" t="s">
        <v>110</v>
      </c>
    </row>
    <row r="1131" spans="1:14" x14ac:dyDescent="0.55000000000000004">
      <c r="A1131">
        <v>1130</v>
      </c>
      <c r="B1131" s="25" t="s">
        <v>69</v>
      </c>
      <c r="C1131" s="25">
        <v>25</v>
      </c>
      <c r="D1131" s="25" t="s">
        <v>4558</v>
      </c>
      <c r="E1131" s="25" t="s">
        <v>4575</v>
      </c>
      <c r="F1131" s="25">
        <v>15.21</v>
      </c>
      <c r="G1131" s="25" t="s">
        <v>1889</v>
      </c>
      <c r="H1131" s="25">
        <f>3.98+3.23+7.93</f>
        <v>15.14</v>
      </c>
      <c r="I1131" s="25">
        <f>3.98+3.23+7.93</f>
        <v>15.14</v>
      </c>
      <c r="J1131" s="25" t="s">
        <v>1891</v>
      </c>
      <c r="N1131" s="25" t="s">
        <v>2925</v>
      </c>
    </row>
    <row r="1132" spans="1:14" x14ac:dyDescent="0.55000000000000004">
      <c r="A1132">
        <v>1131</v>
      </c>
      <c r="B1132" s="25" t="s">
        <v>69</v>
      </c>
      <c r="C1132" s="25">
        <v>25</v>
      </c>
      <c r="D1132" s="25" t="s">
        <v>4558</v>
      </c>
      <c r="E1132" s="25" t="s">
        <v>4576</v>
      </c>
      <c r="F1132" s="25">
        <v>14.28</v>
      </c>
      <c r="G1132" s="25" t="s">
        <v>1889</v>
      </c>
      <c r="H1132" s="25">
        <f>10.07+4.14</f>
        <v>14.21</v>
      </c>
      <c r="I1132" s="25">
        <f>10.07+4.14</f>
        <v>14.21</v>
      </c>
      <c r="J1132" s="25" t="s">
        <v>1891</v>
      </c>
      <c r="N1132" s="25" t="s">
        <v>2926</v>
      </c>
    </row>
    <row r="1133" spans="1:14" x14ac:dyDescent="0.55000000000000004">
      <c r="A1133">
        <v>1132</v>
      </c>
      <c r="B1133" s="25" t="s">
        <v>69</v>
      </c>
      <c r="C1133" s="25">
        <v>25</v>
      </c>
      <c r="D1133" s="25" t="s">
        <v>4558</v>
      </c>
      <c r="E1133" s="25" t="s">
        <v>4577</v>
      </c>
      <c r="F1133" s="25">
        <v>14.25</v>
      </c>
      <c r="G1133" s="25" t="s">
        <v>1889</v>
      </c>
      <c r="H1133" s="25">
        <f>7.28+3.46+3.69</f>
        <v>14.43</v>
      </c>
      <c r="I1133" s="25">
        <f>7.28+3.46+3.69</f>
        <v>14.43</v>
      </c>
      <c r="J1133" s="25" t="s">
        <v>1891</v>
      </c>
      <c r="N1133" s="25" t="s">
        <v>2927</v>
      </c>
    </row>
    <row r="1134" spans="1:14" x14ac:dyDescent="0.55000000000000004">
      <c r="A1134">
        <v>1133</v>
      </c>
      <c r="B1134" s="25" t="s">
        <v>69</v>
      </c>
      <c r="C1134" s="25">
        <v>25</v>
      </c>
      <c r="D1134" s="25" t="s">
        <v>4558</v>
      </c>
      <c r="E1134" s="25" t="s">
        <v>4578</v>
      </c>
      <c r="F1134" s="25">
        <v>14.28</v>
      </c>
      <c r="G1134" s="25" t="s">
        <v>1889</v>
      </c>
      <c r="H1134" s="25">
        <f>14.36</f>
        <v>14.36</v>
      </c>
      <c r="I1134" s="25">
        <f>14.36</f>
        <v>14.36</v>
      </c>
      <c r="J1134" s="25" t="s">
        <v>1891</v>
      </c>
      <c r="N1134" s="25" t="s">
        <v>2928</v>
      </c>
    </row>
    <row r="1135" spans="1:14" x14ac:dyDescent="0.55000000000000004">
      <c r="A1135">
        <v>1134</v>
      </c>
      <c r="B1135" s="25" t="s">
        <v>69</v>
      </c>
      <c r="C1135" s="25">
        <v>25</v>
      </c>
      <c r="D1135" s="25" t="s">
        <v>4558</v>
      </c>
      <c r="E1135" s="25" t="s">
        <v>4579</v>
      </c>
      <c r="F1135" s="25">
        <v>13.86</v>
      </c>
      <c r="G1135" s="25" t="s">
        <v>1889</v>
      </c>
      <c r="H1135" s="25">
        <f>2.89+5.3+5.82</f>
        <v>14.01</v>
      </c>
      <c r="I1135" s="25">
        <f>2.89+5.3+5.82</f>
        <v>14.01</v>
      </c>
      <c r="J1135" s="25" t="s">
        <v>1891</v>
      </c>
      <c r="N1135" s="25" t="s">
        <v>2929</v>
      </c>
    </row>
    <row r="1136" spans="1:14" x14ac:dyDescent="0.55000000000000004">
      <c r="A1136">
        <v>1135</v>
      </c>
      <c r="B1136" s="25" t="s">
        <v>69</v>
      </c>
      <c r="C1136" s="25">
        <v>25</v>
      </c>
      <c r="D1136" s="25" t="s">
        <v>4558</v>
      </c>
      <c r="E1136" s="25" t="s">
        <v>4580</v>
      </c>
      <c r="F1136" s="25">
        <v>14.2</v>
      </c>
      <c r="G1136" s="25" t="s">
        <v>1889</v>
      </c>
      <c r="H1136" s="25">
        <v>14.23</v>
      </c>
      <c r="I1136" s="25">
        <v>14.23</v>
      </c>
      <c r="J1136" s="25" t="s">
        <v>1891</v>
      </c>
      <c r="N1136" s="25" t="s">
        <v>2930</v>
      </c>
    </row>
    <row r="1137" spans="1:14" x14ac:dyDescent="0.55000000000000004">
      <c r="A1137">
        <v>1136</v>
      </c>
      <c r="B1137" s="25" t="s">
        <v>69</v>
      </c>
      <c r="C1137" s="25">
        <v>25</v>
      </c>
      <c r="D1137" s="25" t="s">
        <v>4558</v>
      </c>
      <c r="E1137" s="25" t="s">
        <v>4581</v>
      </c>
      <c r="F1137" s="25">
        <v>14.47</v>
      </c>
      <c r="G1137" s="25" t="s">
        <v>1889</v>
      </c>
      <c r="H1137" s="25">
        <f>4.54+6.45+3.86</f>
        <v>14.85</v>
      </c>
      <c r="I1137" s="25">
        <f>4.54+6.45+3.86</f>
        <v>14.85</v>
      </c>
      <c r="J1137" s="25" t="s">
        <v>1891</v>
      </c>
      <c r="N1137" s="25" t="s">
        <v>2931</v>
      </c>
    </row>
    <row r="1138" spans="1:14" x14ac:dyDescent="0.55000000000000004">
      <c r="A1138">
        <v>1137</v>
      </c>
      <c r="B1138" s="25" t="s">
        <v>69</v>
      </c>
      <c r="C1138" s="25">
        <v>25</v>
      </c>
      <c r="D1138" s="25" t="s">
        <v>4558</v>
      </c>
      <c r="E1138" s="25" t="s">
        <v>4582</v>
      </c>
      <c r="F1138" s="25">
        <v>14.38</v>
      </c>
      <c r="G1138" s="25" t="s">
        <v>1889</v>
      </c>
      <c r="H1138" s="25">
        <f>3.96+3.99+3.74+3.4</f>
        <v>15.090000000000002</v>
      </c>
      <c r="I1138" s="25">
        <f>3.96+3.99+3.74+3.4</f>
        <v>15.090000000000002</v>
      </c>
      <c r="J1138" s="25" t="s">
        <v>1891</v>
      </c>
      <c r="N1138" s="25" t="s">
        <v>2932</v>
      </c>
    </row>
    <row r="1139" spans="1:14" x14ac:dyDescent="0.55000000000000004">
      <c r="A1139">
        <v>1138</v>
      </c>
      <c r="B1139" s="25" t="s">
        <v>69</v>
      </c>
      <c r="C1139" s="25">
        <v>25</v>
      </c>
      <c r="D1139" s="25" t="s">
        <v>4558</v>
      </c>
      <c r="E1139" s="25" t="s">
        <v>4583</v>
      </c>
      <c r="F1139" s="25">
        <v>14.14</v>
      </c>
      <c r="G1139" s="25" t="s">
        <v>1889</v>
      </c>
      <c r="H1139" s="25">
        <f>1.78+2.47+3.41+2.7+4.02</f>
        <v>14.379999999999999</v>
      </c>
      <c r="I1139" s="25">
        <f>1.78+2.47+3.41+2.7+4.02</f>
        <v>14.379999999999999</v>
      </c>
      <c r="J1139" s="25" t="s">
        <v>1891</v>
      </c>
      <c r="N1139" s="25" t="s">
        <v>2933</v>
      </c>
    </row>
    <row r="1140" spans="1:14" x14ac:dyDescent="0.55000000000000004">
      <c r="A1140">
        <v>1139</v>
      </c>
      <c r="B1140" s="25" t="s">
        <v>70</v>
      </c>
      <c r="C1140" s="25">
        <v>25</v>
      </c>
      <c r="D1140" s="25" t="s">
        <v>4584</v>
      </c>
      <c r="E1140" s="25" t="s">
        <v>4585</v>
      </c>
      <c r="F1140" s="25">
        <v>15.16</v>
      </c>
      <c r="G1140" s="25" t="s">
        <v>1889</v>
      </c>
      <c r="H1140" s="25">
        <f>2.94+12.31</f>
        <v>15.25</v>
      </c>
      <c r="I1140" s="25">
        <f>2.94+12.31</f>
        <v>15.25</v>
      </c>
      <c r="J1140" s="25" t="s">
        <v>1891</v>
      </c>
      <c r="K1140" s="25" t="str">
        <f>VLOOKUP(E1140,[1]PrelimAssignPOP!$I$1:$J$947,2,FALSE)</f>
        <v>ART</v>
      </c>
      <c r="L1140" s="25" t="s">
        <v>216</v>
      </c>
      <c r="M1140" s="25" t="s">
        <v>158</v>
      </c>
      <c r="N1140" s="25" t="s">
        <v>2934</v>
      </c>
    </row>
    <row r="1141" spans="1:14" x14ac:dyDescent="0.55000000000000004">
      <c r="A1141">
        <v>1140</v>
      </c>
      <c r="B1141" s="25" t="s">
        <v>70</v>
      </c>
      <c r="C1141" s="25">
        <v>25</v>
      </c>
      <c r="D1141" s="25" t="s">
        <v>4584</v>
      </c>
      <c r="E1141" s="25" t="s">
        <v>4586</v>
      </c>
      <c r="F1141" s="25">
        <v>14.49</v>
      </c>
      <c r="G1141" s="25" t="s">
        <v>1889</v>
      </c>
      <c r="H1141" s="25">
        <f>2.93+4.64+3.07+3.96</f>
        <v>14.600000000000001</v>
      </c>
      <c r="I1141" s="25">
        <f>2.93+4.64+3.07+3.96</f>
        <v>14.600000000000001</v>
      </c>
      <c r="J1141" s="25" t="s">
        <v>1891</v>
      </c>
      <c r="K1141" s="25" t="str">
        <f>VLOOKUP(E1141,[1]PrelimAssignPOP!$I$1:$J$947,2,FALSE)</f>
        <v>ART</v>
      </c>
      <c r="L1141" s="25" t="s">
        <v>216</v>
      </c>
      <c r="M1141" s="25" t="s">
        <v>159</v>
      </c>
      <c r="N1141" s="25" t="s">
        <v>2935</v>
      </c>
    </row>
    <row r="1142" spans="1:14" x14ac:dyDescent="0.55000000000000004">
      <c r="A1142">
        <v>1141</v>
      </c>
      <c r="B1142" s="25" t="s">
        <v>70</v>
      </c>
      <c r="C1142" s="25">
        <v>25</v>
      </c>
      <c r="D1142" s="25" t="s">
        <v>4584</v>
      </c>
      <c r="E1142" s="25" t="s">
        <v>4587</v>
      </c>
      <c r="F1142" s="25">
        <v>16.059999999999999</v>
      </c>
      <c r="G1142" s="25" t="s">
        <v>1889</v>
      </c>
      <c r="H1142" s="25">
        <f>2.74+2.9+5.43+4.93</f>
        <v>16</v>
      </c>
      <c r="I1142" s="25">
        <f>2.74+2.9+5.43+4.93</f>
        <v>16</v>
      </c>
      <c r="J1142" s="25" t="s">
        <v>1891</v>
      </c>
      <c r="K1142" s="25" t="str">
        <f>VLOOKUP(E1142,[1]PrelimAssignPOP!$I$1:$J$947,2,FALSE)</f>
        <v>ART</v>
      </c>
      <c r="L1142" s="25" t="s">
        <v>216</v>
      </c>
      <c r="M1142" s="25" t="s">
        <v>160</v>
      </c>
      <c r="N1142" s="25" t="s">
        <v>2936</v>
      </c>
    </row>
    <row r="1143" spans="1:14" x14ac:dyDescent="0.55000000000000004">
      <c r="A1143">
        <v>1142</v>
      </c>
      <c r="B1143" s="25" t="s">
        <v>70</v>
      </c>
      <c r="C1143" s="25">
        <v>25</v>
      </c>
      <c r="D1143" s="25" t="s">
        <v>4584</v>
      </c>
      <c r="E1143" s="25" t="s">
        <v>4588</v>
      </c>
      <c r="F1143" s="25">
        <v>13.81</v>
      </c>
      <c r="G1143" s="25" t="s">
        <v>1889</v>
      </c>
      <c r="H1143" s="25">
        <f>4.76+3.07+5.64</f>
        <v>13.469999999999999</v>
      </c>
      <c r="I1143" s="25">
        <f>4.76+3.07+5.64</f>
        <v>13.469999999999999</v>
      </c>
      <c r="J1143" s="25" t="s">
        <v>1891</v>
      </c>
      <c r="K1143" s="25" t="str">
        <f>VLOOKUP(E1143,[1]PrelimAssignPOP!$I$1:$J$947,2,FALSE)</f>
        <v>ART</v>
      </c>
      <c r="L1143" s="25" t="s">
        <v>216</v>
      </c>
      <c r="M1143" s="25" t="s">
        <v>161</v>
      </c>
      <c r="N1143" s="25" t="s">
        <v>2937</v>
      </c>
    </row>
    <row r="1144" spans="1:14" x14ac:dyDescent="0.55000000000000004">
      <c r="A1144">
        <v>1143</v>
      </c>
      <c r="B1144" s="25" t="s">
        <v>70</v>
      </c>
      <c r="C1144" s="25">
        <v>25</v>
      </c>
      <c r="D1144" s="25" t="s">
        <v>4584</v>
      </c>
      <c r="E1144" s="25" t="s">
        <v>4589</v>
      </c>
      <c r="F1144" s="25">
        <v>14.16</v>
      </c>
      <c r="G1144" s="25" t="s">
        <v>1889</v>
      </c>
      <c r="H1144" s="25">
        <f>3.68+7.64+2.96</f>
        <v>14.280000000000001</v>
      </c>
      <c r="I1144" s="25">
        <f>3.68+7.64+2.96</f>
        <v>14.280000000000001</v>
      </c>
      <c r="J1144" s="25" t="s">
        <v>1891</v>
      </c>
      <c r="K1144" s="25" t="str">
        <f>VLOOKUP(E1144,[1]PrelimAssignPOP!$I$1:$J$947,2,FALSE)</f>
        <v>ART</v>
      </c>
      <c r="L1144" s="25" t="s">
        <v>216</v>
      </c>
      <c r="M1144" s="25" t="s">
        <v>162</v>
      </c>
      <c r="N1144" s="25" t="s">
        <v>2938</v>
      </c>
    </row>
    <row r="1145" spans="1:14" x14ac:dyDescent="0.55000000000000004">
      <c r="A1145">
        <v>1144</v>
      </c>
      <c r="B1145" s="25" t="s">
        <v>70</v>
      </c>
      <c r="C1145" s="25">
        <v>25</v>
      </c>
      <c r="D1145" s="25" t="s">
        <v>4584</v>
      </c>
      <c r="E1145" s="25" t="s">
        <v>4590</v>
      </c>
      <c r="F1145" s="25">
        <v>14.11</v>
      </c>
      <c r="G1145" s="25" t="s">
        <v>1889</v>
      </c>
      <c r="H1145" s="25">
        <f>1.64+8.4+4.54</f>
        <v>14.580000000000002</v>
      </c>
      <c r="I1145" s="25">
        <f>1.64+8.4+4.54</f>
        <v>14.580000000000002</v>
      </c>
      <c r="J1145" s="25" t="s">
        <v>1891</v>
      </c>
      <c r="K1145" s="25" t="str">
        <f>VLOOKUP(E1145,[1]PrelimAssignPOP!$I$1:$J$947,2,FALSE)</f>
        <v>KIY</v>
      </c>
      <c r="L1145" s="25" t="s">
        <v>216</v>
      </c>
      <c r="M1145" s="25" t="s">
        <v>163</v>
      </c>
      <c r="N1145" s="25" t="s">
        <v>2939</v>
      </c>
    </row>
    <row r="1146" spans="1:14" x14ac:dyDescent="0.55000000000000004">
      <c r="A1146">
        <v>1145</v>
      </c>
      <c r="B1146" s="25" t="s">
        <v>70</v>
      </c>
      <c r="C1146" s="25">
        <v>25</v>
      </c>
      <c r="D1146" s="25" t="s">
        <v>4584</v>
      </c>
      <c r="E1146" s="25" t="s">
        <v>4591</v>
      </c>
      <c r="F1146" s="25">
        <v>14.3</v>
      </c>
      <c r="G1146" s="25" t="s">
        <v>1889</v>
      </c>
      <c r="H1146" s="25">
        <f>2.93+5.02+2.9+2.32+1.6</f>
        <v>14.77</v>
      </c>
      <c r="I1146" s="25">
        <f>2.93+5.02+2.9+2.32+1.6</f>
        <v>14.77</v>
      </c>
      <c r="J1146" s="25" t="s">
        <v>1891</v>
      </c>
      <c r="K1146" s="25" t="str">
        <f>VLOOKUP(E1146,[1]PrelimAssignPOP!$I$1:$J$947,2,FALSE)</f>
        <v>ART</v>
      </c>
      <c r="L1146" s="25" t="s">
        <v>216</v>
      </c>
      <c r="M1146" s="25" t="s">
        <v>164</v>
      </c>
      <c r="N1146" s="25" t="s">
        <v>2940</v>
      </c>
    </row>
    <row r="1147" spans="1:14" x14ac:dyDescent="0.55000000000000004">
      <c r="A1147">
        <v>1146</v>
      </c>
      <c r="B1147" s="25" t="s">
        <v>70</v>
      </c>
      <c r="C1147" s="25">
        <v>25</v>
      </c>
      <c r="D1147" s="25" t="s">
        <v>4584</v>
      </c>
      <c r="E1147" s="25" t="s">
        <v>4592</v>
      </c>
      <c r="F1147" s="25">
        <v>16</v>
      </c>
      <c r="G1147" s="25" t="s">
        <v>2113</v>
      </c>
      <c r="I1147" s="25">
        <v>16</v>
      </c>
      <c r="J1147" s="25" t="s">
        <v>110</v>
      </c>
      <c r="K1147" s="25" t="str">
        <f>VLOOKUP(E1147,[1]PrelimAssignPOP!$I$1:$J$947,2,FALSE)</f>
        <v>ART</v>
      </c>
      <c r="L1147" s="25" t="s">
        <v>216</v>
      </c>
      <c r="M1147" s="25" t="s">
        <v>165</v>
      </c>
    </row>
    <row r="1148" spans="1:14" x14ac:dyDescent="0.55000000000000004">
      <c r="A1148">
        <v>1147</v>
      </c>
      <c r="B1148" s="25" t="s">
        <v>70</v>
      </c>
      <c r="C1148" s="25">
        <v>25</v>
      </c>
      <c r="D1148" s="25" t="s">
        <v>4584</v>
      </c>
      <c r="E1148" s="25" t="s">
        <v>4593</v>
      </c>
      <c r="F1148" s="25">
        <v>16</v>
      </c>
      <c r="G1148" s="25" t="s">
        <v>2113</v>
      </c>
      <c r="I1148" s="25">
        <v>16</v>
      </c>
      <c r="J1148" s="25" t="s">
        <v>110</v>
      </c>
      <c r="K1148" s="25" t="str">
        <f>VLOOKUP(E1148,[1]PrelimAssignPOP!$I$1:$J$947,2,FALSE)</f>
        <v>ART</v>
      </c>
      <c r="L1148" s="25" t="s">
        <v>216</v>
      </c>
      <c r="M1148" s="25" t="s">
        <v>118</v>
      </c>
    </row>
    <row r="1149" spans="1:14" x14ac:dyDescent="0.55000000000000004">
      <c r="A1149">
        <v>1148</v>
      </c>
      <c r="B1149" s="25" t="s">
        <v>70</v>
      </c>
      <c r="C1149" s="25">
        <v>25</v>
      </c>
      <c r="D1149" s="25" t="s">
        <v>4584</v>
      </c>
      <c r="E1149" s="25" t="s">
        <v>4594</v>
      </c>
      <c r="F1149" s="25">
        <v>19.93</v>
      </c>
      <c r="G1149" s="25" t="s">
        <v>2113</v>
      </c>
      <c r="I1149" s="25">
        <v>19.93</v>
      </c>
      <c r="J1149" s="25" t="s">
        <v>110</v>
      </c>
      <c r="K1149" s="25" t="str">
        <f>VLOOKUP(E1149,[1]PrelimAssignPOP!$I$1:$J$947,2,FALSE)</f>
        <v>ART</v>
      </c>
      <c r="L1149" s="25" t="s">
        <v>216</v>
      </c>
      <c r="M1149" s="25" t="s">
        <v>166</v>
      </c>
    </row>
    <row r="1150" spans="1:14" x14ac:dyDescent="0.55000000000000004">
      <c r="A1150">
        <v>1149</v>
      </c>
      <c r="B1150" s="25" t="s">
        <v>70</v>
      </c>
      <c r="C1150" s="25">
        <v>25</v>
      </c>
      <c r="D1150" s="25" t="s">
        <v>4584</v>
      </c>
      <c r="E1150" s="25" t="s">
        <v>4595</v>
      </c>
      <c r="F1150" s="25">
        <v>18</v>
      </c>
      <c r="G1150" s="25" t="s">
        <v>2113</v>
      </c>
      <c r="I1150" s="25">
        <v>18</v>
      </c>
      <c r="J1150" s="25" t="s">
        <v>110</v>
      </c>
      <c r="K1150" s="25" t="str">
        <f>VLOOKUP(E1150,[1]PrelimAssignPOP!$I$1:$J$947,2,FALSE)</f>
        <v>ART</v>
      </c>
      <c r="L1150" s="25" t="s">
        <v>216</v>
      </c>
      <c r="M1150" s="25" t="s">
        <v>167</v>
      </c>
    </row>
    <row r="1151" spans="1:14" x14ac:dyDescent="0.55000000000000004">
      <c r="A1151">
        <v>1150</v>
      </c>
      <c r="B1151" s="25" t="s">
        <v>70</v>
      </c>
      <c r="C1151" s="25">
        <v>25</v>
      </c>
      <c r="D1151" s="25" t="s">
        <v>4584</v>
      </c>
      <c r="E1151" s="25" t="s">
        <v>4596</v>
      </c>
      <c r="F1151" s="25">
        <v>18</v>
      </c>
      <c r="G1151" s="25" t="s">
        <v>2113</v>
      </c>
      <c r="I1151" s="25">
        <v>18</v>
      </c>
      <c r="J1151" s="25" t="s">
        <v>110</v>
      </c>
      <c r="K1151" s="25" t="str">
        <f>VLOOKUP(E1151,[1]PrelimAssignPOP!$I$1:$J$947,2,FALSE)</f>
        <v>ART</v>
      </c>
      <c r="L1151" s="25" t="s">
        <v>216</v>
      </c>
      <c r="M1151" s="25" t="s">
        <v>168</v>
      </c>
    </row>
    <row r="1152" spans="1:14" x14ac:dyDescent="0.55000000000000004">
      <c r="A1152">
        <v>1151</v>
      </c>
      <c r="B1152" s="25" t="s">
        <v>70</v>
      </c>
      <c r="C1152" s="25">
        <v>25</v>
      </c>
      <c r="D1152" s="25" t="s">
        <v>4584</v>
      </c>
      <c r="E1152" s="25" t="s">
        <v>4597</v>
      </c>
      <c r="F1152" s="25">
        <v>15.3</v>
      </c>
      <c r="G1152" s="25" t="s">
        <v>2113</v>
      </c>
      <c r="I1152" s="25">
        <v>15.3</v>
      </c>
      <c r="J1152" s="25" t="s">
        <v>110</v>
      </c>
    </row>
    <row r="1153" spans="1:14" x14ac:dyDescent="0.55000000000000004">
      <c r="A1153">
        <v>1152</v>
      </c>
      <c r="B1153" s="25" t="s">
        <v>70</v>
      </c>
      <c r="C1153" s="25">
        <v>25</v>
      </c>
      <c r="D1153" s="25" t="s">
        <v>4584</v>
      </c>
      <c r="E1153" s="25" t="s">
        <v>4598</v>
      </c>
      <c r="F1153" s="25">
        <v>17.03</v>
      </c>
      <c r="G1153" s="25" t="s">
        <v>2113</v>
      </c>
      <c r="I1153" s="25">
        <v>17.03</v>
      </c>
      <c r="J1153" s="25" t="s">
        <v>110</v>
      </c>
    </row>
    <row r="1154" spans="1:14" x14ac:dyDescent="0.55000000000000004">
      <c r="A1154">
        <v>1153</v>
      </c>
      <c r="B1154" s="25" t="s">
        <v>70</v>
      </c>
      <c r="C1154" s="25">
        <v>25</v>
      </c>
      <c r="D1154" s="25" t="s">
        <v>4584</v>
      </c>
      <c r="E1154" s="25" t="s">
        <v>4599</v>
      </c>
      <c r="F1154" s="25">
        <v>16.29</v>
      </c>
      <c r="G1154" s="25" t="s">
        <v>2113</v>
      </c>
      <c r="I1154" s="25">
        <v>16.29</v>
      </c>
      <c r="J1154" s="25" t="s">
        <v>110</v>
      </c>
    </row>
    <row r="1155" spans="1:14" x14ac:dyDescent="0.55000000000000004">
      <c r="A1155">
        <v>1154</v>
      </c>
      <c r="B1155" s="25" t="s">
        <v>70</v>
      </c>
      <c r="C1155" s="25">
        <v>25</v>
      </c>
      <c r="D1155" s="25" t="s">
        <v>4584</v>
      </c>
      <c r="E1155" s="25" t="s">
        <v>4600</v>
      </c>
      <c r="F1155" s="25">
        <v>16.3</v>
      </c>
      <c r="G1155" s="25" t="s">
        <v>2113</v>
      </c>
      <c r="I1155" s="25">
        <v>16.3</v>
      </c>
      <c r="J1155" s="25" t="s">
        <v>110</v>
      </c>
    </row>
    <row r="1156" spans="1:14" x14ac:dyDescent="0.55000000000000004">
      <c r="A1156">
        <v>1155</v>
      </c>
      <c r="B1156" s="25" t="s">
        <v>70</v>
      </c>
      <c r="C1156" s="25">
        <v>25</v>
      </c>
      <c r="D1156" s="25" t="s">
        <v>4584</v>
      </c>
      <c r="E1156" s="25" t="s">
        <v>4601</v>
      </c>
      <c r="F1156" s="25">
        <v>15.7</v>
      </c>
      <c r="G1156" s="25" t="s">
        <v>2113</v>
      </c>
      <c r="I1156" s="25">
        <v>15.7</v>
      </c>
      <c r="J1156" s="25" t="s">
        <v>110</v>
      </c>
    </row>
    <row r="1157" spans="1:14" x14ac:dyDescent="0.55000000000000004">
      <c r="A1157">
        <v>1156</v>
      </c>
      <c r="B1157" s="25" t="s">
        <v>70</v>
      </c>
      <c r="C1157" s="25">
        <v>25</v>
      </c>
      <c r="D1157" s="25" t="s">
        <v>4584</v>
      </c>
      <c r="E1157" s="25" t="s">
        <v>4602</v>
      </c>
      <c r="F1157" s="25">
        <v>14.97</v>
      </c>
      <c r="G1157" s="25" t="s">
        <v>1889</v>
      </c>
      <c r="H1157" s="25">
        <f>5.83+5+4.12</f>
        <v>14.95</v>
      </c>
      <c r="I1157" s="25">
        <f>5.83+5+4.12</f>
        <v>14.95</v>
      </c>
      <c r="J1157" s="25" t="s">
        <v>1891</v>
      </c>
      <c r="N1157" s="25" t="s">
        <v>2941</v>
      </c>
    </row>
    <row r="1158" spans="1:14" x14ac:dyDescent="0.55000000000000004">
      <c r="A1158">
        <v>1157</v>
      </c>
      <c r="B1158" s="25" t="s">
        <v>70</v>
      </c>
      <c r="C1158" s="25">
        <v>25</v>
      </c>
      <c r="D1158" s="25" t="s">
        <v>4584</v>
      </c>
      <c r="E1158" s="25" t="s">
        <v>4603</v>
      </c>
      <c r="F1158" s="25">
        <v>14.52</v>
      </c>
      <c r="G1158" s="25" t="s">
        <v>1889</v>
      </c>
      <c r="H1158" s="25">
        <f>4.69+2.99+5.35+1.68</f>
        <v>14.71</v>
      </c>
      <c r="I1158" s="25">
        <f>4.69+2.99+5.35+1.68</f>
        <v>14.71</v>
      </c>
      <c r="J1158" s="25" t="s">
        <v>1891</v>
      </c>
      <c r="N1158" s="25" t="s">
        <v>2942</v>
      </c>
    </row>
    <row r="1159" spans="1:14" x14ac:dyDescent="0.55000000000000004">
      <c r="A1159">
        <v>1158</v>
      </c>
      <c r="B1159" s="25" t="s">
        <v>70</v>
      </c>
      <c r="C1159" s="25">
        <v>25</v>
      </c>
      <c r="D1159" s="25" t="s">
        <v>4584</v>
      </c>
      <c r="E1159" s="25" t="s">
        <v>4604</v>
      </c>
      <c r="F1159" s="25">
        <v>16.43</v>
      </c>
      <c r="G1159" s="25" t="s">
        <v>1889</v>
      </c>
      <c r="H1159" s="25">
        <f>3.93+2.62+4.83+3.24+1.97</f>
        <v>16.59</v>
      </c>
      <c r="I1159" s="25">
        <f>3.93+2.62+4.83+3.24+1.97</f>
        <v>16.59</v>
      </c>
      <c r="J1159" s="25" t="s">
        <v>1891</v>
      </c>
      <c r="N1159" s="25" t="s">
        <v>2943</v>
      </c>
    </row>
    <row r="1160" spans="1:14" x14ac:dyDescent="0.55000000000000004">
      <c r="A1160">
        <v>1159</v>
      </c>
      <c r="B1160" s="25" t="s">
        <v>70</v>
      </c>
      <c r="C1160" s="25">
        <v>25</v>
      </c>
      <c r="D1160" s="25" t="s">
        <v>4584</v>
      </c>
      <c r="E1160" s="25" t="s">
        <v>4605</v>
      </c>
      <c r="F1160" s="25">
        <v>16.68</v>
      </c>
      <c r="G1160" s="25" t="s">
        <v>1889</v>
      </c>
      <c r="H1160" s="25">
        <f>1.65+6.18+5.23+4.02</f>
        <v>17.079999999999998</v>
      </c>
      <c r="I1160" s="25">
        <f>1.65+6.18+5.23+4.02</f>
        <v>17.079999999999998</v>
      </c>
      <c r="J1160" s="25" t="s">
        <v>1891</v>
      </c>
      <c r="N1160" s="25" t="s">
        <v>2944</v>
      </c>
    </row>
    <row r="1161" spans="1:14" x14ac:dyDescent="0.55000000000000004">
      <c r="A1161">
        <v>1160</v>
      </c>
      <c r="B1161" s="25" t="s">
        <v>70</v>
      </c>
      <c r="C1161" s="25">
        <v>25</v>
      </c>
      <c r="D1161" s="25" t="s">
        <v>4584</v>
      </c>
      <c r="E1161" s="25" t="s">
        <v>4606</v>
      </c>
      <c r="F1161" s="25">
        <v>16.350000000000001</v>
      </c>
      <c r="G1161" s="25" t="s">
        <v>1889</v>
      </c>
      <c r="H1161" s="25">
        <f>4.28+2.33+2.87+2.17+4.85</f>
        <v>16.5</v>
      </c>
      <c r="I1161" s="25">
        <f>4.28+2.33+2.87+2.17+4.85</f>
        <v>16.5</v>
      </c>
      <c r="J1161" s="25" t="s">
        <v>1891</v>
      </c>
      <c r="N1161" s="25" t="s">
        <v>2945</v>
      </c>
    </row>
    <row r="1162" spans="1:14" x14ac:dyDescent="0.55000000000000004">
      <c r="A1162">
        <v>1161</v>
      </c>
      <c r="B1162" s="25" t="s">
        <v>70</v>
      </c>
      <c r="C1162" s="25">
        <v>25</v>
      </c>
      <c r="D1162" s="25" t="s">
        <v>4584</v>
      </c>
      <c r="E1162" s="25" t="s">
        <v>4607</v>
      </c>
      <c r="F1162" s="25">
        <v>14.98</v>
      </c>
      <c r="G1162" s="25" t="s">
        <v>2113</v>
      </c>
      <c r="I1162" s="25">
        <v>14.98</v>
      </c>
      <c r="J1162" s="25" t="s">
        <v>110</v>
      </c>
    </row>
    <row r="1163" spans="1:14" x14ac:dyDescent="0.55000000000000004">
      <c r="A1163">
        <v>1162</v>
      </c>
      <c r="B1163" s="25" t="s">
        <v>70</v>
      </c>
      <c r="C1163" s="25">
        <v>25</v>
      </c>
      <c r="D1163" s="25" t="s">
        <v>4584</v>
      </c>
      <c r="E1163" s="25" t="s">
        <v>4608</v>
      </c>
      <c r="F1163" s="25">
        <v>17.25</v>
      </c>
      <c r="G1163" s="25" t="s">
        <v>2113</v>
      </c>
      <c r="I1163" s="25">
        <v>17.25</v>
      </c>
      <c r="J1163" s="25" t="s">
        <v>110</v>
      </c>
    </row>
    <row r="1164" spans="1:14" x14ac:dyDescent="0.55000000000000004">
      <c r="A1164">
        <v>1163</v>
      </c>
      <c r="B1164" s="25" t="s">
        <v>70</v>
      </c>
      <c r="C1164" s="25">
        <v>25</v>
      </c>
      <c r="D1164" s="25" t="s">
        <v>4584</v>
      </c>
      <c r="E1164" s="25" t="s">
        <v>4609</v>
      </c>
      <c r="F1164" s="25">
        <v>17.25</v>
      </c>
      <c r="G1164" s="25" t="s">
        <v>2113</v>
      </c>
      <c r="I1164" s="25">
        <v>17.25</v>
      </c>
      <c r="J1164" s="25" t="s">
        <v>110</v>
      </c>
    </row>
    <row r="1165" spans="1:14" x14ac:dyDescent="0.55000000000000004">
      <c r="A1165">
        <v>1164</v>
      </c>
      <c r="B1165" s="25" t="s">
        <v>71</v>
      </c>
      <c r="C1165" s="25">
        <v>25</v>
      </c>
      <c r="D1165" s="25" t="s">
        <v>4610</v>
      </c>
      <c r="E1165" s="25" t="s">
        <v>4611</v>
      </c>
      <c r="F1165" s="25">
        <v>13.75</v>
      </c>
      <c r="G1165" s="25" t="s">
        <v>1889</v>
      </c>
      <c r="H1165" s="25">
        <f>4.02+2.41+2.18+5.28</f>
        <v>13.89</v>
      </c>
      <c r="I1165" s="25">
        <f>4.02+2.41+2.18+5.28</f>
        <v>13.89</v>
      </c>
      <c r="J1165" s="25" t="s">
        <v>1891</v>
      </c>
      <c r="K1165" s="25" t="str">
        <f>VLOOKUP(E1165,[1]PrelimAssignPOP!$I$1:$J$947,2,FALSE)</f>
        <v>ART</v>
      </c>
      <c r="L1165" s="25" t="s">
        <v>216</v>
      </c>
      <c r="M1165" s="25" t="s">
        <v>169</v>
      </c>
      <c r="N1165" s="25" t="s">
        <v>2946</v>
      </c>
    </row>
    <row r="1166" spans="1:14" x14ac:dyDescent="0.55000000000000004">
      <c r="A1166">
        <v>1165</v>
      </c>
      <c r="B1166" s="25" t="s">
        <v>71</v>
      </c>
      <c r="C1166" s="25">
        <v>25</v>
      </c>
      <c r="D1166" s="25" t="s">
        <v>4610</v>
      </c>
      <c r="E1166" s="25" t="s">
        <v>4612</v>
      </c>
      <c r="F1166" s="25">
        <v>15.84</v>
      </c>
      <c r="G1166" s="25" t="s">
        <v>1889</v>
      </c>
      <c r="H1166" s="25">
        <f>3.06+3.61+3.33+2.45+3.4</f>
        <v>15.85</v>
      </c>
      <c r="I1166" s="25">
        <f>3.06+3.61+3.33+2.45+3.4</f>
        <v>15.85</v>
      </c>
      <c r="J1166" s="25" t="s">
        <v>1891</v>
      </c>
      <c r="K1166" s="25" t="str">
        <f>VLOOKUP(E1166,[1]PrelimAssignPOP!$I$1:$J$947,2,FALSE)</f>
        <v>KIY</v>
      </c>
      <c r="L1166" s="25" t="s">
        <v>216</v>
      </c>
      <c r="M1166" s="25" t="s">
        <v>170</v>
      </c>
      <c r="N1166" s="25" t="s">
        <v>2947</v>
      </c>
    </row>
    <row r="1167" spans="1:14" x14ac:dyDescent="0.55000000000000004">
      <c r="A1167">
        <v>1166</v>
      </c>
      <c r="B1167" s="25" t="s">
        <v>71</v>
      </c>
      <c r="C1167" s="25">
        <v>25</v>
      </c>
      <c r="D1167" s="25" t="s">
        <v>4610</v>
      </c>
      <c r="E1167" s="25" t="s">
        <v>4613</v>
      </c>
      <c r="F1167" s="25">
        <v>12.86</v>
      </c>
      <c r="G1167" s="25" t="s">
        <v>1889</v>
      </c>
      <c r="H1167" s="25">
        <f>3.92+1.82+2.71+3.04+1.66</f>
        <v>13.149999999999999</v>
      </c>
      <c r="I1167" s="25">
        <f>3.92+1.82+2.71+3.04+1.66</f>
        <v>13.149999999999999</v>
      </c>
      <c r="J1167" s="25" t="s">
        <v>1891</v>
      </c>
      <c r="K1167" s="25" t="str">
        <f>VLOOKUP(E1167,[1]PrelimAssignPOP!$I$1:$J$947,2,FALSE)</f>
        <v>ART</v>
      </c>
      <c r="L1167" s="25" t="s">
        <v>216</v>
      </c>
      <c r="M1167" s="25" t="s">
        <v>171</v>
      </c>
      <c r="N1167" s="25" t="s">
        <v>2948</v>
      </c>
    </row>
    <row r="1168" spans="1:14" x14ac:dyDescent="0.55000000000000004">
      <c r="A1168">
        <v>1167</v>
      </c>
      <c r="B1168" s="25" t="s">
        <v>71</v>
      </c>
      <c r="C1168" s="25">
        <v>25</v>
      </c>
      <c r="D1168" s="25" t="s">
        <v>4610</v>
      </c>
      <c r="E1168" s="25" t="s">
        <v>4614</v>
      </c>
      <c r="F1168" s="25">
        <v>15.87</v>
      </c>
      <c r="G1168" s="25" t="s">
        <v>1889</v>
      </c>
      <c r="H1168" s="25">
        <f>5.02+3.35+7.85</f>
        <v>16.22</v>
      </c>
      <c r="I1168" s="25">
        <f>5.02+3.35+7.85</f>
        <v>16.22</v>
      </c>
      <c r="J1168" s="25" t="s">
        <v>1891</v>
      </c>
      <c r="K1168" s="25" t="str">
        <f>VLOOKUP(E1168,[1]PrelimAssignPOP!$I$1:$J$947,2,FALSE)</f>
        <v>ART</v>
      </c>
      <c r="L1168" s="25" t="s">
        <v>216</v>
      </c>
      <c r="M1168" s="25" t="s">
        <v>172</v>
      </c>
      <c r="N1168" s="25" t="s">
        <v>2949</v>
      </c>
    </row>
    <row r="1169" spans="1:14" x14ac:dyDescent="0.55000000000000004">
      <c r="A1169">
        <v>1168</v>
      </c>
      <c r="B1169" s="25" t="s">
        <v>71</v>
      </c>
      <c r="C1169" s="25">
        <v>25</v>
      </c>
      <c r="D1169" s="25" t="s">
        <v>4610</v>
      </c>
      <c r="E1169" s="25" t="s">
        <v>4615</v>
      </c>
      <c r="F1169" s="25">
        <v>14.98</v>
      </c>
      <c r="G1169" s="25" t="s">
        <v>1889</v>
      </c>
      <c r="H1169" s="25">
        <f>3.83+2.55+4.02+2.39+2.38</f>
        <v>15.169999999999998</v>
      </c>
      <c r="I1169" s="25">
        <f>3.83+2.55+4.02+2.39+2.38</f>
        <v>15.169999999999998</v>
      </c>
      <c r="J1169" s="25" t="s">
        <v>1891</v>
      </c>
      <c r="K1169" s="25" t="str">
        <f>VLOOKUP(E1169,[1]PrelimAssignPOP!$I$1:$J$947,2,FALSE)</f>
        <v>ART</v>
      </c>
      <c r="L1169" s="25" t="s">
        <v>216</v>
      </c>
      <c r="M1169" s="25" t="s">
        <v>173</v>
      </c>
      <c r="N1169" s="25" t="s">
        <v>2950</v>
      </c>
    </row>
    <row r="1170" spans="1:14" x14ac:dyDescent="0.55000000000000004">
      <c r="A1170">
        <v>1169</v>
      </c>
      <c r="B1170" s="25" t="s">
        <v>71</v>
      </c>
      <c r="C1170" s="25">
        <v>25</v>
      </c>
      <c r="D1170" s="25" t="s">
        <v>4610</v>
      </c>
      <c r="E1170" s="25" t="s">
        <v>4616</v>
      </c>
      <c r="F1170" s="25">
        <v>14.58</v>
      </c>
      <c r="G1170" s="25" t="s">
        <v>1889</v>
      </c>
      <c r="H1170" s="25">
        <f>3.93+3.15+2.81+4.99</f>
        <v>14.88</v>
      </c>
      <c r="I1170" s="25">
        <f>3.93+3.15+2.81+4.99</f>
        <v>14.88</v>
      </c>
      <c r="J1170" s="25" t="s">
        <v>1891</v>
      </c>
      <c r="K1170" s="25" t="str">
        <f>VLOOKUP(E1170,[1]PrelimAssignPOP!$I$1:$J$947,2,FALSE)</f>
        <v>ART</v>
      </c>
      <c r="L1170" s="25" t="s">
        <v>216</v>
      </c>
      <c r="M1170" s="25" t="s">
        <v>174</v>
      </c>
      <c r="N1170" s="25" t="s">
        <v>2951</v>
      </c>
    </row>
    <row r="1171" spans="1:14" x14ac:dyDescent="0.55000000000000004">
      <c r="A1171">
        <v>1170</v>
      </c>
      <c r="B1171" s="25" t="s">
        <v>71</v>
      </c>
      <c r="C1171" s="25">
        <v>25</v>
      </c>
      <c r="D1171" s="25" t="s">
        <v>4610</v>
      </c>
      <c r="E1171" s="25" t="s">
        <v>4617</v>
      </c>
      <c r="F1171" s="25">
        <v>16.23</v>
      </c>
      <c r="G1171" s="25" t="s">
        <v>1889</v>
      </c>
      <c r="H1171" s="25">
        <f>8.88+2.74+4.68</f>
        <v>16.3</v>
      </c>
      <c r="I1171" s="25">
        <f>8.88+2.74+4.68</f>
        <v>16.3</v>
      </c>
      <c r="J1171" s="25" t="s">
        <v>1891</v>
      </c>
      <c r="K1171" s="25" t="str">
        <f>VLOOKUP(E1171,[1]PrelimAssignPOP!$I$1:$J$947,2,FALSE)</f>
        <v>HYB</v>
      </c>
      <c r="L1171" s="25" t="s">
        <v>216</v>
      </c>
      <c r="M1171" s="25" t="s">
        <v>175</v>
      </c>
      <c r="N1171" s="25" t="s">
        <v>2952</v>
      </c>
    </row>
    <row r="1172" spans="1:14" x14ac:dyDescent="0.55000000000000004">
      <c r="A1172">
        <v>1171</v>
      </c>
      <c r="B1172" s="25" t="s">
        <v>71</v>
      </c>
      <c r="C1172" s="25">
        <v>25</v>
      </c>
      <c r="D1172" s="25" t="s">
        <v>4610</v>
      </c>
      <c r="E1172" s="25" t="s">
        <v>4618</v>
      </c>
      <c r="F1172" s="25">
        <v>14.65</v>
      </c>
      <c r="G1172" s="25" t="s">
        <v>1889</v>
      </c>
      <c r="H1172" s="25">
        <f>6.81+2.98+4.81</f>
        <v>14.599999999999998</v>
      </c>
      <c r="I1172" s="25">
        <f>6.81+2.98+4.81</f>
        <v>14.599999999999998</v>
      </c>
      <c r="J1172" s="25" t="s">
        <v>1891</v>
      </c>
      <c r="K1172" s="25" t="str">
        <f>VLOOKUP(E1172,[1]PrelimAssignPOP!$I$1:$J$947,2,FALSE)</f>
        <v>ART</v>
      </c>
      <c r="L1172" s="25" t="s">
        <v>216</v>
      </c>
      <c r="M1172" s="25" t="s">
        <v>176</v>
      </c>
      <c r="N1172" s="25" t="s">
        <v>2953</v>
      </c>
    </row>
    <row r="1173" spans="1:14" x14ac:dyDescent="0.55000000000000004">
      <c r="A1173">
        <v>1172</v>
      </c>
      <c r="B1173" s="25" t="s">
        <v>71</v>
      </c>
      <c r="C1173" s="25">
        <v>25</v>
      </c>
      <c r="D1173" s="25" t="s">
        <v>4610</v>
      </c>
      <c r="E1173" s="25" t="s">
        <v>4619</v>
      </c>
      <c r="F1173" s="25">
        <v>15.58</v>
      </c>
      <c r="G1173" s="25" t="s">
        <v>1889</v>
      </c>
      <c r="H1173" s="25">
        <f>4.08+3.37+4.36+2.1+2.05</f>
        <v>15.96</v>
      </c>
      <c r="I1173" s="25">
        <f>4.08+3.37+4.36+2.1+2.05</f>
        <v>15.96</v>
      </c>
      <c r="J1173" s="25" t="s">
        <v>1891</v>
      </c>
      <c r="K1173" s="25" t="str">
        <f>VLOOKUP(E1173,[1]PrelimAssignPOP!$I$1:$J$947,2,FALSE)</f>
        <v>ART</v>
      </c>
      <c r="L1173" s="25" t="s">
        <v>216</v>
      </c>
      <c r="M1173" s="25" t="s">
        <v>119</v>
      </c>
      <c r="N1173" s="25" t="s">
        <v>2954</v>
      </c>
    </row>
    <row r="1174" spans="1:14" x14ac:dyDescent="0.55000000000000004">
      <c r="A1174">
        <v>1173</v>
      </c>
      <c r="B1174" s="25" t="s">
        <v>71</v>
      </c>
      <c r="C1174" s="25">
        <v>25</v>
      </c>
      <c r="D1174" s="25" t="s">
        <v>4610</v>
      </c>
      <c r="E1174" s="25" t="s">
        <v>4620</v>
      </c>
      <c r="F1174" s="25">
        <v>15.51</v>
      </c>
      <c r="G1174" s="25" t="s">
        <v>1889</v>
      </c>
      <c r="H1174" s="25">
        <f>3.25+3.39+2.28+1.97+4.66</f>
        <v>15.55</v>
      </c>
      <c r="I1174" s="25">
        <f>3.25+3.39+2.28+1.97+4.66</f>
        <v>15.55</v>
      </c>
      <c r="J1174" s="25" t="s">
        <v>1891</v>
      </c>
      <c r="K1174" s="25" t="str">
        <f>VLOOKUP(E1174,[1]PrelimAssignPOP!$I$1:$J$947,2,FALSE)</f>
        <v>ART</v>
      </c>
      <c r="L1174" s="25" t="s">
        <v>216</v>
      </c>
      <c r="M1174" s="25" t="s">
        <v>177</v>
      </c>
      <c r="N1174" s="25" t="s">
        <v>2955</v>
      </c>
    </row>
    <row r="1175" spans="1:14" x14ac:dyDescent="0.55000000000000004">
      <c r="A1175">
        <v>1174</v>
      </c>
      <c r="B1175" s="25" t="s">
        <v>71</v>
      </c>
      <c r="C1175" s="25">
        <v>25</v>
      </c>
      <c r="D1175" s="25" t="s">
        <v>4610</v>
      </c>
      <c r="E1175" s="25" t="s">
        <v>4621</v>
      </c>
      <c r="F1175" s="25">
        <v>16.420000000000002</v>
      </c>
      <c r="G1175" s="25" t="s">
        <v>2113</v>
      </c>
      <c r="I1175" s="25">
        <v>16.420000000000002</v>
      </c>
      <c r="J1175" s="25" t="s">
        <v>110</v>
      </c>
      <c r="K1175" s="25" t="str">
        <f>VLOOKUP(E1175,[1]PrelimAssignPOP!$I$1:$J$947,2,FALSE)</f>
        <v>ART</v>
      </c>
      <c r="L1175" s="25" t="s">
        <v>216</v>
      </c>
      <c r="M1175" s="25" t="s">
        <v>178</v>
      </c>
    </row>
    <row r="1176" spans="1:14" x14ac:dyDescent="0.55000000000000004">
      <c r="A1176">
        <v>1175</v>
      </c>
      <c r="B1176" s="25" t="s">
        <v>71</v>
      </c>
      <c r="C1176" s="25">
        <v>25</v>
      </c>
      <c r="D1176" s="25" t="s">
        <v>4610</v>
      </c>
      <c r="E1176" s="25" t="s">
        <v>4622</v>
      </c>
      <c r="F1176" s="25">
        <v>15.77</v>
      </c>
      <c r="G1176" s="25" t="s">
        <v>2113</v>
      </c>
      <c r="I1176" s="25">
        <v>15.77</v>
      </c>
      <c r="J1176" s="25" t="s">
        <v>110</v>
      </c>
      <c r="K1176" s="25" t="str">
        <f>VLOOKUP(E1176,[1]PrelimAssignPOP!$I$1:$J$947,2,FALSE)</f>
        <v>ART</v>
      </c>
      <c r="L1176" s="25" t="s">
        <v>216</v>
      </c>
      <c r="M1176" s="25" t="s">
        <v>179</v>
      </c>
    </row>
    <row r="1177" spans="1:14" x14ac:dyDescent="0.55000000000000004">
      <c r="A1177">
        <v>1176</v>
      </c>
      <c r="B1177" s="25" t="s">
        <v>71</v>
      </c>
      <c r="C1177" s="25">
        <v>25</v>
      </c>
      <c r="D1177" s="25" t="s">
        <v>4610</v>
      </c>
      <c r="E1177" s="25" t="s">
        <v>4623</v>
      </c>
      <c r="F1177" s="25">
        <v>19.25</v>
      </c>
      <c r="G1177" s="25" t="s">
        <v>2113</v>
      </c>
      <c r="I1177" s="25">
        <v>19.25</v>
      </c>
      <c r="J1177" s="25" t="s">
        <v>110</v>
      </c>
    </row>
    <row r="1178" spans="1:14" x14ac:dyDescent="0.55000000000000004">
      <c r="A1178">
        <v>1177</v>
      </c>
      <c r="B1178" s="25" t="s">
        <v>71</v>
      </c>
      <c r="C1178" s="25">
        <v>25</v>
      </c>
      <c r="D1178" s="25" t="s">
        <v>4610</v>
      </c>
      <c r="E1178" s="25" t="s">
        <v>4624</v>
      </c>
      <c r="F1178" s="25">
        <v>16.93</v>
      </c>
      <c r="G1178" s="25" t="s">
        <v>2113</v>
      </c>
      <c r="I1178" s="25">
        <v>16.93</v>
      </c>
      <c r="J1178" s="25" t="s">
        <v>110</v>
      </c>
    </row>
    <row r="1179" spans="1:14" x14ac:dyDescent="0.55000000000000004">
      <c r="A1179">
        <v>1178</v>
      </c>
      <c r="B1179" s="25" t="s">
        <v>71</v>
      </c>
      <c r="C1179" s="25">
        <v>25</v>
      </c>
      <c r="D1179" s="25" t="s">
        <v>4610</v>
      </c>
      <c r="E1179" s="25" t="s">
        <v>4625</v>
      </c>
      <c r="F1179" s="25">
        <v>16.59</v>
      </c>
      <c r="G1179" s="25" t="s">
        <v>2113</v>
      </c>
      <c r="I1179" s="25">
        <v>16.59</v>
      </c>
      <c r="J1179" s="25" t="s">
        <v>110</v>
      </c>
    </row>
    <row r="1180" spans="1:14" x14ac:dyDescent="0.55000000000000004">
      <c r="A1180">
        <v>1179</v>
      </c>
      <c r="B1180" s="25" t="s">
        <v>71</v>
      </c>
      <c r="C1180" s="25">
        <v>25</v>
      </c>
      <c r="D1180" s="25" t="s">
        <v>4610</v>
      </c>
      <c r="E1180" s="25" t="s">
        <v>4626</v>
      </c>
      <c r="F1180" s="25">
        <v>1776</v>
      </c>
      <c r="G1180" s="25" t="s">
        <v>2113</v>
      </c>
      <c r="I1180" s="25">
        <v>1776</v>
      </c>
      <c r="J1180" s="25" t="s">
        <v>110</v>
      </c>
    </row>
    <row r="1181" spans="1:14" x14ac:dyDescent="0.55000000000000004">
      <c r="A1181">
        <v>1180</v>
      </c>
      <c r="B1181" s="25" t="s">
        <v>71</v>
      </c>
      <c r="C1181" s="25">
        <v>25</v>
      </c>
      <c r="D1181" s="25" t="s">
        <v>4610</v>
      </c>
      <c r="E1181" s="25" t="s">
        <v>4627</v>
      </c>
      <c r="F1181" s="25">
        <v>16.809999999999999</v>
      </c>
      <c r="G1181" s="25" t="s">
        <v>2113</v>
      </c>
      <c r="I1181" s="25">
        <v>16.809999999999999</v>
      </c>
      <c r="J1181" s="25" t="s">
        <v>110</v>
      </c>
    </row>
    <row r="1182" spans="1:14" x14ac:dyDescent="0.55000000000000004">
      <c r="A1182">
        <v>1181</v>
      </c>
      <c r="B1182" s="25" t="s">
        <v>71</v>
      </c>
      <c r="C1182" s="25">
        <v>25</v>
      </c>
      <c r="D1182" s="25" t="s">
        <v>4610</v>
      </c>
      <c r="E1182" s="25" t="s">
        <v>4628</v>
      </c>
      <c r="F1182" s="25">
        <v>15.62</v>
      </c>
      <c r="G1182" s="25" t="s">
        <v>2113</v>
      </c>
      <c r="I1182" s="25">
        <v>15.62</v>
      </c>
      <c r="J1182" s="25" t="s">
        <v>110</v>
      </c>
    </row>
    <row r="1183" spans="1:14" x14ac:dyDescent="0.55000000000000004">
      <c r="A1183">
        <v>1182</v>
      </c>
      <c r="B1183" s="25" t="s">
        <v>71</v>
      </c>
      <c r="C1183" s="25">
        <v>25</v>
      </c>
      <c r="D1183" s="25" t="s">
        <v>4610</v>
      </c>
      <c r="E1183" s="25" t="s">
        <v>4629</v>
      </c>
      <c r="F1183" s="25">
        <v>18.13</v>
      </c>
      <c r="G1183" s="25" t="s">
        <v>2113</v>
      </c>
      <c r="I1183" s="25">
        <v>18.13</v>
      </c>
      <c r="J1183" s="25" t="s">
        <v>110</v>
      </c>
    </row>
    <row r="1184" spans="1:14" x14ac:dyDescent="0.55000000000000004">
      <c r="A1184">
        <v>1183</v>
      </c>
      <c r="B1184" s="25" t="s">
        <v>71</v>
      </c>
      <c r="C1184" s="25">
        <v>25</v>
      </c>
      <c r="D1184" s="25" t="s">
        <v>4610</v>
      </c>
      <c r="E1184" s="25" t="s">
        <v>4630</v>
      </c>
      <c r="F1184" s="25">
        <v>18.5</v>
      </c>
      <c r="G1184" s="25" t="s">
        <v>2113</v>
      </c>
      <c r="I1184" s="25">
        <v>18.5</v>
      </c>
      <c r="J1184" s="25" t="s">
        <v>110</v>
      </c>
    </row>
    <row r="1185" spans="1:14" x14ac:dyDescent="0.55000000000000004">
      <c r="A1185">
        <v>1184</v>
      </c>
      <c r="B1185" s="25" t="s">
        <v>71</v>
      </c>
      <c r="C1185" s="25">
        <v>25</v>
      </c>
      <c r="D1185" s="25" t="s">
        <v>4610</v>
      </c>
      <c r="E1185" s="25" t="s">
        <v>4631</v>
      </c>
      <c r="F1185" s="25">
        <v>16.21</v>
      </c>
      <c r="G1185" s="25" t="s">
        <v>2113</v>
      </c>
      <c r="I1185" s="25">
        <v>16.21</v>
      </c>
      <c r="J1185" s="25" t="s">
        <v>110</v>
      </c>
    </row>
    <row r="1186" spans="1:14" x14ac:dyDescent="0.55000000000000004">
      <c r="A1186">
        <v>1185</v>
      </c>
      <c r="B1186" s="25" t="s">
        <v>71</v>
      </c>
      <c r="C1186" s="25">
        <v>25</v>
      </c>
      <c r="D1186" s="25" t="s">
        <v>4610</v>
      </c>
      <c r="E1186" s="25" t="s">
        <v>4632</v>
      </c>
      <c r="F1186" s="25">
        <v>16.739999999999998</v>
      </c>
      <c r="G1186" s="25" t="s">
        <v>2113</v>
      </c>
      <c r="I1186" s="25">
        <v>16.739999999999998</v>
      </c>
      <c r="J1186" s="25" t="s">
        <v>110</v>
      </c>
    </row>
    <row r="1187" spans="1:14" x14ac:dyDescent="0.55000000000000004">
      <c r="A1187">
        <v>1186</v>
      </c>
      <c r="B1187" s="25" t="s">
        <v>71</v>
      </c>
      <c r="C1187" s="25">
        <v>25</v>
      </c>
      <c r="D1187" s="25" t="s">
        <v>4610</v>
      </c>
      <c r="E1187" s="25" t="s">
        <v>4633</v>
      </c>
      <c r="F1187" s="25">
        <v>15.93</v>
      </c>
      <c r="G1187" s="25" t="s">
        <v>2113</v>
      </c>
      <c r="I1187" s="25">
        <v>15.93</v>
      </c>
      <c r="J1187" s="25" t="s">
        <v>110</v>
      </c>
    </row>
    <row r="1188" spans="1:14" x14ac:dyDescent="0.55000000000000004">
      <c r="A1188">
        <v>1187</v>
      </c>
      <c r="B1188" s="25" t="s">
        <v>71</v>
      </c>
      <c r="C1188" s="25">
        <v>25</v>
      </c>
      <c r="D1188" s="25" t="s">
        <v>4610</v>
      </c>
      <c r="E1188" s="25" t="s">
        <v>4634</v>
      </c>
      <c r="F1188" s="25">
        <v>14.57</v>
      </c>
      <c r="G1188" s="25" t="s">
        <v>2113</v>
      </c>
      <c r="I1188" s="25">
        <v>14.57</v>
      </c>
      <c r="J1188" s="25" t="s">
        <v>110</v>
      </c>
    </row>
    <row r="1189" spans="1:14" x14ac:dyDescent="0.55000000000000004">
      <c r="A1189">
        <v>1188</v>
      </c>
      <c r="B1189" s="25" t="s">
        <v>71</v>
      </c>
      <c r="C1189" s="25">
        <v>25</v>
      </c>
      <c r="D1189" s="25" t="s">
        <v>4610</v>
      </c>
      <c r="E1189" s="25" t="s">
        <v>4635</v>
      </c>
      <c r="F1189" s="25">
        <v>15.4</v>
      </c>
      <c r="G1189" s="25" t="s">
        <v>1889</v>
      </c>
      <c r="H1189" s="25">
        <f>7.89+4.26+1.84+1.79</f>
        <v>15.779999999999998</v>
      </c>
      <c r="I1189" s="25">
        <f>7.89+4.26+1.84+1.79</f>
        <v>15.779999999999998</v>
      </c>
      <c r="J1189" s="25" t="s">
        <v>1891</v>
      </c>
      <c r="N1189" s="25" t="s">
        <v>2956</v>
      </c>
    </row>
    <row r="1190" spans="1:14" x14ac:dyDescent="0.55000000000000004">
      <c r="A1190">
        <v>1189</v>
      </c>
      <c r="B1190" s="25" t="s">
        <v>72</v>
      </c>
      <c r="C1190" s="25">
        <v>13</v>
      </c>
      <c r="D1190" s="25" t="s">
        <v>4636</v>
      </c>
      <c r="E1190" s="25" t="s">
        <v>4637</v>
      </c>
      <c r="F1190" s="25">
        <v>13.8</v>
      </c>
      <c r="G1190" s="25" t="s">
        <v>1889</v>
      </c>
      <c r="H1190" s="25">
        <f>2.93+3.2+2.74+5.3</f>
        <v>14.170000000000002</v>
      </c>
      <c r="I1190" s="25">
        <f>2.93+3.2+2.74+5.3</f>
        <v>14.170000000000002</v>
      </c>
      <c r="J1190" s="25" t="s">
        <v>1891</v>
      </c>
      <c r="K1190" s="25" t="str">
        <f>VLOOKUP(E1190,[1]PrelimAssignPOP!$I$1:$J$947,2,FALSE)</f>
        <v>ART</v>
      </c>
      <c r="L1190" s="25" t="s">
        <v>216</v>
      </c>
      <c r="M1190" s="25" t="s">
        <v>180</v>
      </c>
      <c r="N1190" s="25" t="s">
        <v>2957</v>
      </c>
    </row>
    <row r="1191" spans="1:14" x14ac:dyDescent="0.55000000000000004">
      <c r="A1191">
        <v>1190</v>
      </c>
      <c r="B1191" s="25" t="s">
        <v>72</v>
      </c>
      <c r="C1191" s="25">
        <v>13</v>
      </c>
      <c r="D1191" s="25" t="s">
        <v>4636</v>
      </c>
      <c r="E1191" s="25" t="s">
        <v>4638</v>
      </c>
      <c r="F1191" s="25">
        <v>15.34</v>
      </c>
      <c r="G1191" s="25" t="s">
        <v>1889</v>
      </c>
      <c r="H1191" s="25">
        <f>1.96+8.06+5.51</f>
        <v>15.53</v>
      </c>
      <c r="I1191" s="25">
        <f>1.96+8.06+5.51</f>
        <v>15.53</v>
      </c>
      <c r="J1191" s="25" t="s">
        <v>1891</v>
      </c>
      <c r="K1191" s="25" t="str">
        <f>VLOOKUP(E1191,[1]PrelimAssignPOP!$I$1:$J$947,2,FALSE)</f>
        <v>ART</v>
      </c>
      <c r="L1191" s="25" t="s">
        <v>216</v>
      </c>
      <c r="M1191" s="25" t="s">
        <v>181</v>
      </c>
      <c r="N1191" s="25" t="s">
        <v>2958</v>
      </c>
    </row>
    <row r="1192" spans="1:14" x14ac:dyDescent="0.55000000000000004">
      <c r="A1192">
        <v>1191</v>
      </c>
      <c r="B1192" s="25" t="s">
        <v>72</v>
      </c>
      <c r="C1192" s="25">
        <v>13</v>
      </c>
      <c r="D1192" s="25" t="s">
        <v>4636</v>
      </c>
      <c r="E1192" s="25" t="s">
        <v>4639</v>
      </c>
      <c r="F1192" s="25">
        <v>14.45</v>
      </c>
      <c r="G1192" s="25" t="s">
        <v>1889</v>
      </c>
      <c r="H1192" s="25">
        <f>1.71+3.64+9.11</f>
        <v>14.459999999999999</v>
      </c>
      <c r="I1192" s="25">
        <f>1.71+3.64+9.11</f>
        <v>14.459999999999999</v>
      </c>
      <c r="J1192" s="25" t="s">
        <v>1891</v>
      </c>
      <c r="K1192" s="25" t="str">
        <f>VLOOKUP(E1192,[1]PrelimAssignPOP!$I$1:$J$947,2,FALSE)</f>
        <v>ART</v>
      </c>
      <c r="L1192" s="25" t="s">
        <v>216</v>
      </c>
      <c r="M1192" s="25" t="s">
        <v>182</v>
      </c>
      <c r="N1192" s="25" t="s">
        <v>2959</v>
      </c>
    </row>
    <row r="1193" spans="1:14" x14ac:dyDescent="0.55000000000000004">
      <c r="A1193">
        <v>1192</v>
      </c>
      <c r="B1193" s="25" t="s">
        <v>72</v>
      </c>
      <c r="C1193" s="25">
        <v>13</v>
      </c>
      <c r="D1193" s="25" t="s">
        <v>4636</v>
      </c>
      <c r="E1193" s="25" t="s">
        <v>4640</v>
      </c>
      <c r="F1193" s="25">
        <v>8.89</v>
      </c>
      <c r="G1193" s="25" t="s">
        <v>1889</v>
      </c>
      <c r="H1193" s="25">
        <f>1.46+5.24+0.91+1.93</f>
        <v>9.5400000000000009</v>
      </c>
      <c r="I1193" s="25">
        <f>1.46+5.24+0.91+1.93</f>
        <v>9.5400000000000009</v>
      </c>
      <c r="J1193" s="25" t="s">
        <v>1891</v>
      </c>
      <c r="K1193" s="25" t="str">
        <f>VLOOKUP(E1193,[1]PrelimAssignPOP!$I$1:$J$947,2,FALSE)</f>
        <v>ART</v>
      </c>
      <c r="L1193" s="25" t="s">
        <v>216</v>
      </c>
      <c r="M1193" s="25" t="s">
        <v>183</v>
      </c>
      <c r="N1193" s="25" t="s">
        <v>2960</v>
      </c>
    </row>
    <row r="1194" spans="1:14" x14ac:dyDescent="0.55000000000000004">
      <c r="A1194">
        <v>1193</v>
      </c>
      <c r="B1194" s="25" t="s">
        <v>72</v>
      </c>
      <c r="C1194" s="25">
        <v>13</v>
      </c>
      <c r="D1194" s="25" t="s">
        <v>4636</v>
      </c>
      <c r="E1194" s="25" t="s">
        <v>4641</v>
      </c>
      <c r="F1194" s="25">
        <v>14.05</v>
      </c>
      <c r="G1194" s="25" t="s">
        <v>1889</v>
      </c>
      <c r="H1194" s="25">
        <f>4.44+2.67+2.17+4.98</f>
        <v>14.260000000000002</v>
      </c>
      <c r="I1194" s="25">
        <f>4.44+2.67+2.17+4.98</f>
        <v>14.260000000000002</v>
      </c>
      <c r="J1194" s="25" t="s">
        <v>1891</v>
      </c>
      <c r="K1194" s="25" t="str">
        <f>VLOOKUP(E1194,[1]PrelimAssignPOP!$I$1:$J$947,2,FALSE)</f>
        <v>ART</v>
      </c>
      <c r="L1194" s="25" t="s">
        <v>216</v>
      </c>
      <c r="M1194" s="25" t="s">
        <v>184</v>
      </c>
      <c r="N1194" s="25" t="s">
        <v>2961</v>
      </c>
    </row>
    <row r="1195" spans="1:14" x14ac:dyDescent="0.55000000000000004">
      <c r="A1195">
        <v>1194</v>
      </c>
      <c r="B1195" s="25" t="s">
        <v>72</v>
      </c>
      <c r="C1195" s="25">
        <v>13</v>
      </c>
      <c r="D1195" s="25" t="s">
        <v>4636</v>
      </c>
      <c r="E1195" s="25" t="s">
        <v>4642</v>
      </c>
      <c r="F1195" s="25">
        <v>13.98</v>
      </c>
      <c r="G1195" s="25" t="s">
        <v>1889</v>
      </c>
      <c r="H1195" s="25">
        <f>4.52+3.86+2.4+3.38</f>
        <v>14.16</v>
      </c>
      <c r="I1195" s="25">
        <f>4.52+3.86+2.4+3.38</f>
        <v>14.16</v>
      </c>
      <c r="J1195" s="25" t="s">
        <v>1891</v>
      </c>
      <c r="K1195" s="25" t="str">
        <f>VLOOKUP(E1195,[1]PrelimAssignPOP!$I$1:$J$947,2,FALSE)</f>
        <v>KIY</v>
      </c>
      <c r="L1195" s="25" t="s">
        <v>216</v>
      </c>
      <c r="M1195" s="25" t="s">
        <v>185</v>
      </c>
      <c r="N1195" s="25" t="s">
        <v>2962</v>
      </c>
    </row>
    <row r="1196" spans="1:14" x14ac:dyDescent="0.55000000000000004">
      <c r="A1196">
        <v>1195</v>
      </c>
      <c r="B1196" s="25" t="s">
        <v>72</v>
      </c>
      <c r="C1196" s="25">
        <v>13</v>
      </c>
      <c r="D1196" s="25" t="s">
        <v>4636</v>
      </c>
      <c r="E1196" s="25" t="s">
        <v>4643</v>
      </c>
      <c r="F1196" s="25">
        <v>14.28</v>
      </c>
      <c r="G1196" s="25" t="s">
        <v>1889</v>
      </c>
      <c r="H1196" s="25">
        <f>6.04+1.62+2.75+4.17</f>
        <v>14.58</v>
      </c>
      <c r="I1196" s="25">
        <f>6.04+1.62+2.75+4.17</f>
        <v>14.58</v>
      </c>
      <c r="J1196" s="25" t="s">
        <v>1891</v>
      </c>
      <c r="K1196" s="25" t="str">
        <f>VLOOKUP(E1196,[1]PrelimAssignPOP!$I$1:$J$947,2,FALSE)</f>
        <v>KIY</v>
      </c>
      <c r="L1196" s="25" t="s">
        <v>216</v>
      </c>
      <c r="M1196" s="25" t="s">
        <v>186</v>
      </c>
      <c r="N1196" s="25" t="s">
        <v>2963</v>
      </c>
    </row>
    <row r="1197" spans="1:14" x14ac:dyDescent="0.55000000000000004">
      <c r="A1197">
        <v>1196</v>
      </c>
      <c r="B1197" s="25" t="s">
        <v>72</v>
      </c>
      <c r="C1197" s="25">
        <v>13</v>
      </c>
      <c r="D1197" s="25" t="s">
        <v>4636</v>
      </c>
      <c r="E1197" s="25" t="s">
        <v>4644</v>
      </c>
      <c r="F1197" s="25">
        <v>13.23</v>
      </c>
      <c r="G1197" s="25" t="s">
        <v>1889</v>
      </c>
      <c r="H1197" s="25">
        <f>3.97+4.02+2.5+2.95</f>
        <v>13.440000000000001</v>
      </c>
      <c r="I1197" s="25">
        <f>3.97+4.02+2.5+2.95</f>
        <v>13.440000000000001</v>
      </c>
      <c r="J1197" s="25" t="s">
        <v>1891</v>
      </c>
      <c r="K1197" s="25" t="str">
        <f>VLOOKUP(E1197,[1]PrelimAssignPOP!$I$1:$J$947,2,FALSE)</f>
        <v>ART</v>
      </c>
      <c r="L1197" s="25" t="s">
        <v>216</v>
      </c>
      <c r="M1197" s="25" t="s">
        <v>187</v>
      </c>
      <c r="N1197" s="25" t="s">
        <v>2964</v>
      </c>
    </row>
    <row r="1198" spans="1:14" x14ac:dyDescent="0.55000000000000004">
      <c r="A1198">
        <v>1197</v>
      </c>
      <c r="B1198" s="25" t="s">
        <v>72</v>
      </c>
      <c r="C1198" s="25">
        <v>13</v>
      </c>
      <c r="D1198" s="25" t="s">
        <v>4636</v>
      </c>
      <c r="E1198" s="25" t="s">
        <v>4645</v>
      </c>
      <c r="F1198" s="25">
        <v>16.21</v>
      </c>
      <c r="G1198" s="25" t="s">
        <v>1889</v>
      </c>
      <c r="H1198" s="25">
        <f>3.69+4.05+4.22+3.88+0.86</f>
        <v>16.7</v>
      </c>
      <c r="I1198" s="25">
        <f>3.69+4.05+4.22+3.88+0.86</f>
        <v>16.7</v>
      </c>
      <c r="J1198" s="25" t="s">
        <v>1891</v>
      </c>
      <c r="K1198" s="25" t="str">
        <f>VLOOKUP(E1198,[1]PrelimAssignPOP!$I$1:$J$947,2,FALSE)</f>
        <v>KIY</v>
      </c>
      <c r="L1198" s="25" t="s">
        <v>216</v>
      </c>
      <c r="M1198" s="25" t="s">
        <v>120</v>
      </c>
      <c r="N1198" s="25" t="s">
        <v>2965</v>
      </c>
    </row>
    <row r="1199" spans="1:14" x14ac:dyDescent="0.55000000000000004">
      <c r="A1199">
        <v>1198</v>
      </c>
      <c r="B1199" s="25" t="s">
        <v>72</v>
      </c>
      <c r="C1199" s="25">
        <v>13</v>
      </c>
      <c r="D1199" s="25" t="s">
        <v>4636</v>
      </c>
      <c r="E1199" s="25" t="s">
        <v>4646</v>
      </c>
      <c r="F1199" s="25">
        <v>15.46</v>
      </c>
      <c r="G1199" s="25" t="s">
        <v>2113</v>
      </c>
      <c r="I1199" s="25">
        <v>15.46</v>
      </c>
      <c r="J1199" s="25" t="s">
        <v>110</v>
      </c>
      <c r="K1199" s="25" t="str">
        <f>VLOOKUP(E1199,[1]PrelimAssignPOP!$I$1:$J$947,2,FALSE)</f>
        <v>ART</v>
      </c>
      <c r="L1199" s="25" t="s">
        <v>216</v>
      </c>
      <c r="M1199" s="25" t="s">
        <v>188</v>
      </c>
    </row>
    <row r="1200" spans="1:14" x14ac:dyDescent="0.55000000000000004">
      <c r="A1200">
        <v>1199</v>
      </c>
      <c r="B1200" s="25" t="s">
        <v>72</v>
      </c>
      <c r="C1200" s="25">
        <v>13</v>
      </c>
      <c r="D1200" s="25" t="s">
        <v>4636</v>
      </c>
      <c r="E1200" s="25" t="s">
        <v>4647</v>
      </c>
      <c r="F1200" s="25">
        <v>18.739999999999998</v>
      </c>
      <c r="G1200" s="25" t="s">
        <v>2113</v>
      </c>
      <c r="I1200" s="25">
        <v>18.739999999999998</v>
      </c>
      <c r="J1200" s="25" t="s">
        <v>110</v>
      </c>
      <c r="K1200" s="25" t="str">
        <f>VLOOKUP(E1200,[1]PrelimAssignPOP!$I$1:$J$947,2,FALSE)</f>
        <v>ART</v>
      </c>
      <c r="L1200" s="25" t="s">
        <v>216</v>
      </c>
      <c r="M1200" s="25" t="s">
        <v>189</v>
      </c>
    </row>
    <row r="1201" spans="1:14" x14ac:dyDescent="0.55000000000000004">
      <c r="A1201">
        <v>1200</v>
      </c>
      <c r="B1201" s="25" t="s">
        <v>72</v>
      </c>
      <c r="C1201" s="25">
        <v>13</v>
      </c>
      <c r="D1201" s="25" t="s">
        <v>4636</v>
      </c>
      <c r="E1201" s="25" t="s">
        <v>4648</v>
      </c>
      <c r="F1201" s="25">
        <v>15.06</v>
      </c>
      <c r="G1201" s="25" t="s">
        <v>2113</v>
      </c>
      <c r="I1201" s="25">
        <v>15.06</v>
      </c>
      <c r="J1201" s="25" t="s">
        <v>110</v>
      </c>
      <c r="K1201" s="25" t="str">
        <f>VLOOKUP(E1201,[1]PrelimAssignPOP!$I$1:$J$947,2,FALSE)</f>
        <v>ART</v>
      </c>
      <c r="L1201" s="25" t="s">
        <v>216</v>
      </c>
      <c r="M1201" s="25" t="s">
        <v>190</v>
      </c>
    </row>
    <row r="1202" spans="1:14" x14ac:dyDescent="0.55000000000000004">
      <c r="A1202">
        <v>1201</v>
      </c>
      <c r="B1202" s="25" t="s">
        <v>72</v>
      </c>
      <c r="C1202" s="25">
        <v>13</v>
      </c>
      <c r="D1202" s="25" t="s">
        <v>4636</v>
      </c>
      <c r="E1202" s="25" t="s">
        <v>4649</v>
      </c>
      <c r="F1202" s="25">
        <v>16.55</v>
      </c>
      <c r="G1202" s="25" t="s">
        <v>2113</v>
      </c>
      <c r="I1202" s="25">
        <v>16.55</v>
      </c>
      <c r="J1202" s="25" t="s">
        <v>110</v>
      </c>
    </row>
    <row r="1203" spans="1:14" x14ac:dyDescent="0.55000000000000004">
      <c r="A1203">
        <v>1202</v>
      </c>
      <c r="B1203" s="25" t="s">
        <v>73</v>
      </c>
      <c r="C1203" s="25">
        <v>25</v>
      </c>
      <c r="D1203" s="25" t="s">
        <v>4650</v>
      </c>
      <c r="E1203" s="25" t="s">
        <v>4651</v>
      </c>
      <c r="F1203" s="25">
        <v>12.08</v>
      </c>
      <c r="G1203" s="25" t="s">
        <v>1889</v>
      </c>
      <c r="H1203" s="25">
        <f>1.62+3.16+2.55+1.87+3.37</f>
        <v>12.57</v>
      </c>
      <c r="I1203" s="25">
        <f>1.62+3.16+2.55+1.87+3.37</f>
        <v>12.57</v>
      </c>
      <c r="J1203" s="25" t="s">
        <v>1891</v>
      </c>
      <c r="K1203" s="25" t="str">
        <f>VLOOKUP(E1203,[1]PrelimAssignPOP!$I$1:$J$947,2,FALSE)</f>
        <v>ART</v>
      </c>
      <c r="L1203" s="25" t="s">
        <v>216</v>
      </c>
      <c r="M1203" s="25" t="s">
        <v>191</v>
      </c>
      <c r="N1203" s="25" t="s">
        <v>2966</v>
      </c>
    </row>
    <row r="1204" spans="1:14" x14ac:dyDescent="0.55000000000000004">
      <c r="A1204">
        <v>1203</v>
      </c>
      <c r="B1204" s="25" t="s">
        <v>73</v>
      </c>
      <c r="C1204" s="25">
        <v>25</v>
      </c>
      <c r="D1204" s="25" t="s">
        <v>4650</v>
      </c>
      <c r="E1204" s="25" t="s">
        <v>4652</v>
      </c>
      <c r="F1204" s="25">
        <v>15.2</v>
      </c>
      <c r="G1204" s="25" t="s">
        <v>1889</v>
      </c>
      <c r="H1204" s="25">
        <f>3.48+3.04+4.87+1.78+2.22</f>
        <v>15.39</v>
      </c>
      <c r="I1204" s="25">
        <f>3.48+3.04+4.87+1.78+2.22</f>
        <v>15.39</v>
      </c>
      <c r="J1204" s="25" t="s">
        <v>1891</v>
      </c>
      <c r="K1204" s="25" t="str">
        <f>VLOOKUP(E1204,[1]PrelimAssignPOP!$I$1:$J$947,2,FALSE)</f>
        <v>ART</v>
      </c>
      <c r="L1204" s="25" t="s">
        <v>216</v>
      </c>
      <c r="M1204" s="25" t="s">
        <v>192</v>
      </c>
      <c r="N1204" s="25" t="s">
        <v>2967</v>
      </c>
    </row>
    <row r="1205" spans="1:14" x14ac:dyDescent="0.55000000000000004">
      <c r="A1205">
        <v>1204</v>
      </c>
      <c r="B1205" s="25" t="s">
        <v>73</v>
      </c>
      <c r="C1205" s="25">
        <v>25</v>
      </c>
      <c r="D1205" s="25" t="s">
        <v>4650</v>
      </c>
      <c r="E1205" s="25" t="s">
        <v>4653</v>
      </c>
      <c r="F1205" s="25">
        <v>14.42</v>
      </c>
      <c r="G1205" s="25" t="s">
        <v>1889</v>
      </c>
      <c r="H1205" s="25">
        <f>5.45+3.45+2.41+3.35</f>
        <v>14.66</v>
      </c>
      <c r="I1205" s="25">
        <f>5.45+3.45+2.41+3.35</f>
        <v>14.66</v>
      </c>
      <c r="J1205" s="25" t="s">
        <v>1891</v>
      </c>
      <c r="K1205" s="25" t="str">
        <f>VLOOKUP(E1205,[1]PrelimAssignPOP!$I$1:$J$947,2,FALSE)</f>
        <v>ART</v>
      </c>
      <c r="L1205" s="25" t="s">
        <v>216</v>
      </c>
      <c r="M1205" s="25" t="s">
        <v>193</v>
      </c>
      <c r="N1205" s="25" t="s">
        <v>2968</v>
      </c>
    </row>
    <row r="1206" spans="1:14" x14ac:dyDescent="0.55000000000000004">
      <c r="A1206">
        <v>1205</v>
      </c>
      <c r="B1206" s="25" t="s">
        <v>73</v>
      </c>
      <c r="C1206" s="25">
        <v>25</v>
      </c>
      <c r="D1206" s="25" t="s">
        <v>4650</v>
      </c>
      <c r="E1206" s="25" t="s">
        <v>4654</v>
      </c>
      <c r="F1206" s="25">
        <v>15.31</v>
      </c>
      <c r="G1206" s="25" t="s">
        <v>1889</v>
      </c>
      <c r="H1206" s="25">
        <v>15.36</v>
      </c>
      <c r="I1206" s="25">
        <v>15.36</v>
      </c>
      <c r="J1206" s="25" t="s">
        <v>1891</v>
      </c>
      <c r="K1206" s="25" t="str">
        <f>VLOOKUP(E1206,[1]PrelimAssignPOP!$I$1:$J$947,2,FALSE)</f>
        <v>ART</v>
      </c>
      <c r="L1206" s="25" t="s">
        <v>216</v>
      </c>
      <c r="M1206" s="25" t="s">
        <v>194</v>
      </c>
      <c r="N1206" s="25" t="s">
        <v>2969</v>
      </c>
    </row>
    <row r="1207" spans="1:14" x14ac:dyDescent="0.55000000000000004">
      <c r="A1207">
        <v>1206</v>
      </c>
      <c r="B1207" s="25" t="s">
        <v>73</v>
      </c>
      <c r="C1207" s="25">
        <v>25</v>
      </c>
      <c r="D1207" s="25" t="s">
        <v>4650</v>
      </c>
      <c r="E1207" s="25" t="s">
        <v>4655</v>
      </c>
      <c r="F1207" s="25">
        <v>15.59</v>
      </c>
      <c r="G1207" s="25" t="s">
        <v>1889</v>
      </c>
      <c r="H1207" s="25">
        <f>11.41+4.18</f>
        <v>15.59</v>
      </c>
      <c r="I1207" s="25">
        <f>11.41+4.18</f>
        <v>15.59</v>
      </c>
      <c r="J1207" s="25" t="s">
        <v>1891</v>
      </c>
      <c r="K1207" s="25" t="str">
        <f>VLOOKUP(E1207,[1]PrelimAssignPOP!$I$1:$J$947,2,FALSE)</f>
        <v>ART</v>
      </c>
      <c r="L1207" s="25" t="s">
        <v>216</v>
      </c>
      <c r="M1207" s="25" t="s">
        <v>195</v>
      </c>
      <c r="N1207" s="25" t="s">
        <v>2970</v>
      </c>
    </row>
    <row r="1208" spans="1:14" x14ac:dyDescent="0.55000000000000004">
      <c r="A1208">
        <v>1207</v>
      </c>
      <c r="B1208" s="25" t="s">
        <v>73</v>
      </c>
      <c r="C1208" s="25">
        <v>25</v>
      </c>
      <c r="D1208" s="25" t="s">
        <v>4650</v>
      </c>
      <c r="E1208" s="25" t="s">
        <v>4656</v>
      </c>
      <c r="F1208" s="25">
        <v>13.65</v>
      </c>
      <c r="G1208" s="25" t="s">
        <v>1889</v>
      </c>
      <c r="H1208" s="25">
        <f>2.42+1.35+2.59+3.1+4.32</f>
        <v>13.78</v>
      </c>
      <c r="I1208" s="25">
        <f>2.42+1.35+2.59+3.1+4.32</f>
        <v>13.78</v>
      </c>
      <c r="J1208" s="25" t="s">
        <v>1891</v>
      </c>
      <c r="K1208" s="25" t="str">
        <f>VLOOKUP(E1208,[1]PrelimAssignPOP!$I$1:$J$947,2,FALSE)</f>
        <v>ART</v>
      </c>
      <c r="L1208" s="25" t="s">
        <v>216</v>
      </c>
      <c r="M1208" s="25" t="s">
        <v>196</v>
      </c>
      <c r="N1208" s="25" t="s">
        <v>2971</v>
      </c>
    </row>
    <row r="1209" spans="1:14" x14ac:dyDescent="0.55000000000000004">
      <c r="A1209">
        <v>1208</v>
      </c>
      <c r="B1209" s="25" t="s">
        <v>73</v>
      </c>
      <c r="C1209" s="25">
        <v>25</v>
      </c>
      <c r="D1209" s="25" t="s">
        <v>4650</v>
      </c>
      <c r="E1209" s="25" t="s">
        <v>4657</v>
      </c>
      <c r="F1209" s="25">
        <v>13.14</v>
      </c>
      <c r="G1209" s="25" t="s">
        <v>1889</v>
      </c>
      <c r="H1209" s="25">
        <f>2.56+3.98+3.56+3.37</f>
        <v>13.469999999999999</v>
      </c>
      <c r="I1209" s="25">
        <f>2.56+3.98+3.56+3.37</f>
        <v>13.469999999999999</v>
      </c>
      <c r="J1209" s="25" t="s">
        <v>1891</v>
      </c>
      <c r="K1209" s="25" t="str">
        <f>VLOOKUP(E1209,[1]PrelimAssignPOP!$I$1:$J$947,2,FALSE)</f>
        <v>ART</v>
      </c>
      <c r="L1209" s="25" t="s">
        <v>216</v>
      </c>
      <c r="M1209" s="25" t="s">
        <v>197</v>
      </c>
      <c r="N1209" s="25" t="s">
        <v>2972</v>
      </c>
    </row>
    <row r="1210" spans="1:14" x14ac:dyDescent="0.55000000000000004">
      <c r="A1210">
        <v>1209</v>
      </c>
      <c r="B1210" s="25" t="s">
        <v>73</v>
      </c>
      <c r="C1210" s="25">
        <v>25</v>
      </c>
      <c r="D1210" s="25" t="s">
        <v>4650</v>
      </c>
      <c r="E1210" s="25" t="s">
        <v>4658</v>
      </c>
      <c r="F1210" s="25">
        <v>14.22</v>
      </c>
      <c r="G1210" s="25" t="s">
        <v>1889</v>
      </c>
      <c r="H1210" s="25">
        <f>9.04+5.02</f>
        <v>14.059999999999999</v>
      </c>
      <c r="I1210" s="25">
        <f>9.04+5.02</f>
        <v>14.059999999999999</v>
      </c>
      <c r="J1210" s="25" t="s">
        <v>1891</v>
      </c>
      <c r="K1210" s="25" t="str">
        <f>VLOOKUP(E1210,[1]PrelimAssignPOP!$I$1:$J$947,2,FALSE)</f>
        <v>HYB</v>
      </c>
      <c r="L1210" s="25" t="s">
        <v>216</v>
      </c>
      <c r="M1210" s="25" t="s">
        <v>198</v>
      </c>
      <c r="N1210" s="25" t="s">
        <v>2973</v>
      </c>
    </row>
    <row r="1211" spans="1:14" x14ac:dyDescent="0.55000000000000004">
      <c r="A1211">
        <v>1210</v>
      </c>
      <c r="B1211" s="25" t="s">
        <v>73</v>
      </c>
      <c r="C1211" s="25">
        <v>25</v>
      </c>
      <c r="D1211" s="25" t="s">
        <v>4650</v>
      </c>
      <c r="E1211" s="25" t="s">
        <v>4659</v>
      </c>
      <c r="F1211" s="25">
        <v>14.43</v>
      </c>
      <c r="G1211" s="25" t="s">
        <v>1889</v>
      </c>
      <c r="H1211" s="25">
        <f>4.66+3.29+2.43+4.14</f>
        <v>14.52</v>
      </c>
      <c r="I1211" s="25">
        <f>4.66+3.29+2.43+4.14</f>
        <v>14.52</v>
      </c>
      <c r="J1211" s="25" t="s">
        <v>1891</v>
      </c>
      <c r="K1211" s="25" t="str">
        <f>VLOOKUP(E1211,[1]PrelimAssignPOP!$I$1:$J$947,2,FALSE)</f>
        <v>ART</v>
      </c>
      <c r="L1211" s="25" t="s">
        <v>216</v>
      </c>
      <c r="M1211" s="25" t="s">
        <v>121</v>
      </c>
      <c r="N1211" s="25" t="s">
        <v>2974</v>
      </c>
    </row>
    <row r="1212" spans="1:14" x14ac:dyDescent="0.55000000000000004">
      <c r="A1212">
        <v>1211</v>
      </c>
      <c r="B1212" s="25" t="s">
        <v>73</v>
      </c>
      <c r="C1212" s="25">
        <v>25</v>
      </c>
      <c r="D1212" s="25" t="s">
        <v>4650</v>
      </c>
      <c r="E1212" s="25" t="s">
        <v>4660</v>
      </c>
      <c r="F1212" s="25">
        <v>13.9</v>
      </c>
      <c r="G1212" s="25" t="s">
        <v>1889</v>
      </c>
      <c r="H1212" s="25">
        <v>13.88</v>
      </c>
      <c r="I1212" s="25">
        <v>13.88</v>
      </c>
      <c r="J1212" s="25" t="s">
        <v>1891</v>
      </c>
      <c r="K1212" s="25" t="str">
        <f>VLOOKUP(E1212,[1]PrelimAssignPOP!$I$1:$J$947,2,FALSE)</f>
        <v>ART</v>
      </c>
      <c r="L1212" s="25" t="s">
        <v>216</v>
      </c>
      <c r="M1212" s="25" t="s">
        <v>199</v>
      </c>
      <c r="N1212" s="25" t="s">
        <v>2975</v>
      </c>
    </row>
    <row r="1213" spans="1:14" x14ac:dyDescent="0.55000000000000004">
      <c r="A1213">
        <v>1212</v>
      </c>
      <c r="B1213" s="25" t="s">
        <v>73</v>
      </c>
      <c r="C1213" s="25">
        <v>25</v>
      </c>
      <c r="D1213" s="25" t="s">
        <v>4650</v>
      </c>
      <c r="E1213" s="25" t="s">
        <v>4661</v>
      </c>
      <c r="F1213" s="25">
        <v>15.28</v>
      </c>
      <c r="G1213" s="25" t="s">
        <v>1889</v>
      </c>
      <c r="H1213" s="25">
        <f>5.12+2.08+2.53+3.6+1.96</f>
        <v>15.29</v>
      </c>
      <c r="I1213" s="25">
        <f>5.12+2.08+2.53+3.6+1.96</f>
        <v>15.29</v>
      </c>
      <c r="J1213" s="25" t="s">
        <v>1891</v>
      </c>
      <c r="K1213" s="25" t="str">
        <f>VLOOKUP(E1213,[1]PrelimAssignPOP!$I$1:$J$947,2,FALSE)</f>
        <v>ART</v>
      </c>
      <c r="L1213" s="25" t="s">
        <v>216</v>
      </c>
      <c r="M1213" s="25" t="s">
        <v>200</v>
      </c>
      <c r="N1213" s="25" t="s">
        <v>2976</v>
      </c>
    </row>
    <row r="1214" spans="1:14" x14ac:dyDescent="0.55000000000000004">
      <c r="A1214">
        <v>1213</v>
      </c>
      <c r="B1214" s="25" t="s">
        <v>73</v>
      </c>
      <c r="C1214" s="25">
        <v>25</v>
      </c>
      <c r="D1214" s="25" t="s">
        <v>4650</v>
      </c>
      <c r="E1214" s="25" t="s">
        <v>4662</v>
      </c>
      <c r="F1214" s="25">
        <v>13.33</v>
      </c>
      <c r="G1214" s="25" t="s">
        <v>1889</v>
      </c>
      <c r="H1214" s="25">
        <f>3.8+3.44+6.32</f>
        <v>13.56</v>
      </c>
      <c r="I1214" s="25">
        <f>3.8+3.44+6.32</f>
        <v>13.56</v>
      </c>
      <c r="J1214" s="25" t="s">
        <v>1891</v>
      </c>
      <c r="K1214" s="25" t="str">
        <f>VLOOKUP(E1214,[1]PrelimAssignPOP!$I$1:$J$947,2,FALSE)</f>
        <v>ART</v>
      </c>
      <c r="L1214" s="25" t="s">
        <v>216</v>
      </c>
      <c r="M1214" s="25" t="s">
        <v>201</v>
      </c>
      <c r="N1214" s="25" t="s">
        <v>2977</v>
      </c>
    </row>
    <row r="1215" spans="1:14" x14ac:dyDescent="0.55000000000000004">
      <c r="A1215">
        <v>1214</v>
      </c>
      <c r="B1215" s="25" t="s">
        <v>73</v>
      </c>
      <c r="C1215" s="25">
        <v>25</v>
      </c>
      <c r="D1215" s="25" t="s">
        <v>4650</v>
      </c>
      <c r="E1215" s="25" t="s">
        <v>4663</v>
      </c>
      <c r="F1215" s="25">
        <v>14.24</v>
      </c>
      <c r="G1215" s="25" t="s">
        <v>1889</v>
      </c>
      <c r="H1215" s="25">
        <f>4.59+4.47+2.54+2.47</f>
        <v>14.069999999999999</v>
      </c>
      <c r="I1215" s="25">
        <f>4.59+4.47+2.54+2.47</f>
        <v>14.069999999999999</v>
      </c>
      <c r="J1215" s="25" t="s">
        <v>1891</v>
      </c>
      <c r="N1215" s="25" t="s">
        <v>2978</v>
      </c>
    </row>
    <row r="1216" spans="1:14" x14ac:dyDescent="0.55000000000000004">
      <c r="A1216">
        <v>1215</v>
      </c>
      <c r="B1216" s="25" t="s">
        <v>73</v>
      </c>
      <c r="C1216" s="25">
        <v>25</v>
      </c>
      <c r="D1216" s="25" t="s">
        <v>4650</v>
      </c>
      <c r="E1216" s="25" t="s">
        <v>4664</v>
      </c>
      <c r="F1216" s="25">
        <v>13.25</v>
      </c>
      <c r="G1216" s="25" t="s">
        <v>1889</v>
      </c>
      <c r="H1216" s="25">
        <f>2.58+6.15+4.51</f>
        <v>13.24</v>
      </c>
      <c r="I1216" s="25">
        <f>2.58+6.15+4.51</f>
        <v>13.24</v>
      </c>
      <c r="J1216" s="25" t="s">
        <v>1891</v>
      </c>
      <c r="N1216" s="25" t="s">
        <v>2979</v>
      </c>
    </row>
    <row r="1217" spans="1:14" x14ac:dyDescent="0.55000000000000004">
      <c r="A1217">
        <v>1216</v>
      </c>
      <c r="B1217" s="25" t="s">
        <v>73</v>
      </c>
      <c r="C1217" s="25">
        <v>25</v>
      </c>
      <c r="D1217" s="25" t="s">
        <v>4650</v>
      </c>
      <c r="E1217" s="25" t="s">
        <v>4665</v>
      </c>
      <c r="F1217" s="25">
        <v>11.72</v>
      </c>
      <c r="G1217" s="25" t="s">
        <v>1889</v>
      </c>
      <c r="H1217" s="25">
        <f>3.43+2.69+3.53+2.22</f>
        <v>11.870000000000001</v>
      </c>
      <c r="I1217" s="25">
        <f>3.43+2.69+3.53+2.22</f>
        <v>11.870000000000001</v>
      </c>
      <c r="J1217" s="25" t="s">
        <v>1891</v>
      </c>
      <c r="N1217" s="25" t="s">
        <v>2980</v>
      </c>
    </row>
    <row r="1218" spans="1:14" x14ac:dyDescent="0.55000000000000004">
      <c r="A1218">
        <v>1217</v>
      </c>
      <c r="B1218" s="25" t="s">
        <v>73</v>
      </c>
      <c r="C1218" s="25">
        <v>25</v>
      </c>
      <c r="D1218" s="25" t="s">
        <v>4650</v>
      </c>
      <c r="E1218" s="25" t="s">
        <v>4666</v>
      </c>
      <c r="F1218" s="25">
        <v>15.6</v>
      </c>
      <c r="G1218" s="25" t="s">
        <v>1889</v>
      </c>
      <c r="H1218" s="25">
        <f>5.33+2.92+4.11+3.5</f>
        <v>15.86</v>
      </c>
      <c r="I1218" s="25">
        <f>5.33+2.92+4.11+3.5</f>
        <v>15.86</v>
      </c>
      <c r="J1218" s="25" t="s">
        <v>1891</v>
      </c>
      <c r="N1218" s="25" t="s">
        <v>2981</v>
      </c>
    </row>
    <row r="1219" spans="1:14" x14ac:dyDescent="0.55000000000000004">
      <c r="A1219">
        <v>1218</v>
      </c>
      <c r="B1219" s="25" t="s">
        <v>73</v>
      </c>
      <c r="C1219" s="25">
        <v>25</v>
      </c>
      <c r="D1219" s="25" t="s">
        <v>4650</v>
      </c>
      <c r="E1219" s="25" t="s">
        <v>4667</v>
      </c>
      <c r="F1219" s="25">
        <v>15.04</v>
      </c>
      <c r="G1219" s="25" t="s">
        <v>1889</v>
      </c>
      <c r="H1219" s="25">
        <f>15.04</f>
        <v>15.04</v>
      </c>
      <c r="I1219" s="25">
        <f>15.04</f>
        <v>15.04</v>
      </c>
      <c r="J1219" s="25" t="s">
        <v>1891</v>
      </c>
      <c r="N1219" s="25" t="s">
        <v>2982</v>
      </c>
    </row>
    <row r="1220" spans="1:14" x14ac:dyDescent="0.55000000000000004">
      <c r="A1220">
        <v>1219</v>
      </c>
      <c r="B1220" s="25" t="s">
        <v>73</v>
      </c>
      <c r="C1220" s="25">
        <v>25</v>
      </c>
      <c r="D1220" s="25" t="s">
        <v>4650</v>
      </c>
      <c r="E1220" s="25" t="s">
        <v>4668</v>
      </c>
      <c r="F1220" s="25">
        <v>14.73</v>
      </c>
      <c r="G1220" s="25" t="s">
        <v>1889</v>
      </c>
      <c r="H1220" s="25">
        <f>4.49+2.59+2.53+2.38+2.89</f>
        <v>14.879999999999999</v>
      </c>
      <c r="I1220" s="25">
        <f>4.49+2.59+2.53+2.38+2.89</f>
        <v>14.879999999999999</v>
      </c>
      <c r="J1220" s="25" t="s">
        <v>1891</v>
      </c>
      <c r="N1220" s="25" t="s">
        <v>2983</v>
      </c>
    </row>
    <row r="1221" spans="1:14" x14ac:dyDescent="0.55000000000000004">
      <c r="A1221">
        <v>1220</v>
      </c>
      <c r="B1221" s="25" t="s">
        <v>73</v>
      </c>
      <c r="C1221" s="25">
        <v>25</v>
      </c>
      <c r="D1221" s="25" t="s">
        <v>4650</v>
      </c>
      <c r="E1221" s="25" t="s">
        <v>4669</v>
      </c>
      <c r="F1221" s="25">
        <v>13.72</v>
      </c>
      <c r="G1221" s="25" t="s">
        <v>1889</v>
      </c>
      <c r="H1221" s="25">
        <f>3.54+3.25+3.08+3.79</f>
        <v>13.66</v>
      </c>
      <c r="I1221" s="25">
        <f>3.54+3.25+3.08+3.79</f>
        <v>13.66</v>
      </c>
      <c r="J1221" s="25" t="s">
        <v>1891</v>
      </c>
      <c r="N1221" s="25" t="s">
        <v>2984</v>
      </c>
    </row>
    <row r="1222" spans="1:14" x14ac:dyDescent="0.55000000000000004">
      <c r="A1222">
        <v>1221</v>
      </c>
      <c r="B1222" s="25" t="s">
        <v>73</v>
      </c>
      <c r="C1222" s="25">
        <v>25</v>
      </c>
      <c r="D1222" s="25" t="s">
        <v>4650</v>
      </c>
      <c r="E1222" s="25" t="s">
        <v>4670</v>
      </c>
      <c r="F1222" s="25">
        <v>13.18</v>
      </c>
      <c r="G1222" s="25" t="s">
        <v>1889</v>
      </c>
      <c r="H1222" s="25">
        <f>3.77+1.15+4.46+3.99</f>
        <v>13.37</v>
      </c>
      <c r="I1222" s="25">
        <f>3.77+1.15+4.46+3.99</f>
        <v>13.37</v>
      </c>
      <c r="J1222" s="25" t="s">
        <v>1891</v>
      </c>
      <c r="N1222" s="25" t="s">
        <v>2985</v>
      </c>
    </row>
    <row r="1223" spans="1:14" x14ac:dyDescent="0.55000000000000004">
      <c r="A1223">
        <v>1222</v>
      </c>
      <c r="B1223" s="25" t="s">
        <v>73</v>
      </c>
      <c r="C1223" s="25">
        <v>25</v>
      </c>
      <c r="D1223" s="25" t="s">
        <v>4650</v>
      </c>
      <c r="E1223" s="25" t="s">
        <v>4671</v>
      </c>
      <c r="F1223" s="25">
        <v>15.37</v>
      </c>
      <c r="G1223" s="25" t="s">
        <v>2113</v>
      </c>
      <c r="I1223" s="25">
        <v>15.37</v>
      </c>
      <c r="J1223" s="25" t="s">
        <v>110</v>
      </c>
    </row>
    <row r="1224" spans="1:14" x14ac:dyDescent="0.55000000000000004">
      <c r="A1224">
        <v>1223</v>
      </c>
      <c r="B1224" s="25" t="s">
        <v>73</v>
      </c>
      <c r="C1224" s="25">
        <v>25</v>
      </c>
      <c r="D1224" s="25" t="s">
        <v>4650</v>
      </c>
      <c r="E1224" s="25" t="s">
        <v>4672</v>
      </c>
      <c r="F1224" s="25">
        <v>14.59</v>
      </c>
      <c r="G1224" s="25" t="s">
        <v>2113</v>
      </c>
      <c r="I1224" s="25">
        <v>14.59</v>
      </c>
      <c r="J1224" s="25" t="s">
        <v>110</v>
      </c>
    </row>
    <row r="1225" spans="1:14" x14ac:dyDescent="0.55000000000000004">
      <c r="A1225">
        <v>1224</v>
      </c>
      <c r="B1225" s="25" t="s">
        <v>73</v>
      </c>
      <c r="C1225" s="25">
        <v>25</v>
      </c>
      <c r="D1225" s="25" t="s">
        <v>4650</v>
      </c>
      <c r="E1225" s="25" t="s">
        <v>4673</v>
      </c>
      <c r="F1225" s="25">
        <v>16.02</v>
      </c>
      <c r="G1225" s="25" t="s">
        <v>2113</v>
      </c>
      <c r="I1225" s="25">
        <v>16.02</v>
      </c>
      <c r="J1225" s="25" t="s">
        <v>110</v>
      </c>
    </row>
    <row r="1226" spans="1:14" x14ac:dyDescent="0.55000000000000004">
      <c r="A1226">
        <v>1225</v>
      </c>
      <c r="B1226" s="25" t="s">
        <v>73</v>
      </c>
      <c r="C1226" s="25">
        <v>25</v>
      </c>
      <c r="D1226" s="25" t="s">
        <v>4650</v>
      </c>
      <c r="E1226" s="25" t="s">
        <v>4674</v>
      </c>
      <c r="F1226" s="25">
        <v>16.760000000000002</v>
      </c>
      <c r="G1226" s="25" t="s">
        <v>2113</v>
      </c>
      <c r="I1226" s="25">
        <v>16.760000000000002</v>
      </c>
      <c r="J1226" s="25" t="s">
        <v>110</v>
      </c>
    </row>
    <row r="1227" spans="1:14" x14ac:dyDescent="0.55000000000000004">
      <c r="A1227">
        <v>1226</v>
      </c>
      <c r="B1227" s="25" t="s">
        <v>73</v>
      </c>
      <c r="C1227" s="25">
        <v>25</v>
      </c>
      <c r="D1227" s="25" t="s">
        <v>4650</v>
      </c>
      <c r="E1227" s="25" t="s">
        <v>4675</v>
      </c>
      <c r="G1227" s="25" t="s">
        <v>1941</v>
      </c>
      <c r="J1227" s="25" t="s">
        <v>1941</v>
      </c>
    </row>
    <row r="1228" spans="1:14" x14ac:dyDescent="0.55000000000000004">
      <c r="A1228">
        <v>1227</v>
      </c>
      <c r="B1228" s="25" t="s">
        <v>74</v>
      </c>
      <c r="C1228" s="25">
        <v>25</v>
      </c>
      <c r="D1228" s="25" t="s">
        <v>4676</v>
      </c>
      <c r="E1228" s="25" t="s">
        <v>4677</v>
      </c>
      <c r="F1228" s="25">
        <v>12.55</v>
      </c>
      <c r="G1228" s="25" t="s">
        <v>1889</v>
      </c>
      <c r="H1228" s="25">
        <f>3.24+2.49+4.51+2.79</f>
        <v>13.030000000000001</v>
      </c>
      <c r="I1228" s="25">
        <f>3.24+2.49+4.51+2.79</f>
        <v>13.030000000000001</v>
      </c>
      <c r="J1228" s="25" t="s">
        <v>1891</v>
      </c>
      <c r="K1228" s="25" t="str">
        <f>VLOOKUP(E1228,[1]PrelimAssignPOP!$I$1:$J$947,2,FALSE)</f>
        <v>ART</v>
      </c>
      <c r="L1228" s="25" t="s">
        <v>216</v>
      </c>
      <c r="M1228" s="25" t="s">
        <v>202</v>
      </c>
      <c r="N1228" s="25" t="s">
        <v>3115</v>
      </c>
    </row>
    <row r="1229" spans="1:14" x14ac:dyDescent="0.55000000000000004">
      <c r="A1229">
        <v>1228</v>
      </c>
      <c r="B1229" s="25" t="s">
        <v>74</v>
      </c>
      <c r="C1229" s="25">
        <v>25</v>
      </c>
      <c r="D1229" s="25" t="s">
        <v>4676</v>
      </c>
      <c r="E1229" s="25" t="s">
        <v>4678</v>
      </c>
      <c r="F1229" s="25">
        <v>15.76</v>
      </c>
      <c r="G1229" s="25" t="s">
        <v>1889</v>
      </c>
      <c r="H1229" s="25">
        <f>7.64+4.46+3.53</f>
        <v>15.629999999999999</v>
      </c>
      <c r="I1229" s="25">
        <f>7.64+4.46+3.53</f>
        <v>15.629999999999999</v>
      </c>
      <c r="J1229" s="25" t="s">
        <v>1891</v>
      </c>
      <c r="K1229" s="25" t="str">
        <f>VLOOKUP(E1229,[1]PrelimAssignPOP!$I$1:$J$947,2,FALSE)</f>
        <v>ART</v>
      </c>
      <c r="L1229" s="25" t="s">
        <v>216</v>
      </c>
      <c r="M1229" s="25" t="s">
        <v>203</v>
      </c>
      <c r="N1229" s="25" t="s">
        <v>3116</v>
      </c>
    </row>
    <row r="1230" spans="1:14" x14ac:dyDescent="0.55000000000000004">
      <c r="A1230">
        <v>1229</v>
      </c>
      <c r="B1230" s="25" t="s">
        <v>74</v>
      </c>
      <c r="C1230" s="25">
        <v>25</v>
      </c>
      <c r="D1230" s="25" t="s">
        <v>4676</v>
      </c>
      <c r="E1230" s="25" t="s">
        <v>4679</v>
      </c>
      <c r="F1230" s="25">
        <v>14.21</v>
      </c>
      <c r="G1230" s="25" t="s">
        <v>1889</v>
      </c>
      <c r="H1230" s="25">
        <f>3.16+8.4+2.98</f>
        <v>14.540000000000001</v>
      </c>
      <c r="I1230" s="25">
        <f>3.16+8.4+2.98</f>
        <v>14.540000000000001</v>
      </c>
      <c r="J1230" s="25" t="s">
        <v>1891</v>
      </c>
      <c r="K1230" s="25" t="str">
        <f>VLOOKUP(E1230,[1]PrelimAssignPOP!$I$1:$J$947,2,FALSE)</f>
        <v>HYB</v>
      </c>
      <c r="L1230" s="25" t="s">
        <v>216</v>
      </c>
      <c r="M1230" s="25" t="s">
        <v>204</v>
      </c>
      <c r="N1230" s="25" t="s">
        <v>3117</v>
      </c>
    </row>
    <row r="1231" spans="1:14" x14ac:dyDescent="0.55000000000000004">
      <c r="A1231">
        <v>1230</v>
      </c>
      <c r="B1231" s="25" t="s">
        <v>74</v>
      </c>
      <c r="C1231" s="25">
        <v>25</v>
      </c>
      <c r="D1231" s="25" t="s">
        <v>4676</v>
      </c>
      <c r="E1231" s="25" t="s">
        <v>4680</v>
      </c>
      <c r="F1231" s="25">
        <v>13.58</v>
      </c>
      <c r="G1231" s="25" t="s">
        <v>1889</v>
      </c>
      <c r="H1231" s="25">
        <f>2.8+3.43+7.4</f>
        <v>13.63</v>
      </c>
      <c r="I1231" s="25">
        <f>2.8+3.43+7.4</f>
        <v>13.63</v>
      </c>
      <c r="J1231" s="25" t="s">
        <v>1891</v>
      </c>
      <c r="K1231" s="25" t="str">
        <f>VLOOKUP(E1231,[1]PrelimAssignPOP!$I$1:$J$947,2,FALSE)</f>
        <v>ART</v>
      </c>
      <c r="L1231" s="25" t="s">
        <v>216</v>
      </c>
      <c r="M1231" s="25" t="s">
        <v>205</v>
      </c>
      <c r="N1231" s="25" t="s">
        <v>3118</v>
      </c>
    </row>
    <row r="1232" spans="1:14" x14ac:dyDescent="0.55000000000000004">
      <c r="A1232">
        <v>1231</v>
      </c>
      <c r="B1232" s="25" t="s">
        <v>74</v>
      </c>
      <c r="C1232" s="25">
        <v>25</v>
      </c>
      <c r="D1232" s="25" t="s">
        <v>4676</v>
      </c>
      <c r="E1232" s="25" t="s">
        <v>4681</v>
      </c>
      <c r="F1232" s="25">
        <v>14.67</v>
      </c>
      <c r="G1232" s="25" t="s">
        <v>1889</v>
      </c>
      <c r="H1232" s="25">
        <f>5.35+5.75+3.68</f>
        <v>14.78</v>
      </c>
      <c r="I1232" s="25">
        <f>5.35+5.75+3.68</f>
        <v>14.78</v>
      </c>
      <c r="J1232" s="25" t="s">
        <v>1891</v>
      </c>
      <c r="K1232" s="25" t="str">
        <f>VLOOKUP(E1232,[1]PrelimAssignPOP!$I$1:$J$947,2,FALSE)</f>
        <v>KIY</v>
      </c>
      <c r="L1232" s="25" t="s">
        <v>216</v>
      </c>
      <c r="M1232" s="25" t="s">
        <v>206</v>
      </c>
      <c r="N1232" s="25" t="s">
        <v>3119</v>
      </c>
    </row>
    <row r="1233" spans="1:14" x14ac:dyDescent="0.55000000000000004">
      <c r="A1233">
        <v>1232</v>
      </c>
      <c r="B1233" s="25" t="s">
        <v>74</v>
      </c>
      <c r="C1233" s="25">
        <v>25</v>
      </c>
      <c r="D1233" s="25" t="s">
        <v>4676</v>
      </c>
      <c r="E1233" s="25" t="s">
        <v>4682</v>
      </c>
      <c r="F1233" s="25">
        <v>14.62</v>
      </c>
      <c r="G1233" s="25" t="s">
        <v>1889</v>
      </c>
      <c r="H1233" s="25">
        <f>2.38+2.5+3.51+3.22+3.07</f>
        <v>14.680000000000001</v>
      </c>
      <c r="I1233" s="25">
        <f>2.38+2.5+3.51+3.22+3.07</f>
        <v>14.680000000000001</v>
      </c>
      <c r="J1233" s="25" t="s">
        <v>1891</v>
      </c>
      <c r="K1233" s="25" t="str">
        <f>VLOOKUP(E1233,[1]PrelimAssignPOP!$I$1:$J$947,2,FALSE)</f>
        <v>KIY</v>
      </c>
      <c r="L1233" s="25" t="s">
        <v>216</v>
      </c>
      <c r="M1233" s="25" t="s">
        <v>207</v>
      </c>
      <c r="N1233" s="25" t="s">
        <v>3120</v>
      </c>
    </row>
    <row r="1234" spans="1:14" x14ac:dyDescent="0.55000000000000004">
      <c r="A1234">
        <v>1233</v>
      </c>
      <c r="B1234" s="25" t="s">
        <v>74</v>
      </c>
      <c r="C1234" s="25">
        <v>25</v>
      </c>
      <c r="D1234" s="25" t="s">
        <v>4676</v>
      </c>
      <c r="E1234" s="25" t="s">
        <v>4683</v>
      </c>
      <c r="F1234" s="25">
        <v>13.81</v>
      </c>
      <c r="G1234" s="25" t="s">
        <v>1889</v>
      </c>
      <c r="H1234" s="25">
        <f>5.65+1.57+2.34+1.8+2.75</f>
        <v>14.110000000000001</v>
      </c>
      <c r="I1234" s="25">
        <f>5.65+1.57+2.34+1.8+2.75</f>
        <v>14.110000000000001</v>
      </c>
      <c r="J1234" s="25" t="s">
        <v>1891</v>
      </c>
      <c r="K1234" s="25" t="str">
        <f>VLOOKUP(E1234,[1]PrelimAssignPOP!$I$1:$J$947,2,FALSE)</f>
        <v>ART</v>
      </c>
      <c r="L1234" s="25" t="s">
        <v>216</v>
      </c>
      <c r="M1234" s="25" t="s">
        <v>208</v>
      </c>
      <c r="N1234" s="25" t="s">
        <v>3121</v>
      </c>
    </row>
    <row r="1235" spans="1:14" x14ac:dyDescent="0.55000000000000004">
      <c r="A1235">
        <v>1234</v>
      </c>
      <c r="B1235" s="25" t="s">
        <v>74</v>
      </c>
      <c r="C1235" s="25">
        <v>25</v>
      </c>
      <c r="D1235" s="25" t="s">
        <v>4676</v>
      </c>
      <c r="E1235" s="25" t="s">
        <v>4684</v>
      </c>
      <c r="F1235" s="25">
        <v>12.39</v>
      </c>
      <c r="G1235" s="25" t="s">
        <v>1889</v>
      </c>
      <c r="H1235" s="25">
        <f>3.78+1.86+3.26+3.83</f>
        <v>12.729999999999999</v>
      </c>
      <c r="I1235" s="25">
        <f>3.78+1.86+3.26+3.83</f>
        <v>12.729999999999999</v>
      </c>
      <c r="J1235" s="25" t="s">
        <v>1891</v>
      </c>
      <c r="K1235" s="25" t="str">
        <f>VLOOKUP(E1235,[1]PrelimAssignPOP!$I$1:$J$947,2,FALSE)</f>
        <v>ART</v>
      </c>
      <c r="L1235" s="25" t="s">
        <v>216</v>
      </c>
      <c r="M1235" s="25" t="s">
        <v>209</v>
      </c>
      <c r="N1235" s="25" t="s">
        <v>3122</v>
      </c>
    </row>
    <row r="1236" spans="1:14" x14ac:dyDescent="0.55000000000000004">
      <c r="A1236">
        <v>1235</v>
      </c>
      <c r="B1236" s="25" t="s">
        <v>74</v>
      </c>
      <c r="C1236" s="25">
        <v>25</v>
      </c>
      <c r="D1236" s="25" t="s">
        <v>4676</v>
      </c>
      <c r="E1236" s="25" t="s">
        <v>4685</v>
      </c>
      <c r="F1236" s="25">
        <v>15.01</v>
      </c>
      <c r="G1236" s="25" t="s">
        <v>1889</v>
      </c>
      <c r="H1236" s="25">
        <f>3.48+8.54+3.12</f>
        <v>15.14</v>
      </c>
      <c r="I1236" s="25">
        <f>3.48+8.54+3.12</f>
        <v>15.14</v>
      </c>
      <c r="J1236" s="25" t="s">
        <v>1891</v>
      </c>
      <c r="K1236" s="25" t="str">
        <f>VLOOKUP(E1236,[1]PrelimAssignPOP!$I$1:$J$947,2,FALSE)</f>
        <v>ART</v>
      </c>
      <c r="L1236" s="25" t="s">
        <v>217</v>
      </c>
      <c r="M1236" s="25" t="s">
        <v>114</v>
      </c>
      <c r="N1236" s="25" t="s">
        <v>3123</v>
      </c>
    </row>
    <row r="1237" spans="1:14" x14ac:dyDescent="0.55000000000000004">
      <c r="A1237">
        <v>1236</v>
      </c>
      <c r="B1237" s="25" t="s">
        <v>74</v>
      </c>
      <c r="C1237" s="25">
        <v>25</v>
      </c>
      <c r="D1237" s="25" t="s">
        <v>4676</v>
      </c>
      <c r="E1237" s="25" t="s">
        <v>4686</v>
      </c>
      <c r="F1237" s="25">
        <v>15.32</v>
      </c>
      <c r="G1237" s="25" t="s">
        <v>1889</v>
      </c>
      <c r="H1237" s="25">
        <f>3.68+6.88+2.52+2.49</f>
        <v>15.57</v>
      </c>
      <c r="I1237" s="25">
        <f>3.68+6.88+2.52+2.49</f>
        <v>15.57</v>
      </c>
      <c r="J1237" s="25" t="s">
        <v>1891</v>
      </c>
      <c r="K1237" s="25" t="str">
        <f>VLOOKUP(E1237,[1]PrelimAssignPOP!$I$1:$J$947,2,FALSE)</f>
        <v>KIY</v>
      </c>
      <c r="L1237" s="25" t="s">
        <v>217</v>
      </c>
      <c r="M1237" s="25" t="s">
        <v>122</v>
      </c>
      <c r="N1237" s="25" t="s">
        <v>3124</v>
      </c>
    </row>
    <row r="1238" spans="1:14" x14ac:dyDescent="0.55000000000000004">
      <c r="A1238">
        <v>1237</v>
      </c>
      <c r="B1238" s="25" t="s">
        <v>74</v>
      </c>
      <c r="C1238" s="25">
        <v>25</v>
      </c>
      <c r="D1238" s="25" t="s">
        <v>4676</v>
      </c>
      <c r="E1238" s="25" t="s">
        <v>4687</v>
      </c>
      <c r="F1238" s="25">
        <v>14.9</v>
      </c>
      <c r="G1238" s="25" t="s">
        <v>1889</v>
      </c>
      <c r="H1238" s="25">
        <f>2.49+2.47+3.91+2.75+3.4</f>
        <v>15.020000000000001</v>
      </c>
      <c r="I1238" s="25">
        <f>2.49+2.47+3.91+2.75+3.4</f>
        <v>15.020000000000001</v>
      </c>
      <c r="J1238" s="25" t="s">
        <v>1891</v>
      </c>
      <c r="K1238" s="25" t="str">
        <f>VLOOKUP(E1238,[1]PrelimAssignPOP!$I$1:$J$947,2,FALSE)</f>
        <v>KIY</v>
      </c>
      <c r="L1238" s="25" t="s">
        <v>217</v>
      </c>
      <c r="M1238" s="25" t="s">
        <v>123</v>
      </c>
      <c r="N1238" s="25" t="s">
        <v>3125</v>
      </c>
    </row>
    <row r="1239" spans="1:14" x14ac:dyDescent="0.55000000000000004">
      <c r="A1239">
        <v>1238</v>
      </c>
      <c r="B1239" s="25" t="s">
        <v>74</v>
      </c>
      <c r="C1239" s="25">
        <v>25</v>
      </c>
      <c r="D1239" s="25" t="s">
        <v>4676</v>
      </c>
      <c r="E1239" s="25" t="s">
        <v>4688</v>
      </c>
      <c r="F1239" s="25">
        <v>14.68</v>
      </c>
      <c r="G1239" s="25" t="s">
        <v>1889</v>
      </c>
      <c r="H1239" s="25">
        <f>5.85+2.06+6.91</f>
        <v>14.82</v>
      </c>
      <c r="I1239" s="25">
        <f>5.85+2.06+6.91</f>
        <v>14.82</v>
      </c>
      <c r="J1239" s="25" t="s">
        <v>1891</v>
      </c>
      <c r="K1239" s="25" t="str">
        <f>VLOOKUP(E1239,[1]PrelimAssignPOP!$I$1:$J$947,2,FALSE)</f>
        <v>ART</v>
      </c>
      <c r="L1239" s="25" t="s">
        <v>217</v>
      </c>
      <c r="M1239" s="25" t="s">
        <v>124</v>
      </c>
      <c r="N1239" s="25" t="s">
        <v>3126</v>
      </c>
    </row>
    <row r="1240" spans="1:14" x14ac:dyDescent="0.55000000000000004">
      <c r="A1240">
        <v>1239</v>
      </c>
      <c r="B1240" s="25" t="s">
        <v>74</v>
      </c>
      <c r="C1240" s="25">
        <v>25</v>
      </c>
      <c r="D1240" s="25" t="s">
        <v>4676</v>
      </c>
      <c r="E1240" s="25" t="s">
        <v>4689</v>
      </c>
      <c r="F1240" s="25">
        <v>15.21</v>
      </c>
      <c r="G1240" s="25" t="s">
        <v>1889</v>
      </c>
      <c r="H1240" s="25">
        <f>3.14+1.96+3.2+3.76+3.34</f>
        <v>15.4</v>
      </c>
      <c r="I1240" s="25">
        <f>3.14+1.96+3.2+3.76+3.34</f>
        <v>15.4</v>
      </c>
      <c r="J1240" s="25" t="s">
        <v>1891</v>
      </c>
      <c r="N1240" s="25" t="s">
        <v>3127</v>
      </c>
    </row>
    <row r="1241" spans="1:14" x14ac:dyDescent="0.55000000000000004">
      <c r="A1241">
        <v>1240</v>
      </c>
      <c r="B1241" s="25" t="s">
        <v>74</v>
      </c>
      <c r="C1241" s="25">
        <v>25</v>
      </c>
      <c r="D1241" s="25" t="s">
        <v>4676</v>
      </c>
      <c r="E1241" s="25" t="s">
        <v>4690</v>
      </c>
      <c r="F1241" s="25">
        <v>14.72</v>
      </c>
      <c r="G1241" s="25" t="s">
        <v>1889</v>
      </c>
      <c r="H1241" s="25">
        <f>2.09+2.16+4.03+2.44+4.15</f>
        <v>14.870000000000001</v>
      </c>
      <c r="I1241" s="25">
        <f>2.09+2.16+4.03+2.44+4.15</f>
        <v>14.870000000000001</v>
      </c>
      <c r="J1241" s="25" t="s">
        <v>1891</v>
      </c>
      <c r="N1241" s="25" t="s">
        <v>3128</v>
      </c>
    </row>
    <row r="1242" spans="1:14" x14ac:dyDescent="0.55000000000000004">
      <c r="A1242">
        <v>1241</v>
      </c>
      <c r="B1242" s="25" t="s">
        <v>74</v>
      </c>
      <c r="C1242" s="25">
        <v>25</v>
      </c>
      <c r="D1242" s="25" t="s">
        <v>4676</v>
      </c>
      <c r="E1242" s="25" t="s">
        <v>4691</v>
      </c>
      <c r="F1242" s="25">
        <v>14.95</v>
      </c>
      <c r="G1242" s="25" t="s">
        <v>1889</v>
      </c>
      <c r="H1242" s="25">
        <f>2.01+2.75+3.02+4.37+3.02</f>
        <v>15.169999999999998</v>
      </c>
      <c r="I1242" s="25">
        <f>2.01+2.75+3.02+4.37+3.02</f>
        <v>15.169999999999998</v>
      </c>
      <c r="J1242" s="25" t="s">
        <v>1891</v>
      </c>
      <c r="N1242" s="25" t="s">
        <v>3129</v>
      </c>
    </row>
    <row r="1243" spans="1:14" x14ac:dyDescent="0.55000000000000004">
      <c r="A1243">
        <v>1242</v>
      </c>
      <c r="B1243" s="25" t="s">
        <v>74</v>
      </c>
      <c r="C1243" s="25">
        <v>25</v>
      </c>
      <c r="D1243" s="25" t="s">
        <v>4676</v>
      </c>
      <c r="E1243" s="25" t="s">
        <v>4692</v>
      </c>
      <c r="F1243" s="25">
        <v>14.49</v>
      </c>
      <c r="G1243" s="25" t="s">
        <v>1889</v>
      </c>
      <c r="H1243" s="25">
        <f>2.73+2.69+2.55+6.51</f>
        <v>14.48</v>
      </c>
      <c r="I1243" s="25">
        <f>2.73+2.69+2.55+6.51</f>
        <v>14.48</v>
      </c>
      <c r="J1243" s="25" t="s">
        <v>1891</v>
      </c>
      <c r="N1243" s="25" t="s">
        <v>3130</v>
      </c>
    </row>
    <row r="1244" spans="1:14" x14ac:dyDescent="0.55000000000000004">
      <c r="A1244">
        <v>1243</v>
      </c>
      <c r="B1244" s="25" t="s">
        <v>74</v>
      </c>
      <c r="C1244" s="25">
        <v>25</v>
      </c>
      <c r="D1244" s="25" t="s">
        <v>4676</v>
      </c>
      <c r="E1244" s="25" t="s">
        <v>4693</v>
      </c>
      <c r="F1244" s="25">
        <v>14.72</v>
      </c>
      <c r="G1244" s="25" t="s">
        <v>1889</v>
      </c>
      <c r="H1244" s="25">
        <f>3.22+7.84+3.89</f>
        <v>14.950000000000001</v>
      </c>
      <c r="I1244" s="25">
        <f>3.22+7.84+3.89</f>
        <v>14.950000000000001</v>
      </c>
      <c r="J1244" s="25" t="s">
        <v>1891</v>
      </c>
      <c r="N1244" s="25" t="s">
        <v>3131</v>
      </c>
    </row>
    <row r="1245" spans="1:14" x14ac:dyDescent="0.55000000000000004">
      <c r="A1245">
        <v>1244</v>
      </c>
      <c r="B1245" s="25" t="s">
        <v>74</v>
      </c>
      <c r="C1245" s="25">
        <v>25</v>
      </c>
      <c r="D1245" s="25" t="s">
        <v>4676</v>
      </c>
      <c r="E1245" s="25" t="s">
        <v>4694</v>
      </c>
      <c r="F1245" s="25">
        <v>15</v>
      </c>
      <c r="G1245" s="25" t="s">
        <v>1889</v>
      </c>
      <c r="H1245" s="25">
        <f>2.26+1.92+3.39+3.4+3.87</f>
        <v>14.84</v>
      </c>
      <c r="I1245" s="25">
        <f>2.26+1.92+3.39+3.4+3.87</f>
        <v>14.84</v>
      </c>
      <c r="J1245" s="25" t="s">
        <v>1891</v>
      </c>
      <c r="N1245" s="25" t="s">
        <v>3132</v>
      </c>
    </row>
    <row r="1246" spans="1:14" x14ac:dyDescent="0.55000000000000004">
      <c r="A1246">
        <v>1245</v>
      </c>
      <c r="B1246" s="25" t="s">
        <v>74</v>
      </c>
      <c r="C1246" s="25">
        <v>25</v>
      </c>
      <c r="D1246" s="25" t="s">
        <v>4676</v>
      </c>
      <c r="E1246" s="25" t="s">
        <v>4695</v>
      </c>
      <c r="F1246" s="25">
        <v>15.8</v>
      </c>
      <c r="G1246" s="25" t="s">
        <v>1889</v>
      </c>
      <c r="H1246" s="25">
        <f>4.59+3.83+7.42</f>
        <v>15.84</v>
      </c>
      <c r="I1246" s="25">
        <f>4.59+3.83+7.42</f>
        <v>15.84</v>
      </c>
      <c r="J1246" s="25" t="s">
        <v>1891</v>
      </c>
      <c r="N1246" s="25" t="s">
        <v>3133</v>
      </c>
    </row>
    <row r="1247" spans="1:14" x14ac:dyDescent="0.55000000000000004">
      <c r="A1247">
        <v>1246</v>
      </c>
      <c r="B1247" s="25" t="s">
        <v>74</v>
      </c>
      <c r="C1247" s="25">
        <v>25</v>
      </c>
      <c r="D1247" s="25" t="s">
        <v>4676</v>
      </c>
      <c r="E1247" s="25" t="s">
        <v>4696</v>
      </c>
      <c r="F1247" s="25">
        <v>13.67</v>
      </c>
      <c r="G1247" s="25" t="s">
        <v>1889</v>
      </c>
      <c r="H1247" s="25">
        <f>2.72+2.78+3.59+1.79+3.11</f>
        <v>13.989999999999998</v>
      </c>
      <c r="I1247" s="25">
        <f>2.72+2.78+3.59+1.79+3.11</f>
        <v>13.989999999999998</v>
      </c>
      <c r="J1247" s="25" t="s">
        <v>1891</v>
      </c>
      <c r="N1247" s="25" t="s">
        <v>3134</v>
      </c>
    </row>
    <row r="1248" spans="1:14" x14ac:dyDescent="0.55000000000000004">
      <c r="A1248">
        <v>1247</v>
      </c>
      <c r="B1248" s="25" t="s">
        <v>74</v>
      </c>
      <c r="C1248" s="25">
        <v>25</v>
      </c>
      <c r="D1248" s="25" t="s">
        <v>4676</v>
      </c>
      <c r="E1248" s="25" t="s">
        <v>4697</v>
      </c>
      <c r="F1248" s="25">
        <v>14.19</v>
      </c>
      <c r="G1248" s="25" t="s">
        <v>1889</v>
      </c>
      <c r="H1248" s="25">
        <f>3.38+3.15+2.73+1.99+3.11</f>
        <v>14.36</v>
      </c>
      <c r="I1248" s="25">
        <f>3.38+3.15+2.73+1.99+3.11</f>
        <v>14.36</v>
      </c>
      <c r="J1248" s="25" t="s">
        <v>1891</v>
      </c>
      <c r="N1248" s="25" t="s">
        <v>3135</v>
      </c>
    </row>
    <row r="1249" spans="1:14" x14ac:dyDescent="0.55000000000000004">
      <c r="A1249">
        <v>1248</v>
      </c>
      <c r="B1249" s="25" t="s">
        <v>74</v>
      </c>
      <c r="C1249" s="25">
        <v>25</v>
      </c>
      <c r="D1249" s="25" t="s">
        <v>4676</v>
      </c>
      <c r="E1249" s="25" t="s">
        <v>4698</v>
      </c>
      <c r="F1249" s="25">
        <v>15.66</v>
      </c>
      <c r="G1249" s="25" t="s">
        <v>2113</v>
      </c>
      <c r="I1249" s="25">
        <v>15.66</v>
      </c>
      <c r="J1249" s="25" t="s">
        <v>110</v>
      </c>
    </row>
    <row r="1250" spans="1:14" x14ac:dyDescent="0.55000000000000004">
      <c r="A1250">
        <v>1249</v>
      </c>
      <c r="B1250" s="25" t="s">
        <v>74</v>
      </c>
      <c r="C1250" s="25">
        <v>25</v>
      </c>
      <c r="D1250" s="25" t="s">
        <v>4676</v>
      </c>
      <c r="E1250" s="25" t="s">
        <v>4699</v>
      </c>
      <c r="F1250" s="25">
        <v>15.66</v>
      </c>
      <c r="G1250" s="25" t="s">
        <v>2113</v>
      </c>
      <c r="I1250" s="25">
        <v>15.66</v>
      </c>
      <c r="J1250" s="25" t="s">
        <v>110</v>
      </c>
    </row>
    <row r="1251" spans="1:14" x14ac:dyDescent="0.55000000000000004">
      <c r="A1251">
        <v>1250</v>
      </c>
      <c r="B1251" s="25" t="s">
        <v>74</v>
      </c>
      <c r="C1251" s="25">
        <v>25</v>
      </c>
      <c r="D1251" s="25" t="s">
        <v>4676</v>
      </c>
      <c r="E1251" s="25" t="s">
        <v>4700</v>
      </c>
      <c r="F1251" s="25">
        <v>16</v>
      </c>
      <c r="G1251" s="25" t="s">
        <v>2113</v>
      </c>
      <c r="I1251" s="25">
        <v>16</v>
      </c>
      <c r="J1251" s="25" t="s">
        <v>110</v>
      </c>
    </row>
    <row r="1252" spans="1:14" x14ac:dyDescent="0.55000000000000004">
      <c r="A1252">
        <v>1251</v>
      </c>
      <c r="B1252" s="25" t="s">
        <v>74</v>
      </c>
      <c r="C1252" s="25">
        <v>25</v>
      </c>
      <c r="D1252" s="25" t="s">
        <v>4676</v>
      </c>
      <c r="E1252" s="25" t="s">
        <v>4701</v>
      </c>
      <c r="F1252" s="25">
        <v>17</v>
      </c>
      <c r="G1252" s="25" t="s">
        <v>2113</v>
      </c>
      <c r="I1252" s="25">
        <v>17</v>
      </c>
      <c r="J1252" s="25" t="s">
        <v>110</v>
      </c>
    </row>
    <row r="1253" spans="1:14" x14ac:dyDescent="0.55000000000000004">
      <c r="A1253">
        <v>1252</v>
      </c>
      <c r="B1253" s="25" t="s">
        <v>75</v>
      </c>
      <c r="C1253" s="25">
        <v>7</v>
      </c>
      <c r="D1253" s="25" t="s">
        <v>4702</v>
      </c>
      <c r="E1253" s="25" t="s">
        <v>4703</v>
      </c>
      <c r="F1253" s="25">
        <v>17.2</v>
      </c>
      <c r="G1253" s="25" t="s">
        <v>2113</v>
      </c>
      <c r="I1253" s="25">
        <v>17.2</v>
      </c>
      <c r="J1253" s="25" t="s">
        <v>110</v>
      </c>
      <c r="K1253" s="25" t="str">
        <f>VLOOKUP(E1253,[1]PrelimAssignPOP!$I$1:$J$947,2,FALSE)</f>
        <v>KIY</v>
      </c>
      <c r="L1253" s="25" t="s">
        <v>217</v>
      </c>
      <c r="M1253" s="25" t="s">
        <v>125</v>
      </c>
    </row>
    <row r="1254" spans="1:14" x14ac:dyDescent="0.55000000000000004">
      <c r="A1254">
        <v>1253</v>
      </c>
      <c r="B1254" s="25" t="s">
        <v>75</v>
      </c>
      <c r="C1254" s="25">
        <v>7</v>
      </c>
      <c r="D1254" s="25" t="s">
        <v>4702</v>
      </c>
      <c r="E1254" s="25" t="s">
        <v>4704</v>
      </c>
      <c r="F1254" s="25">
        <v>14.6</v>
      </c>
      <c r="G1254" s="25" t="s">
        <v>2113</v>
      </c>
      <c r="I1254" s="25">
        <v>14.6</v>
      </c>
      <c r="J1254" s="25" t="s">
        <v>110</v>
      </c>
      <c r="K1254" s="25" t="str">
        <f>VLOOKUP(E1254,[1]PrelimAssignPOP!$I$1:$J$947,2,FALSE)</f>
        <v>KIY</v>
      </c>
      <c r="L1254" s="25" t="s">
        <v>217</v>
      </c>
      <c r="M1254" s="25" t="s">
        <v>126</v>
      </c>
    </row>
    <row r="1255" spans="1:14" x14ac:dyDescent="0.55000000000000004">
      <c r="A1255">
        <v>1254</v>
      </c>
      <c r="B1255" s="25" t="s">
        <v>75</v>
      </c>
      <c r="C1255" s="25">
        <v>7</v>
      </c>
      <c r="D1255" s="25" t="s">
        <v>4702</v>
      </c>
      <c r="E1255" s="25" t="s">
        <v>4705</v>
      </c>
      <c r="F1255" s="25">
        <v>17.77</v>
      </c>
      <c r="G1255" s="25" t="s">
        <v>2113</v>
      </c>
      <c r="I1255" s="25">
        <v>17.77</v>
      </c>
      <c r="J1255" s="25" t="s">
        <v>110</v>
      </c>
      <c r="K1255" s="25" t="str">
        <f>VLOOKUP(E1255,[1]PrelimAssignPOP!$I$1:$J$947,2,FALSE)</f>
        <v>ART</v>
      </c>
      <c r="L1255" s="25" t="s">
        <v>217</v>
      </c>
      <c r="M1255" s="25" t="s">
        <v>127</v>
      </c>
    </row>
    <row r="1256" spans="1:14" x14ac:dyDescent="0.55000000000000004">
      <c r="A1256">
        <v>1255</v>
      </c>
      <c r="B1256" s="25" t="s">
        <v>75</v>
      </c>
      <c r="C1256" s="25">
        <v>7</v>
      </c>
      <c r="D1256" s="25" t="s">
        <v>4702</v>
      </c>
      <c r="E1256" s="25" t="s">
        <v>4706</v>
      </c>
      <c r="F1256" s="25">
        <v>17.420000000000002</v>
      </c>
      <c r="G1256" s="25" t="s">
        <v>2113</v>
      </c>
      <c r="I1256" s="25">
        <v>17.420000000000002</v>
      </c>
      <c r="J1256" s="25" t="s">
        <v>110</v>
      </c>
      <c r="K1256" s="25" t="str">
        <f>VLOOKUP(E1256,[1]PrelimAssignPOP!$I$1:$J$947,2,FALSE)</f>
        <v>KIY</v>
      </c>
      <c r="L1256" s="25" t="s">
        <v>217</v>
      </c>
      <c r="M1256" s="25" t="s">
        <v>128</v>
      </c>
    </row>
    <row r="1257" spans="1:14" x14ac:dyDescent="0.55000000000000004">
      <c r="A1257">
        <v>1256</v>
      </c>
      <c r="B1257" s="25" t="s">
        <v>75</v>
      </c>
      <c r="C1257" s="25">
        <v>7</v>
      </c>
      <c r="D1257" s="25" t="s">
        <v>4702</v>
      </c>
      <c r="E1257" s="25" t="s">
        <v>4707</v>
      </c>
      <c r="F1257" s="25">
        <v>14.76</v>
      </c>
      <c r="G1257" s="25" t="s">
        <v>1889</v>
      </c>
      <c r="H1257" s="25">
        <f>3.51+4.89+3.57+2.91</f>
        <v>14.879999999999999</v>
      </c>
      <c r="I1257" s="25">
        <f>3.51+4.89+3.57+2.91</f>
        <v>14.879999999999999</v>
      </c>
      <c r="J1257" s="25" t="s">
        <v>1891</v>
      </c>
      <c r="K1257" s="25" t="str">
        <f>VLOOKUP(E1257,[1]PrelimAssignPOP!$I$1:$J$947,2,FALSE)</f>
        <v>HOY</v>
      </c>
      <c r="L1257" s="25" t="s">
        <v>217</v>
      </c>
      <c r="M1257" s="25" t="s">
        <v>129</v>
      </c>
      <c r="N1257" s="25" t="s">
        <v>2986</v>
      </c>
    </row>
    <row r="1258" spans="1:14" x14ac:dyDescent="0.55000000000000004">
      <c r="A1258">
        <v>1257</v>
      </c>
      <c r="B1258" s="25" t="s">
        <v>75</v>
      </c>
      <c r="C1258" s="25">
        <v>7</v>
      </c>
      <c r="D1258" s="25" t="s">
        <v>4702</v>
      </c>
      <c r="E1258" s="25" t="s">
        <v>4708</v>
      </c>
      <c r="F1258" s="25">
        <v>15.14</v>
      </c>
      <c r="G1258" s="25" t="s">
        <v>1889</v>
      </c>
      <c r="H1258" s="25">
        <f>3.64+2.8+4.12+2.2+2.4</f>
        <v>15.159999999999998</v>
      </c>
      <c r="I1258" s="25">
        <f>3.64+2.8+4.12+2.2+2.4</f>
        <v>15.159999999999998</v>
      </c>
      <c r="J1258" s="25" t="s">
        <v>1891</v>
      </c>
      <c r="K1258" s="25" t="str">
        <f>VLOOKUP(E1258,[1]PrelimAssignPOP!$I$1:$J$947,2,FALSE)</f>
        <v>HYB</v>
      </c>
      <c r="L1258" s="25" t="s">
        <v>217</v>
      </c>
      <c r="M1258" s="25" t="s">
        <v>130</v>
      </c>
      <c r="N1258" s="25" t="s">
        <v>2987</v>
      </c>
    </row>
    <row r="1259" spans="1:14" x14ac:dyDescent="0.55000000000000004">
      <c r="A1259">
        <v>1258</v>
      </c>
      <c r="B1259" s="25" t="s">
        <v>75</v>
      </c>
      <c r="C1259" s="25">
        <v>7</v>
      </c>
      <c r="D1259" s="25" t="s">
        <v>4702</v>
      </c>
      <c r="E1259" s="25" t="s">
        <v>4709</v>
      </c>
      <c r="F1259" s="25">
        <v>14.01</v>
      </c>
      <c r="G1259" s="25" t="s">
        <v>1889</v>
      </c>
      <c r="H1259" s="25">
        <f>4.03+6.63+3.42</f>
        <v>14.08</v>
      </c>
      <c r="I1259" s="25">
        <f>4.03+6.63+3.42</f>
        <v>14.08</v>
      </c>
      <c r="J1259" s="25" t="s">
        <v>1891</v>
      </c>
      <c r="K1259" s="25" t="str">
        <f>VLOOKUP(E1259,[1]PrelimAssignPOP!$I$1:$J$947,2,FALSE)</f>
        <v>HOY</v>
      </c>
      <c r="L1259" s="25" t="s">
        <v>217</v>
      </c>
      <c r="M1259" s="25" t="s">
        <v>131</v>
      </c>
      <c r="N1259" s="25" t="s">
        <v>2988</v>
      </c>
    </row>
    <row r="1260" spans="1:14" x14ac:dyDescent="0.55000000000000004">
      <c r="A1260">
        <v>1259</v>
      </c>
      <c r="B1260" s="25" t="s">
        <v>76</v>
      </c>
      <c r="C1260" s="25">
        <v>25</v>
      </c>
      <c r="D1260" s="25" t="s">
        <v>4710</v>
      </c>
      <c r="E1260" s="25" t="s">
        <v>4711</v>
      </c>
      <c r="F1260" s="25">
        <v>14.36</v>
      </c>
      <c r="G1260" s="25" t="s">
        <v>1889</v>
      </c>
      <c r="H1260" s="25">
        <f>3.74+2.59+3.12+3.73+1.8</f>
        <v>14.98</v>
      </c>
      <c r="I1260" s="25">
        <f>3.74+2.59+3.12+3.73+1.8</f>
        <v>14.98</v>
      </c>
      <c r="J1260" s="25" t="s">
        <v>1891</v>
      </c>
      <c r="K1260" s="25" t="str">
        <f>VLOOKUP(E1260,[1]PrelimAssignPOP!$I$1:$J$947,2,FALSE)</f>
        <v>KIY</v>
      </c>
      <c r="L1260" s="25" t="s">
        <v>217</v>
      </c>
      <c r="M1260" s="25" t="s">
        <v>132</v>
      </c>
      <c r="N1260" s="25" t="s">
        <v>2989</v>
      </c>
    </row>
    <row r="1261" spans="1:14" x14ac:dyDescent="0.55000000000000004">
      <c r="A1261">
        <v>1260</v>
      </c>
      <c r="B1261" s="25" t="s">
        <v>76</v>
      </c>
      <c r="C1261" s="25">
        <v>25</v>
      </c>
      <c r="D1261" s="25" t="s">
        <v>4710</v>
      </c>
      <c r="E1261" s="25" t="s">
        <v>4712</v>
      </c>
      <c r="F1261" s="25">
        <v>14.75</v>
      </c>
      <c r="G1261" s="25" t="s">
        <v>1889</v>
      </c>
      <c r="H1261" s="25">
        <f>3.48+3.2+3.31+4.62</f>
        <v>14.61</v>
      </c>
      <c r="I1261" s="25">
        <f>3.48+3.2+3.31+4.62</f>
        <v>14.61</v>
      </c>
      <c r="J1261" s="25" t="s">
        <v>1891</v>
      </c>
      <c r="K1261" s="25" t="str">
        <f>VLOOKUP(E1261,[1]PrelimAssignPOP!$I$1:$J$947,2,FALSE)</f>
        <v>KIY</v>
      </c>
      <c r="L1261" s="25" t="s">
        <v>217</v>
      </c>
      <c r="M1261" s="25" t="s">
        <v>115</v>
      </c>
      <c r="N1261" s="25" t="s">
        <v>2990</v>
      </c>
    </row>
    <row r="1262" spans="1:14" x14ac:dyDescent="0.55000000000000004">
      <c r="A1262">
        <v>1261</v>
      </c>
      <c r="B1262" s="25" t="s">
        <v>76</v>
      </c>
      <c r="C1262" s="25">
        <v>25</v>
      </c>
      <c r="D1262" s="25" t="s">
        <v>4710</v>
      </c>
      <c r="E1262" s="25" t="s">
        <v>4713</v>
      </c>
      <c r="F1262" s="25">
        <v>13.7</v>
      </c>
      <c r="G1262" s="25" t="s">
        <v>1889</v>
      </c>
      <c r="H1262" s="25">
        <f>3.42+2.34+7.76</f>
        <v>13.52</v>
      </c>
      <c r="I1262" s="25">
        <f>3.42+2.34+7.76</f>
        <v>13.52</v>
      </c>
      <c r="J1262" s="25" t="s">
        <v>1891</v>
      </c>
      <c r="K1262" s="25" t="str">
        <f>VLOOKUP(E1262,[1]PrelimAssignPOP!$I$1:$J$947,2,FALSE)</f>
        <v>HYB</v>
      </c>
      <c r="L1262" s="25" t="s">
        <v>217</v>
      </c>
      <c r="M1262" s="25" t="s">
        <v>133</v>
      </c>
      <c r="N1262" s="25" t="s">
        <v>2991</v>
      </c>
    </row>
    <row r="1263" spans="1:14" x14ac:dyDescent="0.55000000000000004">
      <c r="A1263">
        <v>1262</v>
      </c>
      <c r="B1263" s="25" t="s">
        <v>76</v>
      </c>
      <c r="C1263" s="25">
        <v>25</v>
      </c>
      <c r="D1263" s="25" t="s">
        <v>4710</v>
      </c>
      <c r="E1263" s="25" t="s">
        <v>4714</v>
      </c>
      <c r="F1263" s="25">
        <v>13.76</v>
      </c>
      <c r="G1263" s="25" t="s">
        <v>1889</v>
      </c>
      <c r="H1263" s="25">
        <f>2.84+2.22+4.1+3.03+1.83</f>
        <v>14.02</v>
      </c>
      <c r="I1263" s="25">
        <f>2.84+2.22+4.1+3.03+1.83</f>
        <v>14.02</v>
      </c>
      <c r="J1263" s="25" t="s">
        <v>1891</v>
      </c>
      <c r="K1263" s="25" t="str">
        <f>VLOOKUP(E1263,[1]PrelimAssignPOP!$I$1:$J$947,2,FALSE)</f>
        <v>ART</v>
      </c>
      <c r="L1263" s="25" t="s">
        <v>217</v>
      </c>
      <c r="M1263" s="25" t="s">
        <v>134</v>
      </c>
      <c r="N1263" s="25" t="s">
        <v>2992</v>
      </c>
    </row>
    <row r="1264" spans="1:14" x14ac:dyDescent="0.55000000000000004">
      <c r="A1264">
        <v>1263</v>
      </c>
      <c r="B1264" s="25" t="s">
        <v>76</v>
      </c>
      <c r="C1264" s="25">
        <v>25</v>
      </c>
      <c r="D1264" s="25" t="s">
        <v>4710</v>
      </c>
      <c r="E1264" s="25" t="s">
        <v>4715</v>
      </c>
      <c r="F1264" s="25">
        <v>15.03</v>
      </c>
      <c r="G1264" s="25" t="s">
        <v>1889</v>
      </c>
      <c r="H1264" s="25">
        <f>3.97+2.38+4.05+2.42+2.45</f>
        <v>15.27</v>
      </c>
      <c r="I1264" s="25">
        <f>3.97+2.38+4.05+2.42+2.45</f>
        <v>15.27</v>
      </c>
      <c r="J1264" s="25" t="s">
        <v>1891</v>
      </c>
      <c r="K1264" s="25" t="str">
        <f>VLOOKUP(E1264,[1]PrelimAssignPOP!$I$1:$J$947,2,FALSE)</f>
        <v>KIY</v>
      </c>
      <c r="L1264" s="25" t="s">
        <v>217</v>
      </c>
      <c r="M1264" s="25" t="s">
        <v>135</v>
      </c>
      <c r="N1264" s="25" t="s">
        <v>2993</v>
      </c>
    </row>
    <row r="1265" spans="1:14" x14ac:dyDescent="0.55000000000000004">
      <c r="A1265">
        <v>1264</v>
      </c>
      <c r="B1265" s="25" t="s">
        <v>76</v>
      </c>
      <c r="C1265" s="25">
        <v>25</v>
      </c>
      <c r="D1265" s="25" t="s">
        <v>4710</v>
      </c>
      <c r="E1265" s="25" t="s">
        <v>4716</v>
      </c>
      <c r="F1265" s="25">
        <v>14.01</v>
      </c>
      <c r="G1265" s="25" t="s">
        <v>1889</v>
      </c>
      <c r="H1265" s="25">
        <f>3.22+10.87</f>
        <v>14.09</v>
      </c>
      <c r="I1265" s="25">
        <f>3.22+10.87</f>
        <v>14.09</v>
      </c>
      <c r="J1265" s="25" t="s">
        <v>1891</v>
      </c>
      <c r="K1265" s="25" t="str">
        <f>VLOOKUP(E1265,[1]PrelimAssignPOP!$I$1:$J$947,2,FALSE)</f>
        <v>KIY</v>
      </c>
      <c r="L1265" s="25" t="s">
        <v>217</v>
      </c>
      <c r="M1265" s="25" t="s">
        <v>136</v>
      </c>
      <c r="N1265" s="25" t="s">
        <v>2994</v>
      </c>
    </row>
    <row r="1266" spans="1:14" x14ac:dyDescent="0.55000000000000004">
      <c r="A1266">
        <v>1265</v>
      </c>
      <c r="B1266" s="25" t="s">
        <v>76</v>
      </c>
      <c r="C1266" s="25">
        <v>25</v>
      </c>
      <c r="D1266" s="25" t="s">
        <v>4710</v>
      </c>
      <c r="E1266" s="25" t="s">
        <v>4717</v>
      </c>
      <c r="F1266" s="25">
        <v>12.29</v>
      </c>
      <c r="G1266" s="25" t="s">
        <v>1889</v>
      </c>
      <c r="H1266" s="25">
        <f>2.83+2.78+1.52+1.62+3.67</f>
        <v>12.42</v>
      </c>
      <c r="I1266" s="25">
        <f>2.83+2.78+1.52+1.62+3.67</f>
        <v>12.42</v>
      </c>
      <c r="J1266" s="25" t="s">
        <v>1891</v>
      </c>
      <c r="K1266" s="25" t="str">
        <f>VLOOKUP(E1266,[1]PrelimAssignPOP!$I$1:$J$947,2,FALSE)</f>
        <v>HOY</v>
      </c>
      <c r="L1266" s="25" t="s">
        <v>217</v>
      </c>
      <c r="M1266" s="25" t="s">
        <v>137</v>
      </c>
      <c r="N1266" s="25" t="s">
        <v>2995</v>
      </c>
    </row>
    <row r="1267" spans="1:14" x14ac:dyDescent="0.55000000000000004">
      <c r="A1267">
        <v>1266</v>
      </c>
      <c r="B1267" s="25" t="s">
        <v>76</v>
      </c>
      <c r="C1267" s="25">
        <v>25</v>
      </c>
      <c r="D1267" s="25" t="s">
        <v>4710</v>
      </c>
      <c r="E1267" s="25" t="s">
        <v>4718</v>
      </c>
      <c r="F1267" s="25">
        <v>15.66</v>
      </c>
      <c r="G1267" s="25" t="s">
        <v>1889</v>
      </c>
      <c r="H1267" s="25">
        <f>4.25+1.92+3.56+5.96</f>
        <v>15.690000000000001</v>
      </c>
      <c r="I1267" s="25">
        <f>4.25+1.92+3.56+5.96</f>
        <v>15.690000000000001</v>
      </c>
      <c r="J1267" s="25" t="s">
        <v>1891</v>
      </c>
      <c r="K1267" s="25" t="str">
        <f>VLOOKUP(E1267,[1]PrelimAssignPOP!$I$1:$J$947,2,FALSE)</f>
        <v>KIY</v>
      </c>
      <c r="L1267" s="25" t="s">
        <v>217</v>
      </c>
      <c r="M1267" s="25" t="s">
        <v>138</v>
      </c>
      <c r="N1267" s="25" t="s">
        <v>2996</v>
      </c>
    </row>
    <row r="1268" spans="1:14" x14ac:dyDescent="0.55000000000000004">
      <c r="A1268">
        <v>1267</v>
      </c>
      <c r="B1268" s="25" t="s">
        <v>76</v>
      </c>
      <c r="C1268" s="25">
        <v>25</v>
      </c>
      <c r="D1268" s="25" t="s">
        <v>4710</v>
      </c>
      <c r="E1268" s="25" t="s">
        <v>4719</v>
      </c>
      <c r="F1268" s="25">
        <v>15.24</v>
      </c>
      <c r="G1268" s="25" t="s">
        <v>1889</v>
      </c>
      <c r="H1268" s="25">
        <f>2.98+4.53+3.52+3.99</f>
        <v>15.02</v>
      </c>
      <c r="I1268" s="25">
        <f>2.98+4.53+3.52+3.99</f>
        <v>15.02</v>
      </c>
      <c r="J1268" s="25" t="s">
        <v>1891</v>
      </c>
      <c r="K1268" s="25" t="str">
        <f>VLOOKUP(E1268,[1]PrelimAssignPOP!$I$1:$J$947,2,FALSE)</f>
        <v>KIY</v>
      </c>
      <c r="L1268" s="25" t="s">
        <v>217</v>
      </c>
      <c r="M1268" s="25" t="s">
        <v>139</v>
      </c>
      <c r="N1268" s="25" t="s">
        <v>2997</v>
      </c>
    </row>
    <row r="1269" spans="1:14" x14ac:dyDescent="0.55000000000000004">
      <c r="A1269">
        <v>1268</v>
      </c>
      <c r="B1269" s="25" t="s">
        <v>76</v>
      </c>
      <c r="C1269" s="25">
        <v>25</v>
      </c>
      <c r="D1269" s="25" t="s">
        <v>4710</v>
      </c>
      <c r="E1269" s="25" t="s">
        <v>4720</v>
      </c>
      <c r="F1269" s="25">
        <v>14.68</v>
      </c>
      <c r="G1269" s="25" t="s">
        <v>1889</v>
      </c>
      <c r="H1269" s="25">
        <f>4.68+4.17+5.74</f>
        <v>14.59</v>
      </c>
      <c r="I1269" s="25">
        <f>4.68+4.17+5.74</f>
        <v>14.59</v>
      </c>
      <c r="J1269" s="25" t="s">
        <v>1891</v>
      </c>
      <c r="K1269" s="25" t="str">
        <f>VLOOKUP(E1269,[1]PrelimAssignPOP!$I$1:$J$947,2,FALSE)</f>
        <v>KIY</v>
      </c>
      <c r="L1269" s="25" t="s">
        <v>217</v>
      </c>
      <c r="M1269" s="25" t="s">
        <v>140</v>
      </c>
      <c r="N1269" s="25" t="s">
        <v>2998</v>
      </c>
    </row>
    <row r="1270" spans="1:14" x14ac:dyDescent="0.55000000000000004">
      <c r="A1270">
        <v>1269</v>
      </c>
      <c r="B1270" s="25" t="s">
        <v>76</v>
      </c>
      <c r="C1270" s="25">
        <v>25</v>
      </c>
      <c r="D1270" s="25" t="s">
        <v>4710</v>
      </c>
      <c r="E1270" s="25" t="s">
        <v>4721</v>
      </c>
      <c r="F1270" s="25">
        <v>12.53</v>
      </c>
      <c r="G1270" s="25" t="s">
        <v>1889</v>
      </c>
      <c r="H1270" s="25">
        <f>2.17+2.04+8.18</f>
        <v>12.39</v>
      </c>
      <c r="I1270" s="25">
        <f>2.17+2.04+8.18</f>
        <v>12.39</v>
      </c>
      <c r="J1270" s="25" t="s">
        <v>1891</v>
      </c>
      <c r="K1270" s="25" t="str">
        <f>VLOOKUP(E1270,[1]PrelimAssignPOP!$I$1:$J$947,2,FALSE)</f>
        <v>KIY</v>
      </c>
      <c r="L1270" s="25" t="s">
        <v>217</v>
      </c>
      <c r="M1270" s="25" t="s">
        <v>141</v>
      </c>
      <c r="N1270" s="25" t="s">
        <v>2999</v>
      </c>
    </row>
    <row r="1271" spans="1:14" x14ac:dyDescent="0.55000000000000004">
      <c r="A1271">
        <v>1270</v>
      </c>
      <c r="B1271" s="25" t="s">
        <v>76</v>
      </c>
      <c r="C1271" s="25">
        <v>25</v>
      </c>
      <c r="D1271" s="25" t="s">
        <v>4710</v>
      </c>
      <c r="E1271" s="25" t="s">
        <v>4722</v>
      </c>
      <c r="F1271" s="25">
        <v>15.33</v>
      </c>
      <c r="G1271" s="25" t="s">
        <v>1889</v>
      </c>
      <c r="H1271" s="25">
        <f>5.3+3.5+6.69</f>
        <v>15.490000000000002</v>
      </c>
      <c r="I1271" s="25">
        <f>5.3+3.5+6.69</f>
        <v>15.490000000000002</v>
      </c>
      <c r="J1271" s="25" t="s">
        <v>1891</v>
      </c>
      <c r="K1271" s="25" t="str">
        <f>VLOOKUP(E1271,[1]PrelimAssignPOP!$I$1:$J$947,2,FALSE)</f>
        <v>KIY</v>
      </c>
      <c r="L1271" s="25" t="s">
        <v>217</v>
      </c>
      <c r="M1271" s="25" t="s">
        <v>142</v>
      </c>
      <c r="N1271" s="25" t="s">
        <v>3000</v>
      </c>
    </row>
    <row r="1272" spans="1:14" x14ac:dyDescent="0.55000000000000004">
      <c r="A1272">
        <v>1271</v>
      </c>
      <c r="B1272" s="25" t="s">
        <v>76</v>
      </c>
      <c r="C1272" s="25">
        <v>25</v>
      </c>
      <c r="D1272" s="25" t="s">
        <v>4710</v>
      </c>
      <c r="E1272" s="25" t="s">
        <v>4723</v>
      </c>
      <c r="F1272" s="25">
        <v>15.33</v>
      </c>
      <c r="G1272" s="25" t="s">
        <v>1889</v>
      </c>
      <c r="H1272" s="25">
        <f>5.63+3.06+3.03+3.73</f>
        <v>15.45</v>
      </c>
      <c r="I1272" s="25">
        <f>5.63+3.06+3.03+3.73</f>
        <v>15.45</v>
      </c>
      <c r="J1272" s="25" t="s">
        <v>1891</v>
      </c>
      <c r="N1272" s="25" t="s">
        <v>3001</v>
      </c>
    </row>
    <row r="1273" spans="1:14" x14ac:dyDescent="0.55000000000000004">
      <c r="A1273">
        <v>1272</v>
      </c>
      <c r="B1273" s="25" t="s">
        <v>76</v>
      </c>
      <c r="C1273" s="25">
        <v>25</v>
      </c>
      <c r="D1273" s="25" t="s">
        <v>4710</v>
      </c>
      <c r="E1273" s="25" t="s">
        <v>4724</v>
      </c>
      <c r="F1273" s="25">
        <v>15.56</v>
      </c>
      <c r="G1273" s="25" t="s">
        <v>1889</v>
      </c>
      <c r="H1273" s="25">
        <f>1.95+3.93+5.35+1.45+3</f>
        <v>15.68</v>
      </c>
      <c r="I1273" s="25">
        <f>1.95+3.93+5.35+1.45+3</f>
        <v>15.68</v>
      </c>
      <c r="J1273" s="25" t="s">
        <v>1891</v>
      </c>
      <c r="N1273" s="25" t="s">
        <v>3002</v>
      </c>
    </row>
    <row r="1274" spans="1:14" x14ac:dyDescent="0.55000000000000004">
      <c r="A1274">
        <v>1273</v>
      </c>
      <c r="B1274" s="25" t="s">
        <v>76</v>
      </c>
      <c r="C1274" s="25">
        <v>25</v>
      </c>
      <c r="D1274" s="25" t="s">
        <v>4710</v>
      </c>
      <c r="E1274" s="25" t="s">
        <v>4725</v>
      </c>
      <c r="F1274" s="25">
        <v>14.46</v>
      </c>
      <c r="G1274" s="25" t="s">
        <v>1889</v>
      </c>
      <c r="H1274" s="25">
        <f>2.1+3.67+2.7+3.15+3.12</f>
        <v>14.739999999999998</v>
      </c>
      <c r="I1274" s="25">
        <f>2.1+3.67+2.7+3.15+3.12</f>
        <v>14.739999999999998</v>
      </c>
      <c r="J1274" s="25" t="s">
        <v>1891</v>
      </c>
      <c r="N1274" s="25" t="s">
        <v>3003</v>
      </c>
    </row>
    <row r="1275" spans="1:14" x14ac:dyDescent="0.55000000000000004">
      <c r="A1275">
        <v>1274</v>
      </c>
      <c r="B1275" s="25" t="s">
        <v>76</v>
      </c>
      <c r="C1275" s="25">
        <v>25</v>
      </c>
      <c r="D1275" s="25" t="s">
        <v>4710</v>
      </c>
      <c r="E1275" s="25" t="s">
        <v>4726</v>
      </c>
      <c r="F1275" s="25">
        <v>15.18</v>
      </c>
      <c r="G1275" s="25" t="s">
        <v>1889</v>
      </c>
      <c r="H1275" s="25">
        <f>2.95+3.36+3.32+2.09+3.52</f>
        <v>15.24</v>
      </c>
      <c r="I1275" s="25">
        <f>2.95+3.36+3.32+2.09+3.52</f>
        <v>15.24</v>
      </c>
      <c r="J1275" s="25" t="s">
        <v>1891</v>
      </c>
      <c r="N1275" s="25" t="s">
        <v>3004</v>
      </c>
    </row>
    <row r="1276" spans="1:14" x14ac:dyDescent="0.55000000000000004">
      <c r="A1276">
        <v>1275</v>
      </c>
      <c r="B1276" s="25" t="s">
        <v>76</v>
      </c>
      <c r="C1276" s="25">
        <v>25</v>
      </c>
      <c r="D1276" s="25" t="s">
        <v>4710</v>
      </c>
      <c r="E1276" s="25" t="s">
        <v>4727</v>
      </c>
      <c r="F1276" s="25">
        <v>14.6</v>
      </c>
      <c r="G1276" s="25" t="s">
        <v>1889</v>
      </c>
      <c r="H1276" s="25">
        <f>7.99+6.61</f>
        <v>14.600000000000001</v>
      </c>
      <c r="I1276" s="25">
        <f>7.99+6.61</f>
        <v>14.600000000000001</v>
      </c>
      <c r="J1276" s="25" t="s">
        <v>1891</v>
      </c>
      <c r="N1276" s="25" t="s">
        <v>3005</v>
      </c>
    </row>
    <row r="1277" spans="1:14" x14ac:dyDescent="0.55000000000000004">
      <c r="A1277">
        <v>1276</v>
      </c>
      <c r="B1277" s="25" t="s">
        <v>76</v>
      </c>
      <c r="C1277" s="25">
        <v>25</v>
      </c>
      <c r="D1277" s="25" t="s">
        <v>4710</v>
      </c>
      <c r="E1277" s="25" t="s">
        <v>4728</v>
      </c>
      <c r="F1277" s="25">
        <v>14.74</v>
      </c>
      <c r="G1277" s="25" t="s">
        <v>1889</v>
      </c>
      <c r="H1277" s="25">
        <f>2.16+2.28+3.19+3.09+4.16</f>
        <v>14.879999999999999</v>
      </c>
      <c r="I1277" s="25">
        <f>2.16+2.28+3.19+3.09+4.16</f>
        <v>14.879999999999999</v>
      </c>
      <c r="J1277" s="25" t="s">
        <v>1891</v>
      </c>
      <c r="N1277" s="25" t="s">
        <v>3006</v>
      </c>
    </row>
    <row r="1278" spans="1:14" x14ac:dyDescent="0.55000000000000004">
      <c r="A1278">
        <v>1277</v>
      </c>
      <c r="B1278" s="25" t="s">
        <v>76</v>
      </c>
      <c r="C1278" s="25">
        <v>25</v>
      </c>
      <c r="D1278" s="25" t="s">
        <v>4710</v>
      </c>
      <c r="E1278" s="25" t="s">
        <v>4729</v>
      </c>
      <c r="F1278" s="25">
        <v>13.67</v>
      </c>
      <c r="G1278" s="25" t="s">
        <v>1889</v>
      </c>
      <c r="H1278" s="25">
        <f>3.03+4.04+3.14+3.8</f>
        <v>14.010000000000002</v>
      </c>
      <c r="I1278" s="25">
        <f>3.03+4.04+3.14+3.8</f>
        <v>14.010000000000002</v>
      </c>
      <c r="J1278" s="25" t="s">
        <v>1891</v>
      </c>
      <c r="N1278" s="25" t="s">
        <v>3007</v>
      </c>
    </row>
    <row r="1279" spans="1:14" x14ac:dyDescent="0.55000000000000004">
      <c r="A1279">
        <v>1278</v>
      </c>
      <c r="B1279" s="25" t="s">
        <v>76</v>
      </c>
      <c r="C1279" s="25">
        <v>25</v>
      </c>
      <c r="D1279" s="25" t="s">
        <v>4710</v>
      </c>
      <c r="E1279" s="25" t="s">
        <v>4730</v>
      </c>
      <c r="F1279" s="25">
        <v>14.22</v>
      </c>
      <c r="G1279" s="25" t="s">
        <v>1889</v>
      </c>
      <c r="H1279" s="25">
        <f>1.92+2.46+3.47+2.71+3.72</f>
        <v>14.28</v>
      </c>
      <c r="I1279" s="25">
        <f>1.92+2.46+3.47+2.71+3.72</f>
        <v>14.28</v>
      </c>
      <c r="J1279" s="25" t="s">
        <v>1891</v>
      </c>
      <c r="N1279" s="25" t="s">
        <v>3008</v>
      </c>
    </row>
    <row r="1280" spans="1:14" x14ac:dyDescent="0.55000000000000004">
      <c r="A1280">
        <v>1279</v>
      </c>
      <c r="B1280" s="25" t="s">
        <v>76</v>
      </c>
      <c r="C1280" s="25">
        <v>25</v>
      </c>
      <c r="D1280" s="25" t="s">
        <v>4710</v>
      </c>
      <c r="E1280" s="25" t="s">
        <v>4731</v>
      </c>
      <c r="F1280" s="25">
        <v>14.6</v>
      </c>
      <c r="G1280" s="25" t="s">
        <v>2113</v>
      </c>
      <c r="I1280" s="25">
        <v>14.6</v>
      </c>
      <c r="J1280" s="25" t="s">
        <v>110</v>
      </c>
    </row>
    <row r="1281" spans="1:14" x14ac:dyDescent="0.55000000000000004">
      <c r="A1281">
        <v>1280</v>
      </c>
      <c r="B1281" s="25" t="s">
        <v>76</v>
      </c>
      <c r="C1281" s="25">
        <v>25</v>
      </c>
      <c r="D1281" s="25" t="s">
        <v>4710</v>
      </c>
      <c r="E1281" s="25" t="s">
        <v>4732</v>
      </c>
      <c r="F1281" s="25">
        <v>15.31</v>
      </c>
      <c r="G1281" s="25" t="s">
        <v>2113</v>
      </c>
      <c r="I1281" s="25">
        <v>15.31</v>
      </c>
      <c r="J1281" s="25" t="s">
        <v>110</v>
      </c>
    </row>
    <row r="1282" spans="1:14" x14ac:dyDescent="0.55000000000000004">
      <c r="A1282">
        <v>1281</v>
      </c>
      <c r="B1282" s="25" t="s">
        <v>76</v>
      </c>
      <c r="C1282" s="25">
        <v>25</v>
      </c>
      <c r="D1282" s="25" t="s">
        <v>4710</v>
      </c>
      <c r="E1282" s="25" t="s">
        <v>4733</v>
      </c>
      <c r="F1282" s="25">
        <v>15.84</v>
      </c>
      <c r="G1282" s="25" t="s">
        <v>2113</v>
      </c>
      <c r="I1282" s="25">
        <v>15.84</v>
      </c>
      <c r="J1282" s="25" t="s">
        <v>110</v>
      </c>
    </row>
    <row r="1283" spans="1:14" x14ac:dyDescent="0.55000000000000004">
      <c r="A1283">
        <v>1282</v>
      </c>
      <c r="B1283" s="25" t="s">
        <v>76</v>
      </c>
      <c r="C1283" s="25">
        <v>25</v>
      </c>
      <c r="D1283" s="25" t="s">
        <v>4710</v>
      </c>
      <c r="E1283" s="25" t="s">
        <v>4734</v>
      </c>
      <c r="F1283" s="25">
        <v>15.84</v>
      </c>
      <c r="G1283" s="25" t="s">
        <v>2113</v>
      </c>
      <c r="I1283" s="25">
        <v>15.84</v>
      </c>
      <c r="J1283" s="25" t="s">
        <v>110</v>
      </c>
    </row>
    <row r="1284" spans="1:14" x14ac:dyDescent="0.55000000000000004">
      <c r="A1284">
        <v>1283</v>
      </c>
      <c r="B1284" s="25" t="s">
        <v>76</v>
      </c>
      <c r="C1284" s="25">
        <v>25</v>
      </c>
      <c r="D1284" s="25" t="s">
        <v>4710</v>
      </c>
      <c r="E1284" s="25" t="s">
        <v>4735</v>
      </c>
      <c r="F1284" s="25">
        <v>14.3</v>
      </c>
      <c r="G1284" s="25" t="s">
        <v>2113</v>
      </c>
      <c r="I1284" s="25">
        <v>14.3</v>
      </c>
      <c r="J1284" s="25" t="s">
        <v>110</v>
      </c>
    </row>
    <row r="1285" spans="1:14" x14ac:dyDescent="0.55000000000000004">
      <c r="A1285">
        <v>1284</v>
      </c>
      <c r="B1285" s="25" t="s">
        <v>77</v>
      </c>
      <c r="C1285" s="25">
        <v>24</v>
      </c>
      <c r="D1285" s="25" t="s">
        <v>4736</v>
      </c>
      <c r="E1285" s="25" t="s">
        <v>4737</v>
      </c>
      <c r="F1285" s="25">
        <v>15.5</v>
      </c>
      <c r="G1285" s="25" t="s">
        <v>1889</v>
      </c>
      <c r="H1285" s="25">
        <f>4.41+4.09+2.85+4.14</f>
        <v>15.489999999999998</v>
      </c>
      <c r="I1285" s="25">
        <f>4.41+4.09+2.85+4.14</f>
        <v>15.489999999999998</v>
      </c>
      <c r="J1285" s="25" t="s">
        <v>1891</v>
      </c>
      <c r="K1285" s="25" t="str">
        <f>VLOOKUP(E1285,[1]PrelimAssignPOP!$I$1:$J$947,2,FALSE)</f>
        <v>KIY</v>
      </c>
      <c r="L1285" s="25" t="s">
        <v>217</v>
      </c>
      <c r="M1285" s="25" t="s">
        <v>143</v>
      </c>
      <c r="N1285" s="25" t="s">
        <v>3009</v>
      </c>
    </row>
    <row r="1286" spans="1:14" x14ac:dyDescent="0.55000000000000004">
      <c r="A1286">
        <v>1285</v>
      </c>
      <c r="B1286" s="25" t="s">
        <v>77</v>
      </c>
      <c r="C1286" s="25">
        <v>24</v>
      </c>
      <c r="D1286" s="25" t="s">
        <v>4736</v>
      </c>
      <c r="E1286" s="25" t="s">
        <v>4738</v>
      </c>
      <c r="F1286" s="25">
        <v>15.21</v>
      </c>
      <c r="G1286" s="25" t="s">
        <v>1889</v>
      </c>
      <c r="H1286" s="25">
        <f>11.79+3.65</f>
        <v>15.44</v>
      </c>
      <c r="I1286" s="25">
        <f>11.79+3.65</f>
        <v>15.44</v>
      </c>
      <c r="J1286" s="25" t="s">
        <v>1891</v>
      </c>
      <c r="K1286" s="25" t="str">
        <f>VLOOKUP(E1286,[1]PrelimAssignPOP!$I$1:$J$947,2,FALSE)</f>
        <v>ART</v>
      </c>
      <c r="L1286" s="25" t="s">
        <v>217</v>
      </c>
      <c r="M1286" s="25" t="s">
        <v>116</v>
      </c>
      <c r="N1286" s="25" t="s">
        <v>3010</v>
      </c>
    </row>
    <row r="1287" spans="1:14" x14ac:dyDescent="0.55000000000000004">
      <c r="A1287">
        <v>1286</v>
      </c>
      <c r="B1287" s="25" t="s">
        <v>77</v>
      </c>
      <c r="C1287" s="25">
        <v>24</v>
      </c>
      <c r="D1287" s="25" t="s">
        <v>4736</v>
      </c>
      <c r="E1287" s="25" t="s">
        <v>4739</v>
      </c>
      <c r="F1287" s="25">
        <v>14.12</v>
      </c>
      <c r="G1287" s="25" t="s">
        <v>1889</v>
      </c>
      <c r="H1287" s="25">
        <f>7.41+6.76</f>
        <v>14.17</v>
      </c>
      <c r="I1287" s="25">
        <f>7.41+6.76</f>
        <v>14.17</v>
      </c>
      <c r="J1287" s="25" t="s">
        <v>1891</v>
      </c>
      <c r="K1287" s="25" t="str">
        <f>VLOOKUP(E1287,[1]PrelimAssignPOP!$I$1:$J$947,2,FALSE)</f>
        <v>ART</v>
      </c>
      <c r="L1287" s="25" t="s">
        <v>217</v>
      </c>
      <c r="M1287" s="25" t="s">
        <v>144</v>
      </c>
      <c r="N1287" s="25" t="s">
        <v>3011</v>
      </c>
    </row>
    <row r="1288" spans="1:14" x14ac:dyDescent="0.55000000000000004">
      <c r="A1288">
        <v>1287</v>
      </c>
      <c r="B1288" s="25" t="s">
        <v>77</v>
      </c>
      <c r="C1288" s="25">
        <v>24</v>
      </c>
      <c r="D1288" s="25" t="s">
        <v>4736</v>
      </c>
      <c r="E1288" s="25" t="s">
        <v>4740</v>
      </c>
      <c r="F1288" s="25">
        <v>13.21</v>
      </c>
      <c r="G1288" s="25" t="s">
        <v>1889</v>
      </c>
      <c r="H1288" s="25">
        <f>4.29+3.86+5.21</f>
        <v>13.36</v>
      </c>
      <c r="I1288" s="25">
        <f>4.29+3.86+5.21</f>
        <v>13.36</v>
      </c>
      <c r="J1288" s="25" t="s">
        <v>1891</v>
      </c>
      <c r="K1288" s="25" t="str">
        <f>VLOOKUP(E1288,[1]PrelimAssignPOP!$I$1:$J$947,2,FALSE)</f>
        <v>KIY</v>
      </c>
      <c r="L1288" s="25" t="s">
        <v>217</v>
      </c>
      <c r="M1288" s="25" t="s">
        <v>145</v>
      </c>
      <c r="N1288" s="25" t="s">
        <v>3012</v>
      </c>
    </row>
    <row r="1289" spans="1:14" x14ac:dyDescent="0.55000000000000004">
      <c r="A1289">
        <v>1288</v>
      </c>
      <c r="B1289" s="25" t="s">
        <v>77</v>
      </c>
      <c r="C1289" s="25">
        <v>24</v>
      </c>
      <c r="D1289" s="25" t="s">
        <v>4736</v>
      </c>
      <c r="E1289" s="25" t="s">
        <v>4741</v>
      </c>
      <c r="F1289" s="25">
        <v>15.03</v>
      </c>
      <c r="G1289" s="25" t="s">
        <v>1889</v>
      </c>
      <c r="H1289" s="25">
        <f>4.51+2.75+2.1+5.72</f>
        <v>15.079999999999998</v>
      </c>
      <c r="I1289" s="25">
        <f>4.51+2.75+2.1+5.72</f>
        <v>15.079999999999998</v>
      </c>
      <c r="J1289" s="25" t="s">
        <v>1891</v>
      </c>
      <c r="K1289" s="25" t="str">
        <f>VLOOKUP(E1289,[1]PrelimAssignPOP!$I$1:$J$947,2,FALSE)</f>
        <v>KIY</v>
      </c>
      <c r="L1289" s="25" t="s">
        <v>217</v>
      </c>
      <c r="M1289" s="25" t="s">
        <v>146</v>
      </c>
      <c r="N1289" s="25" t="s">
        <v>3013</v>
      </c>
    </row>
    <row r="1290" spans="1:14" x14ac:dyDescent="0.55000000000000004">
      <c r="A1290">
        <v>1289</v>
      </c>
      <c r="B1290" s="25" t="s">
        <v>77</v>
      </c>
      <c r="C1290" s="25">
        <v>24</v>
      </c>
      <c r="D1290" s="25" t="s">
        <v>4736</v>
      </c>
      <c r="E1290" s="25" t="s">
        <v>4742</v>
      </c>
      <c r="F1290" s="25">
        <v>15.37</v>
      </c>
      <c r="G1290" s="25" t="s">
        <v>1889</v>
      </c>
      <c r="H1290" s="25">
        <f>6.54+2.31+6.53</f>
        <v>15.379999999999999</v>
      </c>
      <c r="I1290" s="25">
        <f>6.54+2.31+6.53</f>
        <v>15.379999999999999</v>
      </c>
      <c r="J1290" s="25" t="s">
        <v>1891</v>
      </c>
      <c r="K1290" s="25" t="str">
        <f>VLOOKUP(E1290,[1]PrelimAssignPOP!$I$1:$J$947,2,FALSE)</f>
        <v>KIY</v>
      </c>
      <c r="L1290" s="25" t="s">
        <v>217</v>
      </c>
      <c r="M1290" s="25" t="s">
        <v>147</v>
      </c>
      <c r="N1290" s="25" t="s">
        <v>3014</v>
      </c>
    </row>
    <row r="1291" spans="1:14" x14ac:dyDescent="0.55000000000000004">
      <c r="A1291">
        <v>1290</v>
      </c>
      <c r="B1291" s="25" t="s">
        <v>77</v>
      </c>
      <c r="C1291" s="25">
        <v>24</v>
      </c>
      <c r="D1291" s="25" t="s">
        <v>4736</v>
      </c>
      <c r="E1291" s="25" t="s">
        <v>4743</v>
      </c>
      <c r="F1291" s="25">
        <v>13.92</v>
      </c>
      <c r="G1291" s="25" t="s">
        <v>1889</v>
      </c>
      <c r="H1291" s="25">
        <f>5.98+4.75+3.31</f>
        <v>14.040000000000001</v>
      </c>
      <c r="I1291" s="25">
        <f>5.98+4.75+3.31</f>
        <v>14.040000000000001</v>
      </c>
      <c r="J1291" s="25" t="s">
        <v>1891</v>
      </c>
      <c r="K1291" s="25" t="str">
        <f>VLOOKUP(E1291,[1]PrelimAssignPOP!$I$1:$J$947,2,FALSE)</f>
        <v>KIY</v>
      </c>
      <c r="L1291" s="25" t="s">
        <v>217</v>
      </c>
      <c r="M1291" s="25" t="s">
        <v>148</v>
      </c>
      <c r="N1291" s="25" t="s">
        <v>3015</v>
      </c>
    </row>
    <row r="1292" spans="1:14" x14ac:dyDescent="0.55000000000000004">
      <c r="A1292">
        <v>1291</v>
      </c>
      <c r="B1292" s="25" t="s">
        <v>77</v>
      </c>
      <c r="C1292" s="25">
        <v>24</v>
      </c>
      <c r="D1292" s="25" t="s">
        <v>4736</v>
      </c>
      <c r="E1292" s="25" t="s">
        <v>4744</v>
      </c>
      <c r="F1292" s="25">
        <v>14.05</v>
      </c>
      <c r="G1292" s="25" t="s">
        <v>1889</v>
      </c>
      <c r="H1292" s="25">
        <f>6.16+5.05+3.29</f>
        <v>14.5</v>
      </c>
      <c r="I1292" s="25">
        <f>6.16+5.05+3.29</f>
        <v>14.5</v>
      </c>
      <c r="J1292" s="25" t="s">
        <v>1891</v>
      </c>
      <c r="K1292" s="25" t="str">
        <f>VLOOKUP(E1292,[1]PrelimAssignPOP!$I$1:$J$947,2,FALSE)</f>
        <v>KIY</v>
      </c>
      <c r="L1292" s="25" t="s">
        <v>217</v>
      </c>
      <c r="M1292" s="25" t="s">
        <v>149</v>
      </c>
      <c r="N1292" s="25" t="s">
        <v>3016</v>
      </c>
    </row>
    <row r="1293" spans="1:14" x14ac:dyDescent="0.55000000000000004">
      <c r="A1293">
        <v>1292</v>
      </c>
      <c r="B1293" s="25" t="s">
        <v>77</v>
      </c>
      <c r="C1293" s="25">
        <v>24</v>
      </c>
      <c r="D1293" s="25" t="s">
        <v>4736</v>
      </c>
      <c r="E1293" s="25" t="s">
        <v>4745</v>
      </c>
      <c r="F1293" s="25">
        <v>14.19</v>
      </c>
      <c r="G1293" s="25" t="s">
        <v>1889</v>
      </c>
      <c r="H1293" s="25">
        <f>14.13</f>
        <v>14.13</v>
      </c>
      <c r="I1293" s="25">
        <f>14.13</f>
        <v>14.13</v>
      </c>
      <c r="J1293" s="25" t="s">
        <v>1891</v>
      </c>
      <c r="K1293" s="25" t="str">
        <f>VLOOKUP(E1293,[1]PrelimAssignPOP!$I$1:$J$947,2,FALSE)</f>
        <v>KIY</v>
      </c>
      <c r="L1293" s="25" t="s">
        <v>217</v>
      </c>
      <c r="M1293" s="25" t="s">
        <v>150</v>
      </c>
      <c r="N1293" s="25" t="s">
        <v>3017</v>
      </c>
    </row>
    <row r="1294" spans="1:14" x14ac:dyDescent="0.55000000000000004">
      <c r="A1294">
        <v>1293</v>
      </c>
      <c r="B1294" s="25" t="s">
        <v>77</v>
      </c>
      <c r="C1294" s="25">
        <v>24</v>
      </c>
      <c r="D1294" s="25" t="s">
        <v>4736</v>
      </c>
      <c r="E1294" s="25" t="s">
        <v>4746</v>
      </c>
      <c r="F1294" s="25">
        <v>14.03</v>
      </c>
      <c r="G1294" s="25" t="s">
        <v>1889</v>
      </c>
      <c r="H1294" s="25">
        <f>2.83+1.72+5.71+3.93</f>
        <v>14.19</v>
      </c>
      <c r="I1294" s="25">
        <f>2.83+1.72+5.71+3.93</f>
        <v>14.19</v>
      </c>
      <c r="J1294" s="25" t="s">
        <v>1891</v>
      </c>
      <c r="K1294" s="25" t="str">
        <f>VLOOKUP(E1294,[1]PrelimAssignPOP!$I$1:$J$947,2,FALSE)</f>
        <v>KIY</v>
      </c>
      <c r="L1294" s="25" t="s">
        <v>217</v>
      </c>
      <c r="M1294" s="25" t="s">
        <v>151</v>
      </c>
      <c r="N1294" s="25" t="s">
        <v>3018</v>
      </c>
    </row>
    <row r="1295" spans="1:14" x14ac:dyDescent="0.55000000000000004">
      <c r="A1295">
        <v>1294</v>
      </c>
      <c r="B1295" s="25" t="s">
        <v>77</v>
      </c>
      <c r="C1295" s="25">
        <v>24</v>
      </c>
      <c r="D1295" s="25" t="s">
        <v>4736</v>
      </c>
      <c r="E1295" s="25" t="s">
        <v>4747</v>
      </c>
      <c r="F1295" s="25">
        <v>15.22</v>
      </c>
      <c r="G1295" s="25" t="s">
        <v>1889</v>
      </c>
      <c r="H1295" s="25">
        <f>10.6+4.69</f>
        <v>15.29</v>
      </c>
      <c r="I1295" s="25">
        <f>10.6+4.69</f>
        <v>15.29</v>
      </c>
      <c r="J1295" s="25" t="s">
        <v>1891</v>
      </c>
      <c r="K1295" s="25" t="str">
        <f>VLOOKUP(E1295,[1]PrelimAssignPOP!$I$1:$J$947,2,FALSE)</f>
        <v>ART</v>
      </c>
      <c r="L1295" s="25" t="s">
        <v>217</v>
      </c>
      <c r="M1295" s="25" t="s">
        <v>152</v>
      </c>
      <c r="N1295" s="25" t="s">
        <v>3019</v>
      </c>
    </row>
    <row r="1296" spans="1:14" x14ac:dyDescent="0.55000000000000004">
      <c r="A1296">
        <v>1295</v>
      </c>
      <c r="B1296" s="25" t="s">
        <v>77</v>
      </c>
      <c r="C1296" s="25">
        <v>24</v>
      </c>
      <c r="D1296" s="25" t="s">
        <v>4736</v>
      </c>
      <c r="E1296" s="25" t="s">
        <v>4748</v>
      </c>
      <c r="F1296" s="25">
        <v>14.5</v>
      </c>
      <c r="G1296" s="25" t="s">
        <v>1889</v>
      </c>
      <c r="H1296" s="25">
        <f>3.32+1.59+2.07+6.01+1.85</f>
        <v>14.84</v>
      </c>
      <c r="I1296" s="25">
        <f>3.32+1.59+2.07+6.01+1.85</f>
        <v>14.84</v>
      </c>
      <c r="J1296" s="25" t="s">
        <v>1891</v>
      </c>
      <c r="K1296" s="25" t="str">
        <f>VLOOKUP(E1296,[1]PrelimAssignPOP!$I$1:$J$947,2,FALSE)</f>
        <v>ART</v>
      </c>
      <c r="L1296" s="25" t="s">
        <v>217</v>
      </c>
      <c r="M1296" s="25" t="s">
        <v>153</v>
      </c>
      <c r="N1296" s="25" t="s">
        <v>3020</v>
      </c>
    </row>
    <row r="1297" spans="1:14" x14ac:dyDescent="0.55000000000000004">
      <c r="A1297">
        <v>1296</v>
      </c>
      <c r="B1297" s="25" t="s">
        <v>77</v>
      </c>
      <c r="C1297" s="25">
        <v>24</v>
      </c>
      <c r="D1297" s="25" t="s">
        <v>4736</v>
      </c>
      <c r="E1297" s="25" t="s">
        <v>4749</v>
      </c>
      <c r="F1297" s="25">
        <v>14.41</v>
      </c>
      <c r="G1297" s="25" t="s">
        <v>1889</v>
      </c>
      <c r="H1297" s="25">
        <f>4.35+5.97+4.3</f>
        <v>14.620000000000001</v>
      </c>
      <c r="I1297" s="25">
        <f>4.35+5.97+4.3</f>
        <v>14.620000000000001</v>
      </c>
      <c r="J1297" s="25" t="s">
        <v>1891</v>
      </c>
      <c r="N1297" s="25" t="s">
        <v>3021</v>
      </c>
    </row>
    <row r="1298" spans="1:14" x14ac:dyDescent="0.55000000000000004">
      <c r="A1298">
        <v>1297</v>
      </c>
      <c r="B1298" s="25" t="s">
        <v>77</v>
      </c>
      <c r="C1298" s="25">
        <v>24</v>
      </c>
      <c r="D1298" s="25" t="s">
        <v>4736</v>
      </c>
      <c r="E1298" s="25" t="s">
        <v>4750</v>
      </c>
      <c r="F1298" s="25">
        <v>14.67</v>
      </c>
      <c r="G1298" s="25" t="s">
        <v>1889</v>
      </c>
      <c r="H1298" s="25">
        <f>7.06+2.56+2.29+3</f>
        <v>14.91</v>
      </c>
      <c r="I1298" s="25">
        <f>7.06+2.56+2.29+3</f>
        <v>14.91</v>
      </c>
      <c r="J1298" s="25" t="s">
        <v>1891</v>
      </c>
      <c r="N1298" s="25" t="s">
        <v>3022</v>
      </c>
    </row>
    <row r="1299" spans="1:14" x14ac:dyDescent="0.55000000000000004">
      <c r="A1299">
        <v>1298</v>
      </c>
      <c r="B1299" s="25" t="s">
        <v>77</v>
      </c>
      <c r="C1299" s="25">
        <v>24</v>
      </c>
      <c r="D1299" s="25" t="s">
        <v>4736</v>
      </c>
      <c r="E1299" s="25" t="s">
        <v>4751</v>
      </c>
      <c r="F1299" s="25">
        <v>14.23</v>
      </c>
      <c r="G1299" s="25" t="s">
        <v>1889</v>
      </c>
      <c r="H1299" s="25">
        <f>4.5+3.83+2.54+3.6</f>
        <v>14.47</v>
      </c>
      <c r="I1299" s="25">
        <f>4.5+3.83+2.54+3.6</f>
        <v>14.47</v>
      </c>
      <c r="J1299" s="25" t="s">
        <v>1891</v>
      </c>
      <c r="N1299" s="25" t="s">
        <v>3023</v>
      </c>
    </row>
    <row r="1300" spans="1:14" x14ac:dyDescent="0.55000000000000004">
      <c r="A1300">
        <v>1299</v>
      </c>
      <c r="B1300" s="25" t="s">
        <v>77</v>
      </c>
      <c r="C1300" s="25">
        <v>24</v>
      </c>
      <c r="D1300" s="25" t="s">
        <v>4736</v>
      </c>
      <c r="E1300" s="25" t="s">
        <v>4752</v>
      </c>
      <c r="F1300" s="25">
        <v>14.64</v>
      </c>
      <c r="G1300" s="25" t="s">
        <v>1889</v>
      </c>
      <c r="H1300" s="25">
        <f>3.5+3.14+5.45+2.57</f>
        <v>14.66</v>
      </c>
      <c r="I1300" s="25">
        <f>3.5+3.14+5.45+2.57</f>
        <v>14.66</v>
      </c>
      <c r="J1300" s="25" t="s">
        <v>1891</v>
      </c>
      <c r="N1300" s="25" t="s">
        <v>3024</v>
      </c>
    </row>
    <row r="1301" spans="1:14" x14ac:dyDescent="0.55000000000000004">
      <c r="A1301">
        <v>1300</v>
      </c>
      <c r="B1301" s="25" t="s">
        <v>77</v>
      </c>
      <c r="C1301" s="25">
        <v>24</v>
      </c>
      <c r="D1301" s="25" t="s">
        <v>4736</v>
      </c>
      <c r="E1301" s="25" t="s">
        <v>4753</v>
      </c>
      <c r="F1301" s="25">
        <v>12.63</v>
      </c>
      <c r="G1301" s="25" t="s">
        <v>1889</v>
      </c>
      <c r="H1301" s="25">
        <f>4.22+5.04+3.59</f>
        <v>12.85</v>
      </c>
      <c r="I1301" s="25">
        <f>4.22+5.04+3.59</f>
        <v>12.85</v>
      </c>
      <c r="J1301" s="25" t="s">
        <v>1891</v>
      </c>
      <c r="N1301" s="25" t="s">
        <v>3025</v>
      </c>
    </row>
    <row r="1302" spans="1:14" x14ac:dyDescent="0.55000000000000004">
      <c r="A1302">
        <v>1301</v>
      </c>
      <c r="B1302" s="25" t="s">
        <v>77</v>
      </c>
      <c r="C1302" s="25">
        <v>24</v>
      </c>
      <c r="D1302" s="25" t="s">
        <v>4736</v>
      </c>
      <c r="E1302" s="25" t="s">
        <v>4754</v>
      </c>
      <c r="F1302" s="25">
        <v>13.81</v>
      </c>
      <c r="G1302" s="25" t="s">
        <v>1889</v>
      </c>
      <c r="H1302" s="25">
        <f>3.43+3.54+3.88+3.07</f>
        <v>13.920000000000002</v>
      </c>
      <c r="I1302" s="25">
        <f>3.43+3.54+3.88+3.07</f>
        <v>13.920000000000002</v>
      </c>
      <c r="J1302" s="25" t="s">
        <v>1891</v>
      </c>
      <c r="N1302" s="25" t="s">
        <v>3026</v>
      </c>
    </row>
    <row r="1303" spans="1:14" x14ac:dyDescent="0.55000000000000004">
      <c r="A1303">
        <v>1302</v>
      </c>
      <c r="B1303" s="25" t="s">
        <v>77</v>
      </c>
      <c r="C1303" s="25">
        <v>24</v>
      </c>
      <c r="D1303" s="25" t="s">
        <v>4736</v>
      </c>
      <c r="E1303" s="25" t="s">
        <v>4755</v>
      </c>
      <c r="F1303" s="25">
        <v>15.84</v>
      </c>
      <c r="G1303" s="25" t="s">
        <v>1889</v>
      </c>
      <c r="H1303" s="25">
        <f>3.55+3.81+4.29+4.41</f>
        <v>16.059999999999999</v>
      </c>
      <c r="I1303" s="25">
        <f>3.55+3.81+4.29+4.41</f>
        <v>16.059999999999999</v>
      </c>
      <c r="J1303" s="25" t="s">
        <v>1891</v>
      </c>
      <c r="N1303" s="25" t="s">
        <v>3027</v>
      </c>
    </row>
    <row r="1304" spans="1:14" x14ac:dyDescent="0.55000000000000004">
      <c r="A1304">
        <v>1303</v>
      </c>
      <c r="B1304" s="25" t="s">
        <v>77</v>
      </c>
      <c r="C1304" s="25">
        <v>24</v>
      </c>
      <c r="D1304" s="25" t="s">
        <v>4736</v>
      </c>
      <c r="E1304" s="25" t="s">
        <v>4756</v>
      </c>
      <c r="F1304" s="25">
        <v>15.27</v>
      </c>
      <c r="G1304" s="25" t="s">
        <v>1889</v>
      </c>
      <c r="H1304" s="25">
        <f>3.84+8.37+3.2</f>
        <v>15.41</v>
      </c>
      <c r="I1304" s="25">
        <f>3.84+8.37+3.2</f>
        <v>15.41</v>
      </c>
      <c r="J1304" s="25" t="s">
        <v>1891</v>
      </c>
      <c r="N1304" s="25" t="s">
        <v>3028</v>
      </c>
    </row>
    <row r="1305" spans="1:14" x14ac:dyDescent="0.55000000000000004">
      <c r="A1305">
        <v>1304</v>
      </c>
      <c r="B1305" s="25" t="s">
        <v>77</v>
      </c>
      <c r="C1305" s="25">
        <v>24</v>
      </c>
      <c r="D1305" s="25" t="s">
        <v>4736</v>
      </c>
      <c r="E1305" s="25" t="s">
        <v>4757</v>
      </c>
      <c r="F1305" s="25">
        <v>15.01</v>
      </c>
      <c r="G1305" s="25" t="s">
        <v>1889</v>
      </c>
      <c r="H1305" s="25">
        <f>7.6+4.42+3.06</f>
        <v>15.08</v>
      </c>
      <c r="I1305" s="25">
        <f>7.6+4.42+3.06</f>
        <v>15.08</v>
      </c>
      <c r="J1305" s="25" t="s">
        <v>1891</v>
      </c>
      <c r="N1305" s="25" t="s">
        <v>3029</v>
      </c>
    </row>
    <row r="1306" spans="1:14" x14ac:dyDescent="0.55000000000000004">
      <c r="A1306">
        <v>1305</v>
      </c>
      <c r="B1306" s="25" t="s">
        <v>77</v>
      </c>
      <c r="C1306" s="25">
        <v>24</v>
      </c>
      <c r="D1306" s="25" t="s">
        <v>4736</v>
      </c>
      <c r="E1306" s="25" t="s">
        <v>4758</v>
      </c>
      <c r="F1306" s="25">
        <v>15</v>
      </c>
      <c r="G1306" s="25" t="s">
        <v>2113</v>
      </c>
      <c r="I1306" s="25">
        <v>15</v>
      </c>
      <c r="J1306" s="25" t="s">
        <v>110</v>
      </c>
    </row>
    <row r="1307" spans="1:14" x14ac:dyDescent="0.55000000000000004">
      <c r="A1307">
        <v>1306</v>
      </c>
      <c r="B1307" s="25" t="s">
        <v>77</v>
      </c>
      <c r="C1307" s="25">
        <v>24</v>
      </c>
      <c r="D1307" s="25" t="s">
        <v>4736</v>
      </c>
      <c r="E1307" s="25" t="s">
        <v>4759</v>
      </c>
      <c r="F1307" s="25">
        <v>14.43</v>
      </c>
      <c r="G1307" s="25" t="s">
        <v>2113</v>
      </c>
      <c r="I1307" s="25">
        <v>14.43</v>
      </c>
      <c r="J1307" s="25" t="s">
        <v>110</v>
      </c>
    </row>
    <row r="1308" spans="1:14" x14ac:dyDescent="0.55000000000000004">
      <c r="A1308">
        <v>1307</v>
      </c>
      <c r="B1308" s="25" t="s">
        <v>77</v>
      </c>
      <c r="C1308" s="25">
        <v>24</v>
      </c>
      <c r="D1308" s="25" t="s">
        <v>4736</v>
      </c>
      <c r="E1308" s="25" t="s">
        <v>4760</v>
      </c>
      <c r="F1308" s="25">
        <v>16.98</v>
      </c>
      <c r="G1308" s="25" t="s">
        <v>2113</v>
      </c>
      <c r="I1308" s="25">
        <v>16.98</v>
      </c>
      <c r="J1308" s="25" t="s">
        <v>110</v>
      </c>
    </row>
    <row r="1309" spans="1:14" x14ac:dyDescent="0.55000000000000004">
      <c r="A1309">
        <v>1308</v>
      </c>
      <c r="B1309" s="25" t="s">
        <v>78</v>
      </c>
      <c r="C1309" s="25">
        <v>17</v>
      </c>
      <c r="D1309" s="25" t="s">
        <v>4761</v>
      </c>
      <c r="E1309" s="25" t="s">
        <v>4762</v>
      </c>
      <c r="F1309" s="25">
        <v>15.16</v>
      </c>
      <c r="G1309" s="25" t="s">
        <v>1889</v>
      </c>
      <c r="H1309" s="25">
        <f>9.49+5.54</f>
        <v>15.030000000000001</v>
      </c>
      <c r="I1309" s="25">
        <f>9.49+5.54</f>
        <v>15.030000000000001</v>
      </c>
      <c r="J1309" s="25" t="s">
        <v>1891</v>
      </c>
      <c r="K1309" s="25" t="str">
        <f>VLOOKUP(E1309,[1]PrelimAssignPOP!$I$1:$J$947,2,FALSE)</f>
        <v>ART</v>
      </c>
      <c r="L1309" s="25" t="s">
        <v>217</v>
      </c>
      <c r="M1309" s="25" t="s">
        <v>154</v>
      </c>
      <c r="N1309" s="25" t="s">
        <v>3030</v>
      </c>
    </row>
    <row r="1310" spans="1:14" x14ac:dyDescent="0.55000000000000004">
      <c r="A1310">
        <v>1309</v>
      </c>
      <c r="B1310" s="25" t="s">
        <v>78</v>
      </c>
      <c r="C1310" s="25">
        <v>17</v>
      </c>
      <c r="D1310" s="25" t="s">
        <v>4761</v>
      </c>
      <c r="E1310" s="25" t="s">
        <v>4763</v>
      </c>
      <c r="F1310" s="25">
        <v>14.28</v>
      </c>
      <c r="G1310" s="25" t="s">
        <v>1889</v>
      </c>
      <c r="H1310" s="25">
        <f>3.4+3.02+3.43+4.34</f>
        <v>14.19</v>
      </c>
      <c r="I1310" s="25">
        <f>3.4+3.02+3.43+4.34</f>
        <v>14.19</v>
      </c>
      <c r="J1310" s="25" t="s">
        <v>1891</v>
      </c>
      <c r="K1310" s="25" t="str">
        <f>VLOOKUP(E1310,[1]PrelimAssignPOP!$I$1:$J$947,2,FALSE)</f>
        <v>ART</v>
      </c>
      <c r="L1310" s="25" t="s">
        <v>217</v>
      </c>
      <c r="M1310" s="25" t="s">
        <v>117</v>
      </c>
      <c r="N1310" s="25" t="s">
        <v>3031</v>
      </c>
    </row>
    <row r="1311" spans="1:14" x14ac:dyDescent="0.55000000000000004">
      <c r="A1311">
        <v>1310</v>
      </c>
      <c r="B1311" s="25" t="s">
        <v>78</v>
      </c>
      <c r="C1311" s="25">
        <v>17</v>
      </c>
      <c r="D1311" s="25" t="s">
        <v>4761</v>
      </c>
      <c r="E1311" s="25" t="s">
        <v>4764</v>
      </c>
      <c r="F1311" s="25">
        <v>14.32</v>
      </c>
      <c r="G1311" s="25" t="s">
        <v>1889</v>
      </c>
      <c r="H1311" s="25">
        <f>4.63+5.66+4.35</f>
        <v>14.639999999999999</v>
      </c>
      <c r="I1311" s="25">
        <f>4.63+5.66+4.35</f>
        <v>14.639999999999999</v>
      </c>
      <c r="J1311" s="25" t="s">
        <v>1891</v>
      </c>
      <c r="K1311" s="25" t="str">
        <f>VLOOKUP(E1311,[1]PrelimAssignPOP!$I$1:$J$947,2,FALSE)</f>
        <v>ART</v>
      </c>
      <c r="L1311" s="25" t="s">
        <v>217</v>
      </c>
      <c r="M1311" s="25" t="s">
        <v>155</v>
      </c>
      <c r="N1311" s="25" t="s">
        <v>3032</v>
      </c>
    </row>
    <row r="1312" spans="1:14" x14ac:dyDescent="0.55000000000000004">
      <c r="A1312">
        <v>1311</v>
      </c>
      <c r="B1312" s="25" t="s">
        <v>78</v>
      </c>
      <c r="C1312" s="25">
        <v>17</v>
      </c>
      <c r="D1312" s="25" t="s">
        <v>4761</v>
      </c>
      <c r="E1312" s="25" t="s">
        <v>4765</v>
      </c>
      <c r="F1312" s="25">
        <v>13.8</v>
      </c>
      <c r="G1312" s="25" t="s">
        <v>1889</v>
      </c>
      <c r="H1312" s="25">
        <f>5.17+8.65</f>
        <v>13.82</v>
      </c>
      <c r="I1312" s="25">
        <f>5.17+8.65</f>
        <v>13.82</v>
      </c>
      <c r="J1312" s="25" t="s">
        <v>1891</v>
      </c>
      <c r="K1312" s="25" t="str">
        <f>VLOOKUP(E1312,[1]PrelimAssignPOP!$I$1:$J$947,2,FALSE)</f>
        <v>ART</v>
      </c>
      <c r="L1312" s="25" t="s">
        <v>217</v>
      </c>
      <c r="M1312" s="25" t="s">
        <v>156</v>
      </c>
      <c r="N1312" s="25" t="s">
        <v>3033</v>
      </c>
    </row>
    <row r="1313" spans="1:14" x14ac:dyDescent="0.55000000000000004">
      <c r="A1313">
        <v>1312</v>
      </c>
      <c r="B1313" s="25" t="s">
        <v>78</v>
      </c>
      <c r="C1313" s="25">
        <v>17</v>
      </c>
      <c r="D1313" s="25" t="s">
        <v>4761</v>
      </c>
      <c r="E1313" s="25" t="s">
        <v>4766</v>
      </c>
      <c r="F1313" s="25">
        <v>14.37</v>
      </c>
      <c r="G1313" s="25" t="s">
        <v>1889</v>
      </c>
      <c r="H1313" s="25">
        <f>3.46+2.13+2.58+3.53+2.66</f>
        <v>14.36</v>
      </c>
      <c r="I1313" s="25">
        <f>3.46+2.13+2.58+3.53+2.66</f>
        <v>14.36</v>
      </c>
      <c r="J1313" s="25" t="s">
        <v>1891</v>
      </c>
      <c r="K1313" s="25" t="str">
        <f>VLOOKUP(E1313,[1]PrelimAssignPOP!$I$1:$J$947,2,FALSE)</f>
        <v>ART</v>
      </c>
      <c r="L1313" s="25" t="s">
        <v>217</v>
      </c>
      <c r="M1313" s="25" t="s">
        <v>157</v>
      </c>
      <c r="N1313" s="25" t="s">
        <v>3034</v>
      </c>
    </row>
    <row r="1314" spans="1:14" x14ac:dyDescent="0.55000000000000004">
      <c r="A1314">
        <v>1313</v>
      </c>
      <c r="B1314" s="25" t="s">
        <v>78</v>
      </c>
      <c r="C1314" s="25">
        <v>17</v>
      </c>
      <c r="D1314" s="25" t="s">
        <v>4761</v>
      </c>
      <c r="E1314" s="25" t="s">
        <v>4767</v>
      </c>
      <c r="F1314" s="25">
        <v>15.04</v>
      </c>
      <c r="G1314" s="25" t="s">
        <v>1889</v>
      </c>
      <c r="H1314" s="25">
        <f>1.75+4.19+6.05+3.09</f>
        <v>15.08</v>
      </c>
      <c r="I1314" s="25">
        <f>1.75+4.19+6.05+3.09</f>
        <v>15.08</v>
      </c>
      <c r="J1314" s="25" t="s">
        <v>1891</v>
      </c>
      <c r="K1314" s="25" t="str">
        <f>VLOOKUP(E1314,[1]PrelimAssignPOP!$I$1:$J$947,2,FALSE)</f>
        <v>ART</v>
      </c>
      <c r="L1314" s="25" t="s">
        <v>217</v>
      </c>
      <c r="M1314" s="25" t="s">
        <v>158</v>
      </c>
      <c r="N1314" s="25" t="s">
        <v>3035</v>
      </c>
    </row>
    <row r="1315" spans="1:14" x14ac:dyDescent="0.55000000000000004">
      <c r="A1315">
        <v>1314</v>
      </c>
      <c r="B1315" s="25" t="s">
        <v>78</v>
      </c>
      <c r="C1315" s="25">
        <v>17</v>
      </c>
      <c r="D1315" s="25" t="s">
        <v>4761</v>
      </c>
      <c r="E1315" s="25" t="s">
        <v>4768</v>
      </c>
      <c r="F1315" s="25">
        <v>14.01</v>
      </c>
      <c r="G1315" s="25" t="s">
        <v>1889</v>
      </c>
      <c r="H1315" s="25">
        <f>1.59+3.17+4.2+2+3.11</f>
        <v>14.07</v>
      </c>
      <c r="I1315" s="25">
        <f>1.59+3.17+4.2+2+3.11</f>
        <v>14.07</v>
      </c>
      <c r="J1315" s="25" t="s">
        <v>1891</v>
      </c>
      <c r="K1315" s="25" t="str">
        <f>VLOOKUP(E1315,[1]PrelimAssignPOP!$I$1:$J$947,2,FALSE)</f>
        <v>ART</v>
      </c>
      <c r="L1315" s="25" t="s">
        <v>217</v>
      </c>
      <c r="M1315" s="25" t="s">
        <v>159</v>
      </c>
      <c r="N1315" s="25" t="s">
        <v>3036</v>
      </c>
    </row>
    <row r="1316" spans="1:14" x14ac:dyDescent="0.55000000000000004">
      <c r="A1316">
        <v>1315</v>
      </c>
      <c r="B1316" s="25" t="s">
        <v>78</v>
      </c>
      <c r="C1316" s="25">
        <v>17</v>
      </c>
      <c r="D1316" s="25" t="s">
        <v>4761</v>
      </c>
      <c r="E1316" s="25" t="s">
        <v>4769</v>
      </c>
      <c r="F1316" s="25">
        <v>14.2</v>
      </c>
      <c r="G1316" s="25" t="s">
        <v>1889</v>
      </c>
      <c r="H1316" s="25">
        <f>3.76+3.92+6.69</f>
        <v>14.370000000000001</v>
      </c>
      <c r="I1316" s="25">
        <f>3.76+3.92+6.69</f>
        <v>14.370000000000001</v>
      </c>
      <c r="J1316" s="25" t="s">
        <v>1891</v>
      </c>
      <c r="K1316" s="25" t="str">
        <f>VLOOKUP(E1316,[1]PrelimAssignPOP!$I$1:$J$947,2,FALSE)</f>
        <v>ART</v>
      </c>
      <c r="L1316" s="25" t="s">
        <v>217</v>
      </c>
      <c r="M1316" s="25" t="s">
        <v>160</v>
      </c>
      <c r="N1316" s="25" t="s">
        <v>3037</v>
      </c>
    </row>
    <row r="1317" spans="1:14" x14ac:dyDescent="0.55000000000000004">
      <c r="A1317">
        <v>1316</v>
      </c>
      <c r="B1317" s="25" t="s">
        <v>78</v>
      </c>
      <c r="C1317" s="25">
        <v>17</v>
      </c>
      <c r="D1317" s="25" t="s">
        <v>4761</v>
      </c>
      <c r="E1317" s="25" t="s">
        <v>4770</v>
      </c>
      <c r="F1317" s="25">
        <v>13.49</v>
      </c>
      <c r="G1317" s="25" t="s">
        <v>1889</v>
      </c>
      <c r="H1317" s="25">
        <f>4.15+4.08+1.57+3.71</f>
        <v>13.510000000000002</v>
      </c>
      <c r="I1317" s="25">
        <f>4.15+4.08+1.57+3.71</f>
        <v>13.510000000000002</v>
      </c>
      <c r="J1317" s="25" t="s">
        <v>1891</v>
      </c>
      <c r="K1317" s="25" t="str">
        <f>VLOOKUP(E1317,[1]PrelimAssignPOP!$I$1:$J$947,2,FALSE)</f>
        <v>ART</v>
      </c>
      <c r="L1317" s="25" t="s">
        <v>217</v>
      </c>
      <c r="M1317" s="25" t="s">
        <v>161</v>
      </c>
      <c r="N1317" s="25" t="s">
        <v>3038</v>
      </c>
    </row>
    <row r="1318" spans="1:14" x14ac:dyDescent="0.55000000000000004">
      <c r="A1318">
        <v>1317</v>
      </c>
      <c r="B1318" s="25" t="s">
        <v>78</v>
      </c>
      <c r="C1318" s="25">
        <v>17</v>
      </c>
      <c r="D1318" s="25" t="s">
        <v>4761</v>
      </c>
      <c r="E1318" s="25" t="s">
        <v>4771</v>
      </c>
      <c r="F1318" s="25">
        <v>13.69</v>
      </c>
      <c r="G1318" s="25" t="s">
        <v>1889</v>
      </c>
      <c r="H1318" s="25">
        <f>4.5+6.01+3.36</f>
        <v>13.87</v>
      </c>
      <c r="I1318" s="25">
        <f>4.5+6.01+3.36</f>
        <v>13.87</v>
      </c>
      <c r="J1318" s="25" t="s">
        <v>1891</v>
      </c>
      <c r="K1318" s="25" t="str">
        <f>VLOOKUP(E1318,[1]PrelimAssignPOP!$I$1:$J$947,2,FALSE)</f>
        <v>ART</v>
      </c>
      <c r="L1318" s="25" t="s">
        <v>217</v>
      </c>
      <c r="M1318" s="25" t="s">
        <v>162</v>
      </c>
      <c r="N1318" s="25" t="s">
        <v>3039</v>
      </c>
    </row>
    <row r="1319" spans="1:14" x14ac:dyDescent="0.55000000000000004">
      <c r="A1319">
        <v>1318</v>
      </c>
      <c r="B1319" s="25" t="s">
        <v>78</v>
      </c>
      <c r="C1319" s="25">
        <v>17</v>
      </c>
      <c r="D1319" s="25" t="s">
        <v>4761</v>
      </c>
      <c r="E1319" s="25" t="s">
        <v>4772</v>
      </c>
      <c r="F1319" s="25">
        <v>15.54</v>
      </c>
      <c r="G1319" s="25" t="s">
        <v>1889</v>
      </c>
      <c r="H1319" s="25">
        <f>4.6+4.49+6.38</f>
        <v>15.469999999999999</v>
      </c>
      <c r="I1319" s="25">
        <f>4.6+4.49+6.38</f>
        <v>15.469999999999999</v>
      </c>
      <c r="J1319" s="25" t="s">
        <v>1891</v>
      </c>
      <c r="K1319" s="25" t="str">
        <f>VLOOKUP(E1319,[1]PrelimAssignPOP!$I$1:$J$947,2,FALSE)</f>
        <v>ART</v>
      </c>
      <c r="L1319" s="25" t="s">
        <v>217</v>
      </c>
      <c r="M1319" s="25" t="s">
        <v>163</v>
      </c>
      <c r="N1319" s="25" t="s">
        <v>3040</v>
      </c>
    </row>
    <row r="1320" spans="1:14" x14ac:dyDescent="0.55000000000000004">
      <c r="A1320">
        <v>1319</v>
      </c>
      <c r="B1320" s="25" t="s">
        <v>78</v>
      </c>
      <c r="C1320" s="25">
        <v>17</v>
      </c>
      <c r="D1320" s="25" t="s">
        <v>4761</v>
      </c>
      <c r="E1320" s="25" t="s">
        <v>4773</v>
      </c>
      <c r="F1320" s="25">
        <v>14.79</v>
      </c>
      <c r="G1320" s="25" t="s">
        <v>1889</v>
      </c>
      <c r="H1320" s="25">
        <f>2.11+2.34+3.43+3.53+3.32</f>
        <v>14.729999999999999</v>
      </c>
      <c r="I1320" s="25">
        <f>2.11+2.34+3.43+3.53+3.32</f>
        <v>14.729999999999999</v>
      </c>
      <c r="J1320" s="25" t="s">
        <v>1891</v>
      </c>
      <c r="K1320" s="25" t="str">
        <f>VLOOKUP(E1320,[1]PrelimAssignPOP!$I$1:$J$947,2,FALSE)</f>
        <v>ART</v>
      </c>
      <c r="L1320" s="25" t="s">
        <v>217</v>
      </c>
      <c r="M1320" s="25" t="s">
        <v>164</v>
      </c>
      <c r="N1320" s="25" t="s">
        <v>3041</v>
      </c>
    </row>
    <row r="1321" spans="1:14" x14ac:dyDescent="0.55000000000000004">
      <c r="A1321">
        <v>1320</v>
      </c>
      <c r="B1321" s="25" t="s">
        <v>78</v>
      </c>
      <c r="C1321" s="25">
        <v>17</v>
      </c>
      <c r="D1321" s="25" t="s">
        <v>4761</v>
      </c>
      <c r="E1321" s="25" t="s">
        <v>4774</v>
      </c>
      <c r="F1321" s="25">
        <v>15.16</v>
      </c>
      <c r="G1321" s="25" t="s">
        <v>1889</v>
      </c>
      <c r="H1321" s="25">
        <f>5.2+3.03+4.77+2.04</f>
        <v>15.04</v>
      </c>
      <c r="I1321" s="25">
        <f>5.2+3.03+4.77+2.04</f>
        <v>15.04</v>
      </c>
      <c r="J1321" s="25" t="s">
        <v>1891</v>
      </c>
      <c r="N1321" s="25" t="s">
        <v>3042</v>
      </c>
    </row>
    <row r="1322" spans="1:14" x14ac:dyDescent="0.55000000000000004">
      <c r="A1322">
        <v>1321</v>
      </c>
      <c r="B1322" s="25" t="s">
        <v>78</v>
      </c>
      <c r="C1322" s="25">
        <v>17</v>
      </c>
      <c r="D1322" s="25" t="s">
        <v>4761</v>
      </c>
      <c r="E1322" s="25" t="s">
        <v>4775</v>
      </c>
      <c r="F1322" s="25">
        <v>15.62</v>
      </c>
      <c r="G1322" s="25" t="s">
        <v>2113</v>
      </c>
      <c r="I1322" s="25">
        <v>15.62</v>
      </c>
      <c r="J1322" s="25" t="s">
        <v>110</v>
      </c>
    </row>
    <row r="1323" spans="1:14" x14ac:dyDescent="0.55000000000000004">
      <c r="A1323">
        <v>1322</v>
      </c>
      <c r="B1323" s="25" t="s">
        <v>78</v>
      </c>
      <c r="C1323" s="25">
        <v>17</v>
      </c>
      <c r="D1323" s="25" t="s">
        <v>4761</v>
      </c>
      <c r="E1323" s="25" t="s">
        <v>4776</v>
      </c>
      <c r="F1323" s="25">
        <v>16.760000000000002</v>
      </c>
      <c r="G1323" s="25" t="s">
        <v>2113</v>
      </c>
      <c r="I1323" s="25">
        <v>16.760000000000002</v>
      </c>
      <c r="J1323" s="25" t="s">
        <v>110</v>
      </c>
    </row>
    <row r="1324" spans="1:14" x14ac:dyDescent="0.55000000000000004">
      <c r="A1324">
        <v>1323</v>
      </c>
      <c r="B1324" s="25" t="s">
        <v>78</v>
      </c>
      <c r="C1324" s="25">
        <v>17</v>
      </c>
      <c r="D1324" s="25" t="s">
        <v>4761</v>
      </c>
      <c r="E1324" s="25" t="s">
        <v>4777</v>
      </c>
      <c r="F1324" s="25">
        <v>17.22</v>
      </c>
      <c r="G1324" s="25" t="s">
        <v>2113</v>
      </c>
      <c r="I1324" s="25">
        <v>17.22</v>
      </c>
      <c r="J1324" s="25" t="s">
        <v>110</v>
      </c>
    </row>
    <row r="1325" spans="1:14" x14ac:dyDescent="0.55000000000000004">
      <c r="A1325">
        <v>1324</v>
      </c>
      <c r="B1325" s="25" t="s">
        <v>78</v>
      </c>
      <c r="C1325" s="25">
        <v>17</v>
      </c>
      <c r="D1325" s="25" t="s">
        <v>4761</v>
      </c>
      <c r="E1325" s="25" t="s">
        <v>4778</v>
      </c>
      <c r="F1325" s="25">
        <v>17</v>
      </c>
      <c r="G1325" s="25" t="s">
        <v>2113</v>
      </c>
      <c r="I1325" s="25">
        <v>17</v>
      </c>
      <c r="J1325" s="25" t="s">
        <v>110</v>
      </c>
    </row>
    <row r="1326" spans="1:14" x14ac:dyDescent="0.55000000000000004">
      <c r="A1326">
        <v>1325</v>
      </c>
      <c r="B1326" s="25" t="s">
        <v>79</v>
      </c>
      <c r="C1326" s="25">
        <v>25</v>
      </c>
      <c r="D1326" s="25" t="s">
        <v>4779</v>
      </c>
      <c r="E1326" s="25" t="s">
        <v>4780</v>
      </c>
      <c r="F1326" s="25">
        <v>14.04</v>
      </c>
      <c r="G1326" s="25" t="s">
        <v>1889</v>
      </c>
      <c r="H1326" s="25">
        <f>3.23+5.23+2.5+0.84+2.48</f>
        <v>14.280000000000001</v>
      </c>
      <c r="I1326" s="25">
        <f>3.23+5.23+2.5+0.84+2.48</f>
        <v>14.280000000000001</v>
      </c>
      <c r="J1326" s="25" t="s">
        <v>1891</v>
      </c>
      <c r="K1326" s="25" t="str">
        <f>VLOOKUP(E1326,[1]PrelimAssignPOP!$I$1:$J$947,2,FALSE)</f>
        <v>KIY</v>
      </c>
      <c r="L1326" s="25" t="s">
        <v>217</v>
      </c>
      <c r="M1326" s="25" t="s">
        <v>165</v>
      </c>
      <c r="N1326" s="25" t="s">
        <v>3043</v>
      </c>
    </row>
    <row r="1327" spans="1:14" x14ac:dyDescent="0.55000000000000004">
      <c r="A1327">
        <v>1326</v>
      </c>
      <c r="B1327" s="25" t="s">
        <v>79</v>
      </c>
      <c r="C1327" s="25">
        <v>25</v>
      </c>
      <c r="D1327" s="25" t="s">
        <v>4779</v>
      </c>
      <c r="E1327" s="25" t="s">
        <v>4781</v>
      </c>
      <c r="F1327" s="25">
        <v>14.83</v>
      </c>
      <c r="G1327" s="25" t="s">
        <v>1889</v>
      </c>
      <c r="H1327" s="25">
        <f>4.55+3.65+3.97+2.79</f>
        <v>14.96</v>
      </c>
      <c r="I1327" s="25">
        <f>4.55+3.65+3.97+2.79</f>
        <v>14.96</v>
      </c>
      <c r="J1327" s="25" t="s">
        <v>1891</v>
      </c>
      <c r="K1327" s="25" t="str">
        <f>VLOOKUP(E1327,[1]PrelimAssignPOP!$I$1:$J$947,2,FALSE)</f>
        <v>KIY</v>
      </c>
      <c r="L1327" s="25" t="s">
        <v>217</v>
      </c>
      <c r="M1327" s="25" t="s">
        <v>118</v>
      </c>
      <c r="N1327" s="25" t="s">
        <v>3044</v>
      </c>
    </row>
    <row r="1328" spans="1:14" x14ac:dyDescent="0.55000000000000004">
      <c r="A1328">
        <v>1327</v>
      </c>
      <c r="B1328" s="25" t="s">
        <v>79</v>
      </c>
      <c r="C1328" s="25">
        <v>25</v>
      </c>
      <c r="D1328" s="25" t="s">
        <v>4779</v>
      </c>
      <c r="E1328" s="25" t="s">
        <v>4782</v>
      </c>
      <c r="F1328" s="25">
        <v>13.33</v>
      </c>
      <c r="G1328" s="25" t="s">
        <v>1889</v>
      </c>
      <c r="H1328" s="25">
        <f>4.07+2.51+2.84+4.21</f>
        <v>13.629999999999999</v>
      </c>
      <c r="I1328" s="25">
        <f>4.07+2.51+2.84+4.21</f>
        <v>13.629999999999999</v>
      </c>
      <c r="J1328" s="25" t="s">
        <v>1891</v>
      </c>
      <c r="K1328" s="25" t="str">
        <f>VLOOKUP(E1328,[1]PrelimAssignPOP!$I$1:$J$947,2,FALSE)</f>
        <v>ART</v>
      </c>
      <c r="L1328" s="25" t="s">
        <v>217</v>
      </c>
      <c r="M1328" s="25" t="s">
        <v>166</v>
      </c>
      <c r="N1328" s="25" t="s">
        <v>3045</v>
      </c>
    </row>
    <row r="1329" spans="1:14" x14ac:dyDescent="0.55000000000000004">
      <c r="A1329">
        <v>1328</v>
      </c>
      <c r="B1329" s="25" t="s">
        <v>79</v>
      </c>
      <c r="C1329" s="25">
        <v>25</v>
      </c>
      <c r="D1329" s="25" t="s">
        <v>4779</v>
      </c>
      <c r="E1329" s="25" t="s">
        <v>4783</v>
      </c>
      <c r="F1329" s="25">
        <v>15.08</v>
      </c>
      <c r="G1329" s="25" t="s">
        <v>1889</v>
      </c>
      <c r="H1329" s="25">
        <f>11.9+3.5</f>
        <v>15.4</v>
      </c>
      <c r="I1329" s="25">
        <f>11.9+3.5</f>
        <v>15.4</v>
      </c>
      <c r="J1329" s="25" t="s">
        <v>1891</v>
      </c>
      <c r="K1329" s="25" t="str">
        <f>VLOOKUP(E1329,[1]PrelimAssignPOP!$I$1:$J$947,2,FALSE)</f>
        <v>ART</v>
      </c>
      <c r="L1329" s="25" t="s">
        <v>217</v>
      </c>
      <c r="M1329" s="25" t="s">
        <v>167</v>
      </c>
      <c r="N1329" s="25" t="s">
        <v>3046</v>
      </c>
    </row>
    <row r="1330" spans="1:14" x14ac:dyDescent="0.55000000000000004">
      <c r="A1330">
        <v>1329</v>
      </c>
      <c r="B1330" s="25" t="s">
        <v>79</v>
      </c>
      <c r="C1330" s="25">
        <v>25</v>
      </c>
      <c r="D1330" s="25" t="s">
        <v>4779</v>
      </c>
      <c r="E1330" s="25" t="s">
        <v>4784</v>
      </c>
      <c r="F1330" s="25">
        <v>13.98</v>
      </c>
      <c r="G1330" s="25" t="s">
        <v>1889</v>
      </c>
      <c r="H1330" s="25">
        <f>9.22+2.17+2.74</f>
        <v>14.13</v>
      </c>
      <c r="I1330" s="25">
        <f>9.22+2.17+2.74</f>
        <v>14.13</v>
      </c>
      <c r="J1330" s="25" t="s">
        <v>1891</v>
      </c>
      <c r="K1330" s="25" t="str">
        <f>VLOOKUP(E1330,[1]PrelimAssignPOP!$I$1:$J$947,2,FALSE)</f>
        <v>ART</v>
      </c>
      <c r="L1330" s="25" t="s">
        <v>217</v>
      </c>
      <c r="M1330" s="25" t="s">
        <v>168</v>
      </c>
      <c r="N1330" s="25" t="s">
        <v>3047</v>
      </c>
    </row>
    <row r="1331" spans="1:14" x14ac:dyDescent="0.55000000000000004">
      <c r="A1331">
        <v>1330</v>
      </c>
      <c r="B1331" s="25" t="s">
        <v>79</v>
      </c>
      <c r="C1331" s="25">
        <v>25</v>
      </c>
      <c r="D1331" s="25" t="s">
        <v>4779</v>
      </c>
      <c r="E1331" s="25" t="s">
        <v>4785</v>
      </c>
      <c r="F1331" s="25">
        <v>14.13</v>
      </c>
      <c r="G1331" s="25" t="s">
        <v>1889</v>
      </c>
      <c r="H1331" s="25">
        <f>2.23+2.37+3.02+2.53+4.2</f>
        <v>14.349999999999998</v>
      </c>
      <c r="I1331" s="25">
        <f>2.23+2.37+3.02+2.53+4.2</f>
        <v>14.349999999999998</v>
      </c>
      <c r="J1331" s="25" t="s">
        <v>1891</v>
      </c>
      <c r="K1331" s="25" t="str">
        <f>VLOOKUP(E1331,[1]PrelimAssignPOP!$I$1:$J$947,2,FALSE)</f>
        <v>ART</v>
      </c>
      <c r="L1331" s="25" t="s">
        <v>217</v>
      </c>
      <c r="M1331" s="25" t="s">
        <v>169</v>
      </c>
      <c r="N1331" s="25" t="s">
        <v>3048</v>
      </c>
    </row>
    <row r="1332" spans="1:14" x14ac:dyDescent="0.55000000000000004">
      <c r="A1332">
        <v>1331</v>
      </c>
      <c r="B1332" s="25" t="s">
        <v>79</v>
      </c>
      <c r="C1332" s="25">
        <v>25</v>
      </c>
      <c r="D1332" s="25" t="s">
        <v>4779</v>
      </c>
      <c r="E1332" s="25" t="s">
        <v>4786</v>
      </c>
      <c r="F1332" s="25">
        <v>14.9</v>
      </c>
      <c r="G1332" s="25" t="s">
        <v>1889</v>
      </c>
      <c r="H1332" s="25">
        <f>6.05+5.5+3.56</f>
        <v>15.110000000000001</v>
      </c>
      <c r="I1332" s="25">
        <f>6.05+5.5+3.56</f>
        <v>15.110000000000001</v>
      </c>
      <c r="J1332" s="25" t="s">
        <v>1891</v>
      </c>
      <c r="K1332" s="25" t="str">
        <f>VLOOKUP(E1332,[1]PrelimAssignPOP!$I$1:$J$947,2,FALSE)</f>
        <v>ART</v>
      </c>
      <c r="L1332" s="25" t="s">
        <v>217</v>
      </c>
      <c r="M1332" s="25" t="s">
        <v>170</v>
      </c>
      <c r="N1332" s="25" t="s">
        <v>3049</v>
      </c>
    </row>
    <row r="1333" spans="1:14" x14ac:dyDescent="0.55000000000000004">
      <c r="A1333">
        <v>1332</v>
      </c>
      <c r="B1333" s="25" t="s">
        <v>79</v>
      </c>
      <c r="C1333" s="25">
        <v>25</v>
      </c>
      <c r="D1333" s="25" t="s">
        <v>4779</v>
      </c>
      <c r="E1333" s="25" t="s">
        <v>4787</v>
      </c>
      <c r="F1333" s="25">
        <v>15.36</v>
      </c>
      <c r="G1333" s="25" t="s">
        <v>1889</v>
      </c>
      <c r="H1333" s="25">
        <f>1.9+9.7+3.87</f>
        <v>15.469999999999999</v>
      </c>
      <c r="I1333" s="25">
        <f>1.9+9.7+3.87</f>
        <v>15.469999999999999</v>
      </c>
      <c r="J1333" s="25" t="s">
        <v>1891</v>
      </c>
      <c r="K1333" s="25" t="str">
        <f>VLOOKUP(E1333,[1]PrelimAssignPOP!$I$1:$J$947,2,FALSE)</f>
        <v>ART</v>
      </c>
      <c r="L1333" s="25" t="s">
        <v>217</v>
      </c>
      <c r="M1333" s="25" t="s">
        <v>171</v>
      </c>
      <c r="N1333" s="25" t="s">
        <v>3050</v>
      </c>
    </row>
    <row r="1334" spans="1:14" x14ac:dyDescent="0.55000000000000004">
      <c r="A1334">
        <v>1333</v>
      </c>
      <c r="B1334" s="25" t="s">
        <v>79</v>
      </c>
      <c r="C1334" s="25">
        <v>25</v>
      </c>
      <c r="D1334" s="25" t="s">
        <v>4779</v>
      </c>
      <c r="E1334" s="25" t="s">
        <v>4788</v>
      </c>
      <c r="F1334" s="25">
        <v>16.02</v>
      </c>
      <c r="G1334" s="25" t="s">
        <v>1889</v>
      </c>
      <c r="H1334" s="25">
        <f>2.03+3.84+4.33+2.41+3.49</f>
        <v>16.100000000000001</v>
      </c>
      <c r="I1334" s="25">
        <f>2.03+3.84+4.33+2.41+3.49</f>
        <v>16.100000000000001</v>
      </c>
      <c r="J1334" s="25" t="s">
        <v>1891</v>
      </c>
      <c r="K1334" s="25" t="str">
        <f>VLOOKUP(E1334,[1]PrelimAssignPOP!$I$1:$J$947,2,FALSE)</f>
        <v>ART</v>
      </c>
      <c r="L1334" s="25" t="s">
        <v>217</v>
      </c>
      <c r="M1334" s="25" t="s">
        <v>172</v>
      </c>
      <c r="N1334" s="25" t="s">
        <v>3051</v>
      </c>
    </row>
    <row r="1335" spans="1:14" x14ac:dyDescent="0.55000000000000004">
      <c r="A1335">
        <v>1334</v>
      </c>
      <c r="B1335" s="25" t="s">
        <v>79</v>
      </c>
      <c r="C1335" s="25">
        <v>25</v>
      </c>
      <c r="D1335" s="25" t="s">
        <v>4779</v>
      </c>
      <c r="E1335" s="25" t="s">
        <v>4789</v>
      </c>
      <c r="F1335" s="25">
        <v>14.44</v>
      </c>
      <c r="G1335" s="25" t="s">
        <v>1889</v>
      </c>
      <c r="H1335" s="25">
        <f>4.74+4.65+5.01</f>
        <v>14.4</v>
      </c>
      <c r="I1335" s="25">
        <f>4.74+4.65+5.01</f>
        <v>14.4</v>
      </c>
      <c r="J1335" s="25" t="s">
        <v>1891</v>
      </c>
      <c r="K1335" s="25" t="str">
        <f>VLOOKUP(E1335,[1]PrelimAssignPOP!$I$1:$J$947,2,FALSE)</f>
        <v>ART</v>
      </c>
      <c r="L1335" s="25" t="s">
        <v>217</v>
      </c>
      <c r="M1335" s="25" t="s">
        <v>173</v>
      </c>
      <c r="N1335" s="25" t="s">
        <v>3052</v>
      </c>
    </row>
    <row r="1336" spans="1:14" x14ac:dyDescent="0.55000000000000004">
      <c r="A1336">
        <v>1335</v>
      </c>
      <c r="B1336" s="25" t="s">
        <v>79</v>
      </c>
      <c r="C1336" s="25">
        <v>25</v>
      </c>
      <c r="D1336" s="25" t="s">
        <v>4779</v>
      </c>
      <c r="E1336" s="25" t="s">
        <v>4790</v>
      </c>
      <c r="F1336" s="25">
        <v>13.67</v>
      </c>
      <c r="G1336" s="25" t="s">
        <v>1889</v>
      </c>
      <c r="H1336" s="25">
        <f>4.2+4.91+4.66</f>
        <v>13.77</v>
      </c>
      <c r="I1336" s="25">
        <f>4.2+4.91+4.66</f>
        <v>13.77</v>
      </c>
      <c r="J1336" s="25" t="s">
        <v>1891</v>
      </c>
      <c r="K1336" s="25" t="str">
        <f>VLOOKUP(E1336,[1]PrelimAssignPOP!$I$1:$J$947,2,FALSE)</f>
        <v>ART</v>
      </c>
      <c r="L1336" s="25" t="s">
        <v>217</v>
      </c>
      <c r="M1336" s="25" t="s">
        <v>174</v>
      </c>
      <c r="N1336" s="25" t="s">
        <v>3053</v>
      </c>
    </row>
    <row r="1337" spans="1:14" x14ac:dyDescent="0.55000000000000004">
      <c r="A1337">
        <v>1336</v>
      </c>
      <c r="B1337" s="25" t="s">
        <v>79</v>
      </c>
      <c r="C1337" s="25">
        <v>25</v>
      </c>
      <c r="D1337" s="25" t="s">
        <v>4779</v>
      </c>
      <c r="E1337" s="25" t="s">
        <v>4791</v>
      </c>
      <c r="F1337" s="25">
        <v>15.1</v>
      </c>
      <c r="G1337" s="25" t="s">
        <v>1889</v>
      </c>
      <c r="H1337" s="25">
        <f>3.27+5.57+6.25</f>
        <v>15.09</v>
      </c>
      <c r="I1337" s="25">
        <f>3.27+5.57+6.25</f>
        <v>15.09</v>
      </c>
      <c r="J1337" s="25" t="s">
        <v>1891</v>
      </c>
      <c r="K1337" s="25" t="str">
        <f>VLOOKUP(E1337,[1]PrelimAssignPOP!$I$1:$J$947,2,FALSE)</f>
        <v>ART</v>
      </c>
      <c r="L1337" s="25" t="s">
        <v>217</v>
      </c>
      <c r="M1337" s="25" t="s">
        <v>175</v>
      </c>
      <c r="N1337" s="25" t="s">
        <v>3054</v>
      </c>
    </row>
    <row r="1338" spans="1:14" x14ac:dyDescent="0.55000000000000004">
      <c r="A1338">
        <v>1337</v>
      </c>
      <c r="B1338" s="25" t="s">
        <v>79</v>
      </c>
      <c r="C1338" s="25">
        <v>25</v>
      </c>
      <c r="D1338" s="25" t="s">
        <v>4779</v>
      </c>
      <c r="E1338" s="25" t="s">
        <v>4792</v>
      </c>
      <c r="F1338" s="25">
        <v>15.94</v>
      </c>
      <c r="G1338" s="25" t="s">
        <v>1889</v>
      </c>
      <c r="H1338" s="25">
        <f>7.6+2.48+5.71</f>
        <v>15.79</v>
      </c>
      <c r="I1338" s="25">
        <f>7.6+2.48+5.71</f>
        <v>15.79</v>
      </c>
      <c r="J1338" s="25" t="s">
        <v>1891</v>
      </c>
      <c r="N1338" s="25" t="s">
        <v>3055</v>
      </c>
    </row>
    <row r="1339" spans="1:14" x14ac:dyDescent="0.55000000000000004">
      <c r="A1339">
        <v>1338</v>
      </c>
      <c r="B1339" s="25" t="s">
        <v>79</v>
      </c>
      <c r="C1339" s="25">
        <v>25</v>
      </c>
      <c r="D1339" s="25" t="s">
        <v>4779</v>
      </c>
      <c r="E1339" s="25" t="s">
        <v>4793</v>
      </c>
      <c r="F1339" s="25">
        <v>14.41</v>
      </c>
      <c r="G1339" s="25" t="s">
        <v>1889</v>
      </c>
      <c r="H1339" s="25">
        <f>3.84+5.83+3.23+1.57</f>
        <v>14.47</v>
      </c>
      <c r="I1339" s="25">
        <f>3.84+5.83+3.23+1.57</f>
        <v>14.47</v>
      </c>
      <c r="J1339" s="25" t="s">
        <v>1891</v>
      </c>
      <c r="N1339" s="25" t="s">
        <v>3056</v>
      </c>
    </row>
    <row r="1340" spans="1:14" x14ac:dyDescent="0.55000000000000004">
      <c r="A1340">
        <v>1339</v>
      </c>
      <c r="B1340" s="25" t="s">
        <v>79</v>
      </c>
      <c r="C1340" s="25">
        <v>25</v>
      </c>
      <c r="D1340" s="25" t="s">
        <v>4779</v>
      </c>
      <c r="E1340" s="25" t="s">
        <v>4794</v>
      </c>
      <c r="F1340" s="25">
        <v>15.09</v>
      </c>
      <c r="G1340" s="25" t="s">
        <v>1889</v>
      </c>
      <c r="H1340" s="25">
        <f>7.31+3.17+5.02</f>
        <v>15.5</v>
      </c>
      <c r="I1340" s="25">
        <f>7.31+3.17+5.02</f>
        <v>15.5</v>
      </c>
      <c r="J1340" s="25" t="s">
        <v>1891</v>
      </c>
      <c r="N1340" s="25" t="s">
        <v>3057</v>
      </c>
    </row>
    <row r="1341" spans="1:14" x14ac:dyDescent="0.55000000000000004">
      <c r="A1341">
        <v>1340</v>
      </c>
      <c r="B1341" s="25" t="s">
        <v>79</v>
      </c>
      <c r="C1341" s="25">
        <v>25</v>
      </c>
      <c r="D1341" s="25" t="s">
        <v>4779</v>
      </c>
      <c r="E1341" s="25" t="s">
        <v>4795</v>
      </c>
      <c r="F1341" s="25">
        <v>15</v>
      </c>
      <c r="G1341" s="25" t="s">
        <v>1889</v>
      </c>
      <c r="H1341" s="25">
        <f>3.43+3.53+2.42+4.05+2.95</f>
        <v>16.38</v>
      </c>
      <c r="I1341" s="25">
        <f>3.43+3.53+2.42+4.05+2.95</f>
        <v>16.38</v>
      </c>
      <c r="J1341" s="25" t="s">
        <v>1891</v>
      </c>
      <c r="N1341" s="25" t="s">
        <v>3058</v>
      </c>
    </row>
    <row r="1342" spans="1:14" x14ac:dyDescent="0.55000000000000004">
      <c r="A1342">
        <v>1341</v>
      </c>
      <c r="B1342" s="25" t="s">
        <v>79</v>
      </c>
      <c r="C1342" s="25">
        <v>25</v>
      </c>
      <c r="D1342" s="25" t="s">
        <v>4779</v>
      </c>
      <c r="E1342" s="25" t="s">
        <v>4796</v>
      </c>
      <c r="F1342" s="25">
        <v>15.76</v>
      </c>
      <c r="G1342" s="25" t="s">
        <v>1889</v>
      </c>
      <c r="H1342" s="25">
        <f>5.8+2.28+7.91</f>
        <v>15.99</v>
      </c>
      <c r="I1342" s="25">
        <f>5.8+2.28+7.91</f>
        <v>15.99</v>
      </c>
      <c r="J1342" s="25" t="s">
        <v>1891</v>
      </c>
      <c r="N1342" s="25" t="s">
        <v>3059</v>
      </c>
    </row>
    <row r="1343" spans="1:14" x14ac:dyDescent="0.55000000000000004">
      <c r="A1343">
        <v>1342</v>
      </c>
      <c r="B1343" s="25" t="s">
        <v>79</v>
      </c>
      <c r="C1343" s="25">
        <v>25</v>
      </c>
      <c r="D1343" s="25" t="s">
        <v>4779</v>
      </c>
      <c r="E1343" s="25" t="s">
        <v>4797</v>
      </c>
      <c r="F1343" s="25">
        <v>19.28</v>
      </c>
      <c r="G1343" s="25" t="s">
        <v>2113</v>
      </c>
      <c r="I1343" s="25">
        <v>19.28</v>
      </c>
      <c r="J1343" s="25" t="s">
        <v>110</v>
      </c>
    </row>
    <row r="1344" spans="1:14" x14ac:dyDescent="0.55000000000000004">
      <c r="A1344">
        <v>1343</v>
      </c>
      <c r="B1344" s="25" t="s">
        <v>79</v>
      </c>
      <c r="C1344" s="25">
        <v>25</v>
      </c>
      <c r="D1344" s="25" t="s">
        <v>4779</v>
      </c>
      <c r="E1344" s="25" t="s">
        <v>4798</v>
      </c>
      <c r="F1344" s="25">
        <v>17.43</v>
      </c>
      <c r="G1344" s="25" t="s">
        <v>2113</v>
      </c>
      <c r="I1344" s="25">
        <v>17.43</v>
      </c>
      <c r="J1344" s="25" t="s">
        <v>110</v>
      </c>
    </row>
    <row r="1345" spans="1:14" x14ac:dyDescent="0.55000000000000004">
      <c r="A1345">
        <v>1344</v>
      </c>
      <c r="B1345" s="25" t="s">
        <v>79</v>
      </c>
      <c r="C1345" s="25">
        <v>25</v>
      </c>
      <c r="D1345" s="25" t="s">
        <v>4779</v>
      </c>
      <c r="E1345" s="25" t="s">
        <v>4799</v>
      </c>
      <c r="F1345" s="25">
        <v>17.25</v>
      </c>
      <c r="G1345" s="25" t="s">
        <v>2113</v>
      </c>
      <c r="I1345" s="25">
        <v>17.25</v>
      </c>
      <c r="J1345" s="25" t="s">
        <v>110</v>
      </c>
    </row>
    <row r="1346" spans="1:14" x14ac:dyDescent="0.55000000000000004">
      <c r="A1346">
        <v>1345</v>
      </c>
      <c r="B1346" s="25" t="s">
        <v>79</v>
      </c>
      <c r="C1346" s="25">
        <v>25</v>
      </c>
      <c r="D1346" s="25" t="s">
        <v>4779</v>
      </c>
      <c r="E1346" s="25" t="s">
        <v>4800</v>
      </c>
      <c r="F1346" s="25">
        <v>16.510000000000002</v>
      </c>
      <c r="G1346" s="25" t="s">
        <v>2113</v>
      </c>
      <c r="I1346" s="25">
        <v>16.510000000000002</v>
      </c>
      <c r="J1346" s="25" t="s">
        <v>110</v>
      </c>
    </row>
    <row r="1347" spans="1:14" x14ac:dyDescent="0.55000000000000004">
      <c r="A1347">
        <v>1346</v>
      </c>
      <c r="B1347" s="25" t="s">
        <v>79</v>
      </c>
      <c r="C1347" s="25">
        <v>25</v>
      </c>
      <c r="D1347" s="25" t="s">
        <v>4779</v>
      </c>
      <c r="E1347" s="25" t="s">
        <v>4801</v>
      </c>
      <c r="F1347" s="25">
        <v>15.33</v>
      </c>
      <c r="G1347" s="25" t="s">
        <v>2113</v>
      </c>
      <c r="I1347" s="25">
        <v>15.33</v>
      </c>
      <c r="J1347" s="25" t="s">
        <v>110</v>
      </c>
    </row>
    <row r="1348" spans="1:14" x14ac:dyDescent="0.55000000000000004">
      <c r="A1348">
        <v>1347</v>
      </c>
      <c r="B1348" s="25" t="s">
        <v>79</v>
      </c>
      <c r="C1348" s="25">
        <v>25</v>
      </c>
      <c r="D1348" s="25" t="s">
        <v>4779</v>
      </c>
      <c r="E1348" s="25" t="s">
        <v>4802</v>
      </c>
      <c r="F1348" s="25">
        <v>16.79</v>
      </c>
      <c r="G1348" s="25" t="s">
        <v>2113</v>
      </c>
      <c r="I1348" s="25">
        <v>16.79</v>
      </c>
      <c r="J1348" s="25" t="s">
        <v>110</v>
      </c>
    </row>
    <row r="1349" spans="1:14" x14ac:dyDescent="0.55000000000000004">
      <c r="A1349">
        <v>1348</v>
      </c>
      <c r="B1349" s="25" t="s">
        <v>79</v>
      </c>
      <c r="C1349" s="25">
        <v>25</v>
      </c>
      <c r="D1349" s="25" t="s">
        <v>4779</v>
      </c>
      <c r="E1349" s="25" t="s">
        <v>4803</v>
      </c>
      <c r="F1349" s="25">
        <v>16.7</v>
      </c>
      <c r="G1349" s="25" t="s">
        <v>2113</v>
      </c>
      <c r="I1349" s="25">
        <v>16.7</v>
      </c>
      <c r="J1349" s="25" t="s">
        <v>110</v>
      </c>
    </row>
    <row r="1350" spans="1:14" x14ac:dyDescent="0.55000000000000004">
      <c r="A1350">
        <v>1349</v>
      </c>
      <c r="B1350" s="25" t="s">
        <v>79</v>
      </c>
      <c r="C1350" s="25">
        <v>25</v>
      </c>
      <c r="D1350" s="25" t="s">
        <v>4779</v>
      </c>
      <c r="E1350" s="25" t="s">
        <v>4804</v>
      </c>
      <c r="F1350" s="25">
        <v>14.45</v>
      </c>
      <c r="G1350" s="25" t="s">
        <v>2113</v>
      </c>
      <c r="I1350" s="25">
        <v>14.45</v>
      </c>
      <c r="J1350" s="25" t="s">
        <v>110</v>
      </c>
    </row>
    <row r="1351" spans="1:14" x14ac:dyDescent="0.55000000000000004">
      <c r="A1351">
        <v>1350</v>
      </c>
      <c r="B1351" s="25" t="s">
        <v>80</v>
      </c>
      <c r="C1351" s="25">
        <v>25</v>
      </c>
      <c r="D1351" s="25" t="s">
        <v>4805</v>
      </c>
      <c r="E1351" s="25" t="s">
        <v>4806</v>
      </c>
      <c r="F1351" s="25">
        <v>12.99</v>
      </c>
      <c r="G1351" s="25" t="s">
        <v>1889</v>
      </c>
      <c r="H1351" s="25">
        <f>3.21+1.97+2.16+5.69</f>
        <v>13.030000000000001</v>
      </c>
      <c r="I1351" s="25">
        <f>3.21+1.97+2.16+5.69</f>
        <v>13.030000000000001</v>
      </c>
      <c r="J1351" s="25" t="s">
        <v>1891</v>
      </c>
      <c r="K1351" s="25" t="str">
        <f>VLOOKUP(E1351,[1]PrelimAssignPOP!$I$1:$J$947,2,FALSE)</f>
        <v>ART</v>
      </c>
      <c r="L1351" s="25" t="s">
        <v>217</v>
      </c>
      <c r="M1351" s="25" t="s">
        <v>176</v>
      </c>
      <c r="N1351" s="25" t="s">
        <v>3060</v>
      </c>
    </row>
    <row r="1352" spans="1:14" x14ac:dyDescent="0.55000000000000004">
      <c r="A1352">
        <v>1351</v>
      </c>
      <c r="B1352" s="25" t="s">
        <v>80</v>
      </c>
      <c r="C1352" s="25">
        <v>25</v>
      </c>
      <c r="D1352" s="25" t="s">
        <v>4805</v>
      </c>
      <c r="E1352" s="25" t="s">
        <v>4807</v>
      </c>
      <c r="F1352" s="25">
        <v>13.31</v>
      </c>
      <c r="G1352" s="25" t="s">
        <v>1889</v>
      </c>
      <c r="H1352" s="25">
        <f>3.4+3.05+2.33+4.83</f>
        <v>13.61</v>
      </c>
      <c r="I1352" s="25">
        <f>3.4+3.05+2.33+4.83</f>
        <v>13.61</v>
      </c>
      <c r="J1352" s="25" t="s">
        <v>1891</v>
      </c>
      <c r="K1352" s="25" t="str">
        <f>VLOOKUP(E1352,[1]PrelimAssignPOP!$I$1:$J$947,2,FALSE)</f>
        <v>HYB</v>
      </c>
      <c r="L1352" s="25" t="s">
        <v>217</v>
      </c>
      <c r="M1352" s="25" t="s">
        <v>119</v>
      </c>
      <c r="N1352" s="25" t="s">
        <v>3061</v>
      </c>
    </row>
    <row r="1353" spans="1:14" x14ac:dyDescent="0.55000000000000004">
      <c r="A1353">
        <v>1352</v>
      </c>
      <c r="B1353" s="25" t="s">
        <v>80</v>
      </c>
      <c r="C1353" s="25">
        <v>25</v>
      </c>
      <c r="D1353" s="25" t="s">
        <v>4805</v>
      </c>
      <c r="E1353" s="25" t="s">
        <v>4808</v>
      </c>
      <c r="F1353" s="25">
        <v>15.24</v>
      </c>
      <c r="G1353" s="25" t="s">
        <v>1889</v>
      </c>
      <c r="H1353" s="25">
        <f>3.18+3.16+5.34+3.79</f>
        <v>15.469999999999999</v>
      </c>
      <c r="I1353" s="25">
        <f>3.18+3.16+5.34+3.79</f>
        <v>15.469999999999999</v>
      </c>
      <c r="J1353" s="25" t="s">
        <v>1891</v>
      </c>
      <c r="K1353" s="25" t="str">
        <f>VLOOKUP(E1353,[1]PrelimAssignPOP!$I$1:$J$947,2,FALSE)</f>
        <v>KIY</v>
      </c>
      <c r="L1353" s="25" t="s">
        <v>217</v>
      </c>
      <c r="M1353" s="25" t="s">
        <v>177</v>
      </c>
      <c r="N1353" s="25" t="s">
        <v>3062</v>
      </c>
    </row>
    <row r="1354" spans="1:14" x14ac:dyDescent="0.55000000000000004">
      <c r="A1354">
        <v>1353</v>
      </c>
      <c r="B1354" s="25" t="s">
        <v>80</v>
      </c>
      <c r="C1354" s="25">
        <v>25</v>
      </c>
      <c r="D1354" s="25" t="s">
        <v>4805</v>
      </c>
      <c r="E1354" s="25" t="s">
        <v>4809</v>
      </c>
      <c r="F1354" s="25">
        <v>12.76</v>
      </c>
      <c r="G1354" s="25" t="s">
        <v>1889</v>
      </c>
      <c r="H1354" s="25">
        <f>3.02+4.47+1.88+3.44</f>
        <v>12.81</v>
      </c>
      <c r="I1354" s="25">
        <f>3.02+4.47+1.88+3.44</f>
        <v>12.81</v>
      </c>
      <c r="J1354" s="25" t="s">
        <v>1891</v>
      </c>
      <c r="K1354" s="25" t="str">
        <f>VLOOKUP(E1354,[1]PrelimAssignPOP!$I$1:$J$947,2,FALSE)</f>
        <v>ART</v>
      </c>
      <c r="L1354" s="25" t="s">
        <v>217</v>
      </c>
      <c r="M1354" s="25" t="s">
        <v>178</v>
      </c>
      <c r="N1354" s="25" t="s">
        <v>3063</v>
      </c>
    </row>
    <row r="1355" spans="1:14" x14ac:dyDescent="0.55000000000000004">
      <c r="A1355">
        <v>1354</v>
      </c>
      <c r="B1355" s="25" t="s">
        <v>80</v>
      </c>
      <c r="C1355" s="25">
        <v>25</v>
      </c>
      <c r="D1355" s="25" t="s">
        <v>4805</v>
      </c>
      <c r="E1355" s="25" t="s">
        <v>4810</v>
      </c>
      <c r="F1355" s="25">
        <v>13.92</v>
      </c>
      <c r="G1355" s="25" t="s">
        <v>1889</v>
      </c>
      <c r="H1355" s="25">
        <f>5.42+2.61+5.77</f>
        <v>13.799999999999999</v>
      </c>
      <c r="I1355" s="25">
        <f>5.42+2.61+5.77</f>
        <v>13.799999999999999</v>
      </c>
      <c r="J1355" s="25" t="s">
        <v>1891</v>
      </c>
      <c r="K1355" s="25" t="str">
        <f>VLOOKUP(E1355,[1]PrelimAssignPOP!$I$1:$J$947,2,FALSE)</f>
        <v>KIY</v>
      </c>
      <c r="L1355" s="25" t="s">
        <v>217</v>
      </c>
      <c r="M1355" s="25" t="s">
        <v>179</v>
      </c>
      <c r="N1355" s="25" t="s">
        <v>3064</v>
      </c>
    </row>
    <row r="1356" spans="1:14" x14ac:dyDescent="0.55000000000000004">
      <c r="A1356">
        <v>1355</v>
      </c>
      <c r="B1356" s="25" t="s">
        <v>80</v>
      </c>
      <c r="C1356" s="25">
        <v>25</v>
      </c>
      <c r="D1356" s="25" t="s">
        <v>4805</v>
      </c>
      <c r="E1356" s="25" t="s">
        <v>4811</v>
      </c>
      <c r="F1356" s="25">
        <v>13.9</v>
      </c>
      <c r="G1356" s="25" t="s">
        <v>1889</v>
      </c>
      <c r="H1356" s="25">
        <f>3.01+4.95+6.85</f>
        <v>14.809999999999999</v>
      </c>
      <c r="I1356" s="25">
        <f>3.01+4.95+6.85</f>
        <v>14.809999999999999</v>
      </c>
      <c r="J1356" s="25" t="s">
        <v>1891</v>
      </c>
      <c r="K1356" s="25" t="str">
        <f>VLOOKUP(E1356,[1]PrelimAssignPOP!$I$1:$J$947,2,FALSE)</f>
        <v>KIY</v>
      </c>
      <c r="L1356" s="25" t="s">
        <v>217</v>
      </c>
      <c r="M1356" s="25" t="s">
        <v>180</v>
      </c>
      <c r="N1356" s="25" t="s">
        <v>3065</v>
      </c>
    </row>
    <row r="1357" spans="1:14" x14ac:dyDescent="0.55000000000000004">
      <c r="A1357">
        <v>1356</v>
      </c>
      <c r="B1357" s="25" t="s">
        <v>80</v>
      </c>
      <c r="C1357" s="25">
        <v>25</v>
      </c>
      <c r="D1357" s="25" t="s">
        <v>4805</v>
      </c>
      <c r="E1357" s="25" t="s">
        <v>4812</v>
      </c>
      <c r="F1357" s="25">
        <v>14.48</v>
      </c>
      <c r="G1357" s="25" t="s">
        <v>1889</v>
      </c>
      <c r="H1357" s="25">
        <f>1.56+1.44+3.27+3.83+4.56</f>
        <v>14.66</v>
      </c>
      <c r="I1357" s="25">
        <f>1.56+1.44+3.27+3.83+4.56</f>
        <v>14.66</v>
      </c>
      <c r="J1357" s="25" t="s">
        <v>1891</v>
      </c>
      <c r="K1357" s="25" t="str">
        <f>VLOOKUP(E1357,[1]PrelimAssignPOP!$I$1:$J$947,2,FALSE)</f>
        <v>KIY</v>
      </c>
      <c r="L1357" s="25" t="s">
        <v>217</v>
      </c>
      <c r="M1357" s="25" t="s">
        <v>181</v>
      </c>
      <c r="N1357" s="25" t="s">
        <v>3066</v>
      </c>
    </row>
    <row r="1358" spans="1:14" x14ac:dyDescent="0.55000000000000004">
      <c r="A1358">
        <v>1357</v>
      </c>
      <c r="B1358" s="25" t="s">
        <v>80</v>
      </c>
      <c r="C1358" s="25">
        <v>25</v>
      </c>
      <c r="D1358" s="25" t="s">
        <v>4805</v>
      </c>
      <c r="E1358" s="25" t="s">
        <v>4813</v>
      </c>
      <c r="F1358" s="25">
        <v>13.01</v>
      </c>
      <c r="G1358" s="25" t="s">
        <v>1889</v>
      </c>
      <c r="H1358" s="25">
        <f>2.58+2.37+4.55+1.81+1.78</f>
        <v>13.09</v>
      </c>
      <c r="I1358" s="25">
        <f>2.58+2.37+4.55+1.81+1.78</f>
        <v>13.09</v>
      </c>
      <c r="J1358" s="25" t="s">
        <v>1891</v>
      </c>
      <c r="K1358" s="25" t="str">
        <f>VLOOKUP(E1358,[1]PrelimAssignPOP!$I$1:$J$947,2,FALSE)</f>
        <v>ART</v>
      </c>
      <c r="L1358" s="25" t="s">
        <v>217</v>
      </c>
      <c r="M1358" s="25" t="s">
        <v>182</v>
      </c>
      <c r="N1358" s="25" t="s">
        <v>3067</v>
      </c>
    </row>
    <row r="1359" spans="1:14" x14ac:dyDescent="0.55000000000000004">
      <c r="A1359">
        <v>1358</v>
      </c>
      <c r="B1359" s="25" t="s">
        <v>80</v>
      </c>
      <c r="C1359" s="25">
        <v>25</v>
      </c>
      <c r="D1359" s="25" t="s">
        <v>4805</v>
      </c>
      <c r="E1359" s="25" t="s">
        <v>4814</v>
      </c>
      <c r="F1359" s="25">
        <v>14.38</v>
      </c>
      <c r="G1359" s="25" t="s">
        <v>1889</v>
      </c>
      <c r="H1359" s="25">
        <f>3.01+1.98+7.6+1.99</f>
        <v>14.58</v>
      </c>
      <c r="I1359" s="25">
        <f>3.01+1.98+7.6+1.99</f>
        <v>14.58</v>
      </c>
      <c r="J1359" s="25" t="s">
        <v>1891</v>
      </c>
      <c r="K1359" s="25" t="str">
        <f>VLOOKUP(E1359,[1]PrelimAssignPOP!$I$1:$J$947,2,FALSE)</f>
        <v>ART</v>
      </c>
      <c r="L1359" s="25" t="s">
        <v>217</v>
      </c>
      <c r="M1359" s="25" t="s">
        <v>183</v>
      </c>
      <c r="N1359" s="25" t="s">
        <v>3068</v>
      </c>
    </row>
    <row r="1360" spans="1:14" x14ac:dyDescent="0.55000000000000004">
      <c r="A1360">
        <v>1359</v>
      </c>
      <c r="B1360" s="25" t="s">
        <v>80</v>
      </c>
      <c r="C1360" s="25">
        <v>25</v>
      </c>
      <c r="D1360" s="25" t="s">
        <v>4805</v>
      </c>
      <c r="E1360" s="25" t="s">
        <v>4815</v>
      </c>
      <c r="F1360" s="25">
        <v>14.91</v>
      </c>
      <c r="G1360" s="25" t="s">
        <v>1889</v>
      </c>
      <c r="H1360" s="25">
        <f>2.18+3.22+2.41+4.02+3.52</f>
        <v>15.35</v>
      </c>
      <c r="I1360" s="25">
        <f>2.18+3.22+2.41+4.02+3.52</f>
        <v>15.35</v>
      </c>
      <c r="J1360" s="25" t="s">
        <v>1891</v>
      </c>
      <c r="K1360" s="25" t="str">
        <f>VLOOKUP(E1360,[1]PrelimAssignPOP!$I$1:$J$947,2,FALSE)</f>
        <v>ART</v>
      </c>
      <c r="L1360" s="25" t="s">
        <v>217</v>
      </c>
      <c r="M1360" s="25" t="s">
        <v>184</v>
      </c>
      <c r="N1360" s="25" t="s">
        <v>3069</v>
      </c>
    </row>
    <row r="1361" spans="1:14" x14ac:dyDescent="0.55000000000000004">
      <c r="A1361">
        <v>1360</v>
      </c>
      <c r="B1361" s="25" t="s">
        <v>80</v>
      </c>
      <c r="C1361" s="25">
        <v>25</v>
      </c>
      <c r="D1361" s="25" t="s">
        <v>4805</v>
      </c>
      <c r="E1361" s="25" t="s">
        <v>4816</v>
      </c>
      <c r="F1361" s="25">
        <v>14.34</v>
      </c>
      <c r="G1361" s="25" t="s">
        <v>1889</v>
      </c>
      <c r="H1361" s="25">
        <f>4.37+4.55+1.71+4.24</f>
        <v>14.87</v>
      </c>
      <c r="I1361" s="25">
        <f>4.37+4.55+1.71+4.24</f>
        <v>14.87</v>
      </c>
      <c r="J1361" s="25" t="s">
        <v>1891</v>
      </c>
      <c r="K1361" s="25" t="str">
        <f>VLOOKUP(E1361,[1]PrelimAssignPOP!$I$1:$J$947,2,FALSE)</f>
        <v>KIY</v>
      </c>
      <c r="L1361" s="25" t="s">
        <v>217</v>
      </c>
      <c r="M1361" s="25" t="s">
        <v>185</v>
      </c>
      <c r="N1361" s="25" t="s">
        <v>3070</v>
      </c>
    </row>
    <row r="1362" spans="1:14" x14ac:dyDescent="0.55000000000000004">
      <c r="A1362">
        <v>1361</v>
      </c>
      <c r="B1362" s="25" t="s">
        <v>80</v>
      </c>
      <c r="C1362" s="25">
        <v>25</v>
      </c>
      <c r="D1362" s="25" t="s">
        <v>4805</v>
      </c>
      <c r="E1362" s="25" t="s">
        <v>4817</v>
      </c>
      <c r="F1362" s="25">
        <v>14.1</v>
      </c>
      <c r="G1362" s="25" t="s">
        <v>1889</v>
      </c>
      <c r="H1362" s="25">
        <f>3.86+2.72+2.17+5.42</f>
        <v>14.17</v>
      </c>
      <c r="I1362" s="25">
        <f>3.86+2.72+2.17+5.42</f>
        <v>14.17</v>
      </c>
      <c r="J1362" s="25" t="s">
        <v>1891</v>
      </c>
      <c r="K1362" s="25" t="str">
        <f>VLOOKUP(E1362,[1]PrelimAssignPOP!$I$1:$J$947,2,FALSE)</f>
        <v>KIY</v>
      </c>
      <c r="L1362" s="25" t="s">
        <v>217</v>
      </c>
      <c r="M1362" s="25" t="s">
        <v>186</v>
      </c>
      <c r="N1362" s="25" t="s">
        <v>3071</v>
      </c>
    </row>
    <row r="1363" spans="1:14" x14ac:dyDescent="0.55000000000000004">
      <c r="A1363">
        <v>1362</v>
      </c>
      <c r="B1363" s="25" t="s">
        <v>80</v>
      </c>
      <c r="C1363" s="25">
        <v>25</v>
      </c>
      <c r="D1363" s="25" t="s">
        <v>4805</v>
      </c>
      <c r="E1363" s="25" t="s">
        <v>4818</v>
      </c>
      <c r="F1363" s="25">
        <v>15.25</v>
      </c>
      <c r="G1363" s="25" t="s">
        <v>1889</v>
      </c>
      <c r="H1363" s="25">
        <f>3.64+2.16+4.13+5.77</f>
        <v>15.7</v>
      </c>
      <c r="I1363" s="25">
        <f>3.64+2.16+4.13+5.77</f>
        <v>15.7</v>
      </c>
      <c r="J1363" s="25" t="s">
        <v>1891</v>
      </c>
      <c r="N1363" s="25" t="s">
        <v>3072</v>
      </c>
    </row>
    <row r="1364" spans="1:14" x14ac:dyDescent="0.55000000000000004">
      <c r="A1364">
        <v>1363</v>
      </c>
      <c r="B1364" s="25" t="s">
        <v>80</v>
      </c>
      <c r="C1364" s="25">
        <v>25</v>
      </c>
      <c r="D1364" s="25" t="s">
        <v>4805</v>
      </c>
      <c r="E1364" s="25" t="s">
        <v>4819</v>
      </c>
      <c r="F1364" s="25">
        <v>15.11</v>
      </c>
      <c r="G1364" s="25" t="s">
        <v>1889</v>
      </c>
      <c r="H1364" s="25">
        <f>4.85+3.31+4.27+2.81</f>
        <v>15.24</v>
      </c>
      <c r="I1364" s="25">
        <f>4.85+3.31+4.27+2.81</f>
        <v>15.24</v>
      </c>
      <c r="J1364" s="25" t="s">
        <v>1891</v>
      </c>
      <c r="N1364" s="25" t="s">
        <v>3073</v>
      </c>
    </row>
    <row r="1365" spans="1:14" x14ac:dyDescent="0.55000000000000004">
      <c r="A1365">
        <v>1364</v>
      </c>
      <c r="B1365" s="25" t="s">
        <v>80</v>
      </c>
      <c r="C1365" s="25">
        <v>25</v>
      </c>
      <c r="D1365" s="25" t="s">
        <v>4805</v>
      </c>
      <c r="E1365" s="25" t="s">
        <v>4820</v>
      </c>
      <c r="F1365" s="25">
        <v>13.77</v>
      </c>
      <c r="G1365" s="25" t="s">
        <v>1889</v>
      </c>
      <c r="H1365" s="25">
        <f>2.88+1.8+1.27+8.04</f>
        <v>13.989999999999998</v>
      </c>
      <c r="I1365" s="25">
        <f>2.88+1.8+1.27+8.04</f>
        <v>13.989999999999998</v>
      </c>
      <c r="J1365" s="25" t="s">
        <v>1891</v>
      </c>
      <c r="N1365" s="25" t="s">
        <v>3074</v>
      </c>
    </row>
    <row r="1366" spans="1:14" x14ac:dyDescent="0.55000000000000004">
      <c r="A1366">
        <v>1365</v>
      </c>
      <c r="B1366" s="25" t="s">
        <v>80</v>
      </c>
      <c r="C1366" s="25">
        <v>25</v>
      </c>
      <c r="D1366" s="25" t="s">
        <v>4805</v>
      </c>
      <c r="E1366" s="25" t="s">
        <v>4821</v>
      </c>
      <c r="F1366" s="25">
        <v>14.6</v>
      </c>
      <c r="G1366" s="25" t="s">
        <v>1889</v>
      </c>
      <c r="H1366" s="25">
        <f>3.55+2.53+3.69+5.08</f>
        <v>14.85</v>
      </c>
      <c r="I1366" s="25">
        <f>3.55+2.53+3.69+5.08</f>
        <v>14.85</v>
      </c>
      <c r="J1366" s="25" t="s">
        <v>1891</v>
      </c>
      <c r="N1366" s="25" t="s">
        <v>3075</v>
      </c>
    </row>
    <row r="1367" spans="1:14" x14ac:dyDescent="0.55000000000000004">
      <c r="A1367">
        <v>1366</v>
      </c>
      <c r="B1367" s="25" t="s">
        <v>80</v>
      </c>
      <c r="C1367" s="25">
        <v>25</v>
      </c>
      <c r="D1367" s="25" t="s">
        <v>4805</v>
      </c>
      <c r="E1367" s="25" t="s">
        <v>4822</v>
      </c>
      <c r="F1367" s="25">
        <v>15.24</v>
      </c>
      <c r="G1367" s="25" t="s">
        <v>1889</v>
      </c>
      <c r="H1367" s="25">
        <f>8.26+6.86</f>
        <v>15.120000000000001</v>
      </c>
      <c r="I1367" s="25">
        <f>8.26+6.86</f>
        <v>15.120000000000001</v>
      </c>
      <c r="J1367" s="25" t="s">
        <v>1891</v>
      </c>
      <c r="N1367" s="25" t="s">
        <v>3076</v>
      </c>
    </row>
    <row r="1368" spans="1:14" x14ac:dyDescent="0.55000000000000004">
      <c r="A1368">
        <v>1367</v>
      </c>
      <c r="B1368" s="25" t="s">
        <v>80</v>
      </c>
      <c r="C1368" s="25">
        <v>25</v>
      </c>
      <c r="D1368" s="25" t="s">
        <v>4805</v>
      </c>
      <c r="E1368" s="25" t="s">
        <v>4823</v>
      </c>
      <c r="F1368" s="25">
        <v>13.65</v>
      </c>
      <c r="G1368" s="25" t="s">
        <v>1889</v>
      </c>
      <c r="H1368" s="25">
        <f>2.93+3.54+4.31+1.35+1.67</f>
        <v>13.8</v>
      </c>
      <c r="I1368" s="25">
        <f>2.93+3.54+4.31+1.35+1.67</f>
        <v>13.8</v>
      </c>
      <c r="J1368" s="25" t="s">
        <v>1891</v>
      </c>
      <c r="N1368" s="25" t="s">
        <v>3077</v>
      </c>
    </row>
    <row r="1369" spans="1:14" x14ac:dyDescent="0.55000000000000004">
      <c r="A1369">
        <v>1368</v>
      </c>
      <c r="B1369" s="25" t="s">
        <v>80</v>
      </c>
      <c r="C1369" s="25">
        <v>25</v>
      </c>
      <c r="D1369" s="25" t="s">
        <v>4805</v>
      </c>
      <c r="E1369" s="25" t="s">
        <v>4824</v>
      </c>
      <c r="F1369" s="25">
        <v>15.31</v>
      </c>
      <c r="G1369" s="25" t="s">
        <v>1889</v>
      </c>
      <c r="H1369" s="25">
        <f>7.85+3.74+3.95</f>
        <v>15.54</v>
      </c>
      <c r="I1369" s="25">
        <f>7.85+3.74+3.95</f>
        <v>15.54</v>
      </c>
      <c r="J1369" s="25" t="s">
        <v>1891</v>
      </c>
      <c r="N1369" s="25" t="s">
        <v>3078</v>
      </c>
    </row>
    <row r="1370" spans="1:14" x14ac:dyDescent="0.55000000000000004">
      <c r="A1370">
        <v>1369</v>
      </c>
      <c r="B1370" s="25" t="s">
        <v>80</v>
      </c>
      <c r="C1370" s="25">
        <v>25</v>
      </c>
      <c r="D1370" s="25" t="s">
        <v>4805</v>
      </c>
      <c r="E1370" s="25" t="s">
        <v>4825</v>
      </c>
      <c r="F1370" s="25">
        <v>14.43</v>
      </c>
      <c r="G1370" s="25" t="s">
        <v>1889</v>
      </c>
      <c r="H1370" s="25">
        <f>3.8+1.58+2.75+2.77+3.36</f>
        <v>14.259999999999998</v>
      </c>
      <c r="I1370" s="25">
        <f>3.8+1.58+2.75+2.77+3.36</f>
        <v>14.259999999999998</v>
      </c>
      <c r="J1370" s="25" t="s">
        <v>1891</v>
      </c>
      <c r="N1370" s="25" t="s">
        <v>3079</v>
      </c>
    </row>
    <row r="1371" spans="1:14" x14ac:dyDescent="0.55000000000000004">
      <c r="A1371">
        <v>1370</v>
      </c>
      <c r="B1371" s="25" t="s">
        <v>80</v>
      </c>
      <c r="C1371" s="25">
        <v>25</v>
      </c>
      <c r="D1371" s="25" t="s">
        <v>4805</v>
      </c>
      <c r="E1371" s="25" t="s">
        <v>4826</v>
      </c>
      <c r="F1371" s="25">
        <v>14.48</v>
      </c>
      <c r="G1371" s="25" t="s">
        <v>1889</v>
      </c>
      <c r="H1371" s="25">
        <f>4.66+3.89+6.18</f>
        <v>14.73</v>
      </c>
      <c r="I1371" s="25">
        <f>4.66+3.89+6.18</f>
        <v>14.73</v>
      </c>
      <c r="J1371" s="25" t="s">
        <v>1891</v>
      </c>
      <c r="N1371" s="25" t="s">
        <v>3080</v>
      </c>
    </row>
    <row r="1372" spans="1:14" x14ac:dyDescent="0.55000000000000004">
      <c r="A1372">
        <v>1371</v>
      </c>
      <c r="B1372" s="25" t="s">
        <v>80</v>
      </c>
      <c r="C1372" s="25">
        <v>25</v>
      </c>
      <c r="D1372" s="25" t="s">
        <v>4805</v>
      </c>
      <c r="E1372" s="25" t="s">
        <v>4827</v>
      </c>
      <c r="F1372" s="25">
        <v>14.45</v>
      </c>
      <c r="G1372" s="25" t="s">
        <v>1889</v>
      </c>
      <c r="H1372" s="25">
        <f>3.23+2.61+3.38+2.95+2.49</f>
        <v>14.659999999999998</v>
      </c>
      <c r="I1372" s="25">
        <f>3.23+2.61+3.38+2.95+2.49</f>
        <v>14.659999999999998</v>
      </c>
      <c r="J1372" s="25" t="s">
        <v>1891</v>
      </c>
      <c r="N1372" s="25" t="s">
        <v>3081</v>
      </c>
    </row>
    <row r="1373" spans="1:14" x14ac:dyDescent="0.55000000000000004">
      <c r="A1373">
        <v>1372</v>
      </c>
      <c r="B1373" s="25" t="s">
        <v>80</v>
      </c>
      <c r="C1373" s="25">
        <v>25</v>
      </c>
      <c r="D1373" s="25" t="s">
        <v>4805</v>
      </c>
      <c r="E1373" s="25" t="s">
        <v>4828</v>
      </c>
      <c r="F1373" s="25">
        <v>15.87</v>
      </c>
      <c r="G1373" s="25" t="s">
        <v>1889</v>
      </c>
      <c r="H1373" s="25">
        <f>5.55+3.62+3.58+3.62</f>
        <v>16.37</v>
      </c>
      <c r="I1373" s="25">
        <f>5.55+3.62+3.58+3.62</f>
        <v>16.37</v>
      </c>
      <c r="J1373" s="25" t="s">
        <v>1891</v>
      </c>
      <c r="N1373" s="25" t="s">
        <v>3082</v>
      </c>
    </row>
    <row r="1374" spans="1:14" x14ac:dyDescent="0.55000000000000004">
      <c r="A1374">
        <v>1373</v>
      </c>
      <c r="B1374" s="25" t="s">
        <v>80</v>
      </c>
      <c r="C1374" s="25">
        <v>25</v>
      </c>
      <c r="D1374" s="25" t="s">
        <v>4805</v>
      </c>
      <c r="E1374" s="25" t="s">
        <v>4829</v>
      </c>
      <c r="F1374" s="25">
        <v>15.78</v>
      </c>
      <c r="G1374" s="25" t="s">
        <v>2113</v>
      </c>
      <c r="I1374" s="25">
        <v>15.78</v>
      </c>
      <c r="J1374" s="25" t="s">
        <v>110</v>
      </c>
    </row>
    <row r="1375" spans="1:14" x14ac:dyDescent="0.55000000000000004">
      <c r="A1375">
        <v>1374</v>
      </c>
      <c r="B1375" s="25" t="s">
        <v>80</v>
      </c>
      <c r="C1375" s="25">
        <v>25</v>
      </c>
      <c r="D1375" s="25" t="s">
        <v>4805</v>
      </c>
      <c r="E1375" s="25" t="s">
        <v>4830</v>
      </c>
      <c r="F1375" s="25">
        <v>16</v>
      </c>
      <c r="G1375" s="25" t="s">
        <v>2113</v>
      </c>
      <c r="I1375" s="25">
        <v>16</v>
      </c>
      <c r="J1375" s="25" t="s">
        <v>110</v>
      </c>
    </row>
    <row r="1376" spans="1:14" x14ac:dyDescent="0.55000000000000004">
      <c r="A1376">
        <v>1375</v>
      </c>
      <c r="B1376" s="25" t="s">
        <v>81</v>
      </c>
      <c r="C1376" s="25">
        <v>7</v>
      </c>
      <c r="D1376" s="25" t="s">
        <v>4831</v>
      </c>
      <c r="E1376" s="25" t="s">
        <v>4832</v>
      </c>
      <c r="F1376" s="25">
        <v>10.16</v>
      </c>
      <c r="G1376" s="25" t="s">
        <v>1889</v>
      </c>
      <c r="H1376" s="25">
        <f>1.77+1.76+4+2.85</f>
        <v>10.38</v>
      </c>
      <c r="I1376" s="25">
        <f>1.77+1.76+4+2.85</f>
        <v>10.38</v>
      </c>
      <c r="J1376" s="25" t="s">
        <v>1891</v>
      </c>
      <c r="K1376" s="25" t="str">
        <f>VLOOKUP(E1376,[1]PrelimAssignPOP!$I$1:$J$947,2,FALSE)</f>
        <v>ART</v>
      </c>
      <c r="L1376" s="25" t="s">
        <v>217</v>
      </c>
      <c r="M1376" s="25" t="s">
        <v>187</v>
      </c>
      <c r="N1376" s="25" t="s">
        <v>3083</v>
      </c>
    </row>
    <row r="1377" spans="1:14" x14ac:dyDescent="0.55000000000000004">
      <c r="A1377">
        <v>1376</v>
      </c>
      <c r="B1377" s="25" t="s">
        <v>81</v>
      </c>
      <c r="C1377" s="25">
        <v>7</v>
      </c>
      <c r="D1377" s="25" t="s">
        <v>4831</v>
      </c>
      <c r="E1377" s="25" t="s">
        <v>4833</v>
      </c>
      <c r="F1377" s="25">
        <v>10</v>
      </c>
      <c r="G1377" s="25" t="s">
        <v>1889</v>
      </c>
      <c r="H1377" s="25">
        <f>3.02+2.05+4.27+1.34</f>
        <v>10.68</v>
      </c>
      <c r="I1377" s="25">
        <f>3.02+2.05+4.27+1.34</f>
        <v>10.68</v>
      </c>
      <c r="J1377" s="25" t="s">
        <v>1891</v>
      </c>
      <c r="K1377" s="25" t="str">
        <f>VLOOKUP(E1377,[1]PrelimAssignPOP!$I$1:$J$947,2,FALSE)</f>
        <v>ART</v>
      </c>
      <c r="L1377" s="25" t="s">
        <v>217</v>
      </c>
      <c r="M1377" s="25" t="s">
        <v>120</v>
      </c>
      <c r="N1377" s="25" t="s">
        <v>3084</v>
      </c>
    </row>
    <row r="1378" spans="1:14" x14ac:dyDescent="0.55000000000000004">
      <c r="A1378">
        <v>1377</v>
      </c>
      <c r="B1378" s="25" t="s">
        <v>81</v>
      </c>
      <c r="C1378" s="25">
        <v>7</v>
      </c>
      <c r="D1378" s="25" t="s">
        <v>4831</v>
      </c>
      <c r="E1378" s="25" t="s">
        <v>4834</v>
      </c>
      <c r="F1378" s="25">
        <v>15.4</v>
      </c>
      <c r="G1378" s="25" t="s">
        <v>1889</v>
      </c>
      <c r="H1378" s="25">
        <f>15.63</f>
        <v>15.63</v>
      </c>
      <c r="I1378" s="25">
        <f>15.63</f>
        <v>15.63</v>
      </c>
      <c r="J1378" s="25" t="s">
        <v>1891</v>
      </c>
      <c r="K1378" s="25" t="str">
        <f>VLOOKUP(E1378,[1]PrelimAssignPOP!$I$1:$J$947,2,FALSE)</f>
        <v>KIY</v>
      </c>
      <c r="L1378" s="25" t="s">
        <v>217</v>
      </c>
      <c r="M1378" s="25" t="s">
        <v>188</v>
      </c>
      <c r="N1378" s="25" t="s">
        <v>3085</v>
      </c>
    </row>
    <row r="1379" spans="1:14" x14ac:dyDescent="0.55000000000000004">
      <c r="A1379">
        <v>1378</v>
      </c>
      <c r="B1379" s="25" t="s">
        <v>81</v>
      </c>
      <c r="C1379" s="25">
        <v>7</v>
      </c>
      <c r="D1379" s="25" t="s">
        <v>4831</v>
      </c>
      <c r="E1379" s="25" t="s">
        <v>4835</v>
      </c>
      <c r="F1379" s="25">
        <v>15.83</v>
      </c>
      <c r="G1379" s="25" t="s">
        <v>2113</v>
      </c>
      <c r="I1379" s="25">
        <v>15.83</v>
      </c>
      <c r="J1379" s="25" t="s">
        <v>110</v>
      </c>
      <c r="K1379" s="25" t="str">
        <f>VLOOKUP(E1379,[1]PrelimAssignPOP!$I$1:$J$947,2,FALSE)</f>
        <v>KIY</v>
      </c>
      <c r="L1379" s="25" t="s">
        <v>217</v>
      </c>
      <c r="M1379" s="25" t="s">
        <v>189</v>
      </c>
    </row>
    <row r="1380" spans="1:14" x14ac:dyDescent="0.55000000000000004">
      <c r="A1380">
        <v>1379</v>
      </c>
      <c r="B1380" s="25" t="s">
        <v>81</v>
      </c>
      <c r="C1380" s="25">
        <v>7</v>
      </c>
      <c r="D1380" s="25" t="s">
        <v>4831</v>
      </c>
      <c r="E1380" s="25" t="s">
        <v>4836</v>
      </c>
      <c r="F1380" s="25">
        <v>16.510000000000002</v>
      </c>
      <c r="G1380" s="25" t="s">
        <v>2113</v>
      </c>
      <c r="I1380" s="25">
        <v>16.510000000000002</v>
      </c>
      <c r="J1380" s="25" t="s">
        <v>110</v>
      </c>
      <c r="K1380" s="25" t="str">
        <f>VLOOKUP(E1380,[1]PrelimAssignPOP!$I$1:$J$947,2,FALSE)</f>
        <v>ART</v>
      </c>
      <c r="L1380" s="25" t="s">
        <v>217</v>
      </c>
      <c r="M1380" s="25" t="s">
        <v>190</v>
      </c>
    </row>
    <row r="1381" spans="1:14" x14ac:dyDescent="0.55000000000000004">
      <c r="A1381">
        <v>1380</v>
      </c>
      <c r="B1381" s="25" t="s">
        <v>81</v>
      </c>
      <c r="C1381" s="25">
        <v>7</v>
      </c>
      <c r="D1381" s="25" t="s">
        <v>4831</v>
      </c>
      <c r="E1381" s="25" t="s">
        <v>4837</v>
      </c>
      <c r="F1381" s="25">
        <v>20.079999999999998</v>
      </c>
      <c r="G1381" s="25" t="s">
        <v>2113</v>
      </c>
      <c r="I1381" s="25">
        <v>20.079999999999998</v>
      </c>
      <c r="J1381" s="25" t="s">
        <v>110</v>
      </c>
      <c r="K1381" s="25" t="str">
        <f>VLOOKUP(E1381,[1]PrelimAssignPOP!$I$1:$J$947,2,FALSE)</f>
        <v>ART</v>
      </c>
      <c r="L1381" s="25" t="s">
        <v>217</v>
      </c>
      <c r="M1381" s="25" t="s">
        <v>191</v>
      </c>
    </row>
    <row r="1382" spans="1:14" x14ac:dyDescent="0.55000000000000004">
      <c r="A1382">
        <v>1381</v>
      </c>
      <c r="B1382" s="25" t="s">
        <v>81</v>
      </c>
      <c r="C1382" s="25">
        <v>7</v>
      </c>
      <c r="D1382" s="25" t="s">
        <v>4831</v>
      </c>
      <c r="E1382" s="25" t="s">
        <v>4838</v>
      </c>
      <c r="F1382" s="25">
        <v>16.420000000000002</v>
      </c>
      <c r="G1382" s="25" t="s">
        <v>2113</v>
      </c>
      <c r="I1382" s="25">
        <v>16.420000000000002</v>
      </c>
      <c r="J1382" s="25" t="s">
        <v>110</v>
      </c>
      <c r="K1382" s="25" t="str">
        <f>VLOOKUP(E1382,[1]PrelimAssignPOP!$I$1:$J$947,2,FALSE)</f>
        <v>ART</v>
      </c>
      <c r="L1382" s="25" t="s">
        <v>217</v>
      </c>
      <c r="M1382" s="25" t="s">
        <v>192</v>
      </c>
    </row>
    <row r="1383" spans="1:14" x14ac:dyDescent="0.55000000000000004">
      <c r="A1383">
        <v>1382</v>
      </c>
      <c r="B1383" s="25" t="s">
        <v>82</v>
      </c>
      <c r="C1383" s="25">
        <v>25</v>
      </c>
      <c r="D1383" s="25" t="s">
        <v>4839</v>
      </c>
      <c r="E1383" s="25" t="s">
        <v>4840</v>
      </c>
      <c r="F1383" s="25">
        <v>14.61</v>
      </c>
      <c r="G1383" s="25" t="s">
        <v>1889</v>
      </c>
      <c r="H1383" s="25">
        <f>4.05+5.22+2.74+2.78</f>
        <v>14.79</v>
      </c>
      <c r="I1383" s="25">
        <f>4.05+5.22+2.74+2.78</f>
        <v>14.79</v>
      </c>
      <c r="J1383" s="25" t="s">
        <v>1891</v>
      </c>
      <c r="K1383" s="25" t="str">
        <f>VLOOKUP(E1383,[1]PrelimAssignPOP!$I$1:$J$947,2,FALSE)</f>
        <v>ART</v>
      </c>
      <c r="L1383" s="25" t="s">
        <v>217</v>
      </c>
      <c r="M1383" s="25" t="s">
        <v>193</v>
      </c>
      <c r="N1383" s="25" t="s">
        <v>3086</v>
      </c>
    </row>
    <row r="1384" spans="1:14" x14ac:dyDescent="0.55000000000000004">
      <c r="A1384">
        <v>1383</v>
      </c>
      <c r="B1384" s="25" t="s">
        <v>82</v>
      </c>
      <c r="C1384" s="25">
        <v>25</v>
      </c>
      <c r="D1384" s="25" t="s">
        <v>4839</v>
      </c>
      <c r="E1384" s="25" t="s">
        <v>4841</v>
      </c>
      <c r="F1384" s="25">
        <v>14.51</v>
      </c>
      <c r="G1384" s="25" t="s">
        <v>1889</v>
      </c>
      <c r="H1384" s="25">
        <f>2.42+2.84+3.32+2.9+3.35</f>
        <v>14.83</v>
      </c>
      <c r="I1384" s="25">
        <f>2.42+2.84+3.32+2.9+3.35</f>
        <v>14.83</v>
      </c>
      <c r="J1384" s="25" t="s">
        <v>1891</v>
      </c>
      <c r="K1384" s="25" t="str">
        <f>VLOOKUP(E1384,[1]PrelimAssignPOP!$I$1:$J$947,2,FALSE)</f>
        <v>KIY</v>
      </c>
      <c r="L1384" s="25" t="s">
        <v>217</v>
      </c>
      <c r="M1384" s="25" t="s">
        <v>194</v>
      </c>
      <c r="N1384" s="25" t="s">
        <v>3087</v>
      </c>
    </row>
    <row r="1385" spans="1:14" x14ac:dyDescent="0.55000000000000004">
      <c r="A1385">
        <v>1384</v>
      </c>
      <c r="B1385" s="25" t="s">
        <v>82</v>
      </c>
      <c r="C1385" s="25">
        <v>25</v>
      </c>
      <c r="D1385" s="25" t="s">
        <v>4839</v>
      </c>
      <c r="E1385" s="25" t="s">
        <v>4842</v>
      </c>
      <c r="F1385" s="25">
        <v>12.95</v>
      </c>
      <c r="G1385" s="25" t="s">
        <v>1889</v>
      </c>
      <c r="H1385" s="25">
        <f>3.3+4.67+5.09</f>
        <v>13.059999999999999</v>
      </c>
      <c r="I1385" s="25">
        <f>3.3+4.67+5.09</f>
        <v>13.059999999999999</v>
      </c>
      <c r="J1385" s="25" t="s">
        <v>1891</v>
      </c>
      <c r="K1385" s="25" t="str">
        <f>VLOOKUP(E1385,[1]PrelimAssignPOP!$I$1:$J$947,2,FALSE)</f>
        <v>HOY</v>
      </c>
      <c r="L1385" s="25" t="s">
        <v>217</v>
      </c>
      <c r="M1385" s="25" t="s">
        <v>195</v>
      </c>
      <c r="N1385" s="25" t="s">
        <v>3088</v>
      </c>
    </row>
    <row r="1386" spans="1:14" x14ac:dyDescent="0.55000000000000004">
      <c r="A1386">
        <v>1385</v>
      </c>
      <c r="B1386" s="25" t="s">
        <v>82</v>
      </c>
      <c r="C1386" s="25">
        <v>25</v>
      </c>
      <c r="D1386" s="25" t="s">
        <v>4839</v>
      </c>
      <c r="E1386" s="25" t="s">
        <v>4843</v>
      </c>
      <c r="F1386" s="25">
        <v>12.86</v>
      </c>
      <c r="G1386" s="25" t="s">
        <v>1889</v>
      </c>
      <c r="H1386" s="25">
        <f>3.68+3.17+3.21+2.87</f>
        <v>12.93</v>
      </c>
      <c r="I1386" s="25">
        <f>3.68+3.17+3.21+2.87</f>
        <v>12.93</v>
      </c>
      <c r="J1386" s="25" t="s">
        <v>1891</v>
      </c>
      <c r="K1386" s="25" t="str">
        <f>VLOOKUP(E1386,[1]PrelimAssignPOP!$I$1:$J$947,2,FALSE)</f>
        <v>KIY</v>
      </c>
      <c r="L1386" s="25" t="s">
        <v>217</v>
      </c>
      <c r="M1386" s="25" t="s">
        <v>196</v>
      </c>
      <c r="N1386" s="25" t="s">
        <v>3089</v>
      </c>
    </row>
    <row r="1387" spans="1:14" x14ac:dyDescent="0.55000000000000004">
      <c r="A1387">
        <v>1386</v>
      </c>
      <c r="B1387" s="25" t="s">
        <v>82</v>
      </c>
      <c r="C1387" s="25">
        <v>25</v>
      </c>
      <c r="D1387" s="25" t="s">
        <v>4839</v>
      </c>
      <c r="E1387" s="25" t="s">
        <v>4844</v>
      </c>
      <c r="F1387" s="25">
        <v>10.38</v>
      </c>
      <c r="G1387" s="25" t="s">
        <v>1889</v>
      </c>
      <c r="H1387" s="25">
        <f>6.87+2.44+1.32</f>
        <v>10.63</v>
      </c>
      <c r="I1387" s="25">
        <f>6.87+2.44+1.32</f>
        <v>10.63</v>
      </c>
      <c r="J1387" s="25" t="s">
        <v>1891</v>
      </c>
      <c r="K1387" s="25" t="str">
        <f>VLOOKUP(E1387,[1]PrelimAssignPOP!$I$1:$J$947,2,FALSE)</f>
        <v>KIY</v>
      </c>
      <c r="L1387" s="25" t="s">
        <v>217</v>
      </c>
      <c r="M1387" s="25" t="s">
        <v>197</v>
      </c>
      <c r="N1387" s="25" t="s">
        <v>3090</v>
      </c>
    </row>
    <row r="1388" spans="1:14" x14ac:dyDescent="0.55000000000000004">
      <c r="A1388">
        <v>1387</v>
      </c>
      <c r="B1388" s="25" t="s">
        <v>82</v>
      </c>
      <c r="C1388" s="25">
        <v>25</v>
      </c>
      <c r="D1388" s="25" t="s">
        <v>4839</v>
      </c>
      <c r="E1388" s="25" t="s">
        <v>4845</v>
      </c>
      <c r="F1388" s="25">
        <v>14.1</v>
      </c>
      <c r="G1388" s="25" t="s">
        <v>1889</v>
      </c>
      <c r="H1388" s="25">
        <f>14.13</f>
        <v>14.13</v>
      </c>
      <c r="I1388" s="25">
        <f>14.13</f>
        <v>14.13</v>
      </c>
      <c r="J1388" s="25" t="s">
        <v>1891</v>
      </c>
      <c r="K1388" s="25" t="str">
        <f>VLOOKUP(E1388,[1]PrelimAssignPOP!$I$1:$J$947,2,FALSE)</f>
        <v>KIY</v>
      </c>
      <c r="L1388" s="25" t="s">
        <v>217</v>
      </c>
      <c r="M1388" s="25" t="s">
        <v>198</v>
      </c>
      <c r="N1388" s="25" t="s">
        <v>3091</v>
      </c>
    </row>
    <row r="1389" spans="1:14" x14ac:dyDescent="0.55000000000000004">
      <c r="A1389">
        <v>1388</v>
      </c>
      <c r="B1389" s="25" t="s">
        <v>82</v>
      </c>
      <c r="C1389" s="25">
        <v>25</v>
      </c>
      <c r="D1389" s="25" t="s">
        <v>4839</v>
      </c>
      <c r="E1389" s="25" t="s">
        <v>4846</v>
      </c>
      <c r="F1389" s="25">
        <v>14.99</v>
      </c>
      <c r="G1389" s="25" t="s">
        <v>1889</v>
      </c>
      <c r="H1389" s="25">
        <f>5.67+9.63</f>
        <v>15.3</v>
      </c>
      <c r="I1389" s="25">
        <f>5.67+9.63</f>
        <v>15.3</v>
      </c>
      <c r="J1389" s="25" t="s">
        <v>1891</v>
      </c>
      <c r="K1389" s="25" t="str">
        <f>VLOOKUP(E1389,[1]PrelimAssignPOP!$I$1:$J$947,2,FALSE)</f>
        <v>KIY</v>
      </c>
      <c r="L1389" s="25" t="s">
        <v>217</v>
      </c>
      <c r="M1389" s="25" t="s">
        <v>121</v>
      </c>
      <c r="N1389" s="25" t="s">
        <v>3092</v>
      </c>
    </row>
    <row r="1390" spans="1:14" x14ac:dyDescent="0.55000000000000004">
      <c r="A1390">
        <v>1389</v>
      </c>
      <c r="B1390" s="25" t="s">
        <v>82</v>
      </c>
      <c r="C1390" s="25">
        <v>25</v>
      </c>
      <c r="D1390" s="25" t="s">
        <v>4839</v>
      </c>
      <c r="E1390" s="25" t="s">
        <v>4847</v>
      </c>
      <c r="F1390" s="25">
        <v>13.12</v>
      </c>
      <c r="G1390" s="25" t="s">
        <v>1889</v>
      </c>
      <c r="H1390" s="25">
        <f>8.57+4.8</f>
        <v>13.370000000000001</v>
      </c>
      <c r="I1390" s="25">
        <f>8.57+4.8</f>
        <v>13.370000000000001</v>
      </c>
      <c r="J1390" s="25" t="s">
        <v>1891</v>
      </c>
      <c r="K1390" s="25" t="str">
        <f>VLOOKUP(E1390,[1]PrelimAssignPOP!$I$1:$J$947,2,FALSE)</f>
        <v>KIY</v>
      </c>
      <c r="L1390" s="25" t="s">
        <v>217</v>
      </c>
      <c r="M1390" s="25" t="s">
        <v>199</v>
      </c>
      <c r="N1390" s="25" t="s">
        <v>3093</v>
      </c>
    </row>
    <row r="1391" spans="1:14" x14ac:dyDescent="0.55000000000000004">
      <c r="A1391">
        <v>1390</v>
      </c>
      <c r="B1391" s="25" t="s">
        <v>82</v>
      </c>
      <c r="C1391" s="25">
        <v>25</v>
      </c>
      <c r="D1391" s="25" t="s">
        <v>4839</v>
      </c>
      <c r="E1391" s="25" t="s">
        <v>4848</v>
      </c>
      <c r="F1391" s="25">
        <v>11.51</v>
      </c>
      <c r="G1391" s="25" t="s">
        <v>1889</v>
      </c>
      <c r="H1391" s="25">
        <f>6.54+2.45+2.91</f>
        <v>11.9</v>
      </c>
      <c r="I1391" s="25">
        <f>6.54+2.45+2.91</f>
        <v>11.9</v>
      </c>
      <c r="J1391" s="25" t="s">
        <v>1891</v>
      </c>
      <c r="K1391" s="25" t="str">
        <f>VLOOKUP(E1391,[1]PrelimAssignPOP!$I$1:$J$947,2,FALSE)</f>
        <v>HYB</v>
      </c>
      <c r="L1391" s="25" t="s">
        <v>217</v>
      </c>
      <c r="M1391" s="25" t="s">
        <v>200</v>
      </c>
      <c r="N1391" s="25" t="s">
        <v>3094</v>
      </c>
    </row>
    <row r="1392" spans="1:14" x14ac:dyDescent="0.55000000000000004">
      <c r="A1392">
        <v>1391</v>
      </c>
      <c r="B1392" s="25" t="s">
        <v>82</v>
      </c>
      <c r="C1392" s="25">
        <v>25</v>
      </c>
      <c r="D1392" s="25" t="s">
        <v>4839</v>
      </c>
      <c r="E1392" s="25" t="s">
        <v>4849</v>
      </c>
      <c r="F1392" s="25">
        <v>13.41</v>
      </c>
      <c r="G1392" s="25" t="s">
        <v>1889</v>
      </c>
      <c r="H1392" s="25">
        <f>7.62+6.23</f>
        <v>13.850000000000001</v>
      </c>
      <c r="I1392" s="25">
        <f>7.62+6.23</f>
        <v>13.850000000000001</v>
      </c>
      <c r="J1392" s="25" t="s">
        <v>1891</v>
      </c>
      <c r="K1392" s="25" t="str">
        <f>VLOOKUP(E1392,[1]PrelimAssignPOP!$I$1:$J$947,2,FALSE)</f>
        <v>KIY</v>
      </c>
      <c r="L1392" s="25" t="s">
        <v>217</v>
      </c>
      <c r="M1392" s="25" t="s">
        <v>201</v>
      </c>
      <c r="N1392" s="25" t="s">
        <v>3095</v>
      </c>
    </row>
    <row r="1393" spans="1:14" x14ac:dyDescent="0.55000000000000004">
      <c r="A1393">
        <v>1392</v>
      </c>
      <c r="B1393" s="25" t="s">
        <v>82</v>
      </c>
      <c r="C1393" s="25">
        <v>25</v>
      </c>
      <c r="D1393" s="25" t="s">
        <v>4839</v>
      </c>
      <c r="E1393" s="25" t="s">
        <v>4850</v>
      </c>
      <c r="F1393" s="25">
        <v>14.9</v>
      </c>
      <c r="G1393" s="25" t="s">
        <v>1889</v>
      </c>
      <c r="H1393" s="25">
        <f>8.57+3.68+3.28</f>
        <v>15.53</v>
      </c>
      <c r="I1393" s="25">
        <f>8.57+3.68+3.28</f>
        <v>15.53</v>
      </c>
      <c r="J1393" s="25" t="s">
        <v>1891</v>
      </c>
      <c r="K1393" s="25" t="str">
        <f>VLOOKUP(E1393,[1]PrelimAssignPOP!$I$1:$J$947,2,FALSE)</f>
        <v>KIY</v>
      </c>
      <c r="L1393" s="25" t="s">
        <v>217</v>
      </c>
      <c r="M1393" s="25" t="s">
        <v>202</v>
      </c>
      <c r="N1393" s="25" t="s">
        <v>3096</v>
      </c>
    </row>
    <row r="1394" spans="1:14" x14ac:dyDescent="0.55000000000000004">
      <c r="A1394">
        <v>1393</v>
      </c>
      <c r="B1394" s="25" t="s">
        <v>82</v>
      </c>
      <c r="C1394" s="25">
        <v>25</v>
      </c>
      <c r="D1394" s="25" t="s">
        <v>4839</v>
      </c>
      <c r="E1394" s="25" t="s">
        <v>4851</v>
      </c>
      <c r="F1394" s="25">
        <v>15.55</v>
      </c>
      <c r="G1394" s="25" t="s">
        <v>1889</v>
      </c>
      <c r="H1394" s="25">
        <f>5.23+5.03+5.19</f>
        <v>15.450000000000003</v>
      </c>
      <c r="I1394" s="25">
        <f>5.23+5.03+5.19</f>
        <v>15.450000000000003</v>
      </c>
      <c r="J1394" s="25" t="s">
        <v>1891</v>
      </c>
      <c r="L1394" s="25" t="s">
        <v>217</v>
      </c>
      <c r="M1394" s="25" t="s">
        <v>203</v>
      </c>
      <c r="N1394" s="25" t="s">
        <v>3097</v>
      </c>
    </row>
    <row r="1395" spans="1:14" x14ac:dyDescent="0.55000000000000004">
      <c r="A1395">
        <v>1394</v>
      </c>
      <c r="B1395" s="25" t="s">
        <v>82</v>
      </c>
      <c r="C1395" s="25">
        <v>25</v>
      </c>
      <c r="D1395" s="25" t="s">
        <v>4839</v>
      </c>
      <c r="E1395" s="25" t="s">
        <v>4852</v>
      </c>
      <c r="F1395" s="25">
        <v>15.35</v>
      </c>
      <c r="G1395" s="25" t="s">
        <v>1889</v>
      </c>
      <c r="H1395" s="25">
        <f>3.45+7.15+4.83</f>
        <v>15.430000000000001</v>
      </c>
      <c r="I1395" s="25">
        <f>3.45+7.15+4.83</f>
        <v>15.430000000000001</v>
      </c>
      <c r="J1395" s="25" t="s">
        <v>1891</v>
      </c>
      <c r="N1395" s="25" t="s">
        <v>3098</v>
      </c>
    </row>
    <row r="1396" spans="1:14" x14ac:dyDescent="0.55000000000000004">
      <c r="A1396">
        <v>1395</v>
      </c>
      <c r="B1396" s="25" t="s">
        <v>82</v>
      </c>
      <c r="C1396" s="25">
        <v>25</v>
      </c>
      <c r="D1396" s="25" t="s">
        <v>4839</v>
      </c>
      <c r="E1396" s="25" t="s">
        <v>4853</v>
      </c>
      <c r="F1396" s="25">
        <v>13.83</v>
      </c>
      <c r="G1396" s="25" t="s">
        <v>1889</v>
      </c>
      <c r="H1396" s="25">
        <f>8.27+5.54</f>
        <v>13.809999999999999</v>
      </c>
      <c r="I1396" s="25">
        <f>8.27+5.54</f>
        <v>13.809999999999999</v>
      </c>
      <c r="J1396" s="25" t="s">
        <v>1891</v>
      </c>
      <c r="N1396" s="25" t="s">
        <v>3099</v>
      </c>
    </row>
    <row r="1397" spans="1:14" x14ac:dyDescent="0.55000000000000004">
      <c r="A1397">
        <v>1396</v>
      </c>
      <c r="B1397" s="25" t="s">
        <v>82</v>
      </c>
      <c r="C1397" s="25">
        <v>25</v>
      </c>
      <c r="D1397" s="25" t="s">
        <v>4839</v>
      </c>
      <c r="E1397" s="25" t="s">
        <v>4854</v>
      </c>
      <c r="F1397" s="25">
        <v>12.38</v>
      </c>
      <c r="G1397" s="25" t="s">
        <v>1889</v>
      </c>
      <c r="H1397" s="25">
        <f>4.3+0.83+7.87</f>
        <v>13</v>
      </c>
      <c r="I1397" s="25">
        <f>4.3+0.83+7.87</f>
        <v>13</v>
      </c>
      <c r="J1397" s="25" t="s">
        <v>1891</v>
      </c>
      <c r="N1397" s="25" t="s">
        <v>3100</v>
      </c>
    </row>
    <row r="1398" spans="1:14" x14ac:dyDescent="0.55000000000000004">
      <c r="A1398">
        <v>1397</v>
      </c>
      <c r="B1398" s="25" t="s">
        <v>82</v>
      </c>
      <c r="C1398" s="25">
        <v>25</v>
      </c>
      <c r="D1398" s="25" t="s">
        <v>4839</v>
      </c>
      <c r="E1398" s="25" t="s">
        <v>4855</v>
      </c>
      <c r="F1398" s="25">
        <v>12.12</v>
      </c>
      <c r="G1398" s="25" t="s">
        <v>1889</v>
      </c>
      <c r="H1398" s="25">
        <f>4.62+4.78+3.12</f>
        <v>12.52</v>
      </c>
      <c r="I1398" s="25">
        <f>4.62+4.78+3.12</f>
        <v>12.52</v>
      </c>
      <c r="J1398" s="25" t="s">
        <v>1891</v>
      </c>
      <c r="N1398" s="25" t="s">
        <v>3101</v>
      </c>
    </row>
    <row r="1399" spans="1:14" x14ac:dyDescent="0.55000000000000004">
      <c r="A1399">
        <v>1398</v>
      </c>
      <c r="B1399" s="25" t="s">
        <v>82</v>
      </c>
      <c r="C1399" s="25">
        <v>25</v>
      </c>
      <c r="D1399" s="25" t="s">
        <v>4839</v>
      </c>
      <c r="E1399" s="25" t="s">
        <v>4856</v>
      </c>
      <c r="F1399" s="25">
        <v>15.59</v>
      </c>
      <c r="G1399" s="25" t="s">
        <v>1889</v>
      </c>
      <c r="H1399" s="25">
        <f>1.85+2.23+4.16+3.21+4.36</f>
        <v>15.809999999999999</v>
      </c>
      <c r="I1399" s="25">
        <f>1.85+2.23+4.16+3.21+4.36</f>
        <v>15.809999999999999</v>
      </c>
      <c r="J1399" s="25" t="s">
        <v>1891</v>
      </c>
      <c r="N1399" s="25" t="s">
        <v>3102</v>
      </c>
    </row>
    <row r="1400" spans="1:14" x14ac:dyDescent="0.55000000000000004">
      <c r="A1400">
        <v>1399</v>
      </c>
      <c r="B1400" s="25" t="s">
        <v>82</v>
      </c>
      <c r="C1400" s="25">
        <v>25</v>
      </c>
      <c r="D1400" s="25" t="s">
        <v>4839</v>
      </c>
      <c r="E1400" s="25" t="s">
        <v>4857</v>
      </c>
      <c r="F1400" s="25">
        <v>15.39</v>
      </c>
      <c r="G1400" s="25" t="s">
        <v>1889</v>
      </c>
      <c r="H1400" s="25">
        <f>5.61+9.69</f>
        <v>15.3</v>
      </c>
      <c r="I1400" s="25">
        <f>5.61+9.69</f>
        <v>15.3</v>
      </c>
      <c r="J1400" s="25" t="s">
        <v>1891</v>
      </c>
      <c r="N1400" s="25" t="s">
        <v>3103</v>
      </c>
    </row>
    <row r="1401" spans="1:14" x14ac:dyDescent="0.55000000000000004">
      <c r="A1401">
        <v>1400</v>
      </c>
      <c r="B1401" s="25" t="s">
        <v>82</v>
      </c>
      <c r="C1401" s="25">
        <v>25</v>
      </c>
      <c r="D1401" s="25" t="s">
        <v>4839</v>
      </c>
      <c r="E1401" s="25" t="s">
        <v>4858</v>
      </c>
      <c r="F1401" s="25">
        <v>12.98</v>
      </c>
      <c r="G1401" s="25" t="s">
        <v>1889</v>
      </c>
      <c r="H1401" s="25">
        <f>5.52+4.75+3.02</f>
        <v>13.29</v>
      </c>
      <c r="I1401" s="25">
        <f>5.52+4.75+3.02</f>
        <v>13.29</v>
      </c>
      <c r="J1401" s="25" t="s">
        <v>1891</v>
      </c>
      <c r="N1401" s="25" t="s">
        <v>3104</v>
      </c>
    </row>
    <row r="1402" spans="1:14" x14ac:dyDescent="0.55000000000000004">
      <c r="A1402">
        <v>1401</v>
      </c>
      <c r="B1402" s="25" t="s">
        <v>82</v>
      </c>
      <c r="C1402" s="25">
        <v>25</v>
      </c>
      <c r="D1402" s="25" t="s">
        <v>4839</v>
      </c>
      <c r="E1402" s="25" t="s">
        <v>4859</v>
      </c>
      <c r="F1402" s="25">
        <v>16.649999999999999</v>
      </c>
      <c r="G1402" s="25" t="s">
        <v>1889</v>
      </c>
      <c r="H1402" s="25">
        <f>2.55+3.27+3.71+2.83+4.21</f>
        <v>16.57</v>
      </c>
      <c r="I1402" s="25">
        <f>2.55+3.27+3.71+2.83+4.21</f>
        <v>16.57</v>
      </c>
      <c r="J1402" s="25" t="s">
        <v>1891</v>
      </c>
      <c r="N1402" s="25" t="s">
        <v>3105</v>
      </c>
    </row>
    <row r="1403" spans="1:14" x14ac:dyDescent="0.55000000000000004">
      <c r="A1403">
        <v>1402</v>
      </c>
      <c r="B1403" s="25" t="s">
        <v>82</v>
      </c>
      <c r="C1403" s="25">
        <v>25</v>
      </c>
      <c r="D1403" s="25" t="s">
        <v>4839</v>
      </c>
      <c r="E1403" s="25" t="s">
        <v>4860</v>
      </c>
      <c r="F1403" s="25">
        <v>15.18</v>
      </c>
      <c r="G1403" s="25" t="s">
        <v>1889</v>
      </c>
      <c r="H1403" s="25">
        <f>3.44+3.24+3.34+2.81+2.5</f>
        <v>15.33</v>
      </c>
      <c r="I1403" s="25">
        <f>3.44+3.24+3.34+2.81+2.5</f>
        <v>15.33</v>
      </c>
      <c r="J1403" s="25" t="s">
        <v>1891</v>
      </c>
      <c r="N1403" s="25" t="s">
        <v>3106</v>
      </c>
    </row>
    <row r="1404" spans="1:14" x14ac:dyDescent="0.55000000000000004">
      <c r="A1404">
        <v>1403</v>
      </c>
      <c r="B1404" s="25" t="s">
        <v>82</v>
      </c>
      <c r="C1404" s="25">
        <v>25</v>
      </c>
      <c r="D1404" s="25" t="s">
        <v>4839</v>
      </c>
      <c r="E1404" s="25" t="s">
        <v>4861</v>
      </c>
      <c r="F1404" s="25">
        <v>15.31</v>
      </c>
      <c r="G1404" s="25" t="s">
        <v>1889</v>
      </c>
      <c r="H1404" s="25">
        <f>4.28+1.36+5.19+4.73</f>
        <v>15.560000000000002</v>
      </c>
      <c r="I1404" s="25">
        <f>4.28+1.36+5.19+4.73</f>
        <v>15.560000000000002</v>
      </c>
      <c r="J1404" s="25" t="s">
        <v>1891</v>
      </c>
      <c r="N1404" s="25" t="s">
        <v>3107</v>
      </c>
    </row>
    <row r="1405" spans="1:14" x14ac:dyDescent="0.55000000000000004">
      <c r="A1405">
        <v>1404</v>
      </c>
      <c r="B1405" s="25" t="s">
        <v>82</v>
      </c>
      <c r="C1405" s="25">
        <v>25</v>
      </c>
      <c r="D1405" s="25" t="s">
        <v>4839</v>
      </c>
      <c r="E1405" s="25" t="s">
        <v>4862</v>
      </c>
      <c r="F1405" s="25">
        <v>13.89</v>
      </c>
      <c r="G1405" s="25" t="s">
        <v>1889</v>
      </c>
      <c r="H1405" s="25">
        <f>3.51+7.81+2.71</f>
        <v>14.030000000000001</v>
      </c>
      <c r="I1405" s="25">
        <f>3.51+7.81+2.71</f>
        <v>14.030000000000001</v>
      </c>
      <c r="J1405" s="25" t="s">
        <v>1891</v>
      </c>
      <c r="N1405" s="25" t="s">
        <v>3108</v>
      </c>
    </row>
    <row r="1406" spans="1:14" x14ac:dyDescent="0.55000000000000004">
      <c r="A1406">
        <v>1405</v>
      </c>
      <c r="B1406" s="25" t="s">
        <v>82</v>
      </c>
      <c r="C1406" s="25">
        <v>25</v>
      </c>
      <c r="D1406" s="25" t="s">
        <v>4839</v>
      </c>
      <c r="E1406" s="25" t="s">
        <v>4863</v>
      </c>
      <c r="F1406" s="25">
        <v>16.39</v>
      </c>
      <c r="G1406" s="25" t="s">
        <v>2113</v>
      </c>
      <c r="I1406" s="25">
        <v>16.39</v>
      </c>
      <c r="J1406" s="25" t="s">
        <v>110</v>
      </c>
    </row>
    <row r="1407" spans="1:14" x14ac:dyDescent="0.55000000000000004">
      <c r="A1407">
        <v>1406</v>
      </c>
      <c r="B1407" s="25" t="s">
        <v>82</v>
      </c>
      <c r="C1407" s="25">
        <v>25</v>
      </c>
      <c r="D1407" s="25" t="s">
        <v>4839</v>
      </c>
      <c r="E1407" s="25" t="s">
        <v>4864</v>
      </c>
      <c r="F1407" s="25">
        <v>20.27</v>
      </c>
      <c r="G1407" s="25" t="s">
        <v>2113</v>
      </c>
      <c r="I1407" s="25">
        <v>20.27</v>
      </c>
      <c r="J1407" s="25" t="s">
        <v>110</v>
      </c>
    </row>
    <row r="1408" spans="1:14" x14ac:dyDescent="0.55000000000000004">
      <c r="A1408">
        <v>1407</v>
      </c>
      <c r="B1408" s="25" t="s">
        <v>83</v>
      </c>
      <c r="C1408" s="25">
        <v>1</v>
      </c>
      <c r="D1408" s="25" t="s">
        <v>4865</v>
      </c>
      <c r="E1408" s="25" t="s">
        <v>4866</v>
      </c>
      <c r="F1408" s="25">
        <v>15.41</v>
      </c>
      <c r="G1408" s="25" t="s">
        <v>1889</v>
      </c>
      <c r="H1408" s="25">
        <f>3.53+5.91+6.4</f>
        <v>15.84</v>
      </c>
      <c r="I1408" s="25">
        <f>3.53+5.91+6.4</f>
        <v>15.84</v>
      </c>
      <c r="J1408" s="25" t="s">
        <v>1891</v>
      </c>
      <c r="K1408" s="25" t="str">
        <f>VLOOKUP(E1408,[1]PrelimAssignPOP!$I$1:$J$947,2,FALSE)</f>
        <v>KIY</v>
      </c>
      <c r="L1408" s="25" t="s">
        <v>217</v>
      </c>
      <c r="M1408" s="25" t="s">
        <v>204</v>
      </c>
      <c r="N1408" s="25" t="s">
        <v>3109</v>
      </c>
    </row>
    <row r="1409" spans="1:14" x14ac:dyDescent="0.55000000000000004">
      <c r="A1409">
        <v>1408</v>
      </c>
      <c r="B1409" s="25" t="s">
        <v>84</v>
      </c>
      <c r="C1409" s="25">
        <v>1</v>
      </c>
      <c r="D1409" s="25" t="s">
        <v>4867</v>
      </c>
      <c r="E1409" s="25" t="s">
        <v>4868</v>
      </c>
      <c r="F1409" s="25">
        <v>15.01</v>
      </c>
      <c r="G1409" s="25" t="s">
        <v>1889</v>
      </c>
      <c r="H1409" s="25">
        <f>10.34+4.78</f>
        <v>15.120000000000001</v>
      </c>
      <c r="I1409" s="25">
        <f>10.34+4.78</f>
        <v>15.120000000000001</v>
      </c>
      <c r="J1409" s="25" t="s">
        <v>1891</v>
      </c>
      <c r="K1409" s="25" t="str">
        <f>VLOOKUP(E1409,[1]PrelimAssignPOP!$I$1:$J$947,2,FALSE)</f>
        <v>KIY</v>
      </c>
      <c r="L1409" s="25" t="s">
        <v>217</v>
      </c>
      <c r="M1409" s="25" t="s">
        <v>205</v>
      </c>
      <c r="N1409" s="25" t="s">
        <v>3110</v>
      </c>
    </row>
    <row r="1410" spans="1:14" x14ac:dyDescent="0.55000000000000004">
      <c r="A1410">
        <v>1409</v>
      </c>
      <c r="B1410" s="25" t="s">
        <v>85</v>
      </c>
      <c r="C1410" s="25">
        <v>20</v>
      </c>
      <c r="D1410" s="25" t="s">
        <v>4869</v>
      </c>
      <c r="E1410" s="25" t="s">
        <v>4870</v>
      </c>
      <c r="F1410" s="25">
        <v>14.56</v>
      </c>
      <c r="G1410" s="25" t="s">
        <v>1889</v>
      </c>
      <c r="H1410" s="25">
        <f>1.96+3.14+3.57+2.32+3.64</f>
        <v>14.63</v>
      </c>
      <c r="I1410" s="25">
        <f>1.96+3.14+3.57+2.32+3.64</f>
        <v>14.63</v>
      </c>
      <c r="J1410" s="25" t="s">
        <v>1891</v>
      </c>
      <c r="K1410" s="25" t="str">
        <f>VLOOKUP(E1410,[1]PrelimAssignPOP!$I$1:$J$947,2,FALSE)</f>
        <v>ART</v>
      </c>
      <c r="L1410" s="25" t="s">
        <v>217</v>
      </c>
      <c r="M1410" s="25" t="s">
        <v>206</v>
      </c>
      <c r="N1410" s="25" t="s">
        <v>3111</v>
      </c>
    </row>
    <row r="1411" spans="1:14" x14ac:dyDescent="0.55000000000000004">
      <c r="A1411">
        <v>1410</v>
      </c>
      <c r="B1411" s="25" t="s">
        <v>85</v>
      </c>
      <c r="C1411" s="25">
        <v>20</v>
      </c>
      <c r="D1411" s="25" t="s">
        <v>4869</v>
      </c>
      <c r="E1411" s="25" t="s">
        <v>4871</v>
      </c>
      <c r="F1411" s="25">
        <v>14.6</v>
      </c>
      <c r="G1411" s="25" t="s">
        <v>1889</v>
      </c>
      <c r="H1411" s="25">
        <f>6.96+4+4.14</f>
        <v>15.100000000000001</v>
      </c>
      <c r="I1411" s="25">
        <f>6.96+4+4.14</f>
        <v>15.100000000000001</v>
      </c>
      <c r="J1411" s="25" t="s">
        <v>1891</v>
      </c>
      <c r="K1411" s="25" t="str">
        <f>VLOOKUP(E1411,[1]PrelimAssignPOP!$I$1:$J$947,2,FALSE)</f>
        <v>KIY</v>
      </c>
      <c r="L1411" s="25" t="s">
        <v>217</v>
      </c>
      <c r="M1411" s="25" t="s">
        <v>207</v>
      </c>
      <c r="N1411" s="25" t="s">
        <v>3112</v>
      </c>
    </row>
    <row r="1412" spans="1:14" x14ac:dyDescent="0.55000000000000004">
      <c r="A1412">
        <v>1411</v>
      </c>
      <c r="B1412" s="25" t="s">
        <v>85</v>
      </c>
      <c r="C1412" s="25">
        <v>20</v>
      </c>
      <c r="D1412" s="25" t="s">
        <v>4869</v>
      </c>
      <c r="E1412" s="25" t="s">
        <v>4872</v>
      </c>
      <c r="F1412" s="25">
        <v>15.24</v>
      </c>
      <c r="G1412" s="25" t="s">
        <v>1889</v>
      </c>
      <c r="H1412" s="25">
        <f>4.33+3.7+7.28</f>
        <v>15.310000000000002</v>
      </c>
      <c r="I1412" s="25">
        <f>4.33+3.7+7.28</f>
        <v>15.310000000000002</v>
      </c>
      <c r="J1412" s="25" t="s">
        <v>1891</v>
      </c>
      <c r="K1412" s="25" t="str">
        <f>VLOOKUP(E1412,[1]PrelimAssignPOP!$I$1:$J$947,2,FALSE)</f>
        <v>KIY</v>
      </c>
      <c r="L1412" s="25" t="s">
        <v>217</v>
      </c>
      <c r="M1412" s="25" t="s">
        <v>208</v>
      </c>
      <c r="N1412" s="25" t="s">
        <v>3113</v>
      </c>
    </row>
    <row r="1413" spans="1:14" x14ac:dyDescent="0.55000000000000004">
      <c r="A1413">
        <v>1412</v>
      </c>
      <c r="B1413" s="25" t="s">
        <v>85</v>
      </c>
      <c r="C1413" s="25">
        <v>20</v>
      </c>
      <c r="D1413" s="25" t="s">
        <v>4869</v>
      </c>
      <c r="E1413" s="25" t="s">
        <v>4873</v>
      </c>
      <c r="F1413" s="25">
        <v>14.8</v>
      </c>
      <c r="G1413" s="25" t="s">
        <v>1889</v>
      </c>
      <c r="H1413" s="25">
        <f>5.33+9.62</f>
        <v>14.95</v>
      </c>
      <c r="I1413" s="25">
        <f>5.33+9.62</f>
        <v>14.95</v>
      </c>
      <c r="J1413" s="25" t="s">
        <v>1891</v>
      </c>
      <c r="K1413" s="25" t="str">
        <f>VLOOKUP(E1413,[1]PrelimAssignPOP!$I$1:$J$947,2,FALSE)</f>
        <v>KIY</v>
      </c>
      <c r="L1413" s="25" t="s">
        <v>217</v>
      </c>
      <c r="M1413" s="25" t="s">
        <v>209</v>
      </c>
      <c r="N1413" s="25" t="s">
        <v>3114</v>
      </c>
    </row>
    <row r="1414" spans="1:14" x14ac:dyDescent="0.55000000000000004">
      <c r="A1414">
        <v>1413</v>
      </c>
      <c r="B1414" s="25" t="s">
        <v>85</v>
      </c>
      <c r="C1414" s="25">
        <v>20</v>
      </c>
      <c r="D1414" s="25" t="s">
        <v>4869</v>
      </c>
      <c r="E1414" s="25" t="s">
        <v>4874</v>
      </c>
      <c r="F1414" s="25">
        <v>13.2</v>
      </c>
      <c r="G1414" s="25" t="s">
        <v>1889</v>
      </c>
      <c r="H1414" s="25">
        <f>4.17+6.23+3.1</f>
        <v>13.5</v>
      </c>
      <c r="I1414" s="25">
        <f>4.17+6.23+3.1</f>
        <v>13.5</v>
      </c>
      <c r="J1414" s="25" t="s">
        <v>1891</v>
      </c>
      <c r="K1414" s="25" t="str">
        <f>VLOOKUP(E1414,[1]PrelimAssignPOP!$I$1:$J$947,2,FALSE)</f>
        <v>KIY</v>
      </c>
      <c r="L1414" s="25" t="s">
        <v>218</v>
      </c>
      <c r="M1414" s="25" t="s">
        <v>114</v>
      </c>
      <c r="N1414" s="25" t="s">
        <v>3136</v>
      </c>
    </row>
    <row r="1415" spans="1:14" x14ac:dyDescent="0.55000000000000004">
      <c r="A1415">
        <v>1414</v>
      </c>
      <c r="B1415" s="25" t="s">
        <v>85</v>
      </c>
      <c r="C1415" s="25">
        <v>20</v>
      </c>
      <c r="D1415" s="25" t="s">
        <v>4869</v>
      </c>
      <c r="E1415" s="25" t="s">
        <v>4875</v>
      </c>
      <c r="F1415" s="25">
        <v>15.24</v>
      </c>
      <c r="G1415" s="25" t="s">
        <v>1889</v>
      </c>
      <c r="H1415" s="25">
        <f>4.81+10.56</f>
        <v>15.370000000000001</v>
      </c>
      <c r="I1415" s="25">
        <f>4.81+10.56</f>
        <v>15.370000000000001</v>
      </c>
      <c r="J1415" s="25" t="s">
        <v>1891</v>
      </c>
      <c r="K1415" s="25" t="str">
        <f>VLOOKUP(E1415,[1]PrelimAssignPOP!$I$1:$J$947,2,FALSE)</f>
        <v>ART</v>
      </c>
      <c r="L1415" s="25" t="s">
        <v>218</v>
      </c>
      <c r="M1415" s="25" t="s">
        <v>122</v>
      </c>
      <c r="N1415" s="25" t="s">
        <v>3137</v>
      </c>
    </row>
    <row r="1416" spans="1:14" x14ac:dyDescent="0.55000000000000004">
      <c r="A1416">
        <v>1415</v>
      </c>
      <c r="B1416" s="25" t="s">
        <v>85</v>
      </c>
      <c r="C1416" s="25">
        <v>20</v>
      </c>
      <c r="D1416" s="25" t="s">
        <v>4869</v>
      </c>
      <c r="E1416" s="25" t="s">
        <v>4876</v>
      </c>
      <c r="F1416" s="25">
        <v>13.57</v>
      </c>
      <c r="G1416" s="25" t="s">
        <v>1889</v>
      </c>
      <c r="H1416" s="25">
        <f>9.64+3.94</f>
        <v>13.58</v>
      </c>
      <c r="I1416" s="25">
        <f>9.64+3.94</f>
        <v>13.58</v>
      </c>
      <c r="J1416" s="25" t="s">
        <v>1891</v>
      </c>
      <c r="K1416" s="25" t="str">
        <f>VLOOKUP(E1416,[1]PrelimAssignPOP!$I$1:$J$947,2,FALSE)</f>
        <v>KIY</v>
      </c>
      <c r="L1416" s="25" t="s">
        <v>218</v>
      </c>
      <c r="M1416" s="25" t="s">
        <v>123</v>
      </c>
      <c r="N1416" s="25" t="s">
        <v>3138</v>
      </c>
    </row>
    <row r="1417" spans="1:14" x14ac:dyDescent="0.55000000000000004">
      <c r="A1417">
        <v>1416</v>
      </c>
      <c r="B1417" s="25" t="s">
        <v>85</v>
      </c>
      <c r="C1417" s="25">
        <v>20</v>
      </c>
      <c r="D1417" s="25" t="s">
        <v>4869</v>
      </c>
      <c r="E1417" s="25" t="s">
        <v>4877</v>
      </c>
      <c r="F1417" s="25">
        <v>14.91</v>
      </c>
      <c r="G1417" s="25" t="s">
        <v>1889</v>
      </c>
      <c r="H1417" s="25">
        <f>5.25+9.92</f>
        <v>15.17</v>
      </c>
      <c r="I1417" s="25">
        <f>5.25+9.92</f>
        <v>15.17</v>
      </c>
      <c r="J1417" s="25" t="s">
        <v>1891</v>
      </c>
      <c r="K1417" s="25" t="str">
        <f>VLOOKUP(E1417,[1]PrelimAssignPOP!$I$1:$J$947,2,FALSE)</f>
        <v>KIY</v>
      </c>
      <c r="L1417" s="25" t="s">
        <v>218</v>
      </c>
      <c r="M1417" s="25" t="s">
        <v>124</v>
      </c>
      <c r="N1417" s="25" t="s">
        <v>3139</v>
      </c>
    </row>
    <row r="1418" spans="1:14" x14ac:dyDescent="0.55000000000000004">
      <c r="A1418">
        <v>1417</v>
      </c>
      <c r="B1418" s="25" t="s">
        <v>85</v>
      </c>
      <c r="C1418" s="25">
        <v>20</v>
      </c>
      <c r="D1418" s="25" t="s">
        <v>4869</v>
      </c>
      <c r="E1418" s="25" t="s">
        <v>4878</v>
      </c>
      <c r="F1418" s="25">
        <v>14.83</v>
      </c>
      <c r="G1418" s="25" t="s">
        <v>1889</v>
      </c>
      <c r="H1418" s="25">
        <f>6.31+8.67</f>
        <v>14.98</v>
      </c>
      <c r="I1418" s="25">
        <f>6.31+8.67</f>
        <v>14.98</v>
      </c>
      <c r="J1418" s="25" t="s">
        <v>1891</v>
      </c>
      <c r="K1418" s="25" t="str">
        <f>VLOOKUP(E1418,[1]PrelimAssignPOP!$I$1:$J$947,2,FALSE)</f>
        <v>KIY</v>
      </c>
      <c r="L1418" s="25" t="s">
        <v>218</v>
      </c>
      <c r="M1418" s="25" t="s">
        <v>125</v>
      </c>
      <c r="N1418" s="25" t="s">
        <v>3140</v>
      </c>
    </row>
    <row r="1419" spans="1:14" x14ac:dyDescent="0.55000000000000004">
      <c r="A1419">
        <v>1418</v>
      </c>
      <c r="B1419" s="25" t="s">
        <v>85</v>
      </c>
      <c r="C1419" s="25">
        <v>20</v>
      </c>
      <c r="D1419" s="25" t="s">
        <v>4869</v>
      </c>
      <c r="E1419" s="25" t="s">
        <v>4879</v>
      </c>
      <c r="F1419" s="25">
        <v>16.2</v>
      </c>
      <c r="G1419" s="25" t="s">
        <v>2113</v>
      </c>
      <c r="I1419" s="25">
        <v>16.2</v>
      </c>
      <c r="J1419" s="25" t="s">
        <v>110</v>
      </c>
      <c r="K1419" s="25" t="str">
        <f>VLOOKUP(E1419,[1]PrelimAssignPOP!$I$1:$J$947,2,FALSE)</f>
        <v>KIY</v>
      </c>
      <c r="L1419" s="25" t="s">
        <v>218</v>
      </c>
      <c r="M1419" s="25" t="s">
        <v>126</v>
      </c>
    </row>
    <row r="1420" spans="1:14" x14ac:dyDescent="0.55000000000000004">
      <c r="A1420">
        <v>1419</v>
      </c>
      <c r="B1420" s="25" t="s">
        <v>85</v>
      </c>
      <c r="C1420" s="25">
        <v>20</v>
      </c>
      <c r="D1420" s="25" t="s">
        <v>4869</v>
      </c>
      <c r="E1420" s="25" t="s">
        <v>4880</v>
      </c>
      <c r="F1420" s="25">
        <v>15.42</v>
      </c>
      <c r="G1420" s="25" t="s">
        <v>2113</v>
      </c>
      <c r="I1420" s="25">
        <v>15.42</v>
      </c>
      <c r="J1420" s="25" t="s">
        <v>110</v>
      </c>
      <c r="K1420" s="25" t="str">
        <f>VLOOKUP(E1420,[1]PrelimAssignPOP!$I$1:$J$947,2,FALSE)</f>
        <v>KIY</v>
      </c>
      <c r="L1420" s="25" t="s">
        <v>218</v>
      </c>
      <c r="M1420" s="25" t="s">
        <v>127</v>
      </c>
    </row>
    <row r="1421" spans="1:14" x14ac:dyDescent="0.55000000000000004">
      <c r="A1421">
        <v>1420</v>
      </c>
      <c r="B1421" s="25" t="s">
        <v>85</v>
      </c>
      <c r="C1421" s="25">
        <v>20</v>
      </c>
      <c r="D1421" s="25" t="s">
        <v>4869</v>
      </c>
      <c r="E1421" s="25" t="s">
        <v>4881</v>
      </c>
      <c r="F1421" s="25">
        <v>16.71</v>
      </c>
      <c r="G1421" s="25" t="s">
        <v>2113</v>
      </c>
      <c r="I1421" s="25">
        <v>16.71</v>
      </c>
      <c r="J1421" s="25" t="s">
        <v>110</v>
      </c>
      <c r="K1421" s="25" t="str">
        <f>VLOOKUP(E1421,[1]PrelimAssignPOP!$I$1:$J$947,2,FALSE)</f>
        <v>KIY</v>
      </c>
      <c r="L1421" s="25" t="s">
        <v>218</v>
      </c>
      <c r="M1421" s="25" t="s">
        <v>128</v>
      </c>
    </row>
    <row r="1422" spans="1:14" x14ac:dyDescent="0.55000000000000004">
      <c r="A1422">
        <v>1421</v>
      </c>
      <c r="B1422" s="25" t="s">
        <v>85</v>
      </c>
      <c r="C1422" s="25">
        <v>20</v>
      </c>
      <c r="D1422" s="25" t="s">
        <v>4869</v>
      </c>
      <c r="E1422" s="25" t="s">
        <v>4882</v>
      </c>
      <c r="F1422" s="25">
        <v>15.61</v>
      </c>
      <c r="G1422" s="25" t="s">
        <v>2113</v>
      </c>
      <c r="I1422" s="25">
        <v>15.61</v>
      </c>
      <c r="J1422" s="25" t="s">
        <v>110</v>
      </c>
    </row>
    <row r="1423" spans="1:14" x14ac:dyDescent="0.55000000000000004">
      <c r="A1423">
        <v>1422</v>
      </c>
      <c r="B1423" s="25" t="s">
        <v>85</v>
      </c>
      <c r="C1423" s="25">
        <v>20</v>
      </c>
      <c r="D1423" s="25" t="s">
        <v>4869</v>
      </c>
      <c r="E1423" s="25" t="s">
        <v>4883</v>
      </c>
      <c r="F1423" s="25">
        <v>16.399999999999999</v>
      </c>
      <c r="G1423" s="25" t="s">
        <v>2113</v>
      </c>
      <c r="I1423" s="25">
        <v>16.399999999999999</v>
      </c>
      <c r="J1423" s="25" t="s">
        <v>110</v>
      </c>
    </row>
    <row r="1424" spans="1:14" x14ac:dyDescent="0.55000000000000004">
      <c r="A1424">
        <v>1423</v>
      </c>
      <c r="B1424" s="25" t="s">
        <v>85</v>
      </c>
      <c r="C1424" s="25">
        <v>20</v>
      </c>
      <c r="D1424" s="25" t="s">
        <v>4869</v>
      </c>
      <c r="E1424" s="25" t="s">
        <v>4884</v>
      </c>
      <c r="F1424" s="25">
        <v>16.399999999999999</v>
      </c>
      <c r="G1424" s="25" t="s">
        <v>2113</v>
      </c>
      <c r="I1424" s="25">
        <v>16.399999999999999</v>
      </c>
      <c r="J1424" s="25" t="s">
        <v>110</v>
      </c>
    </row>
    <row r="1425" spans="1:14" x14ac:dyDescent="0.55000000000000004">
      <c r="A1425">
        <v>1424</v>
      </c>
      <c r="B1425" s="25" t="s">
        <v>85</v>
      </c>
      <c r="C1425" s="25">
        <v>20</v>
      </c>
      <c r="D1425" s="25" t="s">
        <v>4869</v>
      </c>
      <c r="E1425" s="25" t="s">
        <v>4885</v>
      </c>
      <c r="F1425" s="25">
        <v>15.58</v>
      </c>
      <c r="G1425" s="25" t="s">
        <v>1889</v>
      </c>
      <c r="H1425" s="25">
        <f>15.77</f>
        <v>15.77</v>
      </c>
      <c r="I1425" s="25">
        <f>15.77</f>
        <v>15.77</v>
      </c>
      <c r="J1425" s="25" t="s">
        <v>1891</v>
      </c>
      <c r="N1425" s="25" t="s">
        <v>3141</v>
      </c>
    </row>
    <row r="1426" spans="1:14" x14ac:dyDescent="0.55000000000000004">
      <c r="A1426">
        <v>1425</v>
      </c>
      <c r="B1426" s="25" t="s">
        <v>85</v>
      </c>
      <c r="C1426" s="25">
        <v>20</v>
      </c>
      <c r="D1426" s="25" t="s">
        <v>4869</v>
      </c>
      <c r="E1426" s="25" t="s">
        <v>4886</v>
      </c>
      <c r="F1426" s="25">
        <v>15.6</v>
      </c>
      <c r="G1426" s="25" t="s">
        <v>1889</v>
      </c>
      <c r="H1426" s="25">
        <f>11.59+4.05</f>
        <v>15.64</v>
      </c>
      <c r="I1426" s="25">
        <f>11.59+4.05</f>
        <v>15.64</v>
      </c>
      <c r="J1426" s="25" t="s">
        <v>1891</v>
      </c>
      <c r="N1426" s="25" t="s">
        <v>3142</v>
      </c>
    </row>
    <row r="1427" spans="1:14" x14ac:dyDescent="0.55000000000000004">
      <c r="A1427">
        <v>1426</v>
      </c>
      <c r="B1427" s="25" t="s">
        <v>85</v>
      </c>
      <c r="C1427" s="25">
        <v>20</v>
      </c>
      <c r="D1427" s="25" t="s">
        <v>4869</v>
      </c>
      <c r="E1427" s="25" t="s">
        <v>4887</v>
      </c>
      <c r="F1427" s="25">
        <v>14.77</v>
      </c>
      <c r="G1427" s="25" t="s">
        <v>1889</v>
      </c>
      <c r="H1427" s="25">
        <f>6.79+8.38</f>
        <v>15.170000000000002</v>
      </c>
      <c r="I1427" s="25">
        <f>6.79+8.38</f>
        <v>15.170000000000002</v>
      </c>
      <c r="J1427" s="25" t="s">
        <v>1891</v>
      </c>
      <c r="N1427" s="25" t="s">
        <v>3143</v>
      </c>
    </row>
    <row r="1428" spans="1:14" x14ac:dyDescent="0.55000000000000004">
      <c r="A1428">
        <v>1427</v>
      </c>
      <c r="B1428" s="25" t="s">
        <v>85</v>
      </c>
      <c r="C1428" s="25">
        <v>20</v>
      </c>
      <c r="D1428" s="25" t="s">
        <v>4869</v>
      </c>
      <c r="E1428" s="25" t="s">
        <v>4888</v>
      </c>
      <c r="F1428" s="25">
        <v>14.14</v>
      </c>
      <c r="G1428" s="25" t="s">
        <v>1889</v>
      </c>
      <c r="H1428" s="25">
        <f>5.83+8.47</f>
        <v>14.3</v>
      </c>
      <c r="I1428" s="25">
        <f>5.83+8.47</f>
        <v>14.3</v>
      </c>
      <c r="J1428" s="25" t="s">
        <v>1891</v>
      </c>
      <c r="N1428" s="25" t="s">
        <v>3144</v>
      </c>
    </row>
    <row r="1429" spans="1:14" x14ac:dyDescent="0.55000000000000004">
      <c r="A1429">
        <v>1428</v>
      </c>
      <c r="B1429" s="25" t="s">
        <v>85</v>
      </c>
      <c r="C1429" s="25">
        <v>20</v>
      </c>
      <c r="D1429" s="25" t="s">
        <v>4869</v>
      </c>
      <c r="E1429" s="25" t="s">
        <v>4889</v>
      </c>
      <c r="F1429" s="25">
        <v>13.79</v>
      </c>
      <c r="G1429" s="25" t="s">
        <v>1889</v>
      </c>
      <c r="H1429" s="25">
        <f>5.59+4.75+3.51</f>
        <v>13.85</v>
      </c>
      <c r="I1429" s="25">
        <f>5.59+4.75+3.51</f>
        <v>13.85</v>
      </c>
      <c r="J1429" s="25" t="s">
        <v>1891</v>
      </c>
      <c r="N1429" s="25" t="s">
        <v>3145</v>
      </c>
    </row>
    <row r="1430" spans="1:14" x14ac:dyDescent="0.55000000000000004">
      <c r="A1430">
        <v>1429</v>
      </c>
      <c r="B1430" s="25" t="s">
        <v>86</v>
      </c>
      <c r="C1430" s="25">
        <v>2</v>
      </c>
      <c r="D1430" s="25" t="s">
        <v>4890</v>
      </c>
      <c r="E1430" s="25" t="s">
        <v>4891</v>
      </c>
      <c r="F1430" s="25">
        <v>13.84</v>
      </c>
      <c r="G1430" s="25" t="s">
        <v>1889</v>
      </c>
      <c r="H1430" s="25">
        <f>3.84+6.76+3.11</f>
        <v>13.709999999999999</v>
      </c>
      <c r="I1430" s="25">
        <f>3.84+6.76+3.11</f>
        <v>13.709999999999999</v>
      </c>
      <c r="J1430" s="25" t="s">
        <v>1891</v>
      </c>
      <c r="K1430" s="25" t="str">
        <f>VLOOKUP(E1430,[1]PrelimAssignPOP!$I$1:$J$947,2,FALSE)</f>
        <v>KIY</v>
      </c>
      <c r="L1430" s="25" t="s">
        <v>218</v>
      </c>
      <c r="M1430" s="25" t="s">
        <v>129</v>
      </c>
      <c r="N1430" s="25" t="s">
        <v>3146</v>
      </c>
    </row>
    <row r="1431" spans="1:14" x14ac:dyDescent="0.55000000000000004">
      <c r="A1431">
        <v>1430</v>
      </c>
      <c r="B1431" s="25" t="s">
        <v>86</v>
      </c>
      <c r="C1431" s="25">
        <v>2</v>
      </c>
      <c r="D1431" s="25" t="s">
        <v>4890</v>
      </c>
      <c r="E1431" s="25" t="s">
        <v>4892</v>
      </c>
      <c r="F1431" s="25">
        <v>15.4</v>
      </c>
      <c r="G1431" s="25" t="s">
        <v>2113</v>
      </c>
      <c r="I1431" s="25">
        <v>15.4</v>
      </c>
      <c r="J1431" s="25" t="s">
        <v>110</v>
      </c>
      <c r="K1431" s="25" t="str">
        <f>VLOOKUP(E1431,[1]PrelimAssignPOP!$I$1:$J$947,2,FALSE)</f>
        <v>ART</v>
      </c>
      <c r="L1431" s="25" t="s">
        <v>218</v>
      </c>
      <c r="M1431" s="25" t="s">
        <v>130</v>
      </c>
    </row>
    <row r="1432" spans="1:14" x14ac:dyDescent="0.55000000000000004">
      <c r="A1432">
        <v>1431</v>
      </c>
      <c r="B1432" s="25" t="s">
        <v>87</v>
      </c>
      <c r="C1432" s="25">
        <v>2</v>
      </c>
      <c r="D1432" s="25" t="s">
        <v>4893</v>
      </c>
      <c r="E1432" s="25" t="s">
        <v>4894</v>
      </c>
      <c r="F1432" s="25">
        <v>14.72</v>
      </c>
      <c r="G1432" s="25" t="s">
        <v>1889</v>
      </c>
      <c r="H1432" s="25">
        <f>7.3+7.54</f>
        <v>14.84</v>
      </c>
      <c r="I1432" s="25">
        <f>7.3+7.54</f>
        <v>14.84</v>
      </c>
      <c r="J1432" s="25" t="s">
        <v>1891</v>
      </c>
      <c r="K1432" s="25" t="str">
        <f>VLOOKUP(E1432,[1]PrelimAssignPOP!$I$1:$J$947,2,FALSE)</f>
        <v>ART</v>
      </c>
      <c r="L1432" s="25" t="s">
        <v>218</v>
      </c>
      <c r="M1432" s="25" t="s">
        <v>131</v>
      </c>
      <c r="N1432" s="25" t="s">
        <v>3147</v>
      </c>
    </row>
    <row r="1433" spans="1:14" x14ac:dyDescent="0.55000000000000004">
      <c r="A1433">
        <v>1432</v>
      </c>
      <c r="B1433" s="25" t="s">
        <v>87</v>
      </c>
      <c r="C1433" s="25">
        <v>2</v>
      </c>
      <c r="D1433" s="25" t="s">
        <v>4893</v>
      </c>
      <c r="E1433" s="25" t="s">
        <v>4895</v>
      </c>
      <c r="F1433" s="25">
        <v>13.46</v>
      </c>
      <c r="G1433" s="25" t="s">
        <v>1889</v>
      </c>
      <c r="H1433" s="25">
        <f>3.38+3.18+4.48+2.62</f>
        <v>13.66</v>
      </c>
      <c r="I1433" s="25">
        <f>3.38+3.18+4.48+2.62</f>
        <v>13.66</v>
      </c>
      <c r="J1433" s="25" t="s">
        <v>1891</v>
      </c>
      <c r="K1433" s="25" t="str">
        <f>VLOOKUP(E1433,[1]PrelimAssignPOP!$I$1:$J$947,2,FALSE)</f>
        <v>ART</v>
      </c>
      <c r="L1433" s="25" t="s">
        <v>218</v>
      </c>
      <c r="M1433" s="25" t="s">
        <v>132</v>
      </c>
      <c r="N1433" s="25" t="s">
        <v>3148</v>
      </c>
    </row>
    <row r="1434" spans="1:14" x14ac:dyDescent="0.55000000000000004">
      <c r="A1434">
        <v>1433</v>
      </c>
      <c r="B1434" s="25" t="s">
        <v>88</v>
      </c>
      <c r="C1434" s="25">
        <v>6</v>
      </c>
      <c r="D1434" s="25" t="s">
        <v>4896</v>
      </c>
      <c r="E1434" s="25" t="s">
        <v>4897</v>
      </c>
      <c r="F1434" s="25">
        <v>14.94</v>
      </c>
      <c r="G1434" s="25" t="s">
        <v>1889</v>
      </c>
      <c r="H1434" s="25">
        <f>3.39+6.91+4.8</f>
        <v>15.100000000000001</v>
      </c>
      <c r="I1434" s="25">
        <f>3.39+6.91+4.8</f>
        <v>15.100000000000001</v>
      </c>
      <c r="J1434" s="25" t="s">
        <v>1891</v>
      </c>
      <c r="K1434" s="25" t="str">
        <f>VLOOKUP(E1434,[1]PrelimAssignPOP!$I$1:$J$947,2,FALSE)</f>
        <v>ART</v>
      </c>
      <c r="L1434" s="25" t="s">
        <v>218</v>
      </c>
      <c r="M1434" s="25" t="s">
        <v>115</v>
      </c>
      <c r="N1434" s="25" t="s">
        <v>3149</v>
      </c>
    </row>
    <row r="1435" spans="1:14" x14ac:dyDescent="0.55000000000000004">
      <c r="A1435">
        <v>1434</v>
      </c>
      <c r="B1435" s="25" t="s">
        <v>88</v>
      </c>
      <c r="C1435" s="25">
        <v>6</v>
      </c>
      <c r="D1435" s="25" t="s">
        <v>4896</v>
      </c>
      <c r="E1435" s="25" t="s">
        <v>4898</v>
      </c>
      <c r="F1435" s="25">
        <v>14.22</v>
      </c>
      <c r="G1435" s="25" t="s">
        <v>1889</v>
      </c>
      <c r="H1435" s="25">
        <f>14.23</f>
        <v>14.23</v>
      </c>
      <c r="I1435" s="25">
        <f>14.23</f>
        <v>14.23</v>
      </c>
      <c r="J1435" s="25" t="s">
        <v>1891</v>
      </c>
      <c r="K1435" s="25" t="str">
        <f>VLOOKUP(E1435,[1]PrelimAssignPOP!$I$1:$J$947,2,FALSE)</f>
        <v>KIY</v>
      </c>
      <c r="L1435" s="25" t="s">
        <v>218</v>
      </c>
      <c r="M1435" s="25" t="s">
        <v>133</v>
      </c>
      <c r="N1435" s="25" t="s">
        <v>3150</v>
      </c>
    </row>
    <row r="1436" spans="1:14" x14ac:dyDescent="0.55000000000000004">
      <c r="A1436">
        <v>1435</v>
      </c>
      <c r="B1436" s="25" t="s">
        <v>88</v>
      </c>
      <c r="C1436" s="25">
        <v>6</v>
      </c>
      <c r="D1436" s="25" t="s">
        <v>4896</v>
      </c>
      <c r="E1436" s="25" t="s">
        <v>4899</v>
      </c>
      <c r="F1436" s="25">
        <v>16.399999999999999</v>
      </c>
      <c r="G1436" s="25" t="s">
        <v>1889</v>
      </c>
      <c r="H1436" s="25">
        <f>4.13+3.7+8.51</f>
        <v>16.34</v>
      </c>
      <c r="I1436" s="25">
        <f>4.13+3.7+8.51</f>
        <v>16.34</v>
      </c>
      <c r="J1436" s="25" t="s">
        <v>1891</v>
      </c>
      <c r="K1436" s="25" t="str">
        <f>VLOOKUP(E1436,[1]PrelimAssignPOP!$I$1:$J$947,2,FALSE)</f>
        <v>KIY</v>
      </c>
      <c r="L1436" s="25" t="s">
        <v>218</v>
      </c>
      <c r="M1436" s="25" t="s">
        <v>134</v>
      </c>
      <c r="N1436" s="25" t="s">
        <v>3151</v>
      </c>
    </row>
    <row r="1437" spans="1:14" x14ac:dyDescent="0.55000000000000004">
      <c r="A1437">
        <v>1436</v>
      </c>
      <c r="B1437" s="25" t="s">
        <v>88</v>
      </c>
      <c r="C1437" s="25">
        <v>6</v>
      </c>
      <c r="D1437" s="25" t="s">
        <v>4896</v>
      </c>
      <c r="E1437" s="25" t="s">
        <v>4900</v>
      </c>
      <c r="F1437" s="25">
        <v>15.5</v>
      </c>
      <c r="G1437" s="25" t="s">
        <v>1889</v>
      </c>
      <c r="H1437" s="25">
        <f>15.61</f>
        <v>15.61</v>
      </c>
      <c r="I1437" s="25">
        <f>15.61</f>
        <v>15.61</v>
      </c>
      <c r="J1437" s="25" t="s">
        <v>1891</v>
      </c>
      <c r="K1437" s="25" t="str">
        <f>VLOOKUP(E1437,[1]PrelimAssignPOP!$I$1:$J$947,2,FALSE)</f>
        <v>KIY</v>
      </c>
      <c r="L1437" s="25" t="s">
        <v>218</v>
      </c>
      <c r="M1437" s="25" t="s">
        <v>135</v>
      </c>
      <c r="N1437" s="25" t="s">
        <v>3152</v>
      </c>
    </row>
    <row r="1438" spans="1:14" x14ac:dyDescent="0.55000000000000004">
      <c r="A1438">
        <v>1437</v>
      </c>
      <c r="B1438" s="25" t="s">
        <v>88</v>
      </c>
      <c r="C1438" s="25">
        <v>6</v>
      </c>
      <c r="D1438" s="25" t="s">
        <v>4896</v>
      </c>
      <c r="E1438" s="25" t="s">
        <v>4901</v>
      </c>
      <c r="F1438" s="25">
        <v>16.260000000000002</v>
      </c>
      <c r="G1438" s="25" t="s">
        <v>2113</v>
      </c>
      <c r="I1438" s="25">
        <v>16.260000000000002</v>
      </c>
      <c r="J1438" s="25" t="s">
        <v>110</v>
      </c>
      <c r="K1438" s="25" t="str">
        <f>VLOOKUP(E1438,[1]PrelimAssignPOP!$I$1:$J$947,2,FALSE)</f>
        <v>KIY</v>
      </c>
      <c r="L1438" s="25" t="s">
        <v>218</v>
      </c>
      <c r="M1438" s="25" t="s">
        <v>136</v>
      </c>
    </row>
    <row r="1439" spans="1:14" x14ac:dyDescent="0.55000000000000004">
      <c r="A1439">
        <v>1438</v>
      </c>
      <c r="B1439" s="25" t="s">
        <v>88</v>
      </c>
      <c r="C1439" s="25">
        <v>6</v>
      </c>
      <c r="D1439" s="25" t="s">
        <v>4896</v>
      </c>
      <c r="E1439" s="25" t="s">
        <v>4902</v>
      </c>
      <c r="F1439" s="25">
        <v>16.260000000000002</v>
      </c>
      <c r="G1439" s="25" t="s">
        <v>2113</v>
      </c>
      <c r="I1439" s="25">
        <v>16.260000000000002</v>
      </c>
      <c r="J1439" s="25" t="s">
        <v>110</v>
      </c>
      <c r="K1439" s="25" t="str">
        <f>VLOOKUP(E1439,[1]PrelimAssignPOP!$I$1:$J$947,2,FALSE)</f>
        <v>ART</v>
      </c>
      <c r="L1439" s="25" t="s">
        <v>218</v>
      </c>
      <c r="M1439" s="25" t="s">
        <v>137</v>
      </c>
    </row>
    <row r="1440" spans="1:14" x14ac:dyDescent="0.55000000000000004">
      <c r="A1440">
        <v>1439</v>
      </c>
      <c r="B1440" s="25" t="s">
        <v>89</v>
      </c>
      <c r="C1440" s="25">
        <v>2</v>
      </c>
      <c r="D1440" s="25" t="s">
        <v>4903</v>
      </c>
      <c r="E1440" s="25" t="s">
        <v>4904</v>
      </c>
      <c r="F1440" s="25">
        <v>16.16</v>
      </c>
      <c r="G1440" s="25" t="s">
        <v>2113</v>
      </c>
      <c r="I1440" s="25">
        <v>16.16</v>
      </c>
      <c r="J1440" s="25" t="s">
        <v>110</v>
      </c>
      <c r="K1440" s="25" t="str">
        <f>VLOOKUP(E1440,[1]PrelimAssignPOP!$I$1:$J$947,2,FALSE)</f>
        <v>ART</v>
      </c>
      <c r="L1440" s="25" t="s">
        <v>218</v>
      </c>
      <c r="M1440" s="25" t="s">
        <v>138</v>
      </c>
    </row>
    <row r="1441" spans="1:14" x14ac:dyDescent="0.55000000000000004">
      <c r="A1441">
        <v>1440</v>
      </c>
      <c r="B1441" s="25" t="s">
        <v>89</v>
      </c>
      <c r="C1441" s="25">
        <v>2</v>
      </c>
      <c r="D1441" s="25" t="s">
        <v>4903</v>
      </c>
      <c r="E1441" s="25" t="s">
        <v>4905</v>
      </c>
      <c r="F1441" s="25">
        <v>14.73</v>
      </c>
      <c r="G1441" s="25" t="s">
        <v>1889</v>
      </c>
      <c r="H1441" s="25">
        <f>14.83</f>
        <v>14.83</v>
      </c>
      <c r="I1441" s="25">
        <f>14.83</f>
        <v>14.83</v>
      </c>
      <c r="J1441" s="25" t="s">
        <v>1891</v>
      </c>
      <c r="K1441" s="25" t="str">
        <f>VLOOKUP(E1441,[1]PrelimAssignPOP!$I$1:$J$947,2,FALSE)</f>
        <v>HYB</v>
      </c>
      <c r="L1441" s="25" t="s">
        <v>218</v>
      </c>
      <c r="M1441" s="25" t="s">
        <v>139</v>
      </c>
      <c r="N1441" s="25" t="s">
        <v>3153</v>
      </c>
    </row>
    <row r="1442" spans="1:14" x14ac:dyDescent="0.55000000000000004">
      <c r="A1442">
        <v>1441</v>
      </c>
      <c r="B1442" s="25" t="s">
        <v>90</v>
      </c>
      <c r="C1442" s="25">
        <v>4</v>
      </c>
      <c r="D1442" s="25" t="s">
        <v>4906</v>
      </c>
      <c r="E1442" s="25" t="s">
        <v>4907</v>
      </c>
      <c r="F1442" s="25">
        <v>15.15</v>
      </c>
      <c r="G1442" s="25" t="s">
        <v>1889</v>
      </c>
      <c r="H1442" s="25">
        <f>3.91+6.13+2.92+2.68</f>
        <v>15.639999999999999</v>
      </c>
      <c r="I1442" s="25">
        <f>3.91+6.13+2.92+2.68</f>
        <v>15.639999999999999</v>
      </c>
      <c r="J1442" s="25" t="s">
        <v>1891</v>
      </c>
      <c r="K1442" s="25" t="str">
        <f>VLOOKUP(E1442,[1]PrelimAssignPOP!$I$1:$J$947,2,FALSE)</f>
        <v>ART</v>
      </c>
      <c r="L1442" s="25" t="s">
        <v>218</v>
      </c>
      <c r="M1442" s="25" t="s">
        <v>140</v>
      </c>
      <c r="N1442" s="25" t="s">
        <v>3154</v>
      </c>
    </row>
    <row r="1443" spans="1:14" x14ac:dyDescent="0.55000000000000004">
      <c r="A1443">
        <v>1442</v>
      </c>
      <c r="B1443" s="25" t="s">
        <v>90</v>
      </c>
      <c r="C1443" s="25">
        <v>4</v>
      </c>
      <c r="D1443" s="25" t="s">
        <v>4906</v>
      </c>
      <c r="E1443" s="25" t="s">
        <v>4908</v>
      </c>
      <c r="F1443" s="25">
        <v>14.72</v>
      </c>
      <c r="G1443" s="25" t="s">
        <v>1889</v>
      </c>
      <c r="H1443" s="25">
        <f>11.41+3.38</f>
        <v>14.79</v>
      </c>
      <c r="I1443" s="25">
        <f>11.41+3.38</f>
        <v>14.79</v>
      </c>
      <c r="J1443" s="25" t="s">
        <v>1891</v>
      </c>
      <c r="K1443" s="25" t="str">
        <f>VLOOKUP(E1443,[1]PrelimAssignPOP!$I$1:$J$947,2,FALSE)</f>
        <v>ART</v>
      </c>
      <c r="L1443" s="25" t="s">
        <v>218</v>
      </c>
      <c r="M1443" s="25" t="s">
        <v>141</v>
      </c>
      <c r="N1443" s="25" t="s">
        <v>3155</v>
      </c>
    </row>
    <row r="1444" spans="1:14" x14ac:dyDescent="0.55000000000000004">
      <c r="A1444">
        <v>1443</v>
      </c>
      <c r="B1444" s="25" t="s">
        <v>90</v>
      </c>
      <c r="C1444" s="25">
        <v>4</v>
      </c>
      <c r="D1444" s="25" t="s">
        <v>4906</v>
      </c>
      <c r="E1444" s="25" t="s">
        <v>4909</v>
      </c>
      <c r="F1444" s="25">
        <v>14.42</v>
      </c>
      <c r="G1444" s="25" t="s">
        <v>1889</v>
      </c>
      <c r="H1444" s="25">
        <f>2.26+3.72+5.52+3.3</f>
        <v>14.8</v>
      </c>
      <c r="I1444" s="25">
        <f>2.26+3.72+5.52+3.3</f>
        <v>14.8</v>
      </c>
      <c r="J1444" s="25" t="s">
        <v>1891</v>
      </c>
      <c r="K1444" s="25" t="str">
        <f>VLOOKUP(E1444,[1]PrelimAssignPOP!$I$1:$J$947,2,FALSE)</f>
        <v>KIY</v>
      </c>
      <c r="L1444" s="25" t="s">
        <v>218</v>
      </c>
      <c r="M1444" s="25" t="s">
        <v>142</v>
      </c>
      <c r="N1444" s="25" t="s">
        <v>3156</v>
      </c>
    </row>
    <row r="1445" spans="1:14" x14ac:dyDescent="0.55000000000000004">
      <c r="A1445">
        <v>1444</v>
      </c>
      <c r="B1445" s="25" t="s">
        <v>90</v>
      </c>
      <c r="C1445" s="25">
        <v>4</v>
      </c>
      <c r="D1445" s="25" t="s">
        <v>4906</v>
      </c>
      <c r="E1445" s="25" t="s">
        <v>4910</v>
      </c>
      <c r="F1445" s="25">
        <v>16.059999999999999</v>
      </c>
      <c r="G1445" s="25" t="s">
        <v>1889</v>
      </c>
      <c r="H1445" s="25">
        <f>6.89+4.43+4.79</f>
        <v>16.11</v>
      </c>
      <c r="I1445" s="25">
        <f>6.89+4.43+4.79</f>
        <v>16.11</v>
      </c>
      <c r="J1445" s="25" t="s">
        <v>1891</v>
      </c>
      <c r="K1445" s="25" t="str">
        <f>VLOOKUP(E1445,[1]PrelimAssignPOP!$I$1:$J$947,2,FALSE)</f>
        <v>HYB</v>
      </c>
      <c r="L1445" s="25" t="s">
        <v>218</v>
      </c>
      <c r="M1445" s="25" t="s">
        <v>143</v>
      </c>
      <c r="N1445" s="25" t="s">
        <v>3157</v>
      </c>
    </row>
    <row r="1446" spans="1:14" x14ac:dyDescent="0.55000000000000004">
      <c r="A1446">
        <v>1445</v>
      </c>
      <c r="B1446" s="25" t="s">
        <v>91</v>
      </c>
      <c r="C1446" s="25">
        <v>25</v>
      </c>
      <c r="D1446" s="25" t="s">
        <v>4911</v>
      </c>
      <c r="E1446" s="25" t="s">
        <v>4912</v>
      </c>
      <c r="F1446" s="25">
        <v>12.94</v>
      </c>
      <c r="G1446" s="25" t="s">
        <v>1889</v>
      </c>
      <c r="H1446" s="25">
        <f>3.23+4.86+2.04+2.81</f>
        <v>12.94</v>
      </c>
      <c r="I1446" s="25">
        <f>3.23+4.86+2.04+2.81</f>
        <v>12.94</v>
      </c>
      <c r="J1446" s="25" t="s">
        <v>1891</v>
      </c>
      <c r="K1446" s="25" t="str">
        <f>VLOOKUP(E1446,[1]PrelimAssignPOP!$I$1:$J$947,2,FALSE)</f>
        <v>ART</v>
      </c>
      <c r="L1446" s="25" t="s">
        <v>218</v>
      </c>
      <c r="M1446" s="25" t="s">
        <v>116</v>
      </c>
      <c r="N1446" s="25" t="s">
        <v>3158</v>
      </c>
    </row>
    <row r="1447" spans="1:14" x14ac:dyDescent="0.55000000000000004">
      <c r="A1447">
        <v>1446</v>
      </c>
      <c r="B1447" s="25" t="s">
        <v>91</v>
      </c>
      <c r="C1447" s="25">
        <v>25</v>
      </c>
      <c r="D1447" s="25" t="s">
        <v>4911</v>
      </c>
      <c r="E1447" s="25" t="s">
        <v>4913</v>
      </c>
      <c r="F1447" s="25">
        <v>12.25</v>
      </c>
      <c r="G1447" s="25" t="s">
        <v>1889</v>
      </c>
      <c r="H1447" s="25">
        <f>6.47+3.2+2.59</f>
        <v>12.26</v>
      </c>
      <c r="I1447" s="25">
        <f>6.47+3.2+2.59</f>
        <v>12.26</v>
      </c>
      <c r="J1447" s="25" t="s">
        <v>1891</v>
      </c>
      <c r="K1447" s="25" t="str">
        <f>VLOOKUP(E1447,[1]PrelimAssignPOP!$I$1:$J$947,2,FALSE)</f>
        <v>HYB</v>
      </c>
      <c r="L1447" s="25" t="s">
        <v>218</v>
      </c>
      <c r="M1447" s="25" t="s">
        <v>144</v>
      </c>
      <c r="N1447" s="25" t="s">
        <v>3159</v>
      </c>
    </row>
    <row r="1448" spans="1:14" x14ac:dyDescent="0.55000000000000004">
      <c r="A1448">
        <v>1447</v>
      </c>
      <c r="B1448" s="25" t="s">
        <v>91</v>
      </c>
      <c r="C1448" s="25">
        <v>25</v>
      </c>
      <c r="D1448" s="25" t="s">
        <v>4911</v>
      </c>
      <c r="E1448" s="25" t="s">
        <v>4914</v>
      </c>
      <c r="F1448" s="25">
        <v>12.37</v>
      </c>
      <c r="G1448" s="25" t="s">
        <v>1889</v>
      </c>
      <c r="H1448" s="25">
        <f>3.09+2.48+2.42+4.53</f>
        <v>12.52</v>
      </c>
      <c r="I1448" s="25">
        <f>3.09+2.48+2.42+4.53</f>
        <v>12.52</v>
      </c>
      <c r="J1448" s="25" t="s">
        <v>1891</v>
      </c>
      <c r="K1448" s="25" t="str">
        <f>VLOOKUP(E1448,[1]PrelimAssignPOP!$I$1:$J$947,2,FALSE)</f>
        <v>KIY</v>
      </c>
      <c r="L1448" s="25" t="s">
        <v>218</v>
      </c>
      <c r="M1448" s="25" t="s">
        <v>145</v>
      </c>
      <c r="N1448" s="25" t="s">
        <v>3160</v>
      </c>
    </row>
    <row r="1449" spans="1:14" x14ac:dyDescent="0.55000000000000004">
      <c r="A1449">
        <v>1448</v>
      </c>
      <c r="B1449" s="25" t="s">
        <v>91</v>
      </c>
      <c r="C1449" s="25">
        <v>25</v>
      </c>
      <c r="D1449" s="25" t="s">
        <v>4911</v>
      </c>
      <c r="E1449" s="25" t="s">
        <v>4915</v>
      </c>
      <c r="F1449" s="25">
        <v>11.62</v>
      </c>
      <c r="G1449" s="25" t="s">
        <v>1889</v>
      </c>
      <c r="H1449" s="25">
        <f>2.88+2.91+5.85</f>
        <v>11.64</v>
      </c>
      <c r="I1449" s="25">
        <f>2.88+2.91+5.85</f>
        <v>11.64</v>
      </c>
      <c r="J1449" s="25" t="s">
        <v>1891</v>
      </c>
      <c r="K1449" s="25" t="str">
        <f>VLOOKUP(E1449,[1]PrelimAssignPOP!$I$1:$J$947,2,FALSE)</f>
        <v>KIY</v>
      </c>
      <c r="L1449" s="25" t="s">
        <v>218</v>
      </c>
      <c r="M1449" s="25" t="s">
        <v>146</v>
      </c>
      <c r="N1449" s="25" t="s">
        <v>3161</v>
      </c>
    </row>
    <row r="1450" spans="1:14" x14ac:dyDescent="0.55000000000000004">
      <c r="A1450">
        <v>1449</v>
      </c>
      <c r="B1450" s="25" t="s">
        <v>91</v>
      </c>
      <c r="C1450" s="25">
        <v>25</v>
      </c>
      <c r="D1450" s="25" t="s">
        <v>4911</v>
      </c>
      <c r="E1450" s="25" t="s">
        <v>4916</v>
      </c>
      <c r="F1450" s="25">
        <v>13.26</v>
      </c>
      <c r="G1450" s="25" t="s">
        <v>1889</v>
      </c>
      <c r="H1450" s="25">
        <f>13.37</f>
        <v>13.37</v>
      </c>
      <c r="I1450" s="25">
        <f>13.37</f>
        <v>13.37</v>
      </c>
      <c r="J1450" s="25" t="s">
        <v>1891</v>
      </c>
      <c r="K1450" s="25" t="str">
        <f>VLOOKUP(E1450,[1]PrelimAssignPOP!$I$1:$J$947,2,FALSE)</f>
        <v>HYB</v>
      </c>
      <c r="L1450" s="25" t="s">
        <v>218</v>
      </c>
      <c r="M1450" s="25" t="s">
        <v>147</v>
      </c>
      <c r="N1450" s="25" t="s">
        <v>3162</v>
      </c>
    </row>
    <row r="1451" spans="1:14" x14ac:dyDescent="0.55000000000000004">
      <c r="A1451">
        <v>1450</v>
      </c>
      <c r="B1451" s="25" t="s">
        <v>91</v>
      </c>
      <c r="C1451" s="25">
        <v>25</v>
      </c>
      <c r="D1451" s="25" t="s">
        <v>4911</v>
      </c>
      <c r="E1451" s="25" t="s">
        <v>4917</v>
      </c>
      <c r="F1451" s="25">
        <v>13.22</v>
      </c>
      <c r="G1451" s="25" t="s">
        <v>1889</v>
      </c>
      <c r="H1451" s="25">
        <f>2.99+5.43+5.3</f>
        <v>13.719999999999999</v>
      </c>
      <c r="I1451" s="25">
        <f>2.99+5.43+5.3</f>
        <v>13.719999999999999</v>
      </c>
      <c r="J1451" s="25" t="s">
        <v>1891</v>
      </c>
      <c r="K1451" s="25" t="str">
        <f>VLOOKUP(E1451,[1]PrelimAssignPOP!$I$1:$J$947,2,FALSE)</f>
        <v>KIY</v>
      </c>
      <c r="L1451" s="25" t="s">
        <v>218</v>
      </c>
      <c r="M1451" s="25" t="s">
        <v>148</v>
      </c>
      <c r="N1451" s="25" t="s">
        <v>3163</v>
      </c>
    </row>
    <row r="1452" spans="1:14" x14ac:dyDescent="0.55000000000000004">
      <c r="A1452">
        <v>1451</v>
      </c>
      <c r="B1452" s="25" t="s">
        <v>91</v>
      </c>
      <c r="C1452" s="25">
        <v>25</v>
      </c>
      <c r="D1452" s="25" t="s">
        <v>4911</v>
      </c>
      <c r="E1452" s="25" t="s">
        <v>4918</v>
      </c>
      <c r="F1452" s="25">
        <v>14.18</v>
      </c>
      <c r="G1452" s="25" t="s">
        <v>1889</v>
      </c>
      <c r="H1452" s="25">
        <f>4.12+2.63+2.45+2.51+2.83</f>
        <v>14.54</v>
      </c>
      <c r="I1452" s="25">
        <f>4.12+2.63+2.45+2.51+2.83</f>
        <v>14.54</v>
      </c>
      <c r="J1452" s="25" t="s">
        <v>1891</v>
      </c>
      <c r="K1452" s="25" t="str">
        <f>VLOOKUP(E1452,[1]PrelimAssignPOP!$I$1:$J$947,2,FALSE)</f>
        <v>KIY</v>
      </c>
      <c r="L1452" s="25" t="s">
        <v>218</v>
      </c>
      <c r="M1452" s="25" t="s">
        <v>149</v>
      </c>
      <c r="N1452" s="25" t="s">
        <v>3164</v>
      </c>
    </row>
    <row r="1453" spans="1:14" x14ac:dyDescent="0.55000000000000004">
      <c r="A1453">
        <v>1452</v>
      </c>
      <c r="B1453" s="25" t="s">
        <v>91</v>
      </c>
      <c r="C1453" s="25">
        <v>25</v>
      </c>
      <c r="D1453" s="25" t="s">
        <v>4911</v>
      </c>
      <c r="E1453" s="25" t="s">
        <v>4919</v>
      </c>
      <c r="F1453" s="25">
        <v>12.83</v>
      </c>
      <c r="G1453" s="25" t="s">
        <v>1889</v>
      </c>
      <c r="H1453" s="25">
        <f>3.1+2.42+5.25+2.36</f>
        <v>13.129999999999999</v>
      </c>
      <c r="I1453" s="25">
        <f>3.1+2.42+5.25+2.36</f>
        <v>13.129999999999999</v>
      </c>
      <c r="J1453" s="25" t="s">
        <v>1891</v>
      </c>
      <c r="K1453" s="25" t="str">
        <f>VLOOKUP(E1453,[1]PrelimAssignPOP!$I$1:$J$947,2,FALSE)</f>
        <v>KIY</v>
      </c>
      <c r="L1453" s="25" t="s">
        <v>218</v>
      </c>
      <c r="M1453" s="25" t="s">
        <v>150</v>
      </c>
      <c r="N1453" s="25" t="s">
        <v>3165</v>
      </c>
    </row>
    <row r="1454" spans="1:14" x14ac:dyDescent="0.55000000000000004">
      <c r="A1454">
        <v>1453</v>
      </c>
      <c r="B1454" s="25" t="s">
        <v>91</v>
      </c>
      <c r="C1454" s="25">
        <v>25</v>
      </c>
      <c r="D1454" s="25" t="s">
        <v>4911</v>
      </c>
      <c r="E1454" s="25" t="s">
        <v>4920</v>
      </c>
      <c r="F1454" s="25">
        <v>13.4</v>
      </c>
      <c r="G1454" s="25" t="s">
        <v>1889</v>
      </c>
      <c r="H1454" s="25">
        <f>3.38+1.77+2.88+5.52</f>
        <v>13.55</v>
      </c>
      <c r="I1454" s="25">
        <f>3.38+1.77+2.88+5.52</f>
        <v>13.55</v>
      </c>
      <c r="J1454" s="25" t="s">
        <v>1891</v>
      </c>
      <c r="K1454" s="25" t="str">
        <f>VLOOKUP(E1454,[1]PrelimAssignPOP!$I$1:$J$947,2,FALSE)</f>
        <v>KIY</v>
      </c>
      <c r="L1454" s="25" t="s">
        <v>218</v>
      </c>
      <c r="M1454" s="25" t="s">
        <v>151</v>
      </c>
      <c r="N1454" s="25" t="s">
        <v>3166</v>
      </c>
    </row>
    <row r="1455" spans="1:14" x14ac:dyDescent="0.55000000000000004">
      <c r="A1455">
        <v>1454</v>
      </c>
      <c r="B1455" s="25" t="s">
        <v>91</v>
      </c>
      <c r="C1455" s="25">
        <v>25</v>
      </c>
      <c r="D1455" s="25" t="s">
        <v>4911</v>
      </c>
      <c r="E1455" s="25" t="s">
        <v>4921</v>
      </c>
      <c r="F1455" s="25">
        <v>14.61</v>
      </c>
      <c r="G1455" s="25" t="s">
        <v>1889</v>
      </c>
      <c r="H1455" s="25">
        <f>6.5+2.17+2.99+3.19</f>
        <v>14.85</v>
      </c>
      <c r="I1455" s="25">
        <f>6.5+2.17+2.99+3.19</f>
        <v>14.85</v>
      </c>
      <c r="J1455" s="25" t="s">
        <v>1891</v>
      </c>
      <c r="K1455" s="25" t="str">
        <f>VLOOKUP(E1455,[1]PrelimAssignPOP!$I$1:$J$947,2,FALSE)</f>
        <v>KIY</v>
      </c>
      <c r="L1455" s="25" t="s">
        <v>218</v>
      </c>
      <c r="M1455" s="25" t="s">
        <v>152</v>
      </c>
      <c r="N1455" s="25" t="s">
        <v>3167</v>
      </c>
    </row>
    <row r="1456" spans="1:14" x14ac:dyDescent="0.55000000000000004">
      <c r="A1456">
        <v>1455</v>
      </c>
      <c r="B1456" s="25" t="s">
        <v>91</v>
      </c>
      <c r="C1456" s="25">
        <v>25</v>
      </c>
      <c r="D1456" s="25" t="s">
        <v>4911</v>
      </c>
      <c r="E1456" s="25" t="s">
        <v>4922</v>
      </c>
      <c r="F1456" s="25">
        <v>13.25</v>
      </c>
      <c r="G1456" s="25" t="s">
        <v>1889</v>
      </c>
      <c r="H1456" s="25">
        <f>7.42+5.95</f>
        <v>13.370000000000001</v>
      </c>
      <c r="I1456" s="25">
        <f>7.42+5.95</f>
        <v>13.370000000000001</v>
      </c>
      <c r="J1456" s="25" t="s">
        <v>1891</v>
      </c>
      <c r="K1456" s="25" t="str">
        <f>VLOOKUP(E1456,[1]PrelimAssignPOP!$I$1:$J$947,2,FALSE)</f>
        <v>KIY</v>
      </c>
      <c r="L1456" s="25" t="s">
        <v>218</v>
      </c>
      <c r="M1456" s="25" t="s">
        <v>153</v>
      </c>
      <c r="N1456" s="25" t="s">
        <v>3168</v>
      </c>
    </row>
    <row r="1457" spans="1:14" x14ac:dyDescent="0.55000000000000004">
      <c r="A1457">
        <v>1456</v>
      </c>
      <c r="B1457" s="25" t="s">
        <v>91</v>
      </c>
      <c r="C1457" s="25">
        <v>25</v>
      </c>
      <c r="D1457" s="25" t="s">
        <v>4911</v>
      </c>
      <c r="E1457" s="25" t="s">
        <v>4923</v>
      </c>
      <c r="F1457" s="25">
        <v>14.64</v>
      </c>
      <c r="G1457" s="25" t="s">
        <v>1889</v>
      </c>
      <c r="H1457" s="25">
        <f>3.65+3.74+5.62+1.99</f>
        <v>15.000000000000002</v>
      </c>
      <c r="I1457" s="25">
        <f>3.65+3.74+5.62+1.99</f>
        <v>15.000000000000002</v>
      </c>
      <c r="J1457" s="25" t="s">
        <v>1891</v>
      </c>
      <c r="K1457" s="25" t="str">
        <f>VLOOKUP(E1457,[1]PrelimAssignPOP!$I$1:$J$947,2,FALSE)</f>
        <v>ART</v>
      </c>
      <c r="L1457" s="25" t="s">
        <v>218</v>
      </c>
      <c r="M1457" s="25" t="s">
        <v>154</v>
      </c>
      <c r="N1457" s="25" t="s">
        <v>3169</v>
      </c>
    </row>
    <row r="1458" spans="1:14" x14ac:dyDescent="0.55000000000000004">
      <c r="A1458">
        <v>1457</v>
      </c>
      <c r="B1458" s="25" t="s">
        <v>91</v>
      </c>
      <c r="C1458" s="25">
        <v>25</v>
      </c>
      <c r="D1458" s="25" t="s">
        <v>4911</v>
      </c>
      <c r="E1458" s="25" t="s">
        <v>4924</v>
      </c>
      <c r="F1458" s="25">
        <v>14.24</v>
      </c>
      <c r="G1458" s="25" t="s">
        <v>1889</v>
      </c>
      <c r="H1458" s="25">
        <f>7.03+3.15+4.35</f>
        <v>14.53</v>
      </c>
      <c r="I1458" s="25">
        <f>7.03+3.15+4.35</f>
        <v>14.53</v>
      </c>
      <c r="J1458" s="25" t="s">
        <v>1891</v>
      </c>
      <c r="N1458" s="25" t="s">
        <v>3170</v>
      </c>
    </row>
    <row r="1459" spans="1:14" x14ac:dyDescent="0.55000000000000004">
      <c r="A1459">
        <v>1458</v>
      </c>
      <c r="B1459" s="25" t="s">
        <v>91</v>
      </c>
      <c r="C1459" s="25">
        <v>25</v>
      </c>
      <c r="D1459" s="25" t="s">
        <v>4911</v>
      </c>
      <c r="E1459" s="25" t="s">
        <v>4925</v>
      </c>
      <c r="F1459" s="25">
        <v>14.66</v>
      </c>
      <c r="G1459" s="25" t="s">
        <v>1889</v>
      </c>
      <c r="H1459" s="25">
        <f>9.42+2.76+2.73</f>
        <v>14.91</v>
      </c>
      <c r="I1459" s="25">
        <f>9.42+2.76+2.73</f>
        <v>14.91</v>
      </c>
      <c r="J1459" s="25" t="s">
        <v>1891</v>
      </c>
      <c r="N1459" s="25" t="s">
        <v>3171</v>
      </c>
    </row>
    <row r="1460" spans="1:14" x14ac:dyDescent="0.55000000000000004">
      <c r="A1460">
        <v>1459</v>
      </c>
      <c r="B1460" s="25" t="s">
        <v>91</v>
      </c>
      <c r="C1460" s="25">
        <v>25</v>
      </c>
      <c r="D1460" s="25" t="s">
        <v>4911</v>
      </c>
      <c r="E1460" s="25" t="s">
        <v>4926</v>
      </c>
      <c r="F1460" s="25">
        <v>14.22</v>
      </c>
      <c r="G1460" s="25" t="s">
        <v>1889</v>
      </c>
      <c r="H1460" s="25">
        <f>3.22+11.16</f>
        <v>14.38</v>
      </c>
      <c r="I1460" s="25">
        <f>3.22+11.16</f>
        <v>14.38</v>
      </c>
      <c r="J1460" s="25" t="s">
        <v>1891</v>
      </c>
      <c r="N1460" s="25" t="s">
        <v>3172</v>
      </c>
    </row>
    <row r="1461" spans="1:14" x14ac:dyDescent="0.55000000000000004">
      <c r="A1461">
        <v>1460</v>
      </c>
      <c r="B1461" s="25" t="s">
        <v>91</v>
      </c>
      <c r="C1461" s="25">
        <v>25</v>
      </c>
      <c r="D1461" s="25" t="s">
        <v>4911</v>
      </c>
      <c r="E1461" s="25" t="s">
        <v>4927</v>
      </c>
      <c r="F1461" s="25">
        <v>15.14</v>
      </c>
      <c r="G1461" s="25" t="s">
        <v>1889</v>
      </c>
      <c r="H1461" s="25">
        <f>3.93+5.08+2.99+1.22+2.21</f>
        <v>15.43</v>
      </c>
      <c r="I1461" s="25">
        <f>3.93+5.08+2.99+1.22+2.21</f>
        <v>15.43</v>
      </c>
      <c r="J1461" s="25" t="s">
        <v>1891</v>
      </c>
      <c r="N1461" s="25" t="s">
        <v>3173</v>
      </c>
    </row>
    <row r="1462" spans="1:14" x14ac:dyDescent="0.55000000000000004">
      <c r="A1462">
        <v>1461</v>
      </c>
      <c r="B1462" s="25" t="s">
        <v>91</v>
      </c>
      <c r="C1462" s="25">
        <v>25</v>
      </c>
      <c r="D1462" s="25" t="s">
        <v>4911</v>
      </c>
      <c r="E1462" s="25" t="s">
        <v>4928</v>
      </c>
      <c r="F1462" s="25">
        <v>14.36</v>
      </c>
      <c r="G1462" s="25" t="s">
        <v>1889</v>
      </c>
      <c r="H1462" s="25">
        <f>2.19+2.58+3.62+2.72+3.03</f>
        <v>14.14</v>
      </c>
      <c r="I1462" s="25">
        <f>2.19+2.58+3.62+2.72+3.03</f>
        <v>14.14</v>
      </c>
      <c r="J1462" s="25" t="s">
        <v>1891</v>
      </c>
      <c r="N1462" s="25" t="s">
        <v>3174</v>
      </c>
    </row>
    <row r="1463" spans="1:14" x14ac:dyDescent="0.55000000000000004">
      <c r="A1463">
        <v>1462</v>
      </c>
      <c r="B1463" s="25" t="s">
        <v>91</v>
      </c>
      <c r="C1463" s="25">
        <v>25</v>
      </c>
      <c r="D1463" s="25" t="s">
        <v>4911</v>
      </c>
      <c r="E1463" s="25" t="s">
        <v>4929</v>
      </c>
      <c r="F1463" s="25">
        <v>15.09</v>
      </c>
      <c r="G1463" s="25" t="s">
        <v>1889</v>
      </c>
      <c r="H1463" s="25">
        <f>2.32+6.37+6.6</f>
        <v>15.29</v>
      </c>
      <c r="I1463" s="25">
        <f>2.32+6.37+6.6</f>
        <v>15.29</v>
      </c>
      <c r="J1463" s="25" t="s">
        <v>1891</v>
      </c>
      <c r="N1463" s="25" t="s">
        <v>3175</v>
      </c>
    </row>
    <row r="1464" spans="1:14" x14ac:dyDescent="0.55000000000000004">
      <c r="A1464">
        <v>1463</v>
      </c>
      <c r="B1464" s="25" t="s">
        <v>91</v>
      </c>
      <c r="C1464" s="25">
        <v>25</v>
      </c>
      <c r="D1464" s="25" t="s">
        <v>4911</v>
      </c>
      <c r="E1464" s="25" t="s">
        <v>4930</v>
      </c>
      <c r="F1464" s="25">
        <v>14.52</v>
      </c>
      <c r="G1464" s="25" t="s">
        <v>1889</v>
      </c>
      <c r="H1464" s="25">
        <f>6.06+4.19+4.29</f>
        <v>14.54</v>
      </c>
      <c r="I1464" s="25">
        <f>6.06+4.19+4.29</f>
        <v>14.54</v>
      </c>
      <c r="J1464" s="25" t="s">
        <v>1891</v>
      </c>
      <c r="N1464" s="25" t="s">
        <v>3176</v>
      </c>
    </row>
    <row r="1465" spans="1:14" x14ac:dyDescent="0.55000000000000004">
      <c r="A1465">
        <v>1464</v>
      </c>
      <c r="B1465" s="25" t="s">
        <v>91</v>
      </c>
      <c r="C1465" s="25">
        <v>25</v>
      </c>
      <c r="D1465" s="25" t="s">
        <v>4911</v>
      </c>
      <c r="E1465" s="25" t="s">
        <v>4931</v>
      </c>
      <c r="F1465" s="25">
        <v>14.68</v>
      </c>
      <c r="G1465" s="25" t="s">
        <v>1889</v>
      </c>
      <c r="H1465" s="25">
        <f>3.54+4.33+4.18+2.93</f>
        <v>14.98</v>
      </c>
      <c r="I1465" s="25">
        <f>3.54+4.33+4.18+2.93</f>
        <v>14.98</v>
      </c>
      <c r="J1465" s="25" t="s">
        <v>1891</v>
      </c>
      <c r="N1465" s="25" t="s">
        <v>3177</v>
      </c>
    </row>
    <row r="1466" spans="1:14" x14ac:dyDescent="0.55000000000000004">
      <c r="A1466">
        <v>1465</v>
      </c>
      <c r="B1466" s="25" t="s">
        <v>91</v>
      </c>
      <c r="C1466" s="25">
        <v>25</v>
      </c>
      <c r="D1466" s="25" t="s">
        <v>4911</v>
      </c>
      <c r="E1466" s="25" t="s">
        <v>4932</v>
      </c>
      <c r="F1466" s="25">
        <v>16.600000000000001</v>
      </c>
      <c r="G1466" s="25" t="s">
        <v>2113</v>
      </c>
      <c r="I1466" s="25">
        <v>16.600000000000001</v>
      </c>
      <c r="J1466" s="25" t="s">
        <v>110</v>
      </c>
    </row>
    <row r="1467" spans="1:14" x14ac:dyDescent="0.55000000000000004">
      <c r="A1467">
        <v>1466</v>
      </c>
      <c r="B1467" s="25" t="s">
        <v>91</v>
      </c>
      <c r="C1467" s="25">
        <v>25</v>
      </c>
      <c r="D1467" s="25" t="s">
        <v>4911</v>
      </c>
      <c r="E1467" s="25" t="s">
        <v>4933</v>
      </c>
      <c r="F1467" s="25">
        <v>16.149999999999999</v>
      </c>
      <c r="G1467" s="25" t="s">
        <v>2113</v>
      </c>
      <c r="I1467" s="25">
        <v>16.149999999999999</v>
      </c>
      <c r="J1467" s="25" t="s">
        <v>110</v>
      </c>
    </row>
    <row r="1468" spans="1:14" x14ac:dyDescent="0.55000000000000004">
      <c r="A1468">
        <v>1467</v>
      </c>
      <c r="B1468" s="25" t="s">
        <v>91</v>
      </c>
      <c r="C1468" s="25">
        <v>25</v>
      </c>
      <c r="D1468" s="25" t="s">
        <v>4911</v>
      </c>
      <c r="E1468" s="25" t="s">
        <v>4934</v>
      </c>
      <c r="F1468" s="25">
        <v>16.399999999999999</v>
      </c>
      <c r="G1468" s="25" t="s">
        <v>2113</v>
      </c>
      <c r="I1468" s="25">
        <v>16.399999999999999</v>
      </c>
      <c r="J1468" s="25" t="s">
        <v>110</v>
      </c>
    </row>
    <row r="1469" spans="1:14" x14ac:dyDescent="0.55000000000000004">
      <c r="A1469">
        <v>1468</v>
      </c>
      <c r="B1469" s="25" t="s">
        <v>91</v>
      </c>
      <c r="C1469" s="25">
        <v>25</v>
      </c>
      <c r="D1469" s="25" t="s">
        <v>4911</v>
      </c>
      <c r="E1469" s="25" t="s">
        <v>4935</v>
      </c>
      <c r="F1469" s="25">
        <v>15.65</v>
      </c>
      <c r="G1469" s="25" t="s">
        <v>2113</v>
      </c>
      <c r="I1469" s="25">
        <v>15.65</v>
      </c>
      <c r="J1469" s="25" t="s">
        <v>110</v>
      </c>
    </row>
    <row r="1470" spans="1:14" x14ac:dyDescent="0.55000000000000004">
      <c r="A1470">
        <v>1469</v>
      </c>
      <c r="B1470" s="25" t="s">
        <v>91</v>
      </c>
      <c r="C1470" s="25">
        <v>25</v>
      </c>
      <c r="D1470" s="25" t="s">
        <v>4911</v>
      </c>
      <c r="E1470" s="25" t="s">
        <v>4936</v>
      </c>
      <c r="F1470" s="25">
        <v>17.93</v>
      </c>
      <c r="G1470" s="25" t="s">
        <v>2113</v>
      </c>
      <c r="I1470" s="25">
        <v>17.93</v>
      </c>
      <c r="J1470" s="25" t="s">
        <v>110</v>
      </c>
    </row>
    <row r="1471" spans="1:14" x14ac:dyDescent="0.55000000000000004">
      <c r="A1471">
        <v>1470</v>
      </c>
      <c r="B1471" s="25" t="s">
        <v>92</v>
      </c>
      <c r="C1471" s="25">
        <v>8</v>
      </c>
      <c r="D1471" s="25" t="s">
        <v>4937</v>
      </c>
      <c r="E1471" s="25" t="s">
        <v>4938</v>
      </c>
      <c r="F1471" s="25">
        <v>15.3</v>
      </c>
      <c r="G1471" s="25" t="s">
        <v>1889</v>
      </c>
      <c r="H1471" s="25">
        <f>3.81+7.59+4.41</f>
        <v>15.81</v>
      </c>
      <c r="I1471" s="25">
        <f>3.81+7.59+4.41</f>
        <v>15.81</v>
      </c>
      <c r="J1471" s="25" t="s">
        <v>1891</v>
      </c>
      <c r="K1471" s="25" t="str">
        <f>VLOOKUP(E1471,[1]PrelimAssignPOP!$I$1:$J$947,2,FALSE)</f>
        <v>KIY</v>
      </c>
      <c r="L1471" s="25" t="s">
        <v>218</v>
      </c>
      <c r="M1471" s="25" t="s">
        <v>117</v>
      </c>
      <c r="N1471" s="25" t="s">
        <v>3178</v>
      </c>
    </row>
    <row r="1472" spans="1:14" x14ac:dyDescent="0.55000000000000004">
      <c r="A1472">
        <v>1471</v>
      </c>
      <c r="B1472" s="25" t="s">
        <v>92</v>
      </c>
      <c r="C1472" s="25">
        <v>8</v>
      </c>
      <c r="D1472" s="25" t="s">
        <v>4937</v>
      </c>
      <c r="E1472" s="25" t="s">
        <v>4939</v>
      </c>
      <c r="F1472" s="25">
        <v>12.91</v>
      </c>
      <c r="G1472" s="25" t="s">
        <v>1889</v>
      </c>
      <c r="H1472" s="25">
        <f>9.79+1.88+1.55</f>
        <v>13.219999999999999</v>
      </c>
      <c r="I1472" s="25">
        <f>9.79+1.88+1.55</f>
        <v>13.219999999999999</v>
      </c>
      <c r="J1472" s="25" t="s">
        <v>1891</v>
      </c>
      <c r="K1472" s="25" t="str">
        <f>VLOOKUP(E1472,[1]PrelimAssignPOP!$I$1:$J$947,2,FALSE)</f>
        <v>KIY</v>
      </c>
      <c r="L1472" s="25" t="s">
        <v>218</v>
      </c>
      <c r="M1472" s="25" t="s">
        <v>155</v>
      </c>
      <c r="N1472" s="25" t="s">
        <v>3179</v>
      </c>
    </row>
    <row r="1473" spans="1:14" x14ac:dyDescent="0.55000000000000004">
      <c r="A1473">
        <v>1472</v>
      </c>
      <c r="B1473" s="25" t="s">
        <v>92</v>
      </c>
      <c r="C1473" s="25">
        <v>8</v>
      </c>
      <c r="D1473" s="25" t="s">
        <v>4937</v>
      </c>
      <c r="E1473" s="25" t="s">
        <v>4940</v>
      </c>
      <c r="F1473" s="25">
        <v>12.83</v>
      </c>
      <c r="G1473" s="25" t="s">
        <v>1889</v>
      </c>
      <c r="H1473" s="25">
        <f>4.66+1.72+6.73</f>
        <v>13.11</v>
      </c>
      <c r="I1473" s="25">
        <f>4.66+1.72+6.73</f>
        <v>13.11</v>
      </c>
      <c r="J1473" s="25" t="s">
        <v>1891</v>
      </c>
      <c r="K1473" s="25" t="str">
        <f>VLOOKUP(E1473,[1]PrelimAssignPOP!$I$1:$J$947,2,FALSE)</f>
        <v>KIY</v>
      </c>
      <c r="L1473" s="25" t="s">
        <v>218</v>
      </c>
      <c r="M1473" s="25" t="s">
        <v>156</v>
      </c>
      <c r="N1473" s="25" t="s">
        <v>3180</v>
      </c>
    </row>
    <row r="1474" spans="1:14" x14ac:dyDescent="0.55000000000000004">
      <c r="A1474">
        <v>1473</v>
      </c>
      <c r="B1474" s="25" t="s">
        <v>92</v>
      </c>
      <c r="C1474" s="25">
        <v>8</v>
      </c>
      <c r="D1474" s="25" t="s">
        <v>4937</v>
      </c>
      <c r="E1474" s="25" t="s">
        <v>4941</v>
      </c>
      <c r="F1474" s="25">
        <v>11.83</v>
      </c>
      <c r="G1474" s="25" t="s">
        <v>1889</v>
      </c>
      <c r="H1474" s="25">
        <f>2.58+2.21+3.26+1.62+2.18</f>
        <v>11.850000000000001</v>
      </c>
      <c r="I1474" s="25">
        <f>2.58+2.21+3.26+1.62+2.18</f>
        <v>11.850000000000001</v>
      </c>
      <c r="J1474" s="25" t="s">
        <v>1891</v>
      </c>
      <c r="K1474" s="25" t="str">
        <f>VLOOKUP(E1474,[1]PrelimAssignPOP!$I$1:$J$947,2,FALSE)</f>
        <v>KIY</v>
      </c>
      <c r="L1474" s="25" t="s">
        <v>218</v>
      </c>
      <c r="M1474" s="25" t="s">
        <v>157</v>
      </c>
      <c r="N1474" s="25" t="s">
        <v>3181</v>
      </c>
    </row>
    <row r="1475" spans="1:14" x14ac:dyDescent="0.55000000000000004">
      <c r="A1475">
        <v>1474</v>
      </c>
      <c r="B1475" s="25" t="s">
        <v>92</v>
      </c>
      <c r="C1475" s="25">
        <v>8</v>
      </c>
      <c r="D1475" s="25" t="s">
        <v>4937</v>
      </c>
      <c r="E1475" s="25" t="s">
        <v>4942</v>
      </c>
      <c r="F1475" s="25">
        <v>13.95</v>
      </c>
      <c r="G1475" s="25" t="s">
        <v>1889</v>
      </c>
      <c r="H1475" s="25">
        <f>3.32+1.84+6+2.87</f>
        <v>14.030000000000001</v>
      </c>
      <c r="I1475" s="25">
        <f>3.32+1.84+6+2.87</f>
        <v>14.030000000000001</v>
      </c>
      <c r="J1475" s="25" t="s">
        <v>1891</v>
      </c>
      <c r="K1475" s="25" t="str">
        <f>VLOOKUP(E1475,[1]PrelimAssignPOP!$I$1:$J$947,2,FALSE)</f>
        <v>ART</v>
      </c>
      <c r="L1475" s="25" t="s">
        <v>218</v>
      </c>
      <c r="M1475" s="25" t="s">
        <v>158</v>
      </c>
      <c r="N1475" s="25" t="s">
        <v>3182</v>
      </c>
    </row>
    <row r="1476" spans="1:14" x14ac:dyDescent="0.55000000000000004">
      <c r="A1476">
        <v>1475</v>
      </c>
      <c r="B1476" s="25" t="s">
        <v>92</v>
      </c>
      <c r="C1476" s="25">
        <v>8</v>
      </c>
      <c r="D1476" s="25" t="s">
        <v>4937</v>
      </c>
      <c r="E1476" s="25" t="s">
        <v>4943</v>
      </c>
      <c r="F1476" s="25">
        <v>12.71</v>
      </c>
      <c r="G1476" s="25" t="s">
        <v>1889</v>
      </c>
      <c r="H1476" s="25">
        <f>3.6+3.71+1.69+1.86+2.14</f>
        <v>13</v>
      </c>
      <c r="I1476" s="25">
        <f>3.6+3.71+1.69+1.86+2.14</f>
        <v>13</v>
      </c>
      <c r="J1476" s="25" t="s">
        <v>1891</v>
      </c>
      <c r="K1476" s="25" t="str">
        <f>VLOOKUP(E1476,[1]PrelimAssignPOP!$I$1:$J$947,2,FALSE)</f>
        <v>KIY</v>
      </c>
      <c r="L1476" s="25" t="s">
        <v>218</v>
      </c>
      <c r="M1476" s="25" t="s">
        <v>159</v>
      </c>
      <c r="N1476" s="25" t="s">
        <v>3183</v>
      </c>
    </row>
    <row r="1477" spans="1:14" x14ac:dyDescent="0.55000000000000004">
      <c r="A1477">
        <v>1476</v>
      </c>
      <c r="B1477" s="25" t="s">
        <v>92</v>
      </c>
      <c r="C1477" s="25">
        <v>8</v>
      </c>
      <c r="D1477" s="25" t="s">
        <v>4937</v>
      </c>
      <c r="E1477" s="25" t="s">
        <v>4944</v>
      </c>
      <c r="F1477" s="25">
        <v>15.37</v>
      </c>
      <c r="G1477" s="25" t="s">
        <v>1889</v>
      </c>
      <c r="H1477" s="25">
        <f>3.58+3.82+4.1+3.82</f>
        <v>15.32</v>
      </c>
      <c r="I1477" s="25">
        <f>3.58+3.82+4.1+3.82</f>
        <v>15.32</v>
      </c>
      <c r="J1477" s="25" t="s">
        <v>1891</v>
      </c>
      <c r="K1477" s="25" t="str">
        <f>VLOOKUP(E1477,[1]PrelimAssignPOP!$I$1:$J$947,2,FALSE)</f>
        <v>ART</v>
      </c>
      <c r="L1477" s="25" t="s">
        <v>218</v>
      </c>
      <c r="M1477" s="25" t="s">
        <v>160</v>
      </c>
      <c r="N1477" s="25" t="s">
        <v>3184</v>
      </c>
    </row>
    <row r="1478" spans="1:14" x14ac:dyDescent="0.55000000000000004">
      <c r="A1478">
        <v>1477</v>
      </c>
      <c r="B1478" s="25" t="s">
        <v>92</v>
      </c>
      <c r="C1478" s="25">
        <v>8</v>
      </c>
      <c r="D1478" s="25" t="s">
        <v>4937</v>
      </c>
      <c r="E1478" s="25" t="s">
        <v>4945</v>
      </c>
      <c r="F1478" s="25">
        <v>15.23</v>
      </c>
      <c r="G1478" s="25" t="s">
        <v>1889</v>
      </c>
      <c r="H1478" s="25">
        <f>2.79+5.45+2.35+5.03</f>
        <v>15.620000000000001</v>
      </c>
      <c r="I1478" s="25">
        <f>2.79+5.45+2.35+5.03</f>
        <v>15.620000000000001</v>
      </c>
      <c r="J1478" s="25" t="s">
        <v>1891</v>
      </c>
      <c r="K1478" s="25" t="str">
        <f>VLOOKUP(E1478,[1]PrelimAssignPOP!$I$1:$J$947,2,FALSE)</f>
        <v>KIY</v>
      </c>
      <c r="L1478" s="25" t="s">
        <v>218</v>
      </c>
      <c r="M1478" s="25" t="s">
        <v>161</v>
      </c>
      <c r="N1478" s="25" t="s">
        <v>3185</v>
      </c>
    </row>
    <row r="1479" spans="1:14" x14ac:dyDescent="0.55000000000000004">
      <c r="A1479">
        <v>1478</v>
      </c>
      <c r="B1479" s="25" t="s">
        <v>93</v>
      </c>
      <c r="C1479" s="25">
        <v>2</v>
      </c>
      <c r="D1479" s="25" t="s">
        <v>4946</v>
      </c>
      <c r="E1479" s="25" t="s">
        <v>4947</v>
      </c>
      <c r="F1479" s="25">
        <v>13.54</v>
      </c>
      <c r="G1479" s="25" t="s">
        <v>1889</v>
      </c>
      <c r="H1479" s="25">
        <f>2.34+4.95+2.55+3.96</f>
        <v>13.8</v>
      </c>
      <c r="I1479" s="25">
        <f>2.34+4.95+2.55+3.96</f>
        <v>13.8</v>
      </c>
      <c r="J1479" s="25" t="s">
        <v>1891</v>
      </c>
      <c r="K1479" s="25" t="str">
        <f>VLOOKUP(E1479,[1]PrelimAssignPOP!$I$1:$J$947,2,FALSE)</f>
        <v>ART</v>
      </c>
      <c r="L1479" s="25" t="s">
        <v>218</v>
      </c>
      <c r="M1479" s="25" t="s">
        <v>162</v>
      </c>
      <c r="N1479" s="25" t="s">
        <v>3186</v>
      </c>
    </row>
    <row r="1480" spans="1:14" x14ac:dyDescent="0.55000000000000004">
      <c r="A1480">
        <v>1479</v>
      </c>
      <c r="B1480" s="25" t="s">
        <v>93</v>
      </c>
      <c r="C1480" s="25">
        <v>2</v>
      </c>
      <c r="D1480" s="25" t="s">
        <v>4946</v>
      </c>
      <c r="E1480" s="25" t="s">
        <v>4948</v>
      </c>
      <c r="F1480" s="25">
        <v>14.28</v>
      </c>
      <c r="G1480" s="25" t="s">
        <v>1889</v>
      </c>
      <c r="H1480" s="25">
        <f>4.21+7.14+2.92</f>
        <v>14.27</v>
      </c>
      <c r="I1480" s="25">
        <f>4.21+7.14+2.92</f>
        <v>14.27</v>
      </c>
      <c r="J1480" s="25" t="s">
        <v>1891</v>
      </c>
      <c r="K1480" s="25" t="str">
        <f>VLOOKUP(E1480,[1]PrelimAssignPOP!$I$1:$J$947,2,FALSE)</f>
        <v>ART</v>
      </c>
      <c r="L1480" s="25" t="s">
        <v>218</v>
      </c>
      <c r="M1480" s="25" t="s">
        <v>163</v>
      </c>
      <c r="N1480" s="25" t="s">
        <v>3187</v>
      </c>
    </row>
    <row r="1481" spans="1:14" x14ac:dyDescent="0.55000000000000004">
      <c r="A1481">
        <v>1480</v>
      </c>
      <c r="B1481" s="25" t="s">
        <v>94</v>
      </c>
      <c r="C1481" s="25">
        <v>2</v>
      </c>
      <c r="D1481" s="25" t="s">
        <v>4949</v>
      </c>
      <c r="E1481" s="25" t="s">
        <v>4950</v>
      </c>
      <c r="F1481" s="25">
        <v>15.36</v>
      </c>
      <c r="G1481" s="25" t="s">
        <v>1889</v>
      </c>
      <c r="H1481" s="25">
        <f>3.63+4.91+2.03+4.85</f>
        <v>15.419999999999998</v>
      </c>
      <c r="I1481" s="25">
        <f>3.63+4.91+2.03+4.85</f>
        <v>15.419999999999998</v>
      </c>
      <c r="J1481" s="25" t="s">
        <v>1891</v>
      </c>
      <c r="K1481" s="25" t="str">
        <f>VLOOKUP(E1481,[1]PrelimAssignPOP!$I$1:$J$947,2,FALSE)</f>
        <v>ART</v>
      </c>
      <c r="L1481" s="25" t="s">
        <v>218</v>
      </c>
      <c r="M1481" s="25" t="s">
        <v>164</v>
      </c>
      <c r="N1481" s="25" t="s">
        <v>3188</v>
      </c>
    </row>
    <row r="1482" spans="1:14" x14ac:dyDescent="0.55000000000000004">
      <c r="A1482">
        <v>1481</v>
      </c>
      <c r="B1482" s="25" t="s">
        <v>94</v>
      </c>
      <c r="C1482" s="25">
        <v>2</v>
      </c>
      <c r="D1482" s="25" t="s">
        <v>4949</v>
      </c>
      <c r="E1482" s="25" t="s">
        <v>4951</v>
      </c>
      <c r="F1482" s="25">
        <v>12.34</v>
      </c>
      <c r="G1482" s="25" t="s">
        <v>1889</v>
      </c>
      <c r="H1482" s="25">
        <f>2.6+1.49+2.36+3.77+2.32</f>
        <v>12.54</v>
      </c>
      <c r="I1482" s="25">
        <f>2.6+1.49+2.36+3.77+2.32</f>
        <v>12.54</v>
      </c>
      <c r="J1482" s="25" t="s">
        <v>1891</v>
      </c>
      <c r="K1482" s="25" t="str">
        <f>VLOOKUP(E1482,[1]PrelimAssignPOP!$I$1:$J$947,2,FALSE)</f>
        <v>ART</v>
      </c>
      <c r="L1482" s="25" t="s">
        <v>218</v>
      </c>
      <c r="M1482" s="25" t="s">
        <v>165</v>
      </c>
      <c r="N1482" s="25" t="s">
        <v>3189</v>
      </c>
    </row>
    <row r="1483" spans="1:14" x14ac:dyDescent="0.55000000000000004">
      <c r="A1483">
        <v>1482</v>
      </c>
      <c r="B1483" s="25" t="s">
        <v>95</v>
      </c>
      <c r="C1483" s="25">
        <v>4</v>
      </c>
      <c r="D1483" s="25" t="s">
        <v>4952</v>
      </c>
      <c r="E1483" s="25" t="s">
        <v>4953</v>
      </c>
      <c r="F1483" s="25">
        <v>13.04</v>
      </c>
      <c r="G1483" s="25" t="s">
        <v>1889</v>
      </c>
      <c r="H1483" s="25">
        <f>3.93+4.52+2.08+2.69</f>
        <v>13.219999999999999</v>
      </c>
      <c r="I1483" s="25">
        <f>3.93+4.52+2.08+2.69</f>
        <v>13.219999999999999</v>
      </c>
      <c r="J1483" s="25" t="s">
        <v>1891</v>
      </c>
      <c r="K1483" s="25" t="str">
        <f>VLOOKUP(E1483,[1]PrelimAssignPOP!$I$1:$J$947,2,FALSE)</f>
        <v>ART</v>
      </c>
      <c r="L1483" s="25" t="s">
        <v>218</v>
      </c>
      <c r="M1483" s="25" t="s">
        <v>118</v>
      </c>
      <c r="N1483" s="25" t="s">
        <v>3190</v>
      </c>
    </row>
    <row r="1484" spans="1:14" x14ac:dyDescent="0.55000000000000004">
      <c r="A1484">
        <v>1483</v>
      </c>
      <c r="B1484" s="25" t="s">
        <v>95</v>
      </c>
      <c r="C1484" s="25">
        <v>4</v>
      </c>
      <c r="D1484" s="25" t="s">
        <v>4952</v>
      </c>
      <c r="E1484" s="25" t="s">
        <v>4954</v>
      </c>
      <c r="F1484" s="25">
        <v>11.06</v>
      </c>
      <c r="G1484" s="25" t="s">
        <v>1889</v>
      </c>
      <c r="H1484" s="25">
        <f>2.35+0.89+4.03+3.97</f>
        <v>11.24</v>
      </c>
      <c r="I1484" s="25">
        <f>2.35+0.89+4.03+3.97</f>
        <v>11.24</v>
      </c>
      <c r="J1484" s="25" t="s">
        <v>1891</v>
      </c>
      <c r="K1484" s="25" t="str">
        <f>VLOOKUP(E1484,[1]PrelimAssignPOP!$I$1:$J$947,2,FALSE)</f>
        <v>HYB</v>
      </c>
      <c r="L1484" s="25" t="s">
        <v>218</v>
      </c>
      <c r="M1484" s="25" t="s">
        <v>166</v>
      </c>
      <c r="N1484" s="25" t="s">
        <v>3191</v>
      </c>
    </row>
    <row r="1485" spans="1:14" x14ac:dyDescent="0.55000000000000004">
      <c r="A1485">
        <v>1484</v>
      </c>
      <c r="B1485" s="25" t="s">
        <v>95</v>
      </c>
      <c r="C1485" s="25">
        <v>4</v>
      </c>
      <c r="D1485" s="25" t="s">
        <v>4952</v>
      </c>
      <c r="E1485" s="25" t="s">
        <v>4955</v>
      </c>
      <c r="F1485" s="25">
        <v>13.01</v>
      </c>
      <c r="G1485" s="25" t="s">
        <v>1889</v>
      </c>
      <c r="H1485" s="25">
        <f>3.06+5.89+4.12</f>
        <v>13.07</v>
      </c>
      <c r="I1485" s="25">
        <f>3.06+5.89+4.12</f>
        <v>13.07</v>
      </c>
      <c r="J1485" s="25" t="s">
        <v>1891</v>
      </c>
      <c r="K1485" s="25" t="str">
        <f>VLOOKUP(E1485,[1]PrelimAssignPOP!$I$1:$J$947,2,FALSE)</f>
        <v>ART</v>
      </c>
      <c r="L1485" s="25" t="s">
        <v>218</v>
      </c>
      <c r="M1485" s="25" t="s">
        <v>167</v>
      </c>
      <c r="N1485" s="25" t="s">
        <v>3192</v>
      </c>
    </row>
    <row r="1486" spans="1:14" x14ac:dyDescent="0.55000000000000004">
      <c r="A1486">
        <v>1485</v>
      </c>
      <c r="B1486" s="25" t="s">
        <v>95</v>
      </c>
      <c r="C1486" s="25">
        <v>4</v>
      </c>
      <c r="D1486" s="25" t="s">
        <v>4952</v>
      </c>
      <c r="E1486" s="25" t="s">
        <v>4956</v>
      </c>
      <c r="F1486" s="25">
        <v>13.19</v>
      </c>
      <c r="G1486" s="25" t="s">
        <v>1889</v>
      </c>
      <c r="H1486" s="25">
        <f>3.1+2.24+2.73+5.2</f>
        <v>13.27</v>
      </c>
      <c r="I1486" s="25">
        <f>3.1+2.24+2.73+5.2</f>
        <v>13.27</v>
      </c>
      <c r="J1486" s="25" t="s">
        <v>1891</v>
      </c>
      <c r="K1486" s="25" t="str">
        <f>VLOOKUP(E1486,[1]PrelimAssignPOP!$I$1:$J$947,2,FALSE)</f>
        <v>ART</v>
      </c>
      <c r="L1486" s="25" t="s">
        <v>218</v>
      </c>
      <c r="M1486" s="25" t="s">
        <v>168</v>
      </c>
      <c r="N1486" s="25" t="s">
        <v>3193</v>
      </c>
    </row>
    <row r="1487" spans="1:14" x14ac:dyDescent="0.55000000000000004">
      <c r="A1487">
        <v>1486</v>
      </c>
      <c r="B1487" s="25" t="s">
        <v>96</v>
      </c>
      <c r="C1487" s="25">
        <v>25</v>
      </c>
      <c r="D1487" s="25" t="s">
        <v>4957</v>
      </c>
      <c r="E1487" s="25" t="s">
        <v>4958</v>
      </c>
      <c r="F1487" s="25">
        <v>14.03</v>
      </c>
      <c r="G1487" s="25" t="s">
        <v>1889</v>
      </c>
      <c r="H1487" s="25">
        <f>6.07+3.08+2.39+2.59</f>
        <v>14.13</v>
      </c>
      <c r="I1487" s="25">
        <f>6.07+3.08+2.39+2.59</f>
        <v>14.13</v>
      </c>
      <c r="J1487" s="25" t="s">
        <v>1891</v>
      </c>
      <c r="K1487" s="25" t="str">
        <f>VLOOKUP(E1487,[1]PrelimAssignPOP!$I$1:$J$947,2,FALSE)</f>
        <v>HYB</v>
      </c>
      <c r="L1487" s="25" t="s">
        <v>218</v>
      </c>
      <c r="M1487" s="25" t="s">
        <v>169</v>
      </c>
      <c r="N1487" s="25" t="s">
        <v>3194</v>
      </c>
    </row>
    <row r="1488" spans="1:14" x14ac:dyDescent="0.55000000000000004">
      <c r="A1488">
        <v>1487</v>
      </c>
      <c r="B1488" s="25" t="s">
        <v>96</v>
      </c>
      <c r="C1488" s="25">
        <v>25</v>
      </c>
      <c r="D1488" s="25" t="s">
        <v>4957</v>
      </c>
      <c r="E1488" s="25" t="s">
        <v>4959</v>
      </c>
      <c r="F1488" s="25">
        <v>12.39</v>
      </c>
      <c r="G1488" s="25" t="s">
        <v>1889</v>
      </c>
      <c r="H1488" s="25">
        <f>3.93+6.54+2.16</f>
        <v>12.63</v>
      </c>
      <c r="I1488" s="25">
        <f>3.93+6.54+2.16</f>
        <v>12.63</v>
      </c>
      <c r="J1488" s="25" t="s">
        <v>1891</v>
      </c>
      <c r="K1488" s="25" t="str">
        <f>VLOOKUP(E1488,[1]PrelimAssignPOP!$I$1:$J$947,2,FALSE)</f>
        <v>HYB</v>
      </c>
      <c r="L1488" s="25" t="s">
        <v>218</v>
      </c>
      <c r="M1488" s="25" t="s">
        <v>170</v>
      </c>
      <c r="N1488" s="25" t="s">
        <v>3195</v>
      </c>
    </row>
    <row r="1489" spans="1:14" x14ac:dyDescent="0.55000000000000004">
      <c r="A1489">
        <v>1488</v>
      </c>
      <c r="B1489" s="25" t="s">
        <v>96</v>
      </c>
      <c r="C1489" s="25">
        <v>25</v>
      </c>
      <c r="D1489" s="25" t="s">
        <v>4957</v>
      </c>
      <c r="E1489" s="25" t="s">
        <v>4960</v>
      </c>
      <c r="F1489" s="25">
        <v>14.18</v>
      </c>
      <c r="G1489" s="25" t="s">
        <v>1889</v>
      </c>
      <c r="H1489" s="25">
        <f>7.86+6.45</f>
        <v>14.31</v>
      </c>
      <c r="I1489" s="25">
        <f>7.86+6.45</f>
        <v>14.31</v>
      </c>
      <c r="J1489" s="25" t="s">
        <v>1891</v>
      </c>
      <c r="K1489" s="25" t="str">
        <f>VLOOKUP(E1489,[1]PrelimAssignPOP!$I$1:$J$947,2,FALSE)</f>
        <v>ART</v>
      </c>
      <c r="L1489" s="25" t="s">
        <v>218</v>
      </c>
      <c r="M1489" s="25" t="s">
        <v>171</v>
      </c>
      <c r="N1489" s="25" t="s">
        <v>3196</v>
      </c>
    </row>
    <row r="1490" spans="1:14" x14ac:dyDescent="0.55000000000000004">
      <c r="A1490">
        <v>1489</v>
      </c>
      <c r="B1490" s="25" t="s">
        <v>96</v>
      </c>
      <c r="C1490" s="25">
        <v>25</v>
      </c>
      <c r="D1490" s="25" t="s">
        <v>4957</v>
      </c>
      <c r="E1490" s="25" t="s">
        <v>4961</v>
      </c>
      <c r="F1490" s="25">
        <v>12.19</v>
      </c>
      <c r="G1490" s="25" t="s">
        <v>1889</v>
      </c>
      <c r="H1490" s="25">
        <f>2.68+3.05+1.84+4.76</f>
        <v>12.33</v>
      </c>
      <c r="I1490" s="25">
        <f>2.68+3.05+1.84+4.76</f>
        <v>12.33</v>
      </c>
      <c r="J1490" s="25" t="s">
        <v>1891</v>
      </c>
      <c r="K1490" s="25" t="str">
        <f>VLOOKUP(E1490,[1]PrelimAssignPOP!$I$1:$J$947,2,FALSE)</f>
        <v>ART</v>
      </c>
      <c r="L1490" s="25" t="s">
        <v>218</v>
      </c>
      <c r="M1490" s="25" t="s">
        <v>172</v>
      </c>
      <c r="N1490" s="25" t="s">
        <v>3197</v>
      </c>
    </row>
    <row r="1491" spans="1:14" x14ac:dyDescent="0.55000000000000004">
      <c r="A1491">
        <v>1490</v>
      </c>
      <c r="B1491" s="25" t="s">
        <v>96</v>
      </c>
      <c r="C1491" s="25">
        <v>25</v>
      </c>
      <c r="D1491" s="25" t="s">
        <v>4957</v>
      </c>
      <c r="E1491" s="25" t="s">
        <v>4962</v>
      </c>
      <c r="F1491" s="25">
        <v>12.26</v>
      </c>
      <c r="G1491" s="25" t="s">
        <v>1889</v>
      </c>
      <c r="H1491" s="25">
        <f>5.46+3.34+3.52</f>
        <v>12.32</v>
      </c>
      <c r="I1491" s="25">
        <f>5.46+3.34+3.52</f>
        <v>12.32</v>
      </c>
      <c r="J1491" s="25" t="s">
        <v>1891</v>
      </c>
      <c r="K1491" s="25" t="str">
        <f>VLOOKUP(E1491,[1]PrelimAssignPOP!$I$1:$J$947,2,FALSE)</f>
        <v>KIY</v>
      </c>
      <c r="L1491" s="25" t="s">
        <v>218</v>
      </c>
      <c r="M1491" s="25" t="s">
        <v>173</v>
      </c>
      <c r="N1491" s="25" t="s">
        <v>3198</v>
      </c>
    </row>
    <row r="1492" spans="1:14" x14ac:dyDescent="0.55000000000000004">
      <c r="A1492">
        <v>1491</v>
      </c>
      <c r="B1492" s="25" t="s">
        <v>96</v>
      </c>
      <c r="C1492" s="25">
        <v>25</v>
      </c>
      <c r="D1492" s="25" t="s">
        <v>4957</v>
      </c>
      <c r="E1492" s="25" t="s">
        <v>4963</v>
      </c>
      <c r="F1492" s="25">
        <v>13.84</v>
      </c>
      <c r="G1492" s="25" t="s">
        <v>1889</v>
      </c>
      <c r="H1492" s="25">
        <f>3.91+5.86+4.25</f>
        <v>14.02</v>
      </c>
      <c r="I1492" s="25">
        <f>3.91+5.86+4.25</f>
        <v>14.02</v>
      </c>
      <c r="J1492" s="25" t="s">
        <v>1891</v>
      </c>
      <c r="L1492" s="25" t="s">
        <v>218</v>
      </c>
      <c r="M1492" s="25" t="s">
        <v>174</v>
      </c>
      <c r="N1492" s="25" t="s">
        <v>3199</v>
      </c>
    </row>
    <row r="1493" spans="1:14" x14ac:dyDescent="0.55000000000000004">
      <c r="A1493">
        <v>1492</v>
      </c>
      <c r="B1493" s="25" t="s">
        <v>96</v>
      </c>
      <c r="C1493" s="25">
        <v>25</v>
      </c>
      <c r="D1493" s="25" t="s">
        <v>4957</v>
      </c>
      <c r="E1493" s="25" t="s">
        <v>4964</v>
      </c>
      <c r="F1493" s="25">
        <v>13.1</v>
      </c>
      <c r="G1493" s="25" t="s">
        <v>1889</v>
      </c>
      <c r="H1493" s="25">
        <f>4.59+5.27+3.4</f>
        <v>13.26</v>
      </c>
      <c r="I1493" s="25">
        <f>4.59+5.27+3.4</f>
        <v>13.26</v>
      </c>
      <c r="J1493" s="25" t="s">
        <v>1891</v>
      </c>
      <c r="K1493" s="25" t="str">
        <f>VLOOKUP(E1493,[1]PrelimAssignPOP!$I$1:$J$947,2,FALSE)</f>
        <v>ART</v>
      </c>
      <c r="L1493" s="25" t="s">
        <v>218</v>
      </c>
      <c r="M1493" s="25" t="s">
        <v>175</v>
      </c>
      <c r="N1493" s="25" t="s">
        <v>3200</v>
      </c>
    </row>
    <row r="1494" spans="1:14" x14ac:dyDescent="0.55000000000000004">
      <c r="A1494">
        <v>1493</v>
      </c>
      <c r="B1494" s="25" t="s">
        <v>96</v>
      </c>
      <c r="C1494" s="25">
        <v>25</v>
      </c>
      <c r="D1494" s="25" t="s">
        <v>4957</v>
      </c>
      <c r="E1494" s="25" t="s">
        <v>4965</v>
      </c>
      <c r="F1494" s="25">
        <v>13.1</v>
      </c>
      <c r="G1494" s="25" t="s">
        <v>1889</v>
      </c>
      <c r="H1494" s="25">
        <f>2.4+1.7+6.72+2.61</f>
        <v>13.43</v>
      </c>
      <c r="I1494" s="25">
        <f>2.4+1.7+6.72+2.61</f>
        <v>13.43</v>
      </c>
      <c r="J1494" s="25" t="s">
        <v>1891</v>
      </c>
      <c r="K1494" s="25" t="str">
        <f>VLOOKUP(E1494,[1]PrelimAssignPOP!$I$1:$J$947,2,FALSE)</f>
        <v>KIY</v>
      </c>
      <c r="L1494" s="25" t="s">
        <v>218</v>
      </c>
      <c r="M1494" s="25" t="s">
        <v>176</v>
      </c>
      <c r="N1494" s="25" t="s">
        <v>3201</v>
      </c>
    </row>
    <row r="1495" spans="1:14" x14ac:dyDescent="0.55000000000000004">
      <c r="A1495">
        <v>1494</v>
      </c>
      <c r="B1495" s="25" t="s">
        <v>96</v>
      </c>
      <c r="C1495" s="25">
        <v>25</v>
      </c>
      <c r="D1495" s="25" t="s">
        <v>4957</v>
      </c>
      <c r="E1495" s="25" t="s">
        <v>4966</v>
      </c>
      <c r="F1495" s="25">
        <v>11.62</v>
      </c>
      <c r="G1495" s="25" t="s">
        <v>1889</v>
      </c>
      <c r="H1495" s="25">
        <f>2.46+4.13+2.61+2.37</f>
        <v>11.57</v>
      </c>
      <c r="I1495" s="25">
        <f>2.46+4.13+2.61+2.37</f>
        <v>11.57</v>
      </c>
      <c r="J1495" s="25" t="s">
        <v>1891</v>
      </c>
      <c r="K1495" s="25" t="str">
        <f>VLOOKUP(E1495,[1]PrelimAssignPOP!$I$1:$J$947,2,FALSE)</f>
        <v>ART</v>
      </c>
      <c r="L1495" s="25" t="s">
        <v>218</v>
      </c>
      <c r="M1495" s="25" t="s">
        <v>119</v>
      </c>
      <c r="N1495" s="25" t="s">
        <v>3202</v>
      </c>
    </row>
    <row r="1496" spans="1:14" x14ac:dyDescent="0.55000000000000004">
      <c r="A1496">
        <v>1495</v>
      </c>
      <c r="B1496" s="25" t="s">
        <v>96</v>
      </c>
      <c r="C1496" s="25">
        <v>25</v>
      </c>
      <c r="D1496" s="25" t="s">
        <v>4957</v>
      </c>
      <c r="E1496" s="25" t="s">
        <v>4967</v>
      </c>
      <c r="F1496" s="25">
        <v>14.69</v>
      </c>
      <c r="G1496" s="25" t="s">
        <v>1889</v>
      </c>
      <c r="H1496" s="25">
        <f>8.86+5.76</f>
        <v>14.62</v>
      </c>
      <c r="I1496" s="25">
        <f>8.86+5.76</f>
        <v>14.62</v>
      </c>
      <c r="J1496" s="25" t="s">
        <v>1891</v>
      </c>
      <c r="K1496" s="25" t="str">
        <f>VLOOKUP(E1496,[1]PrelimAssignPOP!$I$1:$J$947,2,FALSE)</f>
        <v>ART</v>
      </c>
      <c r="L1496" s="25" t="s">
        <v>218</v>
      </c>
      <c r="M1496" s="25" t="s">
        <v>177</v>
      </c>
      <c r="N1496" s="25" t="s">
        <v>3203</v>
      </c>
    </row>
    <row r="1497" spans="1:14" x14ac:dyDescent="0.55000000000000004">
      <c r="A1497">
        <v>1496</v>
      </c>
      <c r="B1497" s="25" t="s">
        <v>96</v>
      </c>
      <c r="C1497" s="25">
        <v>25</v>
      </c>
      <c r="D1497" s="25" t="s">
        <v>4957</v>
      </c>
      <c r="E1497" s="25" t="s">
        <v>4968</v>
      </c>
      <c r="F1497" s="25">
        <v>13.97</v>
      </c>
      <c r="G1497" s="25" t="s">
        <v>1889</v>
      </c>
      <c r="H1497" s="25">
        <f>4.51+3.75+3.4+2.43</f>
        <v>14.09</v>
      </c>
      <c r="I1497" s="25">
        <f>4.51+3.75+3.4+2.43</f>
        <v>14.09</v>
      </c>
      <c r="J1497" s="25" t="s">
        <v>1891</v>
      </c>
      <c r="K1497" s="25" t="str">
        <f>VLOOKUP(E1497,[1]PrelimAssignPOP!$I$1:$J$947,2,FALSE)</f>
        <v>ART</v>
      </c>
      <c r="L1497" s="25" t="s">
        <v>218</v>
      </c>
      <c r="M1497" s="25" t="s">
        <v>178</v>
      </c>
      <c r="N1497" s="25" t="s">
        <v>3204</v>
      </c>
    </row>
    <row r="1498" spans="1:14" x14ac:dyDescent="0.55000000000000004">
      <c r="A1498">
        <v>1497</v>
      </c>
      <c r="B1498" s="25" t="s">
        <v>96</v>
      </c>
      <c r="C1498" s="25">
        <v>25</v>
      </c>
      <c r="D1498" s="25" t="s">
        <v>4957</v>
      </c>
      <c r="E1498" s="25" t="s">
        <v>4969</v>
      </c>
      <c r="F1498" s="25">
        <v>12.82</v>
      </c>
      <c r="G1498" s="25" t="s">
        <v>1889</v>
      </c>
      <c r="H1498" s="25">
        <f>5.3+4.7+2.84</f>
        <v>12.84</v>
      </c>
      <c r="I1498" s="25">
        <f>5.3+4.7+2.84</f>
        <v>12.84</v>
      </c>
      <c r="J1498" s="25" t="s">
        <v>1891</v>
      </c>
      <c r="K1498" s="25" t="str">
        <f>VLOOKUP(E1498,[1]PrelimAssignPOP!$I$1:$J$947,2,FALSE)</f>
        <v>ART</v>
      </c>
      <c r="L1498" s="25" t="s">
        <v>218</v>
      </c>
      <c r="M1498" s="25" t="s">
        <v>179</v>
      </c>
      <c r="N1498" s="25" t="s">
        <v>3205</v>
      </c>
    </row>
    <row r="1499" spans="1:14" x14ac:dyDescent="0.55000000000000004">
      <c r="A1499">
        <v>1498</v>
      </c>
      <c r="B1499" s="25" t="s">
        <v>96</v>
      </c>
      <c r="C1499" s="25">
        <v>25</v>
      </c>
      <c r="D1499" s="25" t="s">
        <v>4957</v>
      </c>
      <c r="E1499" s="25" t="s">
        <v>4970</v>
      </c>
      <c r="F1499" s="25">
        <v>15.5</v>
      </c>
      <c r="G1499" s="25" t="s">
        <v>1889</v>
      </c>
      <c r="H1499" s="25">
        <f>3.14+5.6+3.43+1.43+1.85</f>
        <v>15.45</v>
      </c>
      <c r="I1499" s="25">
        <f>3.14+5.6+3.43+1.43+1.85</f>
        <v>15.45</v>
      </c>
      <c r="J1499" s="25" t="s">
        <v>1891</v>
      </c>
      <c r="N1499" s="25" t="s">
        <v>3206</v>
      </c>
    </row>
    <row r="1500" spans="1:14" x14ac:dyDescent="0.55000000000000004">
      <c r="A1500">
        <v>1499</v>
      </c>
      <c r="B1500" s="25" t="s">
        <v>96</v>
      </c>
      <c r="C1500" s="25">
        <v>25</v>
      </c>
      <c r="D1500" s="25" t="s">
        <v>4957</v>
      </c>
      <c r="E1500" s="25" t="s">
        <v>4971</v>
      </c>
      <c r="F1500" s="25">
        <v>13.81</v>
      </c>
      <c r="G1500" s="25" t="s">
        <v>1889</v>
      </c>
      <c r="H1500" s="25">
        <f>11.12+2.57</f>
        <v>13.69</v>
      </c>
      <c r="I1500" s="25">
        <f>11.12+2.57</f>
        <v>13.69</v>
      </c>
      <c r="J1500" s="25" t="s">
        <v>1891</v>
      </c>
      <c r="N1500" s="25" t="s">
        <v>3207</v>
      </c>
    </row>
    <row r="1501" spans="1:14" x14ac:dyDescent="0.55000000000000004">
      <c r="A1501">
        <v>1500</v>
      </c>
      <c r="B1501" s="25" t="s">
        <v>96</v>
      </c>
      <c r="C1501" s="25">
        <v>25</v>
      </c>
      <c r="D1501" s="25" t="s">
        <v>4957</v>
      </c>
      <c r="E1501" s="25" t="s">
        <v>4972</v>
      </c>
      <c r="F1501" s="25">
        <v>12.05</v>
      </c>
      <c r="G1501" s="25" t="s">
        <v>1889</v>
      </c>
      <c r="H1501" s="25">
        <f>2.35+1.7+3.09+1.65+3.73</f>
        <v>12.52</v>
      </c>
      <c r="I1501" s="25">
        <f>2.35+1.7+3.09+1.65+3.73</f>
        <v>12.52</v>
      </c>
      <c r="J1501" s="25" t="s">
        <v>1891</v>
      </c>
      <c r="N1501" s="25" t="s">
        <v>3208</v>
      </c>
    </row>
    <row r="1502" spans="1:14" x14ac:dyDescent="0.55000000000000004">
      <c r="A1502">
        <v>1501</v>
      </c>
      <c r="B1502" s="25" t="s">
        <v>96</v>
      </c>
      <c r="C1502" s="25">
        <v>25</v>
      </c>
      <c r="D1502" s="25" t="s">
        <v>4957</v>
      </c>
      <c r="E1502" s="25" t="s">
        <v>4973</v>
      </c>
      <c r="F1502" s="25">
        <v>15.23</v>
      </c>
      <c r="G1502" s="25" t="s">
        <v>1889</v>
      </c>
      <c r="H1502" s="25">
        <f>7.89+3.33+4.04</f>
        <v>15.259999999999998</v>
      </c>
      <c r="I1502" s="25">
        <f>7.89+3.33+4.04</f>
        <v>15.259999999999998</v>
      </c>
      <c r="J1502" s="25" t="s">
        <v>1891</v>
      </c>
      <c r="N1502" s="25" t="s">
        <v>3209</v>
      </c>
    </row>
    <row r="1503" spans="1:14" x14ac:dyDescent="0.55000000000000004">
      <c r="A1503">
        <v>1502</v>
      </c>
      <c r="B1503" s="25" t="s">
        <v>96</v>
      </c>
      <c r="C1503" s="25">
        <v>25</v>
      </c>
      <c r="D1503" s="25" t="s">
        <v>4957</v>
      </c>
      <c r="E1503" s="25" t="s">
        <v>4974</v>
      </c>
      <c r="F1503" s="25">
        <v>13.87</v>
      </c>
      <c r="G1503" s="25" t="s">
        <v>1889</v>
      </c>
      <c r="H1503" s="25">
        <f>3.73+2.37+5.3+2.57</f>
        <v>13.969999999999999</v>
      </c>
      <c r="I1503" s="25">
        <f>3.73+2.37+5.3+2.57</f>
        <v>13.969999999999999</v>
      </c>
      <c r="J1503" s="25" t="s">
        <v>1891</v>
      </c>
      <c r="N1503" s="25" t="s">
        <v>3210</v>
      </c>
    </row>
    <row r="1504" spans="1:14" x14ac:dyDescent="0.55000000000000004">
      <c r="A1504">
        <v>1503</v>
      </c>
      <c r="B1504" s="25" t="s">
        <v>96</v>
      </c>
      <c r="C1504" s="25">
        <v>25</v>
      </c>
      <c r="D1504" s="25" t="s">
        <v>4957</v>
      </c>
      <c r="E1504" s="25" t="s">
        <v>4975</v>
      </c>
      <c r="F1504" s="25">
        <v>13.3</v>
      </c>
      <c r="G1504" s="25" t="s">
        <v>1889</v>
      </c>
      <c r="H1504" s="25">
        <f>4.51+1.86+2.59+2.47+1.99</f>
        <v>13.420000000000002</v>
      </c>
      <c r="I1504" s="25">
        <f>4.51+1.86+2.59+2.47+1.99</f>
        <v>13.420000000000002</v>
      </c>
      <c r="J1504" s="25" t="s">
        <v>1891</v>
      </c>
      <c r="N1504" s="25" t="s">
        <v>3211</v>
      </c>
    </row>
    <row r="1505" spans="1:14" x14ac:dyDescent="0.55000000000000004">
      <c r="A1505">
        <v>1504</v>
      </c>
      <c r="B1505" s="25" t="s">
        <v>96</v>
      </c>
      <c r="C1505" s="25">
        <v>25</v>
      </c>
      <c r="D1505" s="25" t="s">
        <v>4957</v>
      </c>
      <c r="E1505" s="25" t="s">
        <v>4976</v>
      </c>
      <c r="F1505" s="25">
        <v>14.58</v>
      </c>
      <c r="G1505" s="25" t="s">
        <v>1889</v>
      </c>
      <c r="H1505" s="25">
        <f>2.82+3.07+5.14+3.71</f>
        <v>14.739999999999998</v>
      </c>
      <c r="I1505" s="25">
        <f>2.82+3.07+5.14+3.71</f>
        <v>14.739999999999998</v>
      </c>
      <c r="J1505" s="25" t="s">
        <v>1891</v>
      </c>
      <c r="N1505" s="25" t="s">
        <v>3212</v>
      </c>
    </row>
    <row r="1506" spans="1:14" x14ac:dyDescent="0.55000000000000004">
      <c r="A1506">
        <v>1505</v>
      </c>
      <c r="B1506" s="25" t="s">
        <v>96</v>
      </c>
      <c r="C1506" s="25">
        <v>25</v>
      </c>
      <c r="D1506" s="25" t="s">
        <v>4957</v>
      </c>
      <c r="E1506" s="25" t="s">
        <v>4977</v>
      </c>
      <c r="F1506" s="25">
        <v>13.79</v>
      </c>
      <c r="G1506" s="25" t="s">
        <v>2113</v>
      </c>
      <c r="I1506" s="25">
        <v>13.79</v>
      </c>
      <c r="J1506" s="25" t="s">
        <v>110</v>
      </c>
    </row>
    <row r="1507" spans="1:14" x14ac:dyDescent="0.55000000000000004">
      <c r="A1507">
        <v>1506</v>
      </c>
      <c r="B1507" s="25" t="s">
        <v>96</v>
      </c>
      <c r="C1507" s="25">
        <v>25</v>
      </c>
      <c r="D1507" s="25" t="s">
        <v>4957</v>
      </c>
      <c r="E1507" s="25" t="s">
        <v>4978</v>
      </c>
      <c r="F1507" s="25">
        <v>15.31</v>
      </c>
      <c r="G1507" s="25" t="s">
        <v>2113</v>
      </c>
      <c r="I1507" s="25">
        <v>15.31</v>
      </c>
      <c r="J1507" s="25" t="s">
        <v>110</v>
      </c>
    </row>
    <row r="1508" spans="1:14" x14ac:dyDescent="0.55000000000000004">
      <c r="A1508">
        <v>1507</v>
      </c>
      <c r="B1508" s="25" t="s">
        <v>96</v>
      </c>
      <c r="C1508" s="25">
        <v>25</v>
      </c>
      <c r="D1508" s="25" t="s">
        <v>4957</v>
      </c>
      <c r="E1508" s="25" t="s">
        <v>4979</v>
      </c>
      <c r="F1508" s="25">
        <v>13.66</v>
      </c>
      <c r="G1508" s="25" t="s">
        <v>2113</v>
      </c>
      <c r="I1508" s="25">
        <v>13.66</v>
      </c>
      <c r="J1508" s="25" t="s">
        <v>110</v>
      </c>
    </row>
    <row r="1509" spans="1:14" x14ac:dyDescent="0.55000000000000004">
      <c r="A1509">
        <v>1508</v>
      </c>
      <c r="B1509" s="25" t="s">
        <v>96</v>
      </c>
      <c r="C1509" s="25">
        <v>25</v>
      </c>
      <c r="D1509" s="25" t="s">
        <v>4957</v>
      </c>
      <c r="E1509" s="25" t="s">
        <v>4980</v>
      </c>
      <c r="F1509" s="25">
        <v>15.35</v>
      </c>
      <c r="G1509" s="25" t="s">
        <v>2113</v>
      </c>
      <c r="I1509" s="25">
        <v>15.35</v>
      </c>
      <c r="J1509" s="25" t="s">
        <v>110</v>
      </c>
    </row>
    <row r="1510" spans="1:14" x14ac:dyDescent="0.55000000000000004">
      <c r="A1510">
        <v>1509</v>
      </c>
      <c r="B1510" s="25" t="s">
        <v>96</v>
      </c>
      <c r="C1510" s="25">
        <v>25</v>
      </c>
      <c r="D1510" s="25" t="s">
        <v>4957</v>
      </c>
      <c r="E1510" s="25" t="s">
        <v>4981</v>
      </c>
      <c r="F1510" s="25">
        <v>15.35</v>
      </c>
      <c r="G1510" s="25" t="s">
        <v>2113</v>
      </c>
      <c r="I1510" s="25">
        <v>15.35</v>
      </c>
      <c r="J1510" s="25" t="s">
        <v>110</v>
      </c>
    </row>
    <row r="1511" spans="1:14" x14ac:dyDescent="0.55000000000000004">
      <c r="A1511">
        <v>1510</v>
      </c>
      <c r="B1511" s="25" t="s">
        <v>96</v>
      </c>
      <c r="C1511" s="25">
        <v>25</v>
      </c>
      <c r="D1511" s="25" t="s">
        <v>4957</v>
      </c>
      <c r="E1511" s="25" t="s">
        <v>4982</v>
      </c>
      <c r="F1511" s="25">
        <v>15.98</v>
      </c>
      <c r="G1511" s="25" t="s">
        <v>2113</v>
      </c>
      <c r="I1511" s="25">
        <v>15.98</v>
      </c>
      <c r="J1511" s="25" t="s">
        <v>110</v>
      </c>
    </row>
    <row r="1512" spans="1:14" x14ac:dyDescent="0.55000000000000004">
      <c r="A1512">
        <v>1511</v>
      </c>
      <c r="B1512" s="25" t="s">
        <v>97</v>
      </c>
      <c r="C1512" s="25">
        <v>21</v>
      </c>
      <c r="D1512" s="25" t="s">
        <v>4983</v>
      </c>
      <c r="E1512" s="25" t="s">
        <v>4984</v>
      </c>
      <c r="F1512" s="25">
        <v>13.47</v>
      </c>
      <c r="G1512" s="25" t="s">
        <v>1889</v>
      </c>
      <c r="H1512" s="25">
        <f>2.45+2.02+3.35+3.06+3.11</f>
        <v>13.99</v>
      </c>
      <c r="I1512" s="25">
        <f>2.45+2.02+3.35+3.06+3.11</f>
        <v>13.99</v>
      </c>
      <c r="J1512" s="25" t="s">
        <v>1891</v>
      </c>
      <c r="K1512" s="25" t="str">
        <f>VLOOKUP(E1512,[1]PrelimAssignPOP!$I$1:$J$947,2,FALSE)</f>
        <v>ART</v>
      </c>
      <c r="L1512" s="25" t="s">
        <v>218</v>
      </c>
      <c r="M1512" s="25" t="s">
        <v>180</v>
      </c>
      <c r="N1512" s="25" t="s">
        <v>3213</v>
      </c>
    </row>
    <row r="1513" spans="1:14" x14ac:dyDescent="0.55000000000000004">
      <c r="A1513">
        <v>1512</v>
      </c>
      <c r="B1513" s="25" t="s">
        <v>97</v>
      </c>
      <c r="C1513" s="25">
        <v>21</v>
      </c>
      <c r="D1513" s="25" t="s">
        <v>4983</v>
      </c>
      <c r="E1513" s="25" t="s">
        <v>4985</v>
      </c>
      <c r="F1513" s="25">
        <v>13.24</v>
      </c>
      <c r="G1513" s="25" t="s">
        <v>1889</v>
      </c>
      <c r="H1513" s="25">
        <f>4.05+2.8+2.88+1.93+1.99</f>
        <v>13.65</v>
      </c>
      <c r="I1513" s="25">
        <f>4.05+2.8+2.88+1.93+1.99</f>
        <v>13.65</v>
      </c>
      <c r="J1513" s="25" t="s">
        <v>1891</v>
      </c>
      <c r="K1513" s="25" t="str">
        <f>VLOOKUP(E1513,[1]PrelimAssignPOP!$I$1:$J$947,2,FALSE)</f>
        <v>ART</v>
      </c>
      <c r="L1513" s="25" t="s">
        <v>218</v>
      </c>
      <c r="M1513" s="25" t="s">
        <v>181</v>
      </c>
      <c r="N1513" s="25" t="s">
        <v>3214</v>
      </c>
    </row>
    <row r="1514" spans="1:14" x14ac:dyDescent="0.55000000000000004">
      <c r="A1514">
        <v>1513</v>
      </c>
      <c r="B1514" s="25" t="s">
        <v>97</v>
      </c>
      <c r="C1514" s="25">
        <v>21</v>
      </c>
      <c r="D1514" s="25" t="s">
        <v>4983</v>
      </c>
      <c r="E1514" s="25" t="s">
        <v>4986</v>
      </c>
      <c r="F1514" s="25">
        <v>14.15</v>
      </c>
      <c r="G1514" s="25" t="s">
        <v>1889</v>
      </c>
      <c r="H1514" s="25">
        <f>3.2+3.12+3.07+4.85</f>
        <v>14.24</v>
      </c>
      <c r="I1514" s="25">
        <f>3.2+3.12+3.07+4.85</f>
        <v>14.24</v>
      </c>
      <c r="J1514" s="25" t="s">
        <v>1891</v>
      </c>
      <c r="K1514" s="25" t="str">
        <f>VLOOKUP(E1514,[1]PrelimAssignPOP!$I$1:$J$947,2,FALSE)</f>
        <v>ART</v>
      </c>
      <c r="L1514" s="25" t="s">
        <v>218</v>
      </c>
      <c r="M1514" s="25" t="s">
        <v>182</v>
      </c>
      <c r="N1514" s="25" t="s">
        <v>3215</v>
      </c>
    </row>
    <row r="1515" spans="1:14" x14ac:dyDescent="0.55000000000000004">
      <c r="A1515">
        <v>1514</v>
      </c>
      <c r="B1515" s="25" t="s">
        <v>97</v>
      </c>
      <c r="C1515" s="25">
        <v>21</v>
      </c>
      <c r="D1515" s="25" t="s">
        <v>4983</v>
      </c>
      <c r="E1515" s="25" t="s">
        <v>4987</v>
      </c>
      <c r="F1515" s="25">
        <v>14.34</v>
      </c>
      <c r="G1515" s="25" t="s">
        <v>1889</v>
      </c>
      <c r="H1515" s="25">
        <f>14.4</f>
        <v>14.4</v>
      </c>
      <c r="I1515" s="25">
        <f>14.4</f>
        <v>14.4</v>
      </c>
      <c r="J1515" s="25" t="s">
        <v>1891</v>
      </c>
      <c r="K1515" s="25" t="str">
        <f>VLOOKUP(E1515,[1]PrelimAssignPOP!$I$1:$J$947,2,FALSE)</f>
        <v>HYB</v>
      </c>
      <c r="L1515" s="25" t="s">
        <v>218</v>
      </c>
      <c r="M1515" s="25" t="s">
        <v>183</v>
      </c>
      <c r="N1515" s="25" t="s">
        <v>3216</v>
      </c>
    </row>
    <row r="1516" spans="1:14" x14ac:dyDescent="0.55000000000000004">
      <c r="A1516">
        <v>1515</v>
      </c>
      <c r="B1516" s="25" t="s">
        <v>97</v>
      </c>
      <c r="C1516" s="25">
        <v>21</v>
      </c>
      <c r="D1516" s="25" t="s">
        <v>4983</v>
      </c>
      <c r="E1516" s="25" t="s">
        <v>4988</v>
      </c>
      <c r="F1516" s="25">
        <v>14.53</v>
      </c>
      <c r="G1516" s="25" t="s">
        <v>1889</v>
      </c>
      <c r="H1516" s="25">
        <f>3.53+3.98+7.28</f>
        <v>14.79</v>
      </c>
      <c r="I1516" s="25">
        <f>3.53+3.98+7.28</f>
        <v>14.79</v>
      </c>
      <c r="J1516" s="25" t="s">
        <v>1891</v>
      </c>
      <c r="K1516" s="25" t="str">
        <f>VLOOKUP(E1516,[1]PrelimAssignPOP!$I$1:$J$947,2,FALSE)</f>
        <v>ART</v>
      </c>
      <c r="L1516" s="25" t="s">
        <v>218</v>
      </c>
      <c r="M1516" s="25" t="s">
        <v>184</v>
      </c>
      <c r="N1516" s="25" t="s">
        <v>3217</v>
      </c>
    </row>
    <row r="1517" spans="1:14" x14ac:dyDescent="0.55000000000000004">
      <c r="A1517">
        <v>1516</v>
      </c>
      <c r="B1517" s="25" t="s">
        <v>97</v>
      </c>
      <c r="C1517" s="25">
        <v>21</v>
      </c>
      <c r="D1517" s="25" t="s">
        <v>4983</v>
      </c>
      <c r="E1517" s="25" t="s">
        <v>4989</v>
      </c>
      <c r="F1517" s="25">
        <v>14.85</v>
      </c>
      <c r="G1517" s="25" t="s">
        <v>1889</v>
      </c>
      <c r="H1517" s="25">
        <f>4.54+5.37+5.19</f>
        <v>15.100000000000001</v>
      </c>
      <c r="I1517" s="25">
        <f>4.54+5.37+5.19</f>
        <v>15.100000000000001</v>
      </c>
      <c r="J1517" s="25" t="s">
        <v>1891</v>
      </c>
      <c r="K1517" s="25" t="str">
        <f>VLOOKUP(E1517,[1]PrelimAssignPOP!$I$1:$J$947,2,FALSE)</f>
        <v>ART</v>
      </c>
      <c r="L1517" s="25" t="s">
        <v>218</v>
      </c>
      <c r="M1517" s="25" t="s">
        <v>185</v>
      </c>
      <c r="N1517" s="25" t="s">
        <v>3218</v>
      </c>
    </row>
    <row r="1518" spans="1:14" x14ac:dyDescent="0.55000000000000004">
      <c r="A1518">
        <v>1517</v>
      </c>
      <c r="B1518" s="25" t="s">
        <v>97</v>
      </c>
      <c r="C1518" s="25">
        <v>21</v>
      </c>
      <c r="D1518" s="25" t="s">
        <v>4983</v>
      </c>
      <c r="E1518" s="25" t="s">
        <v>4990</v>
      </c>
      <c r="F1518" s="25">
        <v>15.05</v>
      </c>
      <c r="G1518" s="25" t="s">
        <v>1889</v>
      </c>
      <c r="H1518" s="25">
        <f>3.59+11.87</f>
        <v>15.459999999999999</v>
      </c>
      <c r="I1518" s="25">
        <f>3.59+11.87</f>
        <v>15.459999999999999</v>
      </c>
      <c r="J1518" s="25" t="s">
        <v>1891</v>
      </c>
      <c r="K1518" s="25" t="str">
        <f>VLOOKUP(E1518,[1]PrelimAssignPOP!$I$1:$J$947,2,FALSE)</f>
        <v>ART</v>
      </c>
      <c r="L1518" s="25" t="s">
        <v>218</v>
      </c>
      <c r="M1518" s="25" t="s">
        <v>186</v>
      </c>
      <c r="N1518" s="25" t="s">
        <v>3219</v>
      </c>
    </row>
    <row r="1519" spans="1:14" x14ac:dyDescent="0.55000000000000004">
      <c r="A1519">
        <v>1518</v>
      </c>
      <c r="B1519" s="25" t="s">
        <v>97</v>
      </c>
      <c r="C1519" s="25">
        <v>21</v>
      </c>
      <c r="D1519" s="25" t="s">
        <v>4983</v>
      </c>
      <c r="E1519" s="25" t="s">
        <v>4991</v>
      </c>
      <c r="F1519" s="25">
        <v>14.98</v>
      </c>
      <c r="G1519" s="25" t="s">
        <v>1889</v>
      </c>
      <c r="H1519" s="25">
        <f>5.44+9.37</f>
        <v>14.809999999999999</v>
      </c>
      <c r="I1519" s="25">
        <f>5.44+9.37</f>
        <v>14.809999999999999</v>
      </c>
      <c r="J1519" s="25" t="s">
        <v>1891</v>
      </c>
      <c r="K1519" s="25" t="str">
        <f>VLOOKUP(E1519,[1]PrelimAssignPOP!$I$1:$J$947,2,FALSE)</f>
        <v>ART</v>
      </c>
      <c r="L1519" s="25" t="s">
        <v>218</v>
      </c>
      <c r="M1519" s="25" t="s">
        <v>187</v>
      </c>
      <c r="N1519" s="25" t="s">
        <v>3220</v>
      </c>
    </row>
    <row r="1520" spans="1:14" x14ac:dyDescent="0.55000000000000004">
      <c r="A1520">
        <v>1519</v>
      </c>
      <c r="B1520" s="25" t="s">
        <v>97</v>
      </c>
      <c r="C1520" s="25">
        <v>21</v>
      </c>
      <c r="D1520" s="25" t="s">
        <v>4983</v>
      </c>
      <c r="E1520" s="25" t="s">
        <v>4992</v>
      </c>
      <c r="F1520" s="25">
        <v>14.01</v>
      </c>
      <c r="G1520" s="25" t="s">
        <v>1889</v>
      </c>
      <c r="H1520" s="25">
        <f>3.94+10.19</f>
        <v>14.129999999999999</v>
      </c>
      <c r="I1520" s="25">
        <f>3.94+10.19</f>
        <v>14.129999999999999</v>
      </c>
      <c r="J1520" s="25" t="s">
        <v>1891</v>
      </c>
      <c r="K1520" s="25" t="str">
        <f>VLOOKUP(E1520,[1]PrelimAssignPOP!$I$1:$J$947,2,FALSE)</f>
        <v>ART</v>
      </c>
      <c r="L1520" s="25" t="s">
        <v>218</v>
      </c>
      <c r="M1520" s="25" t="s">
        <v>120</v>
      </c>
      <c r="N1520" s="25" t="s">
        <v>3221</v>
      </c>
    </row>
    <row r="1521" spans="1:14" x14ac:dyDescent="0.55000000000000004">
      <c r="A1521">
        <v>1520</v>
      </c>
      <c r="B1521" s="25" t="s">
        <v>97</v>
      </c>
      <c r="C1521" s="25">
        <v>21</v>
      </c>
      <c r="D1521" s="25" t="s">
        <v>4983</v>
      </c>
      <c r="E1521" s="25" t="s">
        <v>4993</v>
      </c>
      <c r="F1521" s="25">
        <v>14.51</v>
      </c>
      <c r="G1521" s="25" t="s">
        <v>1889</v>
      </c>
      <c r="H1521" s="25">
        <f>3.54+7.33+3.96</f>
        <v>14.830000000000002</v>
      </c>
      <c r="I1521" s="25">
        <f>3.54+7.33+3.96</f>
        <v>14.830000000000002</v>
      </c>
      <c r="J1521" s="25" t="s">
        <v>1891</v>
      </c>
      <c r="K1521" s="25" t="str">
        <f>VLOOKUP(E1521,[1]PrelimAssignPOP!$I$1:$J$947,2,FALSE)</f>
        <v>ART</v>
      </c>
      <c r="L1521" s="25" t="s">
        <v>218</v>
      </c>
      <c r="M1521" s="25" t="s">
        <v>188</v>
      </c>
      <c r="N1521" s="25" t="s">
        <v>3222</v>
      </c>
    </row>
    <row r="1522" spans="1:14" x14ac:dyDescent="0.55000000000000004">
      <c r="A1522">
        <v>1521</v>
      </c>
      <c r="B1522" s="25" t="s">
        <v>97</v>
      </c>
      <c r="C1522" s="25">
        <v>21</v>
      </c>
      <c r="D1522" s="25" t="s">
        <v>4983</v>
      </c>
      <c r="E1522" s="25" t="s">
        <v>4994</v>
      </c>
      <c r="F1522" s="25">
        <v>14.74</v>
      </c>
      <c r="G1522" s="25" t="s">
        <v>1889</v>
      </c>
      <c r="H1522" s="25">
        <f>2.2+6.74+3.08+2.94</f>
        <v>14.96</v>
      </c>
      <c r="I1522" s="25">
        <f>2.2+6.74+3.08+2.94</f>
        <v>14.96</v>
      </c>
      <c r="J1522" s="25" t="s">
        <v>1891</v>
      </c>
      <c r="K1522" s="25" t="str">
        <f>VLOOKUP(E1522,[1]PrelimAssignPOP!$I$1:$J$947,2,FALSE)</f>
        <v>HYB</v>
      </c>
      <c r="L1522" s="25" t="s">
        <v>218</v>
      </c>
      <c r="M1522" s="25" t="s">
        <v>189</v>
      </c>
      <c r="N1522" s="25" t="s">
        <v>3223</v>
      </c>
    </row>
    <row r="1523" spans="1:14" x14ac:dyDescent="0.55000000000000004">
      <c r="A1523">
        <v>1522</v>
      </c>
      <c r="B1523" s="25" t="s">
        <v>97</v>
      </c>
      <c r="C1523" s="25">
        <v>21</v>
      </c>
      <c r="D1523" s="25" t="s">
        <v>4983</v>
      </c>
      <c r="E1523" s="25" t="s">
        <v>4995</v>
      </c>
      <c r="F1523" s="25">
        <v>12.05</v>
      </c>
      <c r="G1523" s="25" t="s">
        <v>1889</v>
      </c>
      <c r="H1523" s="25">
        <f>2.18+3.59+3.86+2.65</f>
        <v>12.28</v>
      </c>
      <c r="I1523" s="25">
        <f>2.18+3.59+3.86+2.65</f>
        <v>12.28</v>
      </c>
      <c r="J1523" s="25" t="s">
        <v>1891</v>
      </c>
      <c r="K1523" s="25" t="str">
        <f>VLOOKUP(E1523,[1]PrelimAssignPOP!$I$1:$J$947,2,FALSE)</f>
        <v>HYB</v>
      </c>
      <c r="L1523" s="25" t="s">
        <v>218</v>
      </c>
      <c r="M1523" s="25" t="s">
        <v>190</v>
      </c>
      <c r="N1523" s="25" t="s">
        <v>3224</v>
      </c>
    </row>
    <row r="1524" spans="1:14" x14ac:dyDescent="0.55000000000000004">
      <c r="A1524">
        <v>1523</v>
      </c>
      <c r="B1524" s="25" t="s">
        <v>97</v>
      </c>
      <c r="C1524" s="25">
        <v>21</v>
      </c>
      <c r="D1524" s="25" t="s">
        <v>4983</v>
      </c>
      <c r="E1524" s="25" t="s">
        <v>4996</v>
      </c>
      <c r="F1524" s="25">
        <v>11.81</v>
      </c>
      <c r="G1524" s="25" t="s">
        <v>1889</v>
      </c>
      <c r="H1524" s="25">
        <f>3.68+3.5+4.72</f>
        <v>11.899999999999999</v>
      </c>
      <c r="I1524" s="25">
        <f>3.68+3.5+4.72</f>
        <v>11.899999999999999</v>
      </c>
      <c r="J1524" s="25" t="s">
        <v>1891</v>
      </c>
      <c r="N1524" s="25" t="s">
        <v>3225</v>
      </c>
    </row>
    <row r="1525" spans="1:14" x14ac:dyDescent="0.55000000000000004">
      <c r="A1525">
        <v>1524</v>
      </c>
      <c r="B1525" s="25" t="s">
        <v>97</v>
      </c>
      <c r="C1525" s="25">
        <v>21</v>
      </c>
      <c r="D1525" s="25" t="s">
        <v>4983</v>
      </c>
      <c r="E1525" s="25" t="s">
        <v>4997</v>
      </c>
      <c r="F1525" s="25">
        <v>11.29</v>
      </c>
      <c r="G1525" s="25" t="s">
        <v>1889</v>
      </c>
      <c r="H1525" s="25">
        <f>11.29</f>
        <v>11.29</v>
      </c>
      <c r="I1525" s="25">
        <f>11.29</f>
        <v>11.29</v>
      </c>
      <c r="J1525" s="25" t="s">
        <v>1891</v>
      </c>
      <c r="N1525" s="25" t="s">
        <v>3226</v>
      </c>
    </row>
    <row r="1526" spans="1:14" x14ac:dyDescent="0.55000000000000004">
      <c r="A1526">
        <v>1525</v>
      </c>
      <c r="B1526" s="25" t="s">
        <v>97</v>
      </c>
      <c r="C1526" s="25">
        <v>21</v>
      </c>
      <c r="D1526" s="25" t="s">
        <v>4983</v>
      </c>
      <c r="E1526" s="25" t="s">
        <v>4998</v>
      </c>
      <c r="F1526" s="25">
        <v>14.78</v>
      </c>
      <c r="G1526" s="25" t="s">
        <v>1889</v>
      </c>
      <c r="H1526" s="25">
        <f>2.84+2.43+4.37+5.07</f>
        <v>14.71</v>
      </c>
      <c r="I1526" s="25">
        <f>2.84+2.43+4.37+5.07</f>
        <v>14.71</v>
      </c>
      <c r="J1526" s="25" t="s">
        <v>1891</v>
      </c>
      <c r="N1526" s="25" t="s">
        <v>3227</v>
      </c>
    </row>
    <row r="1527" spans="1:14" x14ac:dyDescent="0.55000000000000004">
      <c r="A1527">
        <v>1526</v>
      </c>
      <c r="B1527" s="25" t="s">
        <v>97</v>
      </c>
      <c r="C1527" s="25">
        <v>21</v>
      </c>
      <c r="D1527" s="25" t="s">
        <v>4983</v>
      </c>
      <c r="E1527" s="25" t="s">
        <v>4999</v>
      </c>
      <c r="F1527" s="25">
        <v>15.25</v>
      </c>
      <c r="G1527" s="25" t="s">
        <v>1889</v>
      </c>
      <c r="H1527" s="25">
        <f>15.33</f>
        <v>15.33</v>
      </c>
      <c r="I1527" s="25">
        <f>15.33</f>
        <v>15.33</v>
      </c>
      <c r="J1527" s="25" t="s">
        <v>1891</v>
      </c>
      <c r="N1527" s="25" t="s">
        <v>3228</v>
      </c>
    </row>
    <row r="1528" spans="1:14" x14ac:dyDescent="0.55000000000000004">
      <c r="A1528">
        <v>1527</v>
      </c>
      <c r="B1528" s="25" t="s">
        <v>97</v>
      </c>
      <c r="C1528" s="25">
        <v>21</v>
      </c>
      <c r="D1528" s="25" t="s">
        <v>4983</v>
      </c>
      <c r="E1528" s="25" t="s">
        <v>5000</v>
      </c>
      <c r="F1528" s="25">
        <v>13.55</v>
      </c>
      <c r="G1528" s="25" t="s">
        <v>1889</v>
      </c>
      <c r="H1528" s="25">
        <f>2.73+5.29+2.65+3.17</f>
        <v>13.84</v>
      </c>
      <c r="I1528" s="25">
        <f>2.73+5.29+2.65+3.17</f>
        <v>13.84</v>
      </c>
      <c r="J1528" s="25" t="s">
        <v>1891</v>
      </c>
      <c r="N1528" s="25" t="s">
        <v>3229</v>
      </c>
    </row>
    <row r="1529" spans="1:14" x14ac:dyDescent="0.55000000000000004">
      <c r="A1529">
        <v>1528</v>
      </c>
      <c r="B1529" s="25" t="s">
        <v>97</v>
      </c>
      <c r="C1529" s="25">
        <v>21</v>
      </c>
      <c r="D1529" s="25" t="s">
        <v>4983</v>
      </c>
      <c r="E1529" s="25" t="s">
        <v>5001</v>
      </c>
      <c r="F1529" s="25">
        <v>16.010000000000002</v>
      </c>
      <c r="G1529" s="25" t="s">
        <v>2113</v>
      </c>
      <c r="I1529" s="25">
        <v>16.010000000000002</v>
      </c>
      <c r="J1529" s="25" t="s">
        <v>110</v>
      </c>
    </row>
    <row r="1530" spans="1:14" x14ac:dyDescent="0.55000000000000004">
      <c r="A1530">
        <v>1529</v>
      </c>
      <c r="B1530" s="25" t="s">
        <v>97</v>
      </c>
      <c r="C1530" s="25">
        <v>21</v>
      </c>
      <c r="D1530" s="25" t="s">
        <v>4983</v>
      </c>
      <c r="E1530" s="25" t="s">
        <v>5002</v>
      </c>
      <c r="F1530" s="25">
        <v>15.64</v>
      </c>
      <c r="G1530" s="25" t="s">
        <v>2113</v>
      </c>
      <c r="I1530" s="25">
        <v>15.64</v>
      </c>
      <c r="J1530" s="25" t="s">
        <v>110</v>
      </c>
    </row>
    <row r="1531" spans="1:14" x14ac:dyDescent="0.55000000000000004">
      <c r="A1531">
        <v>1530</v>
      </c>
      <c r="B1531" s="25" t="s">
        <v>97</v>
      </c>
      <c r="C1531" s="25">
        <v>21</v>
      </c>
      <c r="D1531" s="25" t="s">
        <v>4983</v>
      </c>
      <c r="E1531" s="25" t="s">
        <v>5003</v>
      </c>
      <c r="F1531" s="25">
        <v>17.260000000000002</v>
      </c>
      <c r="G1531" s="25" t="s">
        <v>2113</v>
      </c>
      <c r="I1531" s="25">
        <v>17.260000000000002</v>
      </c>
      <c r="J1531" s="25" t="s">
        <v>110</v>
      </c>
    </row>
    <row r="1532" spans="1:14" x14ac:dyDescent="0.55000000000000004">
      <c r="A1532">
        <v>1531</v>
      </c>
      <c r="B1532" s="25" t="s">
        <v>97</v>
      </c>
      <c r="C1532" s="25">
        <v>21</v>
      </c>
      <c r="D1532" s="25" t="s">
        <v>4983</v>
      </c>
      <c r="E1532" s="25" t="s">
        <v>5004</v>
      </c>
      <c r="F1532" s="25">
        <v>18.05</v>
      </c>
      <c r="G1532" s="25" t="s">
        <v>2113</v>
      </c>
      <c r="I1532" s="25">
        <v>18.05</v>
      </c>
      <c r="J1532" s="25" t="s">
        <v>110</v>
      </c>
    </row>
    <row r="1533" spans="1:14" x14ac:dyDescent="0.55000000000000004">
      <c r="A1533">
        <v>1532</v>
      </c>
      <c r="B1533" s="25" t="s">
        <v>98</v>
      </c>
      <c r="C1533" s="25">
        <v>19</v>
      </c>
      <c r="D1533" s="25" t="s">
        <v>5005</v>
      </c>
      <c r="E1533" s="25" t="s">
        <v>5006</v>
      </c>
      <c r="F1533" s="25">
        <v>14.93</v>
      </c>
      <c r="G1533" s="25" t="s">
        <v>1889</v>
      </c>
      <c r="H1533" s="25">
        <f>4.21+6.81+3.9</f>
        <v>14.92</v>
      </c>
      <c r="I1533" s="25">
        <f>4.21+6.81+3.9</f>
        <v>14.92</v>
      </c>
      <c r="J1533" s="25" t="s">
        <v>110</v>
      </c>
      <c r="K1533" s="25" t="str">
        <f>VLOOKUP(E1533,[1]PrelimAssignPOP!$I$1:$J$947,2,FALSE)</f>
        <v>KIY</v>
      </c>
      <c r="L1533" s="25" t="s">
        <v>218</v>
      </c>
      <c r="M1533" s="25" t="s">
        <v>191</v>
      </c>
      <c r="N1533" s="25" t="s">
        <v>3230</v>
      </c>
    </row>
    <row r="1534" spans="1:14" x14ac:dyDescent="0.55000000000000004">
      <c r="A1534">
        <v>1533</v>
      </c>
      <c r="B1534" s="25" t="s">
        <v>98</v>
      </c>
      <c r="C1534" s="25">
        <v>19</v>
      </c>
      <c r="D1534" s="25" t="s">
        <v>5005</v>
      </c>
      <c r="E1534" s="25" t="s">
        <v>5007</v>
      </c>
      <c r="F1534" s="25">
        <v>15.32</v>
      </c>
      <c r="G1534" s="25" t="s">
        <v>1889</v>
      </c>
      <c r="H1534" s="25">
        <f>1.78+1.04+3.36+4.96+4.38</f>
        <v>15.52</v>
      </c>
      <c r="I1534" s="25">
        <f>1.78+1.04+3.36+4.96+4.38</f>
        <v>15.52</v>
      </c>
      <c r="J1534" s="25" t="s">
        <v>110</v>
      </c>
      <c r="K1534" s="25" t="str">
        <f>VLOOKUP(E1534,[1]PrelimAssignPOP!$I$1:$J$947,2,FALSE)</f>
        <v>ART</v>
      </c>
      <c r="L1534" s="25" t="s">
        <v>218</v>
      </c>
      <c r="M1534" s="25" t="s">
        <v>192</v>
      </c>
      <c r="N1534" s="25" t="s">
        <v>3231</v>
      </c>
    </row>
    <row r="1535" spans="1:14" x14ac:dyDescent="0.55000000000000004">
      <c r="A1535">
        <v>1534</v>
      </c>
      <c r="B1535" s="25" t="s">
        <v>98</v>
      </c>
      <c r="C1535" s="25">
        <v>19</v>
      </c>
      <c r="D1535" s="25" t="s">
        <v>5005</v>
      </c>
      <c r="E1535" s="25" t="s">
        <v>5008</v>
      </c>
      <c r="F1535" s="25">
        <v>14.05</v>
      </c>
      <c r="G1535" s="25" t="s">
        <v>1889</v>
      </c>
      <c r="H1535" s="25">
        <f>5.17+3.72+2.59+2.53</f>
        <v>14.01</v>
      </c>
      <c r="I1535" s="25">
        <f>5.17+3.72+2.59+2.53</f>
        <v>14.01</v>
      </c>
      <c r="J1535" s="25" t="s">
        <v>1891</v>
      </c>
      <c r="K1535" s="25" t="str">
        <f>VLOOKUP(E1535,[1]PrelimAssignPOP!$I$1:$J$947,2,FALSE)</f>
        <v>ART</v>
      </c>
      <c r="L1535" s="25" t="s">
        <v>218</v>
      </c>
      <c r="M1535" s="25" t="s">
        <v>193</v>
      </c>
      <c r="N1535" s="25" t="s">
        <v>3232</v>
      </c>
    </row>
    <row r="1536" spans="1:14" x14ac:dyDescent="0.55000000000000004">
      <c r="A1536">
        <v>1535</v>
      </c>
      <c r="B1536" s="25" t="s">
        <v>98</v>
      </c>
      <c r="C1536" s="25">
        <v>19</v>
      </c>
      <c r="D1536" s="25" t="s">
        <v>5005</v>
      </c>
      <c r="E1536" s="25" t="s">
        <v>5009</v>
      </c>
      <c r="F1536" s="25">
        <v>14.17</v>
      </c>
      <c r="G1536" s="25" t="s">
        <v>1889</v>
      </c>
      <c r="H1536" s="25">
        <f>2.31+7.01+5.45</f>
        <v>14.77</v>
      </c>
      <c r="I1536" s="25">
        <f>2.31+7.01+5.45</f>
        <v>14.77</v>
      </c>
      <c r="J1536" s="25" t="s">
        <v>1891</v>
      </c>
      <c r="L1536" s="25" t="s">
        <v>218</v>
      </c>
      <c r="M1536" s="25" t="s">
        <v>194</v>
      </c>
      <c r="N1536" s="25" t="s">
        <v>3233</v>
      </c>
    </row>
    <row r="1537" spans="1:14" x14ac:dyDescent="0.55000000000000004">
      <c r="A1537">
        <v>1536</v>
      </c>
      <c r="B1537" s="25" t="s">
        <v>98</v>
      </c>
      <c r="C1537" s="25">
        <v>19</v>
      </c>
      <c r="D1537" s="25" t="s">
        <v>5005</v>
      </c>
      <c r="E1537" s="25" t="s">
        <v>5010</v>
      </c>
      <c r="F1537" s="25">
        <v>15.12</v>
      </c>
      <c r="G1537" s="25" t="s">
        <v>1889</v>
      </c>
      <c r="H1537" s="25">
        <f>7.04+3.52+2.17+2.85</f>
        <v>15.58</v>
      </c>
      <c r="I1537" s="25">
        <f>7.04+3.52+2.17+2.85</f>
        <v>15.58</v>
      </c>
      <c r="J1537" s="25" t="s">
        <v>1891</v>
      </c>
      <c r="K1537" s="25" t="str">
        <f>VLOOKUP(E1537,[1]PrelimAssignPOP!$I$1:$J$947,2,FALSE)</f>
        <v>ART</v>
      </c>
      <c r="L1537" s="25" t="s">
        <v>218</v>
      </c>
      <c r="M1537" s="25" t="s">
        <v>195</v>
      </c>
      <c r="N1537" s="25" t="s">
        <v>3234</v>
      </c>
    </row>
    <row r="1538" spans="1:14" x14ac:dyDescent="0.55000000000000004">
      <c r="A1538">
        <v>1537</v>
      </c>
      <c r="B1538" s="25" t="s">
        <v>98</v>
      </c>
      <c r="C1538" s="25">
        <v>19</v>
      </c>
      <c r="D1538" s="25" t="s">
        <v>5005</v>
      </c>
      <c r="E1538" s="25" t="s">
        <v>5011</v>
      </c>
      <c r="F1538" s="25">
        <v>12.08</v>
      </c>
      <c r="G1538" s="25" t="s">
        <v>1889</v>
      </c>
      <c r="H1538" s="25">
        <f>1.91+2.66+5.42+3.17</f>
        <v>13.16</v>
      </c>
      <c r="I1538" s="25">
        <f>1.91+2.66+5.42+3.17</f>
        <v>13.16</v>
      </c>
      <c r="J1538" s="25" t="s">
        <v>1891</v>
      </c>
      <c r="K1538" s="25" t="str">
        <f>VLOOKUP(E1538,[1]PrelimAssignPOP!$I$1:$J$947,2,FALSE)</f>
        <v>HYB</v>
      </c>
      <c r="L1538" s="25" t="s">
        <v>218</v>
      </c>
      <c r="M1538" s="25" t="s">
        <v>196</v>
      </c>
      <c r="N1538" s="25" t="s">
        <v>3235</v>
      </c>
    </row>
    <row r="1539" spans="1:14" x14ac:dyDescent="0.55000000000000004">
      <c r="A1539">
        <v>1538</v>
      </c>
      <c r="B1539" s="25" t="s">
        <v>98</v>
      </c>
      <c r="C1539" s="25">
        <v>19</v>
      </c>
      <c r="D1539" s="25" t="s">
        <v>5005</v>
      </c>
      <c r="E1539" s="25" t="s">
        <v>5012</v>
      </c>
      <c r="F1539" s="25">
        <v>14.49</v>
      </c>
      <c r="G1539" s="25" t="s">
        <v>1889</v>
      </c>
      <c r="H1539" s="25">
        <f>5.17+9.32</f>
        <v>14.49</v>
      </c>
      <c r="I1539" s="25">
        <f>5.17+9.32</f>
        <v>14.49</v>
      </c>
      <c r="J1539" s="25" t="s">
        <v>1891</v>
      </c>
      <c r="K1539" s="25" t="str">
        <f>VLOOKUP(E1539,[1]PrelimAssignPOP!$I$1:$J$947,2,FALSE)</f>
        <v>KIY</v>
      </c>
      <c r="L1539" s="25" t="s">
        <v>218</v>
      </c>
      <c r="M1539" s="25" t="s">
        <v>197</v>
      </c>
      <c r="N1539" s="25" t="s">
        <v>3236</v>
      </c>
    </row>
    <row r="1540" spans="1:14" x14ac:dyDescent="0.55000000000000004">
      <c r="A1540">
        <v>1539</v>
      </c>
      <c r="B1540" s="25" t="s">
        <v>98</v>
      </c>
      <c r="C1540" s="25">
        <v>19</v>
      </c>
      <c r="D1540" s="25" t="s">
        <v>5005</v>
      </c>
      <c r="E1540" s="25" t="s">
        <v>5013</v>
      </c>
      <c r="F1540" s="25">
        <v>14.01</v>
      </c>
      <c r="G1540" s="25" t="s">
        <v>1889</v>
      </c>
      <c r="H1540" s="25">
        <f>6.26+7.91</f>
        <v>14.17</v>
      </c>
      <c r="I1540" s="25">
        <f>6.26+7.91</f>
        <v>14.17</v>
      </c>
      <c r="J1540" s="25" t="s">
        <v>1891</v>
      </c>
      <c r="L1540" s="25" t="s">
        <v>218</v>
      </c>
      <c r="M1540" s="25" t="s">
        <v>198</v>
      </c>
      <c r="N1540" s="25" t="s">
        <v>3237</v>
      </c>
    </row>
    <row r="1541" spans="1:14" x14ac:dyDescent="0.55000000000000004">
      <c r="A1541">
        <v>1540</v>
      </c>
      <c r="B1541" s="25" t="s">
        <v>98</v>
      </c>
      <c r="C1541" s="25">
        <v>19</v>
      </c>
      <c r="D1541" s="25" t="s">
        <v>5005</v>
      </c>
      <c r="E1541" s="25" t="s">
        <v>5014</v>
      </c>
      <c r="F1541" s="25">
        <v>14.4</v>
      </c>
      <c r="G1541" s="25" t="s">
        <v>1889</v>
      </c>
      <c r="H1541" s="25">
        <f>3.4+6.06+2.6+2.39</f>
        <v>14.45</v>
      </c>
      <c r="I1541" s="25">
        <f>3.4+6.06+2.6+2.39</f>
        <v>14.45</v>
      </c>
      <c r="J1541" s="25" t="s">
        <v>1891</v>
      </c>
      <c r="K1541" s="25" t="str">
        <f>VLOOKUP(E1541,[1]PrelimAssignPOP!$I$1:$J$947,2,FALSE)</f>
        <v>ART</v>
      </c>
      <c r="L1541" s="25" t="s">
        <v>218</v>
      </c>
      <c r="M1541" s="25" t="s">
        <v>121</v>
      </c>
      <c r="N1541" s="25" t="s">
        <v>3238</v>
      </c>
    </row>
    <row r="1542" spans="1:14" x14ac:dyDescent="0.55000000000000004">
      <c r="A1542">
        <v>1541</v>
      </c>
      <c r="B1542" s="25" t="s">
        <v>98</v>
      </c>
      <c r="C1542" s="25">
        <v>19</v>
      </c>
      <c r="D1542" s="25" t="s">
        <v>5005</v>
      </c>
      <c r="E1542" s="25" t="s">
        <v>5015</v>
      </c>
      <c r="F1542" s="25">
        <v>11.11</v>
      </c>
      <c r="G1542" s="25" t="s">
        <v>1889</v>
      </c>
      <c r="H1542" s="25">
        <f>1.89+2.97+1.8+1.96+2.83</f>
        <v>11.450000000000001</v>
      </c>
      <c r="I1542" s="25">
        <f>1.89+2.97+1.8+1.96+2.83</f>
        <v>11.450000000000001</v>
      </c>
      <c r="J1542" s="25" t="s">
        <v>1891</v>
      </c>
      <c r="K1542" s="25" t="str">
        <f>VLOOKUP(E1542,[1]PrelimAssignPOP!$I$1:$J$947,2,FALSE)</f>
        <v>ART</v>
      </c>
      <c r="L1542" s="25" t="s">
        <v>218</v>
      </c>
      <c r="M1542" s="25" t="s">
        <v>199</v>
      </c>
      <c r="N1542" s="25" t="s">
        <v>3239</v>
      </c>
    </row>
    <row r="1543" spans="1:14" x14ac:dyDescent="0.55000000000000004">
      <c r="A1543">
        <v>1542</v>
      </c>
      <c r="B1543" s="25" t="s">
        <v>98</v>
      </c>
      <c r="C1543" s="25">
        <v>19</v>
      </c>
      <c r="D1543" s="25" t="s">
        <v>5005</v>
      </c>
      <c r="E1543" s="25" t="s">
        <v>5016</v>
      </c>
      <c r="F1543" s="25">
        <v>12.91</v>
      </c>
      <c r="G1543" s="25" t="s">
        <v>1889</v>
      </c>
      <c r="H1543" s="25">
        <f>5.2+3.4+4.58</f>
        <v>13.18</v>
      </c>
      <c r="I1543" s="25">
        <f>5.2+3.4+4.58</f>
        <v>13.18</v>
      </c>
      <c r="J1543" s="25" t="s">
        <v>1891</v>
      </c>
      <c r="K1543" s="25" t="str">
        <f>VLOOKUP(E1543,[1]PrelimAssignPOP!$I$1:$J$947,2,FALSE)</f>
        <v>KIY</v>
      </c>
      <c r="L1543" s="25" t="s">
        <v>218</v>
      </c>
      <c r="M1543" s="25" t="s">
        <v>200</v>
      </c>
      <c r="N1543" s="25" t="s">
        <v>3240</v>
      </c>
    </row>
    <row r="1544" spans="1:14" x14ac:dyDescent="0.55000000000000004">
      <c r="A1544">
        <v>1543</v>
      </c>
      <c r="B1544" s="25" t="s">
        <v>98</v>
      </c>
      <c r="C1544" s="25">
        <v>19</v>
      </c>
      <c r="D1544" s="25" t="s">
        <v>5005</v>
      </c>
      <c r="E1544" s="25" t="s">
        <v>5017</v>
      </c>
      <c r="F1544" s="25">
        <v>12.77</v>
      </c>
      <c r="G1544" s="25" t="s">
        <v>1889</v>
      </c>
      <c r="H1544" s="25">
        <f>8.97+3.94</f>
        <v>12.91</v>
      </c>
      <c r="I1544" s="25">
        <f>8.97+3.94</f>
        <v>12.91</v>
      </c>
      <c r="J1544" s="25" t="s">
        <v>1891</v>
      </c>
      <c r="K1544" s="25" t="str">
        <f>VLOOKUP(E1544,[1]PrelimAssignPOP!$I$1:$J$947,2,FALSE)</f>
        <v>HYB</v>
      </c>
      <c r="L1544" s="25" t="s">
        <v>218</v>
      </c>
      <c r="M1544" s="25" t="s">
        <v>201</v>
      </c>
      <c r="N1544" s="25" t="s">
        <v>3241</v>
      </c>
    </row>
    <row r="1545" spans="1:14" x14ac:dyDescent="0.55000000000000004">
      <c r="A1545">
        <v>1544</v>
      </c>
      <c r="B1545" s="25" t="s">
        <v>98</v>
      </c>
      <c r="C1545" s="25">
        <v>19</v>
      </c>
      <c r="D1545" s="25" t="s">
        <v>5005</v>
      </c>
      <c r="E1545" s="25" t="s">
        <v>5018</v>
      </c>
      <c r="F1545" s="25">
        <v>14.39</v>
      </c>
      <c r="G1545" s="25" t="s">
        <v>1889</v>
      </c>
      <c r="H1545" s="25">
        <f>1.9+3.91+3.21+1.89+3.79</f>
        <v>14.7</v>
      </c>
      <c r="I1545" s="25">
        <f>1.9+3.91+3.21+1.89+3.79</f>
        <v>14.7</v>
      </c>
      <c r="J1545" s="25" t="s">
        <v>1891</v>
      </c>
      <c r="N1545" s="25" t="s">
        <v>3242</v>
      </c>
    </row>
    <row r="1546" spans="1:14" x14ac:dyDescent="0.55000000000000004">
      <c r="A1546">
        <v>1545</v>
      </c>
      <c r="B1546" s="25" t="s">
        <v>98</v>
      </c>
      <c r="C1546" s="25">
        <v>19</v>
      </c>
      <c r="D1546" s="25" t="s">
        <v>5005</v>
      </c>
      <c r="E1546" s="25" t="s">
        <v>5019</v>
      </c>
      <c r="F1546" s="25">
        <v>16.98</v>
      </c>
      <c r="G1546" s="25" t="s">
        <v>2113</v>
      </c>
      <c r="I1546" s="25">
        <v>16.98</v>
      </c>
      <c r="J1546" s="25" t="s">
        <v>110</v>
      </c>
    </row>
    <row r="1547" spans="1:14" x14ac:dyDescent="0.55000000000000004">
      <c r="A1547">
        <v>1546</v>
      </c>
      <c r="B1547" s="25" t="s">
        <v>98</v>
      </c>
      <c r="C1547" s="25">
        <v>19</v>
      </c>
      <c r="D1547" s="25" t="s">
        <v>5005</v>
      </c>
      <c r="E1547" s="25" t="s">
        <v>5020</v>
      </c>
      <c r="F1547" s="25">
        <v>16.45</v>
      </c>
      <c r="G1547" s="25" t="s">
        <v>2113</v>
      </c>
      <c r="I1547" s="25">
        <v>16.45</v>
      </c>
      <c r="J1547" s="25" t="s">
        <v>110</v>
      </c>
    </row>
    <row r="1548" spans="1:14" x14ac:dyDescent="0.55000000000000004">
      <c r="A1548">
        <v>1547</v>
      </c>
      <c r="B1548" s="25" t="s">
        <v>98</v>
      </c>
      <c r="C1548" s="25">
        <v>19</v>
      </c>
      <c r="D1548" s="25" t="s">
        <v>5005</v>
      </c>
      <c r="E1548" s="25" t="s">
        <v>5021</v>
      </c>
      <c r="F1548" s="25">
        <v>15.77</v>
      </c>
      <c r="G1548" s="25" t="s">
        <v>2113</v>
      </c>
      <c r="I1548" s="25">
        <v>15.77</v>
      </c>
      <c r="J1548" s="25" t="s">
        <v>110</v>
      </c>
    </row>
    <row r="1549" spans="1:14" x14ac:dyDescent="0.55000000000000004">
      <c r="A1549">
        <v>1548</v>
      </c>
      <c r="B1549" s="25" t="s">
        <v>98</v>
      </c>
      <c r="C1549" s="25">
        <v>19</v>
      </c>
      <c r="D1549" s="25" t="s">
        <v>5005</v>
      </c>
      <c r="E1549" s="25" t="s">
        <v>5022</v>
      </c>
      <c r="F1549" s="25">
        <v>14.26</v>
      </c>
      <c r="G1549" s="25" t="s">
        <v>2113</v>
      </c>
      <c r="I1549" s="25">
        <v>14.26</v>
      </c>
      <c r="J1549" s="25" t="s">
        <v>110</v>
      </c>
    </row>
    <row r="1550" spans="1:14" x14ac:dyDescent="0.55000000000000004">
      <c r="A1550">
        <v>1549</v>
      </c>
      <c r="B1550" s="25" t="s">
        <v>98</v>
      </c>
      <c r="C1550" s="25">
        <v>19</v>
      </c>
      <c r="D1550" s="25" t="s">
        <v>5005</v>
      </c>
      <c r="E1550" s="25" t="s">
        <v>5023</v>
      </c>
      <c r="G1550" s="25" t="s">
        <v>1941</v>
      </c>
      <c r="J1550" s="25" t="s">
        <v>1941</v>
      </c>
    </row>
    <row r="1551" spans="1:14" x14ac:dyDescent="0.55000000000000004">
      <c r="A1551">
        <v>1550</v>
      </c>
      <c r="B1551" s="25" t="s">
        <v>98</v>
      </c>
      <c r="C1551" s="25">
        <v>19</v>
      </c>
      <c r="D1551" s="25" t="s">
        <v>5005</v>
      </c>
      <c r="E1551" s="25" t="s">
        <v>5024</v>
      </c>
      <c r="G1551" s="25" t="s">
        <v>1941</v>
      </c>
      <c r="J1551" s="25" t="s">
        <v>1941</v>
      </c>
    </row>
    <row r="1552" spans="1:14" x14ac:dyDescent="0.55000000000000004">
      <c r="A1552">
        <v>1551</v>
      </c>
      <c r="B1552" s="25" t="s">
        <v>99</v>
      </c>
      <c r="C1552" s="25">
        <v>23</v>
      </c>
      <c r="D1552" s="25" t="s">
        <v>5025</v>
      </c>
      <c r="E1552" s="25" t="s">
        <v>5026</v>
      </c>
      <c r="F1552" s="25">
        <v>15.4</v>
      </c>
      <c r="G1552" s="25" t="s">
        <v>1889</v>
      </c>
      <c r="H1552" s="25">
        <f>8.09+2.26+2.63+2.41</f>
        <v>15.39</v>
      </c>
      <c r="I1552" s="25">
        <f>8.09+2.26+2.63+2.41</f>
        <v>15.39</v>
      </c>
      <c r="J1552" s="25" t="s">
        <v>1891</v>
      </c>
      <c r="K1552" s="25" t="str">
        <f>VLOOKUP(E1552,[1]PrelimAssignPOP!$I$1:$J$947,2,FALSE)</f>
        <v>ART</v>
      </c>
      <c r="L1552" s="25" t="s">
        <v>218</v>
      </c>
      <c r="M1552" s="25" t="s">
        <v>202</v>
      </c>
      <c r="N1552" s="25" t="s">
        <v>3243</v>
      </c>
    </row>
    <row r="1553" spans="1:14" x14ac:dyDescent="0.55000000000000004">
      <c r="A1553">
        <v>1552</v>
      </c>
      <c r="B1553" s="25" t="s">
        <v>99</v>
      </c>
      <c r="C1553" s="25">
        <v>23</v>
      </c>
      <c r="D1553" s="25" t="s">
        <v>5025</v>
      </c>
      <c r="E1553" s="25" t="s">
        <v>5027</v>
      </c>
      <c r="F1553" s="25">
        <v>15.29</v>
      </c>
      <c r="G1553" s="25" t="s">
        <v>1889</v>
      </c>
      <c r="H1553" s="25">
        <f>15.35</f>
        <v>15.35</v>
      </c>
      <c r="I1553" s="25">
        <f>15.35</f>
        <v>15.35</v>
      </c>
      <c r="J1553" s="25" t="s">
        <v>1891</v>
      </c>
      <c r="K1553" s="25" t="str">
        <f>VLOOKUP(E1553,[1]PrelimAssignPOP!$I$1:$J$947,2,FALSE)</f>
        <v>ART</v>
      </c>
      <c r="L1553" s="25" t="s">
        <v>218</v>
      </c>
      <c r="M1553" s="25" t="s">
        <v>203</v>
      </c>
      <c r="N1553" s="25" t="s">
        <v>3244</v>
      </c>
    </row>
    <row r="1554" spans="1:14" x14ac:dyDescent="0.55000000000000004">
      <c r="A1554">
        <v>1553</v>
      </c>
      <c r="B1554" s="25" t="s">
        <v>99</v>
      </c>
      <c r="C1554" s="25">
        <v>23</v>
      </c>
      <c r="D1554" s="25" t="s">
        <v>5025</v>
      </c>
      <c r="E1554" s="25" t="s">
        <v>5028</v>
      </c>
      <c r="F1554" s="25">
        <v>14.66</v>
      </c>
      <c r="G1554" s="25" t="s">
        <v>1889</v>
      </c>
      <c r="H1554" s="25">
        <f>3.94+2.18+3.54+5.01</f>
        <v>14.67</v>
      </c>
      <c r="I1554" s="25">
        <f>3.94+2.18+3.54+5.01</f>
        <v>14.67</v>
      </c>
      <c r="J1554" s="25" t="s">
        <v>1891</v>
      </c>
      <c r="K1554" s="25" t="str">
        <f>VLOOKUP(E1554,[1]PrelimAssignPOP!$I$1:$J$947,2,FALSE)</f>
        <v>ART</v>
      </c>
      <c r="L1554" s="25" t="s">
        <v>218</v>
      </c>
      <c r="M1554" s="25" t="s">
        <v>204</v>
      </c>
      <c r="N1554" s="25" t="s">
        <v>3245</v>
      </c>
    </row>
    <row r="1555" spans="1:14" x14ac:dyDescent="0.55000000000000004">
      <c r="A1555">
        <v>1554</v>
      </c>
      <c r="B1555" s="25" t="s">
        <v>99</v>
      </c>
      <c r="C1555" s="25">
        <v>23</v>
      </c>
      <c r="D1555" s="25" t="s">
        <v>5025</v>
      </c>
      <c r="E1555" s="25" t="s">
        <v>5029</v>
      </c>
      <c r="F1555" s="25">
        <v>13.13</v>
      </c>
      <c r="G1555" s="25" t="s">
        <v>1889</v>
      </c>
      <c r="H1555" s="25">
        <f>2.72+1.41+4.78+4.34</f>
        <v>13.25</v>
      </c>
      <c r="I1555" s="25">
        <f>2.72+1.41+4.78+4.34</f>
        <v>13.25</v>
      </c>
      <c r="J1555" s="25" t="s">
        <v>1891</v>
      </c>
      <c r="K1555" s="25" t="str">
        <f>VLOOKUP(E1555,[1]PrelimAssignPOP!$I$1:$J$947,2,FALSE)</f>
        <v>ART</v>
      </c>
      <c r="L1555" s="25" t="s">
        <v>218</v>
      </c>
      <c r="M1555" s="25" t="s">
        <v>205</v>
      </c>
      <c r="N1555" s="25" t="s">
        <v>3246</v>
      </c>
    </row>
    <row r="1556" spans="1:14" x14ac:dyDescent="0.55000000000000004">
      <c r="A1556">
        <v>1555</v>
      </c>
      <c r="B1556" s="25" t="s">
        <v>99</v>
      </c>
      <c r="C1556" s="25">
        <v>23</v>
      </c>
      <c r="D1556" s="25" t="s">
        <v>5025</v>
      </c>
      <c r="E1556" s="25" t="s">
        <v>5030</v>
      </c>
      <c r="F1556" s="25">
        <v>15.56</v>
      </c>
      <c r="G1556" s="25" t="s">
        <v>1889</v>
      </c>
      <c r="H1556" s="25">
        <f>3.89+4.62+3.52+3.63</f>
        <v>15.66</v>
      </c>
      <c r="I1556" s="25">
        <f>3.89+4.62+3.52+3.63</f>
        <v>15.66</v>
      </c>
      <c r="J1556" s="25" t="s">
        <v>1891</v>
      </c>
      <c r="K1556" s="25" t="str">
        <f>VLOOKUP(E1556,[1]PrelimAssignPOP!$I$1:$J$947,2,FALSE)</f>
        <v>ART</v>
      </c>
      <c r="L1556" s="25" t="s">
        <v>218</v>
      </c>
      <c r="M1556" s="25" t="s">
        <v>206</v>
      </c>
      <c r="N1556" s="25" t="s">
        <v>3247</v>
      </c>
    </row>
    <row r="1557" spans="1:14" x14ac:dyDescent="0.55000000000000004">
      <c r="A1557">
        <v>1556</v>
      </c>
      <c r="B1557" s="25" t="s">
        <v>99</v>
      </c>
      <c r="C1557" s="25">
        <v>23</v>
      </c>
      <c r="D1557" s="25" t="s">
        <v>5025</v>
      </c>
      <c r="E1557" s="25" t="s">
        <v>5031</v>
      </c>
      <c r="F1557" s="25">
        <v>15.27</v>
      </c>
      <c r="G1557" s="25" t="s">
        <v>1889</v>
      </c>
      <c r="H1557" s="25">
        <f>15.39</f>
        <v>15.39</v>
      </c>
      <c r="I1557" s="25">
        <f>15.39</f>
        <v>15.39</v>
      </c>
      <c r="J1557" s="25" t="s">
        <v>1891</v>
      </c>
      <c r="K1557" s="25" t="str">
        <f>VLOOKUP(E1557,[1]PrelimAssignPOP!$I$1:$J$947,2,FALSE)</f>
        <v>ART</v>
      </c>
      <c r="L1557" s="25" t="s">
        <v>218</v>
      </c>
      <c r="M1557" s="25" t="s">
        <v>207</v>
      </c>
      <c r="N1557" s="25" t="s">
        <v>3248</v>
      </c>
    </row>
    <row r="1558" spans="1:14" x14ac:dyDescent="0.55000000000000004">
      <c r="A1558">
        <v>1557</v>
      </c>
      <c r="B1558" s="25" t="s">
        <v>99</v>
      </c>
      <c r="C1558" s="25">
        <v>23</v>
      </c>
      <c r="D1558" s="25" t="s">
        <v>5025</v>
      </c>
      <c r="E1558" s="25" t="s">
        <v>5032</v>
      </c>
      <c r="F1558" s="25">
        <v>14.69</v>
      </c>
      <c r="G1558" s="25" t="s">
        <v>1889</v>
      </c>
      <c r="H1558" s="25">
        <f>3.77+6.83+4.2</f>
        <v>14.8</v>
      </c>
      <c r="I1558" s="25">
        <f>3.77+6.83+4.2</f>
        <v>14.8</v>
      </c>
      <c r="J1558" s="25" t="s">
        <v>1891</v>
      </c>
      <c r="K1558" s="25" t="str">
        <f>VLOOKUP(E1558,[1]PrelimAssignPOP!$I$1:$J$947,2,FALSE)</f>
        <v>ART</v>
      </c>
      <c r="L1558" s="25" t="s">
        <v>218</v>
      </c>
      <c r="M1558" s="25" t="s">
        <v>208</v>
      </c>
      <c r="N1558" s="25" t="s">
        <v>3249</v>
      </c>
    </row>
    <row r="1559" spans="1:14" x14ac:dyDescent="0.55000000000000004">
      <c r="A1559">
        <v>1558</v>
      </c>
      <c r="B1559" s="25" t="s">
        <v>99</v>
      </c>
      <c r="C1559" s="25">
        <v>23</v>
      </c>
      <c r="D1559" s="25" t="s">
        <v>5025</v>
      </c>
      <c r="E1559" s="25" t="s">
        <v>5033</v>
      </c>
      <c r="F1559" s="25">
        <v>14.33</v>
      </c>
      <c r="G1559" s="25" t="s">
        <v>1889</v>
      </c>
      <c r="H1559" s="25">
        <f>6.1+3.83+4.42</f>
        <v>14.35</v>
      </c>
      <c r="I1559" s="25">
        <f>6.1+3.83+4.42</f>
        <v>14.35</v>
      </c>
      <c r="J1559" s="25" t="s">
        <v>1891</v>
      </c>
      <c r="K1559" s="25" t="str">
        <f>VLOOKUP(E1559,[1]PrelimAssignPOP!$I$1:$J$947,2,FALSE)</f>
        <v>HYB</v>
      </c>
      <c r="L1559" s="25" t="s">
        <v>218</v>
      </c>
      <c r="M1559" s="25" t="s">
        <v>209</v>
      </c>
      <c r="N1559" s="25" t="s">
        <v>3250</v>
      </c>
    </row>
    <row r="1560" spans="1:14" x14ac:dyDescent="0.55000000000000004">
      <c r="A1560">
        <v>1559</v>
      </c>
      <c r="B1560" s="25" t="s">
        <v>99</v>
      </c>
      <c r="C1560" s="25">
        <v>23</v>
      </c>
      <c r="D1560" s="25" t="s">
        <v>5025</v>
      </c>
      <c r="E1560" s="25" t="s">
        <v>5034</v>
      </c>
      <c r="F1560" s="25">
        <v>14.52</v>
      </c>
      <c r="G1560" s="25" t="s">
        <v>2113</v>
      </c>
      <c r="I1560" s="25">
        <v>14.52</v>
      </c>
      <c r="J1560" s="25" t="s">
        <v>110</v>
      </c>
      <c r="K1560" s="25" t="str">
        <f>VLOOKUP(E1560,[1]PrelimAssignPOP!$I$1:$J$947,2,FALSE)</f>
        <v>ART</v>
      </c>
      <c r="L1560" s="25" t="s">
        <v>219</v>
      </c>
      <c r="M1560" s="25" t="s">
        <v>114</v>
      </c>
    </row>
    <row r="1561" spans="1:14" x14ac:dyDescent="0.55000000000000004">
      <c r="A1561">
        <v>1560</v>
      </c>
      <c r="B1561" s="25" t="s">
        <v>99</v>
      </c>
      <c r="C1561" s="25">
        <v>23</v>
      </c>
      <c r="D1561" s="25" t="s">
        <v>5025</v>
      </c>
      <c r="E1561" s="25" t="s">
        <v>5035</v>
      </c>
      <c r="F1561" s="25">
        <v>15.38</v>
      </c>
      <c r="G1561" s="25" t="s">
        <v>2113</v>
      </c>
      <c r="I1561" s="25">
        <v>15.38</v>
      </c>
      <c r="J1561" s="25" t="s">
        <v>110</v>
      </c>
      <c r="K1561" s="25" t="str">
        <f>VLOOKUP(E1561,[1]PrelimAssignPOP!$I$1:$J$947,2,FALSE)</f>
        <v>KIY</v>
      </c>
      <c r="L1561" s="25" t="s">
        <v>219</v>
      </c>
      <c r="M1561" s="25" t="s">
        <v>122</v>
      </c>
    </row>
    <row r="1562" spans="1:14" x14ac:dyDescent="0.55000000000000004">
      <c r="A1562">
        <v>1561</v>
      </c>
      <c r="B1562" s="25" t="s">
        <v>99</v>
      </c>
      <c r="C1562" s="25">
        <v>23</v>
      </c>
      <c r="D1562" s="25" t="s">
        <v>5025</v>
      </c>
      <c r="E1562" s="25" t="s">
        <v>5036</v>
      </c>
      <c r="F1562" s="25">
        <v>16.13</v>
      </c>
      <c r="G1562" s="25" t="s">
        <v>2113</v>
      </c>
      <c r="I1562" s="25">
        <v>16.13</v>
      </c>
      <c r="J1562" s="25" t="s">
        <v>110</v>
      </c>
      <c r="K1562" s="25" t="str">
        <f>VLOOKUP(E1562,[1]PrelimAssignPOP!$I$1:$J$947,2,FALSE)</f>
        <v>ART</v>
      </c>
      <c r="L1562" s="25" t="s">
        <v>219</v>
      </c>
      <c r="M1562" s="25" t="s">
        <v>123</v>
      </c>
    </row>
    <row r="1563" spans="1:14" x14ac:dyDescent="0.55000000000000004">
      <c r="A1563">
        <v>1562</v>
      </c>
      <c r="B1563" s="25" t="s">
        <v>99</v>
      </c>
      <c r="C1563" s="25">
        <v>23</v>
      </c>
      <c r="D1563" s="25" t="s">
        <v>5025</v>
      </c>
      <c r="E1563" s="25" t="s">
        <v>5037</v>
      </c>
      <c r="F1563" s="25">
        <v>14.98</v>
      </c>
      <c r="G1563" s="25" t="s">
        <v>2113</v>
      </c>
      <c r="I1563" s="25">
        <v>14.98</v>
      </c>
      <c r="J1563" s="25" t="s">
        <v>110</v>
      </c>
      <c r="K1563" s="25" t="str">
        <f>VLOOKUP(E1563,[1]PrelimAssignPOP!$I$1:$J$947,2,FALSE)</f>
        <v>HYB</v>
      </c>
      <c r="L1563" s="25" t="s">
        <v>219</v>
      </c>
      <c r="M1563" s="25" t="s">
        <v>124</v>
      </c>
    </row>
    <row r="1564" spans="1:14" x14ac:dyDescent="0.55000000000000004">
      <c r="A1564">
        <v>1563</v>
      </c>
      <c r="B1564" s="25" t="s">
        <v>99</v>
      </c>
      <c r="C1564" s="25">
        <v>23</v>
      </c>
      <c r="D1564" s="25" t="s">
        <v>5025</v>
      </c>
      <c r="E1564" s="25" t="s">
        <v>5038</v>
      </c>
      <c r="F1564" s="25">
        <v>14.29</v>
      </c>
      <c r="G1564" s="25" t="s">
        <v>2113</v>
      </c>
      <c r="I1564" s="25">
        <v>14.29</v>
      </c>
      <c r="J1564" s="25" t="s">
        <v>110</v>
      </c>
    </row>
    <row r="1565" spans="1:14" x14ac:dyDescent="0.55000000000000004">
      <c r="A1565">
        <v>1564</v>
      </c>
      <c r="B1565" s="25" t="s">
        <v>99</v>
      </c>
      <c r="C1565" s="25">
        <v>23</v>
      </c>
      <c r="D1565" s="25" t="s">
        <v>5025</v>
      </c>
      <c r="E1565" s="25" t="s">
        <v>5039</v>
      </c>
      <c r="F1565" s="25">
        <v>14.97</v>
      </c>
      <c r="G1565" s="25" t="s">
        <v>2113</v>
      </c>
      <c r="I1565" s="25">
        <v>14.97</v>
      </c>
      <c r="J1565" s="25" t="s">
        <v>110</v>
      </c>
    </row>
    <row r="1566" spans="1:14" x14ac:dyDescent="0.55000000000000004">
      <c r="A1566">
        <v>1565</v>
      </c>
      <c r="B1566" s="25" t="s">
        <v>99</v>
      </c>
      <c r="C1566" s="25">
        <v>23</v>
      </c>
      <c r="D1566" s="25" t="s">
        <v>5025</v>
      </c>
      <c r="E1566" s="25" t="s">
        <v>5040</v>
      </c>
      <c r="F1566" s="25">
        <v>13.74</v>
      </c>
      <c r="G1566" s="25" t="s">
        <v>1889</v>
      </c>
      <c r="H1566" s="25">
        <f>8.58+5.57</f>
        <v>14.15</v>
      </c>
      <c r="I1566" s="25">
        <f>8.58+5.57</f>
        <v>14.15</v>
      </c>
      <c r="J1566" s="25" t="s">
        <v>1891</v>
      </c>
      <c r="N1566" s="25" t="s">
        <v>3251</v>
      </c>
    </row>
    <row r="1567" spans="1:14" x14ac:dyDescent="0.55000000000000004">
      <c r="A1567">
        <v>1566</v>
      </c>
      <c r="B1567" s="25" t="s">
        <v>99</v>
      </c>
      <c r="C1567" s="25">
        <v>23</v>
      </c>
      <c r="D1567" s="25" t="s">
        <v>5025</v>
      </c>
      <c r="E1567" s="25" t="s">
        <v>5041</v>
      </c>
      <c r="F1567" s="25">
        <v>14.77</v>
      </c>
      <c r="G1567" s="25" t="s">
        <v>1889</v>
      </c>
      <c r="H1567" s="25">
        <f>3.35+3.4+3.93+2.99+1.89</f>
        <v>15.56</v>
      </c>
      <c r="I1567" s="25">
        <f>3.35+3.4+3.93+2.99+1.89</f>
        <v>15.56</v>
      </c>
      <c r="J1567" s="25" t="s">
        <v>1891</v>
      </c>
      <c r="N1567" s="25" t="s">
        <v>3252</v>
      </c>
    </row>
    <row r="1568" spans="1:14" x14ac:dyDescent="0.55000000000000004">
      <c r="A1568">
        <v>1567</v>
      </c>
      <c r="B1568" s="25" t="s">
        <v>99</v>
      </c>
      <c r="C1568" s="25">
        <v>23</v>
      </c>
      <c r="D1568" s="25" t="s">
        <v>5025</v>
      </c>
      <c r="E1568" s="25" t="s">
        <v>5042</v>
      </c>
      <c r="F1568" s="25">
        <v>14.86</v>
      </c>
      <c r="G1568" s="25" t="s">
        <v>1889</v>
      </c>
      <c r="H1568" s="25">
        <f>5.21+4.16+2.88+3.18</f>
        <v>15.43</v>
      </c>
      <c r="I1568" s="25">
        <f>5.21+4.16+2.88+3.18</f>
        <v>15.43</v>
      </c>
      <c r="J1568" s="25" t="s">
        <v>1891</v>
      </c>
      <c r="N1568" s="25" t="s">
        <v>3253</v>
      </c>
    </row>
    <row r="1569" spans="1:14" x14ac:dyDescent="0.55000000000000004">
      <c r="A1569">
        <v>1568</v>
      </c>
      <c r="B1569" s="25" t="s">
        <v>99</v>
      </c>
      <c r="C1569" s="25">
        <v>23</v>
      </c>
      <c r="D1569" s="25" t="s">
        <v>5025</v>
      </c>
      <c r="E1569" s="25" t="s">
        <v>5043</v>
      </c>
      <c r="F1569" s="25">
        <v>15.09</v>
      </c>
      <c r="G1569" s="25" t="s">
        <v>1889</v>
      </c>
      <c r="H1569" s="25">
        <f>4.01+4.67+6.1</f>
        <v>14.78</v>
      </c>
      <c r="I1569" s="25">
        <f>4.01+4.67+6.1</f>
        <v>14.78</v>
      </c>
      <c r="J1569" s="25" t="s">
        <v>1891</v>
      </c>
      <c r="N1569" s="25" t="s">
        <v>3254</v>
      </c>
    </row>
    <row r="1570" spans="1:14" x14ac:dyDescent="0.55000000000000004">
      <c r="A1570">
        <v>1569</v>
      </c>
      <c r="B1570" s="25" t="s">
        <v>99</v>
      </c>
      <c r="C1570" s="25">
        <v>23</v>
      </c>
      <c r="D1570" s="25" t="s">
        <v>5025</v>
      </c>
      <c r="E1570" s="25" t="s">
        <v>5044</v>
      </c>
      <c r="F1570" s="25">
        <v>14.69</v>
      </c>
      <c r="G1570" s="25" t="s">
        <v>1889</v>
      </c>
      <c r="H1570" s="25">
        <f>4.96+4.25+5.59</f>
        <v>14.8</v>
      </c>
      <c r="I1570" s="25">
        <f>4.96+4.25+5.59</f>
        <v>14.8</v>
      </c>
      <c r="J1570" s="25" t="s">
        <v>1891</v>
      </c>
      <c r="N1570" s="25" t="s">
        <v>3255</v>
      </c>
    </row>
    <row r="1571" spans="1:14" x14ac:dyDescent="0.55000000000000004">
      <c r="A1571">
        <v>1570</v>
      </c>
      <c r="B1571" s="25" t="s">
        <v>99</v>
      </c>
      <c r="C1571" s="25">
        <v>23</v>
      </c>
      <c r="D1571" s="25" t="s">
        <v>5025</v>
      </c>
      <c r="E1571" s="25" t="s">
        <v>5045</v>
      </c>
      <c r="F1571" s="25">
        <v>15.28</v>
      </c>
      <c r="G1571" s="25" t="s">
        <v>2113</v>
      </c>
      <c r="I1571" s="25">
        <v>15.28</v>
      </c>
      <c r="J1571" s="25" t="s">
        <v>110</v>
      </c>
    </row>
    <row r="1572" spans="1:14" x14ac:dyDescent="0.55000000000000004">
      <c r="A1572">
        <v>1571</v>
      </c>
      <c r="B1572" s="25" t="s">
        <v>99</v>
      </c>
      <c r="C1572" s="25">
        <v>23</v>
      </c>
      <c r="D1572" s="25" t="s">
        <v>5025</v>
      </c>
      <c r="E1572" s="25" t="s">
        <v>5046</v>
      </c>
      <c r="F1572" s="25">
        <v>16.37</v>
      </c>
      <c r="G1572" s="25" t="s">
        <v>2113</v>
      </c>
      <c r="I1572" s="25">
        <v>16.37</v>
      </c>
      <c r="J1572" s="25" t="s">
        <v>110</v>
      </c>
    </row>
    <row r="1573" spans="1:14" x14ac:dyDescent="0.55000000000000004">
      <c r="A1573">
        <v>1572</v>
      </c>
      <c r="B1573" s="25" t="s">
        <v>99</v>
      </c>
      <c r="C1573" s="25">
        <v>23</v>
      </c>
      <c r="D1573" s="25" t="s">
        <v>5025</v>
      </c>
      <c r="E1573" s="25" t="s">
        <v>5047</v>
      </c>
      <c r="F1573" s="25">
        <v>16.89</v>
      </c>
      <c r="G1573" s="25" t="s">
        <v>2113</v>
      </c>
      <c r="I1573" s="25">
        <v>16.89</v>
      </c>
      <c r="J1573" s="25" t="s">
        <v>110</v>
      </c>
    </row>
    <row r="1574" spans="1:14" x14ac:dyDescent="0.55000000000000004">
      <c r="A1574">
        <v>1573</v>
      </c>
      <c r="B1574" s="25" t="s">
        <v>99</v>
      </c>
      <c r="C1574" s="25">
        <v>23</v>
      </c>
      <c r="D1574" s="25" t="s">
        <v>5025</v>
      </c>
      <c r="E1574" s="25" t="s">
        <v>5048</v>
      </c>
      <c r="F1574" s="25">
        <v>16.41</v>
      </c>
      <c r="G1574" s="25" t="s">
        <v>2113</v>
      </c>
      <c r="I1574" s="25">
        <v>16.41</v>
      </c>
      <c r="J1574" s="25" t="s">
        <v>110</v>
      </c>
    </row>
    <row r="1575" spans="1:14" x14ac:dyDescent="0.55000000000000004">
      <c r="A1575">
        <v>1574</v>
      </c>
      <c r="B1575" s="25" t="s">
        <v>100</v>
      </c>
      <c r="C1575" s="25">
        <v>3</v>
      </c>
      <c r="D1575" s="25" t="s">
        <v>5049</v>
      </c>
      <c r="E1575" s="25" t="s">
        <v>5050</v>
      </c>
      <c r="F1575" s="25">
        <v>14.41</v>
      </c>
      <c r="G1575" s="25" t="s">
        <v>1889</v>
      </c>
      <c r="H1575" s="25">
        <f>7.72+7.04</f>
        <v>14.76</v>
      </c>
      <c r="I1575" s="25">
        <f>7.72+7.04</f>
        <v>14.76</v>
      </c>
      <c r="J1575" s="25" t="s">
        <v>1891</v>
      </c>
      <c r="K1575" s="25" t="str">
        <f>VLOOKUP(E1575,[1]PrelimAssignPOP!$I$1:$J$947,2,FALSE)</f>
        <v>HYB</v>
      </c>
      <c r="L1575" s="25" t="s">
        <v>219</v>
      </c>
      <c r="M1575" s="25" t="s">
        <v>125</v>
      </c>
      <c r="N1575" s="25" t="s">
        <v>3256</v>
      </c>
    </row>
    <row r="1576" spans="1:14" x14ac:dyDescent="0.55000000000000004">
      <c r="A1576">
        <v>1575</v>
      </c>
      <c r="B1576" s="25" t="s">
        <v>100</v>
      </c>
      <c r="C1576" s="25">
        <v>3</v>
      </c>
      <c r="D1576" s="25" t="s">
        <v>5049</v>
      </c>
      <c r="E1576" s="25" t="s">
        <v>5051</v>
      </c>
      <c r="F1576" s="25">
        <v>14.48</v>
      </c>
      <c r="G1576" s="25" t="s">
        <v>1889</v>
      </c>
      <c r="H1576" s="25">
        <f>6.23+3.02+5.39</f>
        <v>14.64</v>
      </c>
      <c r="I1576" s="25">
        <f>6.23+3.02+5.39</f>
        <v>14.64</v>
      </c>
      <c r="J1576" s="25" t="s">
        <v>1891</v>
      </c>
      <c r="K1576" s="25" t="str">
        <f>VLOOKUP(E1576,[1]PrelimAssignPOP!$I$1:$J$947,2,FALSE)</f>
        <v>ART</v>
      </c>
      <c r="L1576" s="25" t="s">
        <v>219</v>
      </c>
      <c r="M1576" s="25" t="s">
        <v>126</v>
      </c>
      <c r="N1576" s="25" t="s">
        <v>3257</v>
      </c>
    </row>
    <row r="1577" spans="1:14" x14ac:dyDescent="0.55000000000000004">
      <c r="A1577">
        <v>1576</v>
      </c>
      <c r="B1577" s="25" t="s">
        <v>100</v>
      </c>
      <c r="C1577" s="25">
        <v>3</v>
      </c>
      <c r="D1577" s="25" t="s">
        <v>5049</v>
      </c>
      <c r="E1577" s="25" t="s">
        <v>5052</v>
      </c>
      <c r="F1577" s="25">
        <v>14.25</v>
      </c>
      <c r="G1577" s="25" t="s">
        <v>1889</v>
      </c>
      <c r="H1577" s="25">
        <f>4.47+4.91+5.32</f>
        <v>14.7</v>
      </c>
      <c r="I1577" s="25">
        <f>4.47+4.91+5.32</f>
        <v>14.7</v>
      </c>
      <c r="J1577" s="25" t="s">
        <v>1891</v>
      </c>
      <c r="K1577" s="25" t="str">
        <f>VLOOKUP(E1577,[1]PrelimAssignPOP!$I$1:$J$947,2,FALSE)</f>
        <v>KIY</v>
      </c>
      <c r="L1577" s="25" t="s">
        <v>219</v>
      </c>
      <c r="M1577" s="25" t="s">
        <v>127</v>
      </c>
      <c r="N1577" s="25" t="s">
        <v>3258</v>
      </c>
    </row>
    <row r="1578" spans="1:14" x14ac:dyDescent="0.55000000000000004">
      <c r="A1578">
        <v>1577</v>
      </c>
      <c r="B1578" s="25" t="s">
        <v>101</v>
      </c>
      <c r="C1578" s="25">
        <v>4</v>
      </c>
      <c r="D1578" s="25" t="s">
        <v>5053</v>
      </c>
      <c r="E1578" s="25" t="s">
        <v>5054</v>
      </c>
      <c r="F1578" s="25">
        <v>15.44</v>
      </c>
      <c r="G1578" s="25" t="s">
        <v>1889</v>
      </c>
      <c r="H1578" s="25">
        <f>2.55+5.36+7.76</f>
        <v>15.67</v>
      </c>
      <c r="I1578" s="25">
        <f>2.55+5.36+7.76</f>
        <v>15.67</v>
      </c>
      <c r="J1578" s="25" t="s">
        <v>1891</v>
      </c>
      <c r="K1578" s="25" t="str">
        <f>VLOOKUP(E1578,[1]PrelimAssignPOP!$I$1:$J$947,2,FALSE)</f>
        <v>ART</v>
      </c>
      <c r="L1578" s="25" t="s">
        <v>219</v>
      </c>
      <c r="M1578" s="25" t="s">
        <v>128</v>
      </c>
      <c r="N1578" s="25" t="s">
        <v>3259</v>
      </c>
    </row>
    <row r="1579" spans="1:14" x14ac:dyDescent="0.55000000000000004">
      <c r="A1579">
        <v>1578</v>
      </c>
      <c r="B1579" s="25" t="s">
        <v>101</v>
      </c>
      <c r="C1579" s="25">
        <v>4</v>
      </c>
      <c r="D1579" s="25" t="s">
        <v>5053</v>
      </c>
      <c r="E1579" s="25" t="s">
        <v>5055</v>
      </c>
      <c r="F1579" s="25">
        <v>17.329999999999998</v>
      </c>
      <c r="G1579" s="25" t="s">
        <v>2113</v>
      </c>
      <c r="I1579" s="25">
        <v>17.329999999999998</v>
      </c>
      <c r="J1579" s="25" t="s">
        <v>110</v>
      </c>
      <c r="K1579" s="25" t="str">
        <f>VLOOKUP(E1579,[1]PrelimAssignPOP!$I$1:$J$947,2,FALSE)</f>
        <v>ART</v>
      </c>
      <c r="L1579" s="25" t="s">
        <v>219</v>
      </c>
      <c r="M1579" s="25" t="s">
        <v>129</v>
      </c>
    </row>
    <row r="1580" spans="1:14" x14ac:dyDescent="0.55000000000000004">
      <c r="A1580">
        <v>1579</v>
      </c>
      <c r="B1580" s="25" t="s">
        <v>101</v>
      </c>
      <c r="C1580" s="25">
        <v>4</v>
      </c>
      <c r="D1580" s="25" t="s">
        <v>5053</v>
      </c>
      <c r="E1580" s="25" t="s">
        <v>5056</v>
      </c>
      <c r="F1580" s="25">
        <v>15.93</v>
      </c>
      <c r="G1580" s="25" t="s">
        <v>2113</v>
      </c>
      <c r="I1580" s="25">
        <v>15.93</v>
      </c>
      <c r="J1580" s="25" t="s">
        <v>110</v>
      </c>
      <c r="K1580" s="25" t="str">
        <f>VLOOKUP(E1580,[1]PrelimAssignPOP!$I$1:$J$947,2,FALSE)</f>
        <v>KIY</v>
      </c>
      <c r="L1580" s="25" t="s">
        <v>219</v>
      </c>
      <c r="M1580" s="25" t="s">
        <v>130</v>
      </c>
    </row>
    <row r="1581" spans="1:14" x14ac:dyDescent="0.55000000000000004">
      <c r="A1581">
        <v>1580</v>
      </c>
      <c r="B1581" s="25" t="s">
        <v>101</v>
      </c>
      <c r="C1581" s="25">
        <v>4</v>
      </c>
      <c r="D1581" s="25" t="s">
        <v>5053</v>
      </c>
      <c r="E1581" s="25" t="s">
        <v>5057</v>
      </c>
      <c r="F1581" s="25">
        <v>15.93</v>
      </c>
      <c r="G1581" s="25" t="s">
        <v>2113</v>
      </c>
      <c r="I1581" s="25">
        <v>15.93</v>
      </c>
      <c r="J1581" s="25" t="s">
        <v>110</v>
      </c>
      <c r="K1581" s="25" t="str">
        <f>VLOOKUP(E1581,[1]PrelimAssignPOP!$I$1:$J$947,2,FALSE)</f>
        <v>KIY</v>
      </c>
      <c r="L1581" s="25" t="s">
        <v>219</v>
      </c>
      <c r="M1581" s="25" t="s">
        <v>131</v>
      </c>
    </row>
    <row r="1582" spans="1:14" x14ac:dyDescent="0.55000000000000004">
      <c r="A1582">
        <v>1581</v>
      </c>
      <c r="B1582" s="25" t="s">
        <v>102</v>
      </c>
      <c r="C1582" s="25">
        <v>4</v>
      </c>
      <c r="D1582" s="25" t="s">
        <v>5058</v>
      </c>
      <c r="E1582" s="25" t="s">
        <v>5059</v>
      </c>
      <c r="F1582" s="25">
        <v>14.88</v>
      </c>
      <c r="G1582" s="25" t="s">
        <v>2113</v>
      </c>
      <c r="I1582" s="25">
        <v>14.88</v>
      </c>
      <c r="J1582" s="25" t="s">
        <v>110</v>
      </c>
      <c r="K1582" s="25" t="str">
        <f>VLOOKUP(E1582,[1]PrelimAssignPOP!$I$1:$J$947,2,FALSE)</f>
        <v>ART</v>
      </c>
      <c r="L1582" s="25" t="s">
        <v>219</v>
      </c>
      <c r="M1582" s="25" t="s">
        <v>132</v>
      </c>
    </row>
    <row r="1583" spans="1:14" x14ac:dyDescent="0.55000000000000004">
      <c r="A1583">
        <v>1582</v>
      </c>
      <c r="B1583" s="25" t="s">
        <v>102</v>
      </c>
      <c r="C1583" s="25">
        <v>4</v>
      </c>
      <c r="D1583" s="25" t="s">
        <v>5058</v>
      </c>
      <c r="E1583" s="25" t="s">
        <v>5060</v>
      </c>
      <c r="F1583" s="25">
        <v>17.079999999999998</v>
      </c>
      <c r="G1583" s="25" t="s">
        <v>2113</v>
      </c>
      <c r="I1583" s="25">
        <v>17.079999999999998</v>
      </c>
      <c r="J1583" s="25" t="s">
        <v>110</v>
      </c>
      <c r="K1583" s="25" t="str">
        <f>VLOOKUP(E1583,[1]PrelimAssignPOP!$I$1:$J$947,2,FALSE)</f>
        <v>ART</v>
      </c>
      <c r="L1583" s="25" t="s">
        <v>219</v>
      </c>
      <c r="M1583" s="25" t="s">
        <v>115</v>
      </c>
    </row>
    <row r="1584" spans="1:14" x14ac:dyDescent="0.55000000000000004">
      <c r="A1584">
        <v>1583</v>
      </c>
      <c r="B1584" s="25" t="s">
        <v>102</v>
      </c>
      <c r="C1584" s="25">
        <v>4</v>
      </c>
      <c r="D1584" s="25" t="s">
        <v>5058</v>
      </c>
      <c r="E1584" s="25" t="s">
        <v>5061</v>
      </c>
      <c r="F1584" s="25">
        <v>17.079999999999998</v>
      </c>
      <c r="G1584" s="25" t="s">
        <v>2113</v>
      </c>
      <c r="I1584" s="25">
        <v>17.079999999999998</v>
      </c>
      <c r="J1584" s="25" t="s">
        <v>110</v>
      </c>
      <c r="K1584" s="25" t="str">
        <f>VLOOKUP(E1584,[1]PrelimAssignPOP!$I$1:$J$947,2,FALSE)</f>
        <v>ART</v>
      </c>
      <c r="L1584" s="25" t="s">
        <v>219</v>
      </c>
      <c r="M1584" s="25" t="s">
        <v>133</v>
      </c>
    </row>
    <row r="1585" spans="1:14" x14ac:dyDescent="0.55000000000000004">
      <c r="A1585">
        <v>1584</v>
      </c>
      <c r="B1585" s="25" t="s">
        <v>102</v>
      </c>
      <c r="C1585" s="25">
        <v>4</v>
      </c>
      <c r="D1585" s="25" t="s">
        <v>5058</v>
      </c>
      <c r="E1585" s="25" t="s">
        <v>5062</v>
      </c>
      <c r="F1585" s="25">
        <v>16.59</v>
      </c>
      <c r="G1585" s="25" t="s">
        <v>2113</v>
      </c>
      <c r="I1585" s="25">
        <v>16.59</v>
      </c>
      <c r="J1585" s="25" t="s">
        <v>110</v>
      </c>
      <c r="K1585" s="25" t="str">
        <f>VLOOKUP(E1585,[1]PrelimAssignPOP!$I$1:$J$947,2,FALSE)</f>
        <v>ART</v>
      </c>
      <c r="L1585" s="25" t="s">
        <v>219</v>
      </c>
      <c r="M1585" s="25" t="s">
        <v>134</v>
      </c>
    </row>
    <row r="1586" spans="1:14" x14ac:dyDescent="0.55000000000000004">
      <c r="A1586">
        <v>1585</v>
      </c>
      <c r="B1586" s="25" t="s">
        <v>103</v>
      </c>
      <c r="C1586" s="25">
        <v>2</v>
      </c>
      <c r="D1586" s="25" t="s">
        <v>5063</v>
      </c>
      <c r="E1586" s="25" t="s">
        <v>5064</v>
      </c>
      <c r="F1586" s="25">
        <v>15.15</v>
      </c>
      <c r="G1586" s="25" t="s">
        <v>1889</v>
      </c>
      <c r="H1586" s="25">
        <f>3.37+6.14+5.69</f>
        <v>15.2</v>
      </c>
      <c r="I1586" s="25">
        <f>3.37+6.14+5.69</f>
        <v>15.2</v>
      </c>
      <c r="J1586" s="25" t="s">
        <v>1891</v>
      </c>
      <c r="K1586" s="25" t="str">
        <f>VLOOKUP(E1586,[1]PrelimAssignPOP!$I$1:$J$947,2,FALSE)</f>
        <v>KIY</v>
      </c>
      <c r="L1586" s="25" t="s">
        <v>219</v>
      </c>
      <c r="M1586" s="25" t="s">
        <v>135</v>
      </c>
      <c r="N1586" s="25" t="s">
        <v>3261</v>
      </c>
    </row>
    <row r="1587" spans="1:14" x14ac:dyDescent="0.55000000000000004">
      <c r="A1587">
        <v>1586</v>
      </c>
      <c r="B1587" s="25" t="s">
        <v>103</v>
      </c>
      <c r="C1587" s="25">
        <v>2</v>
      </c>
      <c r="D1587" s="25" t="s">
        <v>5063</v>
      </c>
      <c r="E1587" s="25" t="s">
        <v>5065</v>
      </c>
      <c r="F1587" s="25">
        <v>15.91</v>
      </c>
      <c r="G1587" s="25" t="s">
        <v>1889</v>
      </c>
      <c r="H1587" s="25">
        <f>6.65+6.45+3.13</f>
        <v>16.23</v>
      </c>
      <c r="I1587" s="25">
        <f>6.65+6.45+3.13</f>
        <v>16.23</v>
      </c>
      <c r="J1587" s="25" t="s">
        <v>1891</v>
      </c>
      <c r="K1587" s="25" t="str">
        <f>VLOOKUP(E1587,[1]PrelimAssignPOP!$I$1:$J$947,2,FALSE)</f>
        <v>KIY</v>
      </c>
      <c r="L1587" s="25" t="s">
        <v>219</v>
      </c>
      <c r="M1587" s="25" t="s">
        <v>136</v>
      </c>
      <c r="N1587" s="25" t="s">
        <v>3260</v>
      </c>
    </row>
    <row r="1588" spans="1:14" x14ac:dyDescent="0.55000000000000004">
      <c r="A1588">
        <v>1587</v>
      </c>
      <c r="B1588" s="25" t="s">
        <v>104</v>
      </c>
      <c r="C1588" s="25">
        <v>4</v>
      </c>
      <c r="D1588" s="25" t="s">
        <v>5066</v>
      </c>
      <c r="E1588" s="25" t="s">
        <v>5067</v>
      </c>
      <c r="F1588" s="25">
        <v>15.62</v>
      </c>
      <c r="G1588" s="25" t="s">
        <v>1889</v>
      </c>
      <c r="H1588" s="25">
        <f>15.68</f>
        <v>15.68</v>
      </c>
      <c r="I1588" s="25">
        <f>15.68</f>
        <v>15.68</v>
      </c>
      <c r="J1588" s="25" t="s">
        <v>1891</v>
      </c>
      <c r="K1588" s="25" t="str">
        <f>VLOOKUP(E1588,[1]PrelimAssignPOP!$I$1:$J$947,2,FALSE)</f>
        <v>ART</v>
      </c>
      <c r="L1588" s="25" t="s">
        <v>219</v>
      </c>
      <c r="M1588" s="25" t="s">
        <v>137</v>
      </c>
      <c r="N1588" s="25" t="s">
        <v>3262</v>
      </c>
    </row>
    <row r="1589" spans="1:14" x14ac:dyDescent="0.55000000000000004">
      <c r="A1589">
        <v>1588</v>
      </c>
      <c r="B1589" s="25" t="s">
        <v>104</v>
      </c>
      <c r="C1589" s="25">
        <v>4</v>
      </c>
      <c r="D1589" s="25" t="s">
        <v>5066</v>
      </c>
      <c r="E1589" s="25" t="s">
        <v>5068</v>
      </c>
      <c r="F1589" s="25">
        <v>17.2</v>
      </c>
      <c r="G1589" s="25" t="s">
        <v>2113</v>
      </c>
      <c r="I1589" s="25">
        <v>17.2</v>
      </c>
      <c r="J1589" s="25" t="s">
        <v>110</v>
      </c>
      <c r="K1589" s="25" t="str">
        <f>VLOOKUP(E1589,[1]PrelimAssignPOP!$I$1:$J$947,2,FALSE)</f>
        <v>HYB</v>
      </c>
      <c r="L1589" s="25" t="s">
        <v>219</v>
      </c>
      <c r="M1589" s="25" t="s">
        <v>138</v>
      </c>
    </row>
    <row r="1590" spans="1:14" x14ac:dyDescent="0.55000000000000004">
      <c r="A1590">
        <v>1589</v>
      </c>
      <c r="B1590" s="25" t="s">
        <v>104</v>
      </c>
      <c r="C1590" s="25">
        <v>4</v>
      </c>
      <c r="D1590" s="25" t="s">
        <v>5066</v>
      </c>
      <c r="E1590" s="25" t="s">
        <v>5069</v>
      </c>
      <c r="F1590" s="25">
        <v>16.170000000000002</v>
      </c>
      <c r="G1590" s="25" t="s">
        <v>2113</v>
      </c>
      <c r="I1590" s="25">
        <v>16.170000000000002</v>
      </c>
      <c r="J1590" s="25" t="s">
        <v>110</v>
      </c>
      <c r="K1590" s="25" t="str">
        <f>VLOOKUP(E1590,[1]PrelimAssignPOP!$I$1:$J$947,2,FALSE)</f>
        <v>ART</v>
      </c>
      <c r="L1590" s="25" t="s">
        <v>219</v>
      </c>
      <c r="M1590" s="25" t="s">
        <v>139</v>
      </c>
    </row>
    <row r="1591" spans="1:14" x14ac:dyDescent="0.55000000000000004">
      <c r="A1591">
        <v>1590</v>
      </c>
      <c r="B1591" s="25" t="s">
        <v>104</v>
      </c>
      <c r="C1591" s="25">
        <v>4</v>
      </c>
      <c r="D1591" s="25" t="s">
        <v>5066</v>
      </c>
      <c r="E1591" s="25" t="s">
        <v>5070</v>
      </c>
      <c r="F1591" s="25">
        <v>15.52</v>
      </c>
      <c r="G1591" s="25" t="s">
        <v>2113</v>
      </c>
      <c r="I1591" s="25">
        <v>15.52</v>
      </c>
      <c r="J1591" s="25" t="s">
        <v>110</v>
      </c>
      <c r="K1591" s="25" t="str">
        <f>VLOOKUP(E1591,[1]PrelimAssignPOP!$I$1:$J$947,2,FALSE)</f>
        <v>KIY</v>
      </c>
      <c r="L1591" s="25" t="s">
        <v>219</v>
      </c>
      <c r="M1591" s="25" t="s">
        <v>140</v>
      </c>
    </row>
    <row r="1592" spans="1:14" x14ac:dyDescent="0.55000000000000004">
      <c r="A1592">
        <v>1591</v>
      </c>
      <c r="B1592" s="25" t="s">
        <v>105</v>
      </c>
      <c r="C1592" s="25">
        <v>2</v>
      </c>
      <c r="D1592" s="25" t="s">
        <v>5071</v>
      </c>
      <c r="E1592" s="25" t="s">
        <v>5072</v>
      </c>
      <c r="F1592" s="25">
        <v>15.43</v>
      </c>
      <c r="G1592" s="25" t="s">
        <v>2113</v>
      </c>
      <c r="I1592" s="25">
        <v>15.43</v>
      </c>
      <c r="J1592" s="25" t="s">
        <v>110</v>
      </c>
      <c r="K1592" s="25" t="str">
        <f>VLOOKUP(E1592,[1]PrelimAssignPOP!$I$1:$J$947,2,FALSE)</f>
        <v>ART</v>
      </c>
      <c r="L1592" s="25" t="s">
        <v>219</v>
      </c>
      <c r="M1592" s="25" t="s">
        <v>141</v>
      </c>
    </row>
    <row r="1593" spans="1:14" x14ac:dyDescent="0.55000000000000004">
      <c r="A1593">
        <v>1592</v>
      </c>
      <c r="B1593" s="25" t="s">
        <v>105</v>
      </c>
      <c r="C1593" s="25">
        <v>2</v>
      </c>
      <c r="D1593" s="25" t="s">
        <v>5071</v>
      </c>
      <c r="E1593" s="25" t="s">
        <v>5073</v>
      </c>
      <c r="F1593" s="25">
        <v>15.91</v>
      </c>
      <c r="G1593" s="25" t="s">
        <v>2113</v>
      </c>
      <c r="I1593" s="25">
        <v>15.91</v>
      </c>
      <c r="J1593" s="25" t="s">
        <v>110</v>
      </c>
      <c r="K1593" s="25" t="str">
        <f>VLOOKUP(E1593,[1]PrelimAssignPOP!$I$1:$J$947,2,FALSE)</f>
        <v>KIY</v>
      </c>
      <c r="L1593" s="25" t="s">
        <v>219</v>
      </c>
      <c r="M1593" s="25" t="s">
        <v>142</v>
      </c>
    </row>
    <row r="1594" spans="1:14" x14ac:dyDescent="0.55000000000000004">
      <c r="A1594">
        <v>1593</v>
      </c>
      <c r="B1594" s="25" t="s">
        <v>106</v>
      </c>
      <c r="C1594" s="25">
        <v>6</v>
      </c>
      <c r="D1594" s="25" t="s">
        <v>5074</v>
      </c>
      <c r="E1594" s="25" t="s">
        <v>5075</v>
      </c>
      <c r="F1594" s="25">
        <v>15.64</v>
      </c>
      <c r="G1594" s="25" t="s">
        <v>2113</v>
      </c>
      <c r="I1594" s="25">
        <v>15.64</v>
      </c>
      <c r="J1594" s="25" t="s">
        <v>110</v>
      </c>
      <c r="K1594" s="25" t="str">
        <f>VLOOKUP(E1594,[1]PrelimAssignPOP!$I$1:$J$947,2,FALSE)</f>
        <v>ART</v>
      </c>
      <c r="L1594" s="25" t="s">
        <v>219</v>
      </c>
      <c r="M1594" s="25" t="s">
        <v>143</v>
      </c>
    </row>
    <row r="1595" spans="1:14" x14ac:dyDescent="0.55000000000000004">
      <c r="A1595">
        <v>1594</v>
      </c>
      <c r="B1595" s="25" t="s">
        <v>106</v>
      </c>
      <c r="C1595" s="25">
        <v>6</v>
      </c>
      <c r="D1595" s="25" t="s">
        <v>5074</v>
      </c>
      <c r="E1595" s="25" t="s">
        <v>5076</v>
      </c>
      <c r="F1595" s="25">
        <v>17.559999999999999</v>
      </c>
      <c r="G1595" s="25" t="s">
        <v>2113</v>
      </c>
      <c r="I1595" s="25">
        <v>17.559999999999999</v>
      </c>
      <c r="J1595" s="25" t="s">
        <v>110</v>
      </c>
      <c r="K1595" s="25" t="str">
        <f>VLOOKUP(E1595,[1]PrelimAssignPOP!$I$1:$J$947,2,FALSE)</f>
        <v>ART</v>
      </c>
      <c r="L1595" s="25" t="s">
        <v>219</v>
      </c>
      <c r="M1595" s="25" t="s">
        <v>116</v>
      </c>
    </row>
    <row r="1596" spans="1:14" x14ac:dyDescent="0.55000000000000004">
      <c r="A1596">
        <v>1595</v>
      </c>
      <c r="B1596" s="25" t="s">
        <v>106</v>
      </c>
      <c r="C1596" s="25">
        <v>6</v>
      </c>
      <c r="D1596" s="25" t="s">
        <v>5074</v>
      </c>
      <c r="E1596" s="25" t="s">
        <v>5077</v>
      </c>
      <c r="F1596" s="25">
        <v>11.65</v>
      </c>
      <c r="G1596" s="25" t="s">
        <v>1889</v>
      </c>
      <c r="H1596" s="25">
        <f>2.6+3.88+5.23</f>
        <v>11.71</v>
      </c>
      <c r="I1596" s="25">
        <f>2.6+3.88+5.23</f>
        <v>11.71</v>
      </c>
      <c r="J1596" s="25" t="s">
        <v>1891</v>
      </c>
      <c r="K1596" s="25" t="str">
        <f>VLOOKUP(E1596,[1]PrelimAssignPOP!$I$1:$J$947,2,FALSE)</f>
        <v>ART</v>
      </c>
      <c r="L1596" s="25" t="s">
        <v>219</v>
      </c>
      <c r="M1596" s="25" t="s">
        <v>144</v>
      </c>
      <c r="N1596" s="25" t="s">
        <v>3263</v>
      </c>
    </row>
    <row r="1597" spans="1:14" x14ac:dyDescent="0.55000000000000004">
      <c r="A1597">
        <v>1596</v>
      </c>
      <c r="B1597" s="25" t="s">
        <v>106</v>
      </c>
      <c r="C1597" s="25">
        <v>6</v>
      </c>
      <c r="D1597" s="25" t="s">
        <v>5074</v>
      </c>
      <c r="E1597" s="25" t="s">
        <v>5078</v>
      </c>
      <c r="F1597" s="25">
        <v>13.68</v>
      </c>
      <c r="G1597" s="25" t="s">
        <v>1889</v>
      </c>
      <c r="H1597" s="25">
        <f>3.43+3.56+1.95+4.89</f>
        <v>13.829999999999998</v>
      </c>
      <c r="I1597" s="25">
        <f>3.43+3.56+1.95+4.89</f>
        <v>13.829999999999998</v>
      </c>
      <c r="J1597" s="25" t="s">
        <v>1891</v>
      </c>
      <c r="K1597" s="25" t="str">
        <f>VLOOKUP(E1597,[1]PrelimAssignPOP!$I$1:$J$947,2,FALSE)</f>
        <v>ART</v>
      </c>
      <c r="L1597" s="25" t="s">
        <v>219</v>
      </c>
      <c r="M1597" s="25" t="s">
        <v>145</v>
      </c>
      <c r="N1597" s="25" t="s">
        <v>3264</v>
      </c>
    </row>
    <row r="1598" spans="1:14" x14ac:dyDescent="0.55000000000000004">
      <c r="A1598">
        <v>1597</v>
      </c>
      <c r="B1598" s="25" t="s">
        <v>106</v>
      </c>
      <c r="C1598" s="25">
        <v>6</v>
      </c>
      <c r="D1598" s="25" t="s">
        <v>5074</v>
      </c>
      <c r="E1598" s="25" t="s">
        <v>5079</v>
      </c>
      <c r="F1598" s="25">
        <v>14.3</v>
      </c>
      <c r="G1598" s="25" t="s">
        <v>1889</v>
      </c>
      <c r="H1598" s="25">
        <f>4.2+9.89</f>
        <v>14.09</v>
      </c>
      <c r="I1598" s="25">
        <f>4.2+9.89</f>
        <v>14.09</v>
      </c>
      <c r="J1598" s="25" t="s">
        <v>1891</v>
      </c>
      <c r="K1598" s="25" t="str">
        <f>VLOOKUP(E1598,[1]PrelimAssignPOP!$I$1:$J$947,2,FALSE)</f>
        <v>KIY</v>
      </c>
      <c r="L1598" s="25" t="s">
        <v>219</v>
      </c>
      <c r="M1598" s="25" t="s">
        <v>146</v>
      </c>
      <c r="N1598" s="25" t="s">
        <v>3265</v>
      </c>
    </row>
    <row r="1599" spans="1:14" x14ac:dyDescent="0.55000000000000004">
      <c r="A1599">
        <v>1598</v>
      </c>
      <c r="B1599" s="25" t="s">
        <v>106</v>
      </c>
      <c r="C1599" s="25">
        <v>6</v>
      </c>
      <c r="D1599" s="25" t="s">
        <v>5074</v>
      </c>
      <c r="E1599" s="25" t="s">
        <v>5080</v>
      </c>
      <c r="F1599" s="25">
        <v>14.47</v>
      </c>
      <c r="G1599" s="25" t="s">
        <v>1889</v>
      </c>
      <c r="H1599" s="25">
        <f>3.23+4.07+4.69+2.64</f>
        <v>14.630000000000003</v>
      </c>
      <c r="I1599" s="25">
        <f>3.23+4.07+4.69+2.64</f>
        <v>14.630000000000003</v>
      </c>
      <c r="J1599" s="25" t="s">
        <v>1891</v>
      </c>
      <c r="K1599" s="25" t="str">
        <f>VLOOKUP(E1599,[1]PrelimAssignPOP!$I$1:$J$947,2,FALSE)</f>
        <v>KIY</v>
      </c>
      <c r="L1599" s="25" t="s">
        <v>219</v>
      </c>
      <c r="M1599" s="25" t="s">
        <v>147</v>
      </c>
      <c r="N1599" s="25" t="s">
        <v>3266</v>
      </c>
    </row>
    <row r="1600" spans="1:14" x14ac:dyDescent="0.55000000000000004">
      <c r="A1600">
        <v>1599</v>
      </c>
      <c r="B1600" s="25" t="s">
        <v>107</v>
      </c>
      <c r="C1600" s="25">
        <v>1</v>
      </c>
      <c r="D1600" s="25" t="s">
        <v>5081</v>
      </c>
      <c r="E1600" s="25" t="s">
        <v>5082</v>
      </c>
      <c r="F1600" s="25">
        <v>17.78</v>
      </c>
      <c r="G1600" s="25" t="s">
        <v>2113</v>
      </c>
      <c r="I1600" s="25">
        <v>17.78</v>
      </c>
      <c r="J1600" s="25" t="s">
        <v>110</v>
      </c>
      <c r="K1600" s="25" t="str">
        <f>VLOOKUP(E1600,[1]PrelimAssignPOP!$I$1:$J$947,2,FALSE)</f>
        <v>HYB</v>
      </c>
      <c r="L1600" s="25" t="s">
        <v>219</v>
      </c>
      <c r="M1600" s="25" t="s">
        <v>148</v>
      </c>
    </row>
    <row r="1601" spans="1:14" x14ac:dyDescent="0.55000000000000004">
      <c r="A1601">
        <v>1600</v>
      </c>
      <c r="B1601" s="25" t="s">
        <v>108</v>
      </c>
      <c r="C1601" s="25">
        <v>6</v>
      </c>
      <c r="D1601" s="25" t="s">
        <v>5083</v>
      </c>
      <c r="E1601" s="25" t="s">
        <v>5084</v>
      </c>
      <c r="F1601" s="25">
        <v>15.54</v>
      </c>
      <c r="G1601" s="25" t="s">
        <v>1889</v>
      </c>
      <c r="H1601" s="25">
        <f>5.76+5.93+2.38+1.87</f>
        <v>15.940000000000001</v>
      </c>
      <c r="I1601" s="25">
        <f>5.76+5.93+2.38+1.87</f>
        <v>15.940000000000001</v>
      </c>
      <c r="J1601" s="25" t="s">
        <v>1891</v>
      </c>
      <c r="K1601" s="25" t="str">
        <f>VLOOKUP(E1601,[1]PrelimAssignPOP!$I$1:$J$947,2,FALSE)</f>
        <v>ART</v>
      </c>
      <c r="L1601" s="25" t="s">
        <v>219</v>
      </c>
      <c r="M1601" s="25" t="s">
        <v>149</v>
      </c>
      <c r="N1601" s="25" t="s">
        <v>3267</v>
      </c>
    </row>
    <row r="1602" spans="1:14" x14ac:dyDescent="0.55000000000000004">
      <c r="A1602">
        <v>1601</v>
      </c>
      <c r="B1602" s="25" t="s">
        <v>108</v>
      </c>
      <c r="C1602" s="25">
        <v>6</v>
      </c>
      <c r="D1602" s="25" t="s">
        <v>5083</v>
      </c>
      <c r="E1602" s="25" t="s">
        <v>5085</v>
      </c>
      <c r="F1602" s="25">
        <v>15.47</v>
      </c>
      <c r="G1602" s="25" t="s">
        <v>1889</v>
      </c>
      <c r="H1602" s="25">
        <f>5.5+4.65+5.2</f>
        <v>15.350000000000001</v>
      </c>
      <c r="I1602" s="25">
        <f>5.5+4.65+5.2</f>
        <v>15.350000000000001</v>
      </c>
      <c r="J1602" s="25" t="s">
        <v>1891</v>
      </c>
      <c r="K1602" s="25" t="str">
        <f>VLOOKUP(E1602,[1]PrelimAssignPOP!$I$1:$J$947,2,FALSE)</f>
        <v>HYB</v>
      </c>
      <c r="L1602" s="25" t="s">
        <v>219</v>
      </c>
      <c r="M1602" s="25" t="s">
        <v>150</v>
      </c>
      <c r="N1602" s="25" t="s">
        <v>3268</v>
      </c>
    </row>
    <row r="1603" spans="1:14" x14ac:dyDescent="0.55000000000000004">
      <c r="A1603">
        <v>1602</v>
      </c>
      <c r="B1603" s="25" t="s">
        <v>108</v>
      </c>
      <c r="C1603" s="25">
        <v>6</v>
      </c>
      <c r="D1603" s="25" t="s">
        <v>5083</v>
      </c>
      <c r="E1603" s="25" t="s">
        <v>5086</v>
      </c>
      <c r="F1603" s="25">
        <v>13.39</v>
      </c>
      <c r="G1603" s="25" t="s">
        <v>1889</v>
      </c>
      <c r="H1603" s="25">
        <f>2.82+3.14+3.95+3.75</f>
        <v>13.66</v>
      </c>
      <c r="I1603" s="25">
        <f>2.82+3.14+3.95+3.75</f>
        <v>13.66</v>
      </c>
      <c r="J1603" s="25" t="s">
        <v>1891</v>
      </c>
      <c r="K1603" s="25" t="str">
        <f>VLOOKUP(E1603,[1]PrelimAssignPOP!$I$1:$J$947,2,FALSE)</f>
        <v>ART</v>
      </c>
      <c r="L1603" s="25" t="s">
        <v>219</v>
      </c>
      <c r="M1603" s="25" t="s">
        <v>151</v>
      </c>
      <c r="N1603" s="25" t="s">
        <v>3269</v>
      </c>
    </row>
    <row r="1604" spans="1:14" x14ac:dyDescent="0.55000000000000004">
      <c r="A1604">
        <v>1603</v>
      </c>
      <c r="B1604" s="25" t="s">
        <v>108</v>
      </c>
      <c r="C1604" s="25">
        <v>6</v>
      </c>
      <c r="D1604" s="25" t="s">
        <v>5083</v>
      </c>
      <c r="E1604" s="25" t="s">
        <v>5087</v>
      </c>
      <c r="F1604" s="25">
        <v>11.32</v>
      </c>
      <c r="G1604" s="25" t="s">
        <v>1889</v>
      </c>
      <c r="H1604" s="25">
        <f>2.42+3.09+3.21+2.66</f>
        <v>11.379999999999999</v>
      </c>
      <c r="I1604" s="25">
        <f>2.42+3.09+3.21+2.66</f>
        <v>11.379999999999999</v>
      </c>
      <c r="J1604" s="25" t="s">
        <v>1891</v>
      </c>
      <c r="K1604" s="25" t="str">
        <f>VLOOKUP(E1604,[1]PrelimAssignPOP!$I$1:$J$947,2,FALSE)</f>
        <v>KIY</v>
      </c>
      <c r="L1604" s="25" t="s">
        <v>219</v>
      </c>
      <c r="M1604" s="25" t="s">
        <v>152</v>
      </c>
      <c r="N1604" s="25" t="s">
        <v>3270</v>
      </c>
    </row>
    <row r="1605" spans="1:14" x14ac:dyDescent="0.55000000000000004">
      <c r="A1605">
        <v>1604</v>
      </c>
      <c r="B1605" s="25" t="s">
        <v>108</v>
      </c>
      <c r="C1605" s="25">
        <v>6</v>
      </c>
      <c r="D1605" s="25" t="s">
        <v>5083</v>
      </c>
      <c r="E1605" s="25" t="s">
        <v>5088</v>
      </c>
      <c r="F1605" s="25">
        <v>14.26</v>
      </c>
      <c r="G1605" s="25" t="s">
        <v>1889</v>
      </c>
      <c r="H1605" s="25">
        <f>3.52+2.25+3.99+5</f>
        <v>14.76</v>
      </c>
      <c r="I1605" s="25">
        <f>3.52+2.25+3.99+5</f>
        <v>14.76</v>
      </c>
      <c r="J1605" s="25" t="s">
        <v>1891</v>
      </c>
      <c r="K1605" s="25" t="str">
        <f>VLOOKUP(E1605,[1]PrelimAssignPOP!$I$1:$J$947,2,FALSE)</f>
        <v>ART</v>
      </c>
      <c r="L1605" s="25" t="s">
        <v>219</v>
      </c>
      <c r="M1605" s="25" t="s">
        <v>153</v>
      </c>
      <c r="N1605" s="25" t="s">
        <v>3271</v>
      </c>
    </row>
    <row r="1606" spans="1:14" x14ac:dyDescent="0.55000000000000004">
      <c r="A1606">
        <v>1605</v>
      </c>
      <c r="B1606" s="25" t="s">
        <v>108</v>
      </c>
      <c r="C1606" s="25">
        <v>6</v>
      </c>
      <c r="D1606" s="25" t="s">
        <v>5083</v>
      </c>
      <c r="E1606" s="25" t="s">
        <v>5089</v>
      </c>
      <c r="F1606" s="25">
        <v>17.190000000000001</v>
      </c>
      <c r="G1606" s="25" t="s">
        <v>2113</v>
      </c>
      <c r="I1606" s="25">
        <v>17.190000000000001</v>
      </c>
      <c r="J1606" s="25" t="s">
        <v>110</v>
      </c>
      <c r="K1606" s="25" t="str">
        <f>VLOOKUP(E1606,[1]PrelimAssignPOP!$I$1:$J$947,2,FALSE)</f>
        <v>HYB</v>
      </c>
      <c r="L1606" s="25" t="s">
        <v>219</v>
      </c>
      <c r="M1606" s="25" t="s">
        <v>154</v>
      </c>
    </row>
    <row r="1607" spans="1:14" x14ac:dyDescent="0.55000000000000004">
      <c r="A1607">
        <v>1606</v>
      </c>
      <c r="B1607" s="25" t="s">
        <v>109</v>
      </c>
      <c r="C1607" s="25">
        <v>12</v>
      </c>
      <c r="D1607" s="25" t="s">
        <v>5090</v>
      </c>
      <c r="E1607" s="25" t="s">
        <v>5091</v>
      </c>
      <c r="F1607" s="25">
        <v>13.97</v>
      </c>
      <c r="G1607" s="25" t="s">
        <v>1889</v>
      </c>
      <c r="H1607" s="25">
        <f>1.84+3.6+4.04+4.53</f>
        <v>14.010000000000002</v>
      </c>
      <c r="I1607" s="25">
        <f>1.84+3.6+4.04+4.53</f>
        <v>14.010000000000002</v>
      </c>
      <c r="J1607" s="25" t="s">
        <v>1891</v>
      </c>
      <c r="K1607" s="25" t="str">
        <f>VLOOKUP(E1607,[1]PrelimAssignPOP!$I$1:$J$947,2,FALSE)</f>
        <v>KIY</v>
      </c>
      <c r="L1607" s="25" t="s">
        <v>219</v>
      </c>
      <c r="M1607" s="25" t="s">
        <v>117</v>
      </c>
      <c r="N1607" s="25" t="s">
        <v>3272</v>
      </c>
    </row>
    <row r="1608" spans="1:14" x14ac:dyDescent="0.55000000000000004">
      <c r="A1608">
        <v>1607</v>
      </c>
      <c r="B1608" s="25" t="s">
        <v>109</v>
      </c>
      <c r="C1608" s="25">
        <v>12</v>
      </c>
      <c r="D1608" s="25" t="s">
        <v>5090</v>
      </c>
      <c r="E1608" s="25" t="s">
        <v>5092</v>
      </c>
      <c r="F1608" s="25">
        <v>14.94</v>
      </c>
      <c r="G1608" s="25" t="s">
        <v>1889</v>
      </c>
      <c r="H1608" s="25">
        <f>3.29+2.7+2.66+2.35+3.84</f>
        <v>14.84</v>
      </c>
      <c r="I1608" s="25">
        <f>3.29+2.7+2.66+2.35+3.84</f>
        <v>14.84</v>
      </c>
      <c r="J1608" s="25" t="s">
        <v>1891</v>
      </c>
      <c r="K1608" s="25" t="str">
        <f>VLOOKUP(E1608,[1]PrelimAssignPOP!$I$1:$J$947,2,FALSE)</f>
        <v>KIY</v>
      </c>
      <c r="L1608" s="25" t="s">
        <v>219</v>
      </c>
      <c r="M1608" s="25" t="s">
        <v>155</v>
      </c>
      <c r="N1608" s="25" t="s">
        <v>3273</v>
      </c>
    </row>
    <row r="1609" spans="1:14" x14ac:dyDescent="0.55000000000000004">
      <c r="A1609">
        <v>1608</v>
      </c>
      <c r="B1609" s="25" t="s">
        <v>109</v>
      </c>
      <c r="C1609" s="25">
        <v>12</v>
      </c>
      <c r="D1609" s="25" t="s">
        <v>5090</v>
      </c>
      <c r="E1609" s="25" t="s">
        <v>5093</v>
      </c>
      <c r="F1609" s="25">
        <v>14.56</v>
      </c>
      <c r="G1609" s="25" t="s">
        <v>1889</v>
      </c>
      <c r="H1609" s="25">
        <f>3.58+6.1+5.12</f>
        <v>14.8</v>
      </c>
      <c r="I1609" s="25">
        <f>3.58+6.1+5.12</f>
        <v>14.8</v>
      </c>
      <c r="J1609" s="25" t="s">
        <v>1891</v>
      </c>
      <c r="K1609" s="25" t="str">
        <f>VLOOKUP(E1609,[1]PrelimAssignPOP!$I$1:$J$947,2,FALSE)</f>
        <v>KIY</v>
      </c>
      <c r="L1609" s="25" t="s">
        <v>219</v>
      </c>
      <c r="M1609" s="25" t="s">
        <v>156</v>
      </c>
      <c r="N1609" s="25" t="s">
        <v>3274</v>
      </c>
    </row>
    <row r="1610" spans="1:14" x14ac:dyDescent="0.55000000000000004">
      <c r="A1610">
        <v>1609</v>
      </c>
      <c r="B1610" s="25" t="s">
        <v>109</v>
      </c>
      <c r="C1610" s="25">
        <v>12</v>
      </c>
      <c r="D1610" s="25" t="s">
        <v>5090</v>
      </c>
      <c r="E1610" s="25" t="s">
        <v>5094</v>
      </c>
      <c r="F1610" s="25">
        <v>16.350000000000001</v>
      </c>
      <c r="G1610" s="25" t="s">
        <v>1889</v>
      </c>
      <c r="H1610" s="25">
        <f>3.95+3.48+5.14+3.89</f>
        <v>16.46</v>
      </c>
      <c r="I1610" s="25">
        <f>3.95+3.48+5.14+3.89</f>
        <v>16.46</v>
      </c>
      <c r="J1610" s="25" t="s">
        <v>1891</v>
      </c>
      <c r="K1610" s="25" t="str">
        <f>VLOOKUP(E1610,[1]PrelimAssignPOP!$I$1:$J$947,2,FALSE)</f>
        <v>ART</v>
      </c>
      <c r="L1610" s="25" t="s">
        <v>219</v>
      </c>
      <c r="M1610" s="25" t="s">
        <v>157</v>
      </c>
      <c r="N1610" s="25" t="s">
        <v>3275</v>
      </c>
    </row>
    <row r="1611" spans="1:14" x14ac:dyDescent="0.55000000000000004">
      <c r="A1611">
        <v>1610</v>
      </c>
      <c r="B1611" s="25" t="s">
        <v>109</v>
      </c>
      <c r="C1611" s="25">
        <v>12</v>
      </c>
      <c r="D1611" s="25" t="s">
        <v>5090</v>
      </c>
      <c r="E1611" s="25" t="s">
        <v>5095</v>
      </c>
      <c r="F1611" s="25">
        <v>16.559999999999999</v>
      </c>
      <c r="G1611" s="25" t="s">
        <v>2113</v>
      </c>
      <c r="I1611" s="25">
        <v>16.559999999999999</v>
      </c>
      <c r="J1611" s="25" t="s">
        <v>110</v>
      </c>
      <c r="K1611" s="25" t="str">
        <f>VLOOKUP(E1611,[1]PrelimAssignPOP!$I$1:$J$947,2,FALSE)</f>
        <v>KIY</v>
      </c>
      <c r="L1611" s="25" t="s">
        <v>219</v>
      </c>
      <c r="M1611" s="25" t="s">
        <v>158</v>
      </c>
    </row>
    <row r="1612" spans="1:14" x14ac:dyDescent="0.55000000000000004">
      <c r="A1612">
        <v>1611</v>
      </c>
      <c r="B1612" s="25" t="s">
        <v>109</v>
      </c>
      <c r="C1612" s="25">
        <v>12</v>
      </c>
      <c r="D1612" s="25" t="s">
        <v>5090</v>
      </c>
      <c r="E1612" s="25" t="s">
        <v>5096</v>
      </c>
      <c r="F1612" s="25">
        <v>14.57</v>
      </c>
      <c r="G1612" s="25" t="s">
        <v>2113</v>
      </c>
      <c r="I1612" s="25">
        <v>14.57</v>
      </c>
      <c r="J1612" s="25" t="s">
        <v>1891</v>
      </c>
      <c r="K1612" s="25" t="str">
        <f>VLOOKUP(E1612,[1]PrelimAssignPOP!$I$1:$J$947,2,FALSE)</f>
        <v>KIY</v>
      </c>
      <c r="L1612" s="25" t="s">
        <v>219</v>
      </c>
      <c r="M1612" s="25" t="s">
        <v>159</v>
      </c>
    </row>
    <row r="1613" spans="1:14" x14ac:dyDescent="0.55000000000000004">
      <c r="A1613">
        <v>1612</v>
      </c>
      <c r="B1613" s="25" t="s">
        <v>109</v>
      </c>
      <c r="C1613" s="25">
        <v>12</v>
      </c>
      <c r="D1613" s="25" t="s">
        <v>5090</v>
      </c>
      <c r="E1613" s="25" t="s">
        <v>5097</v>
      </c>
      <c r="F1613" s="25">
        <v>16.16</v>
      </c>
      <c r="G1613" s="25" t="s">
        <v>2113</v>
      </c>
      <c r="I1613" s="25">
        <v>16.16</v>
      </c>
      <c r="J1613" s="25" t="s">
        <v>1891</v>
      </c>
      <c r="K1613" s="25" t="str">
        <f>VLOOKUP(E1613,[1]PrelimAssignPOP!$I$1:$J$947,2,FALSE)</f>
        <v>ART</v>
      </c>
      <c r="L1613" s="25" t="s">
        <v>219</v>
      </c>
      <c r="M1613" s="25" t="s">
        <v>160</v>
      </c>
    </row>
    <row r="1614" spans="1:14" x14ac:dyDescent="0.55000000000000004">
      <c r="A1614">
        <v>1613</v>
      </c>
      <c r="B1614" s="25" t="s">
        <v>109</v>
      </c>
      <c r="C1614" s="25">
        <v>12</v>
      </c>
      <c r="D1614" s="25" t="s">
        <v>5090</v>
      </c>
      <c r="E1614" s="25" t="s">
        <v>5098</v>
      </c>
      <c r="F1614" s="25">
        <v>17.690000000000001</v>
      </c>
      <c r="G1614" s="25" t="s">
        <v>2113</v>
      </c>
      <c r="I1614" s="25">
        <v>17.690000000000001</v>
      </c>
      <c r="J1614" s="25" t="s">
        <v>1891</v>
      </c>
      <c r="K1614" s="25" t="str">
        <f>VLOOKUP(E1614,[1]PrelimAssignPOP!$I$1:$J$947,2,FALSE)</f>
        <v>ART</v>
      </c>
      <c r="L1614" s="25" t="s">
        <v>219</v>
      </c>
      <c r="M1614" s="25" t="s">
        <v>161</v>
      </c>
    </row>
    <row r="1615" spans="1:14" x14ac:dyDescent="0.55000000000000004">
      <c r="A1615">
        <v>1614</v>
      </c>
      <c r="B1615" s="25" t="s">
        <v>109</v>
      </c>
      <c r="C1615" s="25">
        <v>12</v>
      </c>
      <c r="D1615" s="25" t="s">
        <v>5090</v>
      </c>
      <c r="E1615" s="25" t="s">
        <v>5099</v>
      </c>
      <c r="F1615" s="25">
        <v>17.13</v>
      </c>
      <c r="G1615" s="25" t="s">
        <v>2113</v>
      </c>
      <c r="I1615" s="25">
        <v>17.13</v>
      </c>
      <c r="J1615" s="25" t="s">
        <v>1891</v>
      </c>
      <c r="K1615" s="25" t="str">
        <f>VLOOKUP(E1615,[1]PrelimAssignPOP!$I$1:$J$947,2,FALSE)</f>
        <v>KIY</v>
      </c>
      <c r="L1615" s="25" t="s">
        <v>219</v>
      </c>
      <c r="M1615" s="25" t="s">
        <v>162</v>
      </c>
    </row>
    <row r="1616" spans="1:14" x14ac:dyDescent="0.55000000000000004">
      <c r="A1616">
        <v>1615</v>
      </c>
      <c r="B1616" s="25" t="s">
        <v>109</v>
      </c>
      <c r="C1616" s="25">
        <v>12</v>
      </c>
      <c r="D1616" s="25" t="s">
        <v>5090</v>
      </c>
      <c r="E1616" s="25" t="s">
        <v>5100</v>
      </c>
      <c r="F1616" s="25">
        <v>19.37</v>
      </c>
      <c r="G1616" s="25" t="s">
        <v>2113</v>
      </c>
      <c r="I1616" s="25">
        <v>19.37</v>
      </c>
      <c r="J1616" s="25" t="s">
        <v>1891</v>
      </c>
      <c r="K1616" s="25" t="str">
        <f>VLOOKUP(E1616,[1]PrelimAssignPOP!$I$1:$J$947,2,FALSE)</f>
        <v>ART</v>
      </c>
      <c r="L1616" s="25" t="s">
        <v>219</v>
      </c>
      <c r="M1616" s="25" t="s">
        <v>163</v>
      </c>
    </row>
    <row r="1617" spans="1:14" x14ac:dyDescent="0.55000000000000004">
      <c r="A1617">
        <v>1616</v>
      </c>
      <c r="B1617" s="25" t="s">
        <v>109</v>
      </c>
      <c r="C1617" s="25">
        <v>12</v>
      </c>
      <c r="D1617" s="25" t="s">
        <v>5090</v>
      </c>
      <c r="E1617" s="25" t="s">
        <v>5101</v>
      </c>
      <c r="F1617" s="25">
        <v>21.13</v>
      </c>
      <c r="G1617" s="25" t="s">
        <v>2113</v>
      </c>
      <c r="I1617" s="25">
        <v>21.13</v>
      </c>
      <c r="J1617" s="25" t="s">
        <v>1891</v>
      </c>
      <c r="K1617" s="25" t="str">
        <f>VLOOKUP(E1617,[1]PrelimAssignPOP!$I$1:$J$947,2,FALSE)</f>
        <v>CLUP</v>
      </c>
      <c r="L1617" s="25" t="s">
        <v>219</v>
      </c>
      <c r="M1617" s="25" t="s">
        <v>164</v>
      </c>
    </row>
    <row r="1618" spans="1:14" x14ac:dyDescent="0.55000000000000004">
      <c r="A1618">
        <v>1617</v>
      </c>
      <c r="B1618" s="25" t="s">
        <v>109</v>
      </c>
      <c r="C1618" s="25">
        <v>12</v>
      </c>
      <c r="D1618" s="25" t="s">
        <v>5090</v>
      </c>
      <c r="E1618" s="25" t="s">
        <v>5102</v>
      </c>
      <c r="F1618" s="25">
        <v>16.899999999999999</v>
      </c>
      <c r="G1618" s="25" t="s">
        <v>2113</v>
      </c>
      <c r="I1618" s="25">
        <v>16.899999999999999</v>
      </c>
      <c r="J1618" s="25" t="s">
        <v>1891</v>
      </c>
      <c r="K1618" s="25" t="str">
        <f>VLOOKUP(E1618,[1]PrelimAssignPOP!$I$1:$J$947,2,FALSE)</f>
        <v>ART</v>
      </c>
      <c r="L1618" s="25" t="s">
        <v>219</v>
      </c>
      <c r="M1618" s="25" t="s">
        <v>165</v>
      </c>
    </row>
    <row r="1619" spans="1:14" x14ac:dyDescent="0.55000000000000004">
      <c r="A1619">
        <v>1618</v>
      </c>
      <c r="B1619" s="25" t="s">
        <v>1840</v>
      </c>
      <c r="C1619" s="25">
        <v>10</v>
      </c>
      <c r="D1619" s="25" t="s">
        <v>5103</v>
      </c>
      <c r="E1619" s="25" t="str">
        <f t="shared" ref="E1619:E1681" si="0">D1619&amp;"-"&amp;B1619</f>
        <v>COR-19-18-14177</v>
      </c>
      <c r="F1619" s="25">
        <v>133</v>
      </c>
      <c r="G1619" s="25" t="s">
        <v>1888</v>
      </c>
      <c r="J1619" s="25" t="s">
        <v>110</v>
      </c>
      <c r="K1619" s="25" t="str">
        <f>VLOOKUP(E1619,[1]PrelimAssignPOP!$I$1:$J$947,2,FALSE)</f>
        <v>ART</v>
      </c>
      <c r="L1619" s="25" t="s">
        <v>219</v>
      </c>
      <c r="M1619" s="25" t="s">
        <v>118</v>
      </c>
      <c r="N1619" s="25" t="s">
        <v>220</v>
      </c>
    </row>
    <row r="1620" spans="1:14" x14ac:dyDescent="0.55000000000000004">
      <c r="A1620">
        <v>1619</v>
      </c>
      <c r="B1620" s="25" t="s">
        <v>1841</v>
      </c>
      <c r="C1620" s="25">
        <v>10</v>
      </c>
      <c r="D1620" s="25" t="s">
        <v>5103</v>
      </c>
      <c r="E1620" s="25" t="str">
        <f t="shared" si="0"/>
        <v>COR-19-18-14178</v>
      </c>
      <c r="F1620" s="25">
        <v>130</v>
      </c>
      <c r="G1620" s="25" t="s">
        <v>1888</v>
      </c>
      <c r="J1620" s="25" t="s">
        <v>110</v>
      </c>
      <c r="K1620" s="25" t="str">
        <f>VLOOKUP(E1620,[1]PrelimAssignPOP!$I$1:$J$947,2,FALSE)</f>
        <v>ART</v>
      </c>
      <c r="L1620" s="25" t="s">
        <v>219</v>
      </c>
      <c r="M1620" s="25" t="s">
        <v>166</v>
      </c>
      <c r="N1620" s="25" t="s">
        <v>220</v>
      </c>
    </row>
    <row r="1621" spans="1:14" x14ac:dyDescent="0.55000000000000004">
      <c r="A1621">
        <v>1620</v>
      </c>
      <c r="B1621" s="25" t="s">
        <v>1842</v>
      </c>
      <c r="C1621" s="25">
        <v>10</v>
      </c>
      <c r="D1621" s="25" t="s">
        <v>5103</v>
      </c>
      <c r="E1621" s="25" t="str">
        <f t="shared" si="0"/>
        <v>COR-19-18-14179</v>
      </c>
      <c r="F1621" s="25">
        <v>141</v>
      </c>
      <c r="G1621" s="25" t="s">
        <v>1888</v>
      </c>
      <c r="J1621" s="25" t="s">
        <v>110</v>
      </c>
      <c r="K1621" s="25" t="str">
        <f>VLOOKUP(E1621,[1]PrelimAssignPOP!$I$1:$J$947,2,FALSE)</f>
        <v>ART</v>
      </c>
      <c r="L1621" s="25" t="s">
        <v>219</v>
      </c>
      <c r="M1621" s="25" t="s">
        <v>167</v>
      </c>
      <c r="N1621" s="25" t="s">
        <v>220</v>
      </c>
    </row>
    <row r="1622" spans="1:14" x14ac:dyDescent="0.55000000000000004">
      <c r="A1622">
        <v>1621</v>
      </c>
      <c r="B1622" s="25" t="s">
        <v>1843</v>
      </c>
      <c r="C1622" s="25">
        <v>10</v>
      </c>
      <c r="D1622" s="25" t="s">
        <v>5103</v>
      </c>
      <c r="E1622" s="25" t="str">
        <f t="shared" si="0"/>
        <v>COR-19-18-14180</v>
      </c>
      <c r="F1622" s="25">
        <v>140</v>
      </c>
      <c r="G1622" s="25" t="s">
        <v>1888</v>
      </c>
      <c r="J1622" s="25" t="s">
        <v>110</v>
      </c>
      <c r="K1622" s="25" t="str">
        <f>VLOOKUP(E1622,[1]PrelimAssignPOP!$I$1:$J$947,2,FALSE)</f>
        <v>ART</v>
      </c>
      <c r="L1622" s="25" t="s">
        <v>219</v>
      </c>
      <c r="M1622" s="25" t="s">
        <v>168</v>
      </c>
      <c r="N1622" s="25" t="s">
        <v>220</v>
      </c>
    </row>
    <row r="1623" spans="1:14" x14ac:dyDescent="0.55000000000000004">
      <c r="A1623">
        <v>1622</v>
      </c>
      <c r="B1623" s="25" t="s">
        <v>1844</v>
      </c>
      <c r="C1623" s="25">
        <v>10</v>
      </c>
      <c r="D1623" s="25" t="s">
        <v>5103</v>
      </c>
      <c r="E1623" s="25" t="str">
        <f t="shared" si="0"/>
        <v>COR-19-18-14208</v>
      </c>
      <c r="F1623" s="25">
        <v>126</v>
      </c>
      <c r="G1623" s="25" t="s">
        <v>1888</v>
      </c>
      <c r="J1623" s="25" t="s">
        <v>110</v>
      </c>
      <c r="K1623" s="25" t="str">
        <f>VLOOKUP(E1623,[1]PrelimAssignPOP!$I$1:$J$947,2,FALSE)</f>
        <v>ART</v>
      </c>
      <c r="L1623" s="25" t="s">
        <v>219</v>
      </c>
      <c r="M1623" s="25" t="s">
        <v>169</v>
      </c>
      <c r="N1623" s="25" t="s">
        <v>220</v>
      </c>
    </row>
    <row r="1624" spans="1:14" x14ac:dyDescent="0.55000000000000004">
      <c r="A1624">
        <v>1623</v>
      </c>
      <c r="B1624" s="25" t="s">
        <v>1845</v>
      </c>
      <c r="C1624" s="25">
        <v>10</v>
      </c>
      <c r="D1624" s="25" t="s">
        <v>5103</v>
      </c>
      <c r="E1624" s="25" t="str">
        <f t="shared" si="0"/>
        <v>COR-19-18-14233</v>
      </c>
      <c r="F1624" s="25">
        <v>99</v>
      </c>
      <c r="G1624" s="25" t="s">
        <v>1888</v>
      </c>
      <c r="J1624" s="25" t="s">
        <v>110</v>
      </c>
      <c r="K1624" s="25" t="str">
        <f>VLOOKUP(E1624,[1]PrelimAssignPOP!$I$1:$J$947,2,FALSE)</f>
        <v>HYB</v>
      </c>
      <c r="L1624" s="25" t="s">
        <v>219</v>
      </c>
      <c r="M1624" s="25" t="s">
        <v>170</v>
      </c>
      <c r="N1624" s="25" t="s">
        <v>220</v>
      </c>
    </row>
    <row r="1625" spans="1:14" x14ac:dyDescent="0.55000000000000004">
      <c r="A1625">
        <v>1624</v>
      </c>
      <c r="B1625" s="25" t="s">
        <v>1846</v>
      </c>
      <c r="C1625" s="25">
        <v>10</v>
      </c>
      <c r="D1625" s="25" t="s">
        <v>5103</v>
      </c>
      <c r="E1625" s="25" t="str">
        <f t="shared" si="0"/>
        <v>COR-19-18-14246</v>
      </c>
      <c r="F1625" s="25">
        <v>102</v>
      </c>
      <c r="G1625" s="25" t="s">
        <v>1888</v>
      </c>
      <c r="J1625" s="25" t="s">
        <v>110</v>
      </c>
      <c r="K1625" s="25" t="str">
        <f>VLOOKUP(E1625,[1]PrelimAssignPOP!$I$1:$J$947,2,FALSE)</f>
        <v>HOY</v>
      </c>
      <c r="L1625" s="25" t="s">
        <v>219</v>
      </c>
      <c r="M1625" s="25" t="s">
        <v>171</v>
      </c>
      <c r="N1625" s="25" t="s">
        <v>220</v>
      </c>
    </row>
    <row r="1626" spans="1:14" x14ac:dyDescent="0.55000000000000004">
      <c r="A1626">
        <v>1625</v>
      </c>
      <c r="B1626" s="25" t="s">
        <v>1847</v>
      </c>
      <c r="C1626" s="25">
        <v>10</v>
      </c>
      <c r="D1626" s="25" t="s">
        <v>5103</v>
      </c>
      <c r="E1626" s="25" t="str">
        <f t="shared" si="0"/>
        <v>COR-19-18-14247</v>
      </c>
      <c r="F1626" s="25">
        <v>119</v>
      </c>
      <c r="G1626" s="25" t="s">
        <v>1888</v>
      </c>
      <c r="J1626" s="25" t="s">
        <v>110</v>
      </c>
      <c r="K1626" s="25" t="str">
        <f>VLOOKUP(E1626,[1]PrelimAssignPOP!$I$1:$J$947,2,FALSE)</f>
        <v>HOY</v>
      </c>
      <c r="L1626" s="25" t="s">
        <v>219</v>
      </c>
      <c r="M1626" s="25" t="s">
        <v>172</v>
      </c>
      <c r="N1626" s="25" t="s">
        <v>220</v>
      </c>
    </row>
    <row r="1627" spans="1:14" x14ac:dyDescent="0.55000000000000004">
      <c r="A1627">
        <v>1626</v>
      </c>
      <c r="B1627" s="25" t="s">
        <v>1848</v>
      </c>
      <c r="C1627" s="25">
        <v>10</v>
      </c>
      <c r="D1627" s="25" t="s">
        <v>5103</v>
      </c>
      <c r="E1627" s="25" t="str">
        <f t="shared" si="0"/>
        <v>COR-19-18-14261</v>
      </c>
      <c r="F1627" s="25">
        <v>91</v>
      </c>
      <c r="G1627" s="25" t="s">
        <v>1888</v>
      </c>
      <c r="J1627" s="25" t="s">
        <v>110</v>
      </c>
      <c r="L1627" s="25" t="s">
        <v>219</v>
      </c>
      <c r="M1627" s="25" t="s">
        <v>173</v>
      </c>
      <c r="N1627" s="25" t="s">
        <v>220</v>
      </c>
    </row>
    <row r="1628" spans="1:14" x14ac:dyDescent="0.55000000000000004">
      <c r="A1628">
        <v>1627</v>
      </c>
      <c r="B1628" s="25" t="s">
        <v>1849</v>
      </c>
      <c r="C1628" s="25">
        <v>10</v>
      </c>
      <c r="D1628" s="25" t="s">
        <v>5103</v>
      </c>
      <c r="E1628" s="25" t="str">
        <f t="shared" si="0"/>
        <v>COR-19-18-14174</v>
      </c>
      <c r="F1628" s="25">
        <v>91</v>
      </c>
      <c r="G1628" s="25" t="s">
        <v>1888</v>
      </c>
      <c r="J1628" s="25" t="s">
        <v>110</v>
      </c>
      <c r="K1628" s="25" t="str">
        <f>VLOOKUP(E1628,[1]PrelimAssignPOP!$I$1:$J$947,2,FALSE)</f>
        <v>HOY</v>
      </c>
      <c r="L1628" s="25" t="s">
        <v>219</v>
      </c>
      <c r="M1628" s="25" t="s">
        <v>174</v>
      </c>
      <c r="N1628" s="25" t="s">
        <v>220</v>
      </c>
    </row>
    <row r="1629" spans="1:14" x14ac:dyDescent="0.55000000000000004">
      <c r="A1629">
        <v>1628</v>
      </c>
      <c r="B1629" s="25" t="s">
        <v>1850</v>
      </c>
      <c r="C1629" s="25">
        <v>19</v>
      </c>
      <c r="D1629" s="25" t="s">
        <v>5103</v>
      </c>
      <c r="E1629" s="25" t="str">
        <f t="shared" si="0"/>
        <v>COR-19-18-14175</v>
      </c>
      <c r="F1629" s="25">
        <v>110</v>
      </c>
      <c r="G1629" s="25" t="s">
        <v>1888</v>
      </c>
      <c r="J1629" s="25" t="s">
        <v>110</v>
      </c>
      <c r="L1629" s="25" t="s">
        <v>219</v>
      </c>
      <c r="M1629" s="25" t="s">
        <v>175</v>
      </c>
      <c r="N1629" s="25" t="s">
        <v>221</v>
      </c>
    </row>
    <row r="1630" spans="1:14" x14ac:dyDescent="0.55000000000000004">
      <c r="A1630">
        <v>1629</v>
      </c>
      <c r="B1630" s="25" t="s">
        <v>1851</v>
      </c>
      <c r="C1630" s="25">
        <v>19</v>
      </c>
      <c r="D1630" s="25" t="s">
        <v>5103</v>
      </c>
      <c r="E1630" s="25" t="str">
        <f t="shared" si="0"/>
        <v>COR-19-18-14176</v>
      </c>
      <c r="F1630" s="25">
        <v>113</v>
      </c>
      <c r="G1630" s="25" t="s">
        <v>1888</v>
      </c>
      <c r="J1630" s="25" t="s">
        <v>110</v>
      </c>
      <c r="K1630" s="25" t="str">
        <f>VLOOKUP(E1630,[1]PrelimAssignPOP!$I$1:$J$947,2,FALSE)</f>
        <v>HOY</v>
      </c>
      <c r="L1630" s="25" t="s">
        <v>219</v>
      </c>
      <c r="M1630" s="25" t="s">
        <v>176</v>
      </c>
      <c r="N1630" s="25" t="s">
        <v>221</v>
      </c>
    </row>
    <row r="1631" spans="1:14" x14ac:dyDescent="0.55000000000000004">
      <c r="A1631">
        <v>1630</v>
      </c>
      <c r="B1631" s="25" t="s">
        <v>1852</v>
      </c>
      <c r="C1631" s="25">
        <v>19</v>
      </c>
      <c r="D1631" s="25" t="s">
        <v>5103</v>
      </c>
      <c r="E1631" s="25" t="str">
        <f t="shared" si="0"/>
        <v>COR-19-18-14181</v>
      </c>
      <c r="F1631" s="25">
        <v>99</v>
      </c>
      <c r="G1631" s="25" t="s">
        <v>1888</v>
      </c>
      <c r="J1631" s="25" t="s">
        <v>110</v>
      </c>
      <c r="K1631" s="25" t="str">
        <f>VLOOKUP(E1631,[1]PrelimAssignPOP!$I$1:$J$947,2,FALSE)</f>
        <v>HOY</v>
      </c>
      <c r="L1631" s="25" t="s">
        <v>219</v>
      </c>
      <c r="M1631" s="25" t="s">
        <v>119</v>
      </c>
      <c r="N1631" s="25" t="s">
        <v>221</v>
      </c>
    </row>
    <row r="1632" spans="1:14" x14ac:dyDescent="0.55000000000000004">
      <c r="A1632">
        <v>1631</v>
      </c>
      <c r="B1632" s="25" t="s">
        <v>1853</v>
      </c>
      <c r="C1632" s="25">
        <v>19</v>
      </c>
      <c r="D1632" s="25" t="s">
        <v>5103</v>
      </c>
      <c r="E1632" s="25" t="str">
        <f t="shared" si="0"/>
        <v>COR-19-18-14182</v>
      </c>
      <c r="F1632" s="25">
        <v>101</v>
      </c>
      <c r="G1632" s="25" t="s">
        <v>1888</v>
      </c>
      <c r="J1632" s="25" t="s">
        <v>110</v>
      </c>
      <c r="K1632" s="25" t="str">
        <f>VLOOKUP(E1632,[1]PrelimAssignPOP!$I$1:$J$947,2,FALSE)</f>
        <v>HOY</v>
      </c>
      <c r="L1632" s="25" t="s">
        <v>219</v>
      </c>
      <c r="M1632" s="25" t="s">
        <v>177</v>
      </c>
      <c r="N1632" s="25" t="s">
        <v>221</v>
      </c>
    </row>
    <row r="1633" spans="1:14" x14ac:dyDescent="0.55000000000000004">
      <c r="A1633">
        <v>1632</v>
      </c>
      <c r="B1633" s="25" t="s">
        <v>1854</v>
      </c>
      <c r="C1633" s="25">
        <v>19</v>
      </c>
      <c r="D1633" s="25" t="s">
        <v>5103</v>
      </c>
      <c r="E1633" s="25" t="str">
        <f t="shared" si="0"/>
        <v>COR-19-18-14183</v>
      </c>
      <c r="F1633" s="25">
        <v>117</v>
      </c>
      <c r="G1633" s="25" t="s">
        <v>1888</v>
      </c>
      <c r="J1633" s="25" t="s">
        <v>110</v>
      </c>
      <c r="K1633" s="25" t="str">
        <f>VLOOKUP(E1633,[1]PrelimAssignPOP!$I$1:$J$947,2,FALSE)</f>
        <v>HOY</v>
      </c>
      <c r="L1633" s="25" t="s">
        <v>219</v>
      </c>
      <c r="M1633" s="25" t="s">
        <v>178</v>
      </c>
      <c r="N1633" s="25" t="s">
        <v>221</v>
      </c>
    </row>
    <row r="1634" spans="1:14" x14ac:dyDescent="0.55000000000000004">
      <c r="A1634">
        <v>1633</v>
      </c>
      <c r="B1634" s="25" t="s">
        <v>1855</v>
      </c>
      <c r="C1634" s="25">
        <v>19</v>
      </c>
      <c r="D1634" s="25" t="s">
        <v>5103</v>
      </c>
      <c r="E1634" s="25" t="str">
        <f t="shared" si="0"/>
        <v>COR-19-18-14184</v>
      </c>
      <c r="F1634" s="25">
        <v>98</v>
      </c>
      <c r="G1634" s="25" t="s">
        <v>1888</v>
      </c>
      <c r="J1634" s="25" t="s">
        <v>110</v>
      </c>
      <c r="K1634" s="25" t="str">
        <f>VLOOKUP(E1634,[1]PrelimAssignPOP!$I$1:$J$947,2,FALSE)</f>
        <v>HYB</v>
      </c>
      <c r="L1634" s="25" t="s">
        <v>219</v>
      </c>
      <c r="M1634" s="25" t="s">
        <v>179</v>
      </c>
      <c r="N1634" s="25" t="s">
        <v>221</v>
      </c>
    </row>
    <row r="1635" spans="1:14" x14ac:dyDescent="0.55000000000000004">
      <c r="A1635">
        <v>1634</v>
      </c>
      <c r="B1635" s="25" t="s">
        <v>1856</v>
      </c>
      <c r="C1635" s="25">
        <v>19</v>
      </c>
      <c r="D1635" s="25" t="s">
        <v>5103</v>
      </c>
      <c r="E1635" s="25" t="str">
        <f t="shared" si="0"/>
        <v>COR-19-18-14185</v>
      </c>
      <c r="F1635" s="25">
        <v>92</v>
      </c>
      <c r="G1635" s="25" t="s">
        <v>1888</v>
      </c>
      <c r="J1635" s="25" t="s">
        <v>110</v>
      </c>
      <c r="K1635" s="25" t="str">
        <f>VLOOKUP(E1635,[1]PrelimAssignPOP!$I$1:$J$947,2,FALSE)</f>
        <v>HOY</v>
      </c>
      <c r="L1635" s="25" t="s">
        <v>219</v>
      </c>
      <c r="M1635" s="25" t="s">
        <v>180</v>
      </c>
      <c r="N1635" s="25" t="s">
        <v>221</v>
      </c>
    </row>
    <row r="1636" spans="1:14" x14ac:dyDescent="0.55000000000000004">
      <c r="A1636">
        <v>1635</v>
      </c>
      <c r="B1636" s="25" t="s">
        <v>1857</v>
      </c>
      <c r="C1636" s="25">
        <v>19</v>
      </c>
      <c r="D1636" s="25" t="s">
        <v>5103</v>
      </c>
      <c r="E1636" s="25" t="str">
        <f t="shared" si="0"/>
        <v>COR-19-18-14186</v>
      </c>
      <c r="F1636" s="25">
        <v>100</v>
      </c>
      <c r="G1636" s="25" t="s">
        <v>1888</v>
      </c>
      <c r="J1636" s="25" t="s">
        <v>110</v>
      </c>
      <c r="K1636" s="25" t="str">
        <f>VLOOKUP(E1636,[1]PrelimAssignPOP!$I$1:$J$947,2,FALSE)</f>
        <v>KIY</v>
      </c>
      <c r="L1636" s="25" t="s">
        <v>219</v>
      </c>
      <c r="M1636" s="25" t="s">
        <v>181</v>
      </c>
      <c r="N1636" s="25" t="s">
        <v>221</v>
      </c>
    </row>
    <row r="1637" spans="1:14" x14ac:dyDescent="0.55000000000000004">
      <c r="A1637">
        <v>1636</v>
      </c>
      <c r="B1637" s="25" t="s">
        <v>1858</v>
      </c>
      <c r="C1637" s="25">
        <v>19</v>
      </c>
      <c r="D1637" s="25" t="s">
        <v>5103</v>
      </c>
      <c r="E1637" s="25" t="str">
        <f t="shared" si="0"/>
        <v>COR-19-18-14187</v>
      </c>
      <c r="F1637" s="25">
        <v>110</v>
      </c>
      <c r="G1637" s="25" t="s">
        <v>1888</v>
      </c>
      <c r="J1637" s="25" t="s">
        <v>110</v>
      </c>
      <c r="K1637" s="25" t="str">
        <f>VLOOKUP(E1637,[1]PrelimAssignPOP!$I$1:$J$947,2,FALSE)</f>
        <v>HOY</v>
      </c>
      <c r="L1637" s="25" t="s">
        <v>219</v>
      </c>
      <c r="M1637" s="25" t="s">
        <v>182</v>
      </c>
      <c r="N1637" s="25" t="s">
        <v>221</v>
      </c>
    </row>
    <row r="1638" spans="1:14" x14ac:dyDescent="0.55000000000000004">
      <c r="A1638">
        <v>1637</v>
      </c>
      <c r="B1638" s="25" t="s">
        <v>1859</v>
      </c>
      <c r="C1638" s="25">
        <v>19</v>
      </c>
      <c r="D1638" s="25" t="s">
        <v>5103</v>
      </c>
      <c r="E1638" s="25" t="str">
        <f t="shared" si="0"/>
        <v>COR-19-18-14204</v>
      </c>
      <c r="F1638" s="25">
        <v>110</v>
      </c>
      <c r="G1638" s="25" t="s">
        <v>1888</v>
      </c>
      <c r="J1638" s="25" t="s">
        <v>110</v>
      </c>
      <c r="K1638" s="25" t="str">
        <f>VLOOKUP(E1638,[1]PrelimAssignPOP!$I$1:$J$947,2,FALSE)</f>
        <v>HOY</v>
      </c>
      <c r="L1638" s="25" t="s">
        <v>219</v>
      </c>
      <c r="M1638" s="25" t="s">
        <v>183</v>
      </c>
      <c r="N1638" s="25" t="s">
        <v>221</v>
      </c>
    </row>
    <row r="1639" spans="1:14" x14ac:dyDescent="0.55000000000000004">
      <c r="A1639">
        <v>1638</v>
      </c>
      <c r="B1639" s="25" t="s">
        <v>1860</v>
      </c>
      <c r="C1639" s="25">
        <v>19</v>
      </c>
      <c r="D1639" s="25" t="s">
        <v>5103</v>
      </c>
      <c r="E1639" s="25" t="str">
        <f t="shared" si="0"/>
        <v>COR-19-18-14205</v>
      </c>
      <c r="F1639" s="25">
        <v>112</v>
      </c>
      <c r="G1639" s="25" t="s">
        <v>1888</v>
      </c>
      <c r="J1639" s="25" t="s">
        <v>110</v>
      </c>
      <c r="K1639" s="25" t="str">
        <f>VLOOKUP(E1639,[1]PrelimAssignPOP!$I$1:$J$947,2,FALSE)</f>
        <v>HOY</v>
      </c>
      <c r="L1639" s="25" t="s">
        <v>219</v>
      </c>
      <c r="M1639" s="25" t="s">
        <v>184</v>
      </c>
      <c r="N1639" s="25" t="s">
        <v>221</v>
      </c>
    </row>
    <row r="1640" spans="1:14" x14ac:dyDescent="0.55000000000000004">
      <c r="A1640">
        <v>1639</v>
      </c>
      <c r="B1640" s="25" t="s">
        <v>1861</v>
      </c>
      <c r="C1640" s="25">
        <v>19</v>
      </c>
      <c r="D1640" s="25" t="s">
        <v>5103</v>
      </c>
      <c r="E1640" s="25" t="str">
        <f t="shared" si="0"/>
        <v>COR-19-18-14206</v>
      </c>
      <c r="F1640" s="25">
        <v>115</v>
      </c>
      <c r="G1640" s="25" t="s">
        <v>1888</v>
      </c>
      <c r="J1640" s="25" t="s">
        <v>110</v>
      </c>
      <c r="K1640" s="25" t="str">
        <f>VLOOKUP(E1640,[1]PrelimAssignPOP!$I$1:$J$947,2,FALSE)</f>
        <v>HOY</v>
      </c>
      <c r="L1640" s="25" t="s">
        <v>219</v>
      </c>
      <c r="M1640" s="25" t="s">
        <v>185</v>
      </c>
      <c r="N1640" s="25" t="s">
        <v>221</v>
      </c>
    </row>
    <row r="1641" spans="1:14" x14ac:dyDescent="0.55000000000000004">
      <c r="A1641">
        <v>1640</v>
      </c>
      <c r="B1641" s="25" t="s">
        <v>1862</v>
      </c>
      <c r="C1641" s="25">
        <v>19</v>
      </c>
      <c r="D1641" s="25" t="s">
        <v>5103</v>
      </c>
      <c r="E1641" s="25" t="str">
        <f t="shared" si="0"/>
        <v>COR-19-18-14207</v>
      </c>
      <c r="F1641" s="25">
        <v>105</v>
      </c>
      <c r="G1641" s="25" t="s">
        <v>1888</v>
      </c>
      <c r="J1641" s="25" t="s">
        <v>110</v>
      </c>
      <c r="K1641" s="25" t="str">
        <f>VLOOKUP(E1641,[1]PrelimAssignPOP!$I$1:$J$947,2,FALSE)</f>
        <v>HOY</v>
      </c>
      <c r="L1641" s="25" t="s">
        <v>219</v>
      </c>
      <c r="M1641" s="25" t="s">
        <v>186</v>
      </c>
      <c r="N1641" s="25" t="s">
        <v>221</v>
      </c>
    </row>
    <row r="1642" spans="1:14" x14ac:dyDescent="0.55000000000000004">
      <c r="A1642">
        <v>1641</v>
      </c>
      <c r="B1642" s="25" t="s">
        <v>1863</v>
      </c>
      <c r="C1642" s="25">
        <v>19</v>
      </c>
      <c r="D1642" s="25" t="s">
        <v>5103</v>
      </c>
      <c r="E1642" s="25" t="str">
        <f t="shared" si="0"/>
        <v>COR-19-18-14209</v>
      </c>
      <c r="F1642" s="25">
        <v>125</v>
      </c>
      <c r="G1642" s="25" t="s">
        <v>1888</v>
      </c>
      <c r="J1642" s="25" t="s">
        <v>110</v>
      </c>
      <c r="L1642" s="25" t="s">
        <v>219</v>
      </c>
      <c r="M1642" s="25" t="s">
        <v>187</v>
      </c>
      <c r="N1642" s="25" t="s">
        <v>221</v>
      </c>
    </row>
    <row r="1643" spans="1:14" x14ac:dyDescent="0.55000000000000004">
      <c r="A1643">
        <v>1642</v>
      </c>
      <c r="B1643" s="25" t="s">
        <v>1864</v>
      </c>
      <c r="C1643" s="25">
        <v>19</v>
      </c>
      <c r="D1643" s="25" t="s">
        <v>5103</v>
      </c>
      <c r="E1643" s="25" t="str">
        <f t="shared" si="0"/>
        <v>COR-19-18-14210</v>
      </c>
      <c r="F1643" s="25">
        <v>110</v>
      </c>
      <c r="G1643" s="25" t="s">
        <v>1888</v>
      </c>
      <c r="J1643" s="25" t="s">
        <v>110</v>
      </c>
      <c r="K1643" s="25" t="str">
        <f>VLOOKUP(E1643,[1]PrelimAssignPOP!$I$1:$J$947,2,FALSE)</f>
        <v>HOY</v>
      </c>
      <c r="L1643" s="25" t="s">
        <v>219</v>
      </c>
      <c r="M1643" s="25" t="s">
        <v>120</v>
      </c>
      <c r="N1643" s="25" t="s">
        <v>221</v>
      </c>
    </row>
    <row r="1644" spans="1:14" x14ac:dyDescent="0.55000000000000004">
      <c r="A1644">
        <v>1643</v>
      </c>
      <c r="B1644" s="25" t="s">
        <v>1865</v>
      </c>
      <c r="C1644" s="25">
        <v>19</v>
      </c>
      <c r="D1644" s="25" t="s">
        <v>5103</v>
      </c>
      <c r="E1644" s="25" t="str">
        <f t="shared" si="0"/>
        <v>COR-19-18-14211</v>
      </c>
      <c r="F1644" s="25">
        <v>107</v>
      </c>
      <c r="G1644" s="25" t="s">
        <v>1888</v>
      </c>
      <c r="J1644" s="25" t="s">
        <v>110</v>
      </c>
      <c r="K1644" s="25" t="str">
        <f>VLOOKUP(E1644,[1]PrelimAssignPOP!$I$1:$J$947,2,FALSE)</f>
        <v>HOY</v>
      </c>
      <c r="L1644" s="25" t="s">
        <v>219</v>
      </c>
      <c r="M1644" s="25" t="s">
        <v>188</v>
      </c>
      <c r="N1644" s="25" t="s">
        <v>221</v>
      </c>
    </row>
    <row r="1645" spans="1:14" x14ac:dyDescent="0.55000000000000004">
      <c r="A1645">
        <v>1644</v>
      </c>
      <c r="B1645" s="25" t="s">
        <v>1866</v>
      </c>
      <c r="C1645" s="25">
        <v>19</v>
      </c>
      <c r="D1645" s="25" t="s">
        <v>5103</v>
      </c>
      <c r="E1645" s="25" t="str">
        <f t="shared" si="0"/>
        <v>COR-19-18-14212</v>
      </c>
      <c r="F1645" s="25">
        <v>110</v>
      </c>
      <c r="G1645" s="25" t="s">
        <v>1888</v>
      </c>
      <c r="J1645" s="25" t="s">
        <v>110</v>
      </c>
      <c r="K1645" s="25" t="str">
        <f>VLOOKUP(E1645,[1]PrelimAssignPOP!$I$1:$J$947,2,FALSE)</f>
        <v>HOY</v>
      </c>
      <c r="L1645" s="25" t="s">
        <v>219</v>
      </c>
      <c r="M1645" s="25" t="s">
        <v>189</v>
      </c>
      <c r="N1645" s="25" t="s">
        <v>221</v>
      </c>
    </row>
    <row r="1646" spans="1:14" x14ac:dyDescent="0.55000000000000004">
      <c r="A1646">
        <v>1645</v>
      </c>
      <c r="B1646" s="25" t="s">
        <v>1867</v>
      </c>
      <c r="C1646" s="25">
        <v>19</v>
      </c>
      <c r="D1646" s="25" t="s">
        <v>5103</v>
      </c>
      <c r="E1646" s="25" t="str">
        <f t="shared" si="0"/>
        <v>COR-19-18-14213</v>
      </c>
      <c r="F1646" s="25">
        <v>118</v>
      </c>
      <c r="G1646" s="25" t="s">
        <v>1888</v>
      </c>
      <c r="J1646" s="25" t="s">
        <v>110</v>
      </c>
      <c r="K1646" s="25" t="str">
        <f>VLOOKUP(E1646,[1]PrelimAssignPOP!$I$1:$J$947,2,FALSE)</f>
        <v>HOY</v>
      </c>
      <c r="L1646" s="25" t="s">
        <v>219</v>
      </c>
      <c r="M1646" s="25" t="s">
        <v>190</v>
      </c>
      <c r="N1646" s="25" t="s">
        <v>221</v>
      </c>
    </row>
    <row r="1647" spans="1:14" x14ac:dyDescent="0.55000000000000004">
      <c r="A1647">
        <v>1646</v>
      </c>
      <c r="B1647" s="25" t="s">
        <v>1868</v>
      </c>
      <c r="C1647" s="25">
        <v>19</v>
      </c>
      <c r="D1647" s="25" t="s">
        <v>5103</v>
      </c>
      <c r="E1647" s="25" t="str">
        <f t="shared" si="0"/>
        <v>COR-19-18-14214</v>
      </c>
      <c r="F1647" s="25">
        <v>116</v>
      </c>
      <c r="G1647" s="25" t="s">
        <v>1888</v>
      </c>
      <c r="J1647" s="25" t="s">
        <v>110</v>
      </c>
      <c r="K1647" s="25" t="str">
        <f>VLOOKUP(E1647,[1]PrelimAssignPOP!$I$1:$J$947,2,FALSE)</f>
        <v>HOY</v>
      </c>
      <c r="L1647" s="25" t="s">
        <v>219</v>
      </c>
      <c r="M1647" s="25" t="s">
        <v>191</v>
      </c>
      <c r="N1647" s="25" t="s">
        <v>221</v>
      </c>
    </row>
    <row r="1648" spans="1:14" x14ac:dyDescent="0.55000000000000004">
      <c r="A1648">
        <v>1647</v>
      </c>
      <c r="B1648" s="25" t="s">
        <v>1869</v>
      </c>
      <c r="C1648" s="25">
        <v>19</v>
      </c>
      <c r="D1648" s="25" t="s">
        <v>5103</v>
      </c>
      <c r="E1648" s="25" t="str">
        <f t="shared" si="0"/>
        <v>COR-19-18-14339</v>
      </c>
      <c r="F1648" s="25">
        <v>60</v>
      </c>
      <c r="G1648" s="25" t="s">
        <v>1888</v>
      </c>
      <c r="J1648" s="25" t="s">
        <v>110</v>
      </c>
      <c r="K1648" s="25" t="str">
        <f>VLOOKUP(E1648,[1]PrelimAssignPOP!$I$1:$J$947,2,FALSE)</f>
        <v>KIY</v>
      </c>
      <c r="L1648" s="25" t="s">
        <v>219</v>
      </c>
      <c r="M1648" s="25" t="s">
        <v>192</v>
      </c>
      <c r="N1648" s="25" t="s">
        <v>222</v>
      </c>
    </row>
    <row r="1649" spans="1:14" x14ac:dyDescent="0.55000000000000004">
      <c r="A1649">
        <v>1648</v>
      </c>
      <c r="B1649" s="25" t="s">
        <v>1870</v>
      </c>
      <c r="C1649" s="25">
        <v>19</v>
      </c>
      <c r="D1649" s="25" t="s">
        <v>5103</v>
      </c>
      <c r="E1649" s="25" t="str">
        <f t="shared" si="0"/>
        <v>COR-19-18-14340</v>
      </c>
      <c r="F1649" s="25">
        <v>72</v>
      </c>
      <c r="G1649" s="25" t="s">
        <v>1888</v>
      </c>
      <c r="J1649" s="25" t="s">
        <v>110</v>
      </c>
      <c r="K1649" s="25" t="str">
        <f>VLOOKUP(E1649,[1]PrelimAssignPOP!$I$1:$J$947,2,FALSE)</f>
        <v>KIY</v>
      </c>
      <c r="L1649" s="25" t="s">
        <v>219</v>
      </c>
      <c r="M1649" s="25" t="s">
        <v>193</v>
      </c>
      <c r="N1649" s="25" t="s">
        <v>222</v>
      </c>
    </row>
    <row r="1650" spans="1:14" x14ac:dyDescent="0.55000000000000004">
      <c r="A1650">
        <v>1649</v>
      </c>
      <c r="B1650" s="25" t="s">
        <v>1871</v>
      </c>
      <c r="C1650" s="25">
        <v>19</v>
      </c>
      <c r="D1650" s="25" t="s">
        <v>5103</v>
      </c>
      <c r="E1650" s="25" t="str">
        <f t="shared" si="0"/>
        <v>COR-19-18-14341</v>
      </c>
      <c r="F1650" s="25">
        <v>95</v>
      </c>
      <c r="G1650" s="25" t="s">
        <v>1888</v>
      </c>
      <c r="J1650" s="25" t="s">
        <v>110</v>
      </c>
      <c r="K1650" s="25" t="str">
        <f>VLOOKUP(E1650,[1]PrelimAssignPOP!$I$1:$J$947,2,FALSE)</f>
        <v>KIY</v>
      </c>
      <c r="L1650" s="25" t="s">
        <v>219</v>
      </c>
      <c r="M1650" s="25" t="s">
        <v>194</v>
      </c>
      <c r="N1650" s="25" t="s">
        <v>222</v>
      </c>
    </row>
    <row r="1651" spans="1:14" x14ac:dyDescent="0.55000000000000004">
      <c r="A1651">
        <v>1650</v>
      </c>
      <c r="B1651" s="25" t="s">
        <v>1872</v>
      </c>
      <c r="C1651" s="25">
        <v>19</v>
      </c>
      <c r="D1651" s="25" t="s">
        <v>5103</v>
      </c>
      <c r="E1651" s="25" t="str">
        <f t="shared" si="0"/>
        <v>COR-19-18-14342</v>
      </c>
      <c r="F1651" s="25">
        <v>63</v>
      </c>
      <c r="G1651" s="25" t="s">
        <v>1888</v>
      </c>
      <c r="J1651" s="25" t="s">
        <v>110</v>
      </c>
      <c r="K1651" s="25" t="str">
        <f>VLOOKUP(E1651,[1]PrelimAssignPOP!$I$1:$J$947,2,FALSE)</f>
        <v>KIY</v>
      </c>
      <c r="L1651" s="25" t="s">
        <v>219</v>
      </c>
      <c r="M1651" s="25" t="s">
        <v>195</v>
      </c>
      <c r="N1651" s="25" t="s">
        <v>222</v>
      </c>
    </row>
    <row r="1652" spans="1:14" x14ac:dyDescent="0.55000000000000004">
      <c r="A1652">
        <v>1651</v>
      </c>
      <c r="B1652" s="25" t="s">
        <v>1873</v>
      </c>
      <c r="C1652" s="25">
        <v>19</v>
      </c>
      <c r="D1652" s="25" t="s">
        <v>5103</v>
      </c>
      <c r="E1652" s="25" t="str">
        <f t="shared" si="0"/>
        <v>COR-19-18-14343</v>
      </c>
      <c r="F1652" s="25">
        <v>68</v>
      </c>
      <c r="G1652" s="25" t="s">
        <v>1888</v>
      </c>
      <c r="J1652" s="25" t="s">
        <v>110</v>
      </c>
      <c r="K1652" s="25" t="str">
        <f>VLOOKUP(E1652,[1]PrelimAssignPOP!$I$1:$J$947,2,FALSE)</f>
        <v>KIY</v>
      </c>
      <c r="L1652" s="25" t="s">
        <v>219</v>
      </c>
      <c r="M1652" s="25" t="s">
        <v>196</v>
      </c>
      <c r="N1652" s="25" t="s">
        <v>222</v>
      </c>
    </row>
    <row r="1653" spans="1:14" x14ac:dyDescent="0.55000000000000004">
      <c r="A1653">
        <v>1652</v>
      </c>
      <c r="B1653" s="25" t="s">
        <v>1874</v>
      </c>
      <c r="C1653" s="25">
        <v>19</v>
      </c>
      <c r="D1653" s="25" t="s">
        <v>5103</v>
      </c>
      <c r="E1653" s="25" t="str">
        <f t="shared" si="0"/>
        <v>COR-19-18-14344</v>
      </c>
      <c r="F1653" s="25">
        <v>70</v>
      </c>
      <c r="G1653" s="25" t="s">
        <v>1888</v>
      </c>
      <c r="J1653" s="25" t="s">
        <v>110</v>
      </c>
      <c r="K1653" s="25" t="str">
        <f>VLOOKUP(E1653,[1]PrelimAssignPOP!$I$1:$J$947,2,FALSE)</f>
        <v>KIY</v>
      </c>
      <c r="L1653" s="25" t="s">
        <v>219</v>
      </c>
      <c r="M1653" s="25" t="s">
        <v>197</v>
      </c>
      <c r="N1653" s="25" t="s">
        <v>222</v>
      </c>
    </row>
    <row r="1654" spans="1:14" x14ac:dyDescent="0.55000000000000004">
      <c r="A1654">
        <v>1653</v>
      </c>
      <c r="B1654" s="25" t="s">
        <v>1875</v>
      </c>
      <c r="C1654" s="25">
        <v>19</v>
      </c>
      <c r="D1654" s="25" t="s">
        <v>5103</v>
      </c>
      <c r="E1654" s="25" t="str">
        <f t="shared" si="0"/>
        <v>COR-19-18-14345</v>
      </c>
      <c r="F1654" s="25">
        <v>75</v>
      </c>
      <c r="G1654" s="25" t="s">
        <v>1888</v>
      </c>
      <c r="J1654" s="25" t="s">
        <v>110</v>
      </c>
      <c r="K1654" s="25" t="str">
        <f>VLOOKUP(E1654,[1]PrelimAssignPOP!$I$1:$J$947,2,FALSE)</f>
        <v>KIY</v>
      </c>
      <c r="L1654" s="25" t="s">
        <v>219</v>
      </c>
      <c r="M1654" s="25" t="s">
        <v>198</v>
      </c>
      <c r="N1654" s="25" t="s">
        <v>222</v>
      </c>
    </row>
    <row r="1655" spans="1:14" x14ac:dyDescent="0.55000000000000004">
      <c r="A1655">
        <v>1654</v>
      </c>
      <c r="B1655" s="25" t="s">
        <v>1876</v>
      </c>
      <c r="C1655" s="25">
        <v>19</v>
      </c>
      <c r="D1655" s="25" t="s">
        <v>5103</v>
      </c>
      <c r="E1655" s="25" t="str">
        <f t="shared" si="0"/>
        <v>COR-19-18-14346</v>
      </c>
      <c r="F1655" s="25">
        <v>87</v>
      </c>
      <c r="G1655" s="25" t="s">
        <v>1888</v>
      </c>
      <c r="J1655" s="25" t="s">
        <v>110</v>
      </c>
      <c r="K1655" s="25" t="str">
        <f>VLOOKUP(E1655,[1]PrelimAssignPOP!$I$1:$J$947,2,FALSE)</f>
        <v>HYB</v>
      </c>
      <c r="L1655" s="25" t="s">
        <v>219</v>
      </c>
      <c r="M1655" s="25" t="s">
        <v>121</v>
      </c>
      <c r="N1655" s="25" t="s">
        <v>222</v>
      </c>
    </row>
    <row r="1656" spans="1:14" x14ac:dyDescent="0.55000000000000004">
      <c r="A1656">
        <v>1655</v>
      </c>
      <c r="B1656" s="25" t="s">
        <v>1877</v>
      </c>
      <c r="C1656" s="25">
        <v>19</v>
      </c>
      <c r="D1656" s="25" t="s">
        <v>5103</v>
      </c>
      <c r="E1656" s="25" t="str">
        <f t="shared" si="0"/>
        <v>COR-19-18-14347</v>
      </c>
      <c r="F1656" s="25">
        <v>90</v>
      </c>
      <c r="G1656" s="25" t="s">
        <v>1888</v>
      </c>
      <c r="J1656" s="25" t="s">
        <v>110</v>
      </c>
      <c r="K1656" s="25" t="str">
        <f>VLOOKUP(E1656,[1]PrelimAssignPOP!$I$1:$J$947,2,FALSE)</f>
        <v>KIY</v>
      </c>
      <c r="L1656" s="25" t="s">
        <v>219</v>
      </c>
      <c r="M1656" s="25" t="s">
        <v>199</v>
      </c>
      <c r="N1656" s="25" t="s">
        <v>222</v>
      </c>
    </row>
    <row r="1657" spans="1:14" x14ac:dyDescent="0.55000000000000004">
      <c r="A1657">
        <v>1656</v>
      </c>
      <c r="B1657" s="25" t="s">
        <v>1878</v>
      </c>
      <c r="C1657" s="25">
        <v>19</v>
      </c>
      <c r="D1657" s="25" t="s">
        <v>5103</v>
      </c>
      <c r="E1657" s="25" t="str">
        <f t="shared" si="0"/>
        <v>COR-19-18-14348</v>
      </c>
      <c r="F1657" s="25">
        <v>106</v>
      </c>
      <c r="G1657" s="25" t="s">
        <v>1888</v>
      </c>
      <c r="J1657" s="25" t="s">
        <v>110</v>
      </c>
      <c r="K1657" s="25" t="str">
        <f>VLOOKUP(E1657,[1]PrelimAssignPOP!$I$1:$J$947,2,FALSE)</f>
        <v>KIY</v>
      </c>
      <c r="L1657" s="25" t="s">
        <v>219</v>
      </c>
      <c r="M1657" s="25" t="s">
        <v>200</v>
      </c>
      <c r="N1657" s="25" t="s">
        <v>222</v>
      </c>
    </row>
    <row r="1658" spans="1:14" x14ac:dyDescent="0.55000000000000004">
      <c r="A1658">
        <v>1657</v>
      </c>
      <c r="B1658" s="25" t="s">
        <v>1879</v>
      </c>
      <c r="C1658" s="25">
        <v>19</v>
      </c>
      <c r="D1658" s="25" t="s">
        <v>5103</v>
      </c>
      <c r="E1658" s="25" t="str">
        <f t="shared" si="0"/>
        <v>COR-19-18-14349</v>
      </c>
      <c r="F1658" s="25">
        <v>66</v>
      </c>
      <c r="G1658" s="25" t="s">
        <v>1888</v>
      </c>
      <c r="J1658" s="25" t="s">
        <v>110</v>
      </c>
      <c r="K1658" s="25" t="str">
        <f>VLOOKUP(E1658,[1]PrelimAssignPOP!$I$1:$J$947,2,FALSE)</f>
        <v>KIY</v>
      </c>
      <c r="L1658" s="25" t="s">
        <v>219</v>
      </c>
      <c r="M1658" s="25" t="s">
        <v>201</v>
      </c>
      <c r="N1658" s="25" t="s">
        <v>222</v>
      </c>
    </row>
    <row r="1659" spans="1:14" x14ac:dyDescent="0.55000000000000004">
      <c r="A1659">
        <v>1658</v>
      </c>
      <c r="B1659" s="25" t="s">
        <v>1880</v>
      </c>
      <c r="C1659" s="25">
        <v>19</v>
      </c>
      <c r="D1659" s="25" t="s">
        <v>5103</v>
      </c>
      <c r="E1659" s="25" t="str">
        <f t="shared" si="0"/>
        <v>COR-19-18-14350</v>
      </c>
      <c r="F1659" s="25">
        <v>89</v>
      </c>
      <c r="G1659" s="25" t="s">
        <v>1888</v>
      </c>
      <c r="J1659" s="25" t="s">
        <v>110</v>
      </c>
      <c r="K1659" s="25" t="str">
        <f>VLOOKUP(E1659,[1]PrelimAssignPOP!$I$1:$J$947,2,FALSE)</f>
        <v>KIY</v>
      </c>
      <c r="L1659" s="25" t="s">
        <v>219</v>
      </c>
      <c r="M1659" s="25" t="s">
        <v>202</v>
      </c>
      <c r="N1659" s="25" t="s">
        <v>222</v>
      </c>
    </row>
    <row r="1660" spans="1:14" x14ac:dyDescent="0.55000000000000004">
      <c r="A1660">
        <v>1659</v>
      </c>
      <c r="B1660" s="25" t="s">
        <v>1881</v>
      </c>
      <c r="C1660" s="25">
        <v>19</v>
      </c>
      <c r="D1660" s="25" t="s">
        <v>5103</v>
      </c>
      <c r="E1660" s="25" t="str">
        <f t="shared" si="0"/>
        <v>COR-19-18-14351</v>
      </c>
      <c r="F1660" s="25">
        <v>80</v>
      </c>
      <c r="G1660" s="25" t="s">
        <v>1888</v>
      </c>
      <c r="J1660" s="25" t="s">
        <v>110</v>
      </c>
      <c r="K1660" s="25" t="str">
        <f>VLOOKUP(E1660,[1]PrelimAssignPOP!$I$1:$J$947,2,FALSE)</f>
        <v>KIY</v>
      </c>
      <c r="L1660" s="25" t="s">
        <v>219</v>
      </c>
      <c r="M1660" s="25" t="s">
        <v>203</v>
      </c>
      <c r="N1660" s="25" t="s">
        <v>222</v>
      </c>
    </row>
    <row r="1661" spans="1:14" x14ac:dyDescent="0.55000000000000004">
      <c r="A1661">
        <v>1660</v>
      </c>
      <c r="B1661" s="25" t="s">
        <v>1882</v>
      </c>
      <c r="C1661" s="25">
        <v>19</v>
      </c>
      <c r="D1661" s="25" t="s">
        <v>5103</v>
      </c>
      <c r="E1661" s="25" t="str">
        <f t="shared" si="0"/>
        <v>COR-19-18-14352</v>
      </c>
      <c r="F1661" s="25">
        <v>86</v>
      </c>
      <c r="G1661" s="25" t="s">
        <v>1888</v>
      </c>
      <c r="J1661" s="25" t="s">
        <v>110</v>
      </c>
      <c r="K1661" s="25" t="str">
        <f>VLOOKUP(E1661,[1]PrelimAssignPOP!$I$1:$J$947,2,FALSE)</f>
        <v>KIY</v>
      </c>
      <c r="L1661" s="25" t="s">
        <v>219</v>
      </c>
      <c r="M1661" s="25" t="s">
        <v>204</v>
      </c>
      <c r="N1661" s="25" t="s">
        <v>222</v>
      </c>
    </row>
    <row r="1662" spans="1:14" x14ac:dyDescent="0.55000000000000004">
      <c r="A1662">
        <v>1661</v>
      </c>
      <c r="B1662" s="25" t="s">
        <v>1883</v>
      </c>
      <c r="C1662" s="25">
        <v>19</v>
      </c>
      <c r="D1662" s="25" t="s">
        <v>5103</v>
      </c>
      <c r="E1662" s="25" t="str">
        <f t="shared" si="0"/>
        <v>COR-19-18-14353</v>
      </c>
      <c r="F1662" s="25">
        <v>92</v>
      </c>
      <c r="G1662" s="25" t="s">
        <v>1888</v>
      </c>
      <c r="J1662" s="25" t="s">
        <v>110</v>
      </c>
      <c r="K1662" s="25" t="str">
        <f>VLOOKUP(E1662,[1]PrelimAssignPOP!$I$1:$J$947,2,FALSE)</f>
        <v>KIY</v>
      </c>
      <c r="L1662" s="25" t="s">
        <v>219</v>
      </c>
      <c r="M1662" s="25" t="s">
        <v>205</v>
      </c>
      <c r="N1662" s="25" t="s">
        <v>222</v>
      </c>
    </row>
    <row r="1663" spans="1:14" x14ac:dyDescent="0.55000000000000004">
      <c r="A1663">
        <v>1662</v>
      </c>
      <c r="B1663" s="25" t="s">
        <v>1884</v>
      </c>
      <c r="C1663" s="25">
        <v>19</v>
      </c>
      <c r="D1663" s="25" t="s">
        <v>5103</v>
      </c>
      <c r="E1663" s="25" t="str">
        <f t="shared" si="0"/>
        <v>COR-19-18-14354</v>
      </c>
      <c r="F1663" s="25">
        <v>116</v>
      </c>
      <c r="G1663" s="25" t="s">
        <v>1888</v>
      </c>
      <c r="J1663" s="25" t="s">
        <v>110</v>
      </c>
      <c r="K1663" s="25" t="str">
        <f>VLOOKUP(E1663,[1]PrelimAssignPOP!$I$1:$J$947,2,FALSE)</f>
        <v>KIY</v>
      </c>
      <c r="L1663" s="25" t="s">
        <v>219</v>
      </c>
      <c r="M1663" s="25" t="s">
        <v>206</v>
      </c>
      <c r="N1663" s="25" t="s">
        <v>222</v>
      </c>
    </row>
    <row r="1664" spans="1:14" x14ac:dyDescent="0.55000000000000004">
      <c r="A1664">
        <v>1663</v>
      </c>
      <c r="B1664" s="25" t="s">
        <v>1885</v>
      </c>
      <c r="C1664" s="25">
        <v>19</v>
      </c>
      <c r="D1664" s="25" t="s">
        <v>5103</v>
      </c>
      <c r="E1664" s="25" t="str">
        <f t="shared" si="0"/>
        <v>COR-19-18-14355</v>
      </c>
      <c r="F1664" s="25">
        <v>121</v>
      </c>
      <c r="G1664" s="25" t="s">
        <v>1888</v>
      </c>
      <c r="J1664" s="25" t="s">
        <v>110</v>
      </c>
      <c r="K1664" s="25" t="str">
        <f>VLOOKUP(E1664,[1]PrelimAssignPOP!$I$1:$J$947,2,FALSE)</f>
        <v>KIY</v>
      </c>
      <c r="L1664" s="25" t="s">
        <v>219</v>
      </c>
      <c r="M1664" s="25" t="s">
        <v>207</v>
      </c>
      <c r="N1664" s="25" t="s">
        <v>222</v>
      </c>
    </row>
    <row r="1665" spans="1:14" x14ac:dyDescent="0.55000000000000004">
      <c r="A1665">
        <v>1664</v>
      </c>
      <c r="B1665" s="25" t="s">
        <v>1886</v>
      </c>
      <c r="C1665" s="25">
        <v>19</v>
      </c>
      <c r="D1665" s="25" t="s">
        <v>5103</v>
      </c>
      <c r="E1665" s="25" t="str">
        <f t="shared" si="0"/>
        <v>COR-19-18-14356</v>
      </c>
      <c r="F1665" s="25">
        <v>123</v>
      </c>
      <c r="G1665" s="25" t="s">
        <v>1888</v>
      </c>
      <c r="J1665" s="25" t="s">
        <v>110</v>
      </c>
      <c r="K1665" s="25" t="str">
        <f>VLOOKUP(E1665,[1]PrelimAssignPOP!$I$1:$J$947,2,FALSE)</f>
        <v>KIY</v>
      </c>
      <c r="L1665" s="25" t="s">
        <v>219</v>
      </c>
      <c r="M1665" s="25" t="s">
        <v>208</v>
      </c>
      <c r="N1665" s="25" t="s">
        <v>222</v>
      </c>
    </row>
    <row r="1666" spans="1:14" x14ac:dyDescent="0.55000000000000004">
      <c r="A1666">
        <v>1665</v>
      </c>
      <c r="B1666" s="25" t="s">
        <v>1887</v>
      </c>
      <c r="C1666" s="25">
        <v>19</v>
      </c>
      <c r="D1666" s="25" t="s">
        <v>5103</v>
      </c>
      <c r="E1666" s="25" t="str">
        <f t="shared" si="0"/>
        <v>COR-19-18-14357</v>
      </c>
      <c r="F1666" s="25">
        <v>93</v>
      </c>
      <c r="G1666" s="25" t="s">
        <v>1888</v>
      </c>
      <c r="J1666" s="25" t="s">
        <v>110</v>
      </c>
      <c r="K1666" s="25" t="str">
        <f>VLOOKUP(E1666,[1]PrelimAssignPOP!$I$1:$J$947,2,FALSE)</f>
        <v>KIY</v>
      </c>
      <c r="L1666" s="25" t="s">
        <v>219</v>
      </c>
      <c r="M1666" s="25" t="s">
        <v>209</v>
      </c>
      <c r="N1666" s="25" t="s">
        <v>222</v>
      </c>
    </row>
    <row r="1667" spans="1:14" x14ac:dyDescent="0.55000000000000004">
      <c r="A1667">
        <v>1666</v>
      </c>
      <c r="B1667" s="25" t="s">
        <v>3276</v>
      </c>
      <c r="C1667" s="25">
        <v>15</v>
      </c>
      <c r="D1667" s="25" t="s">
        <v>5104</v>
      </c>
      <c r="E1667" s="25" t="str">
        <f t="shared" si="0"/>
        <v>HER-19-19-20451</v>
      </c>
      <c r="F1667" s="25">
        <v>304</v>
      </c>
      <c r="G1667" s="25" t="s">
        <v>1888</v>
      </c>
      <c r="J1667" s="25" t="s">
        <v>110</v>
      </c>
      <c r="L1667" s="25" t="s">
        <v>3292</v>
      </c>
      <c r="M1667" s="25" t="s">
        <v>114</v>
      </c>
      <c r="N1667" s="25" t="s">
        <v>3291</v>
      </c>
    </row>
    <row r="1668" spans="1:14" x14ac:dyDescent="0.55000000000000004">
      <c r="A1668">
        <v>1667</v>
      </c>
      <c r="B1668" s="25" t="s">
        <v>3277</v>
      </c>
      <c r="C1668" s="25">
        <v>15</v>
      </c>
      <c r="D1668" s="25" t="s">
        <v>5104</v>
      </c>
      <c r="E1668" s="25" t="str">
        <f t="shared" si="0"/>
        <v>HER-19-19-20452</v>
      </c>
      <c r="F1668" s="25">
        <v>295</v>
      </c>
      <c r="G1668" s="25" t="s">
        <v>1888</v>
      </c>
      <c r="J1668" s="25" t="s">
        <v>110</v>
      </c>
      <c r="L1668" s="25" t="s">
        <v>3292</v>
      </c>
      <c r="M1668" s="25" t="s">
        <v>122</v>
      </c>
      <c r="N1668" s="25" t="s">
        <v>3291</v>
      </c>
    </row>
    <row r="1669" spans="1:14" x14ac:dyDescent="0.55000000000000004">
      <c r="A1669">
        <v>1668</v>
      </c>
      <c r="B1669" s="25" t="s">
        <v>3278</v>
      </c>
      <c r="C1669" s="25">
        <v>15</v>
      </c>
      <c r="D1669" s="25" t="s">
        <v>5104</v>
      </c>
      <c r="E1669" s="25" t="str">
        <f t="shared" si="0"/>
        <v>HER-19-19-20453</v>
      </c>
      <c r="F1669" s="25">
        <v>273</v>
      </c>
      <c r="G1669" s="25" t="s">
        <v>1888</v>
      </c>
      <c r="J1669" s="25" t="s">
        <v>110</v>
      </c>
      <c r="L1669" s="25" t="s">
        <v>3292</v>
      </c>
      <c r="M1669" s="25" t="s">
        <v>123</v>
      </c>
      <c r="N1669" s="25" t="s">
        <v>3291</v>
      </c>
    </row>
    <row r="1670" spans="1:14" x14ac:dyDescent="0.55000000000000004">
      <c r="A1670">
        <v>1669</v>
      </c>
      <c r="B1670" s="25" t="s">
        <v>3279</v>
      </c>
      <c r="C1670" s="25">
        <v>15</v>
      </c>
      <c r="D1670" s="25" t="s">
        <v>5104</v>
      </c>
      <c r="E1670" s="25" t="str">
        <f t="shared" si="0"/>
        <v>HER-19-19-20454</v>
      </c>
      <c r="F1670" s="25">
        <v>291</v>
      </c>
      <c r="G1670" s="25" t="s">
        <v>1888</v>
      </c>
      <c r="J1670" s="25" t="s">
        <v>110</v>
      </c>
      <c r="L1670" s="25" t="s">
        <v>3292</v>
      </c>
      <c r="M1670" s="25" t="s">
        <v>124</v>
      </c>
      <c r="N1670" s="25" t="s">
        <v>3291</v>
      </c>
    </row>
    <row r="1671" spans="1:14" x14ac:dyDescent="0.55000000000000004">
      <c r="A1671">
        <v>1670</v>
      </c>
      <c r="B1671" s="25" t="s">
        <v>3280</v>
      </c>
      <c r="C1671" s="25">
        <v>15</v>
      </c>
      <c r="D1671" s="25" t="s">
        <v>5104</v>
      </c>
      <c r="E1671" s="25" t="str">
        <f t="shared" si="0"/>
        <v>HER-19-19-20455</v>
      </c>
      <c r="F1671" s="25">
        <v>305</v>
      </c>
      <c r="G1671" s="25" t="s">
        <v>1888</v>
      </c>
      <c r="J1671" s="25" t="s">
        <v>110</v>
      </c>
      <c r="L1671" s="25" t="s">
        <v>3292</v>
      </c>
      <c r="M1671" s="25" t="s">
        <v>125</v>
      </c>
      <c r="N1671" s="25" t="s">
        <v>3291</v>
      </c>
    </row>
    <row r="1672" spans="1:14" x14ac:dyDescent="0.55000000000000004">
      <c r="A1672">
        <v>1671</v>
      </c>
      <c r="B1672" s="25" t="s">
        <v>3281</v>
      </c>
      <c r="C1672" s="25">
        <v>15</v>
      </c>
      <c r="D1672" s="25" t="s">
        <v>5104</v>
      </c>
      <c r="E1672" s="25" t="str">
        <f t="shared" si="0"/>
        <v>HER-19-19-20456</v>
      </c>
      <c r="F1672" s="25">
        <v>307</v>
      </c>
      <c r="G1672" s="25" t="s">
        <v>1888</v>
      </c>
      <c r="J1672" s="25" t="s">
        <v>110</v>
      </c>
      <c r="L1672" s="25" t="s">
        <v>3292</v>
      </c>
      <c r="M1672" s="25" t="s">
        <v>126</v>
      </c>
      <c r="N1672" s="25" t="s">
        <v>3291</v>
      </c>
    </row>
    <row r="1673" spans="1:14" x14ac:dyDescent="0.55000000000000004">
      <c r="A1673">
        <v>1672</v>
      </c>
      <c r="B1673" s="25" t="s">
        <v>3282</v>
      </c>
      <c r="C1673" s="25">
        <v>15</v>
      </c>
      <c r="D1673" s="25" t="s">
        <v>5104</v>
      </c>
      <c r="E1673" s="25" t="str">
        <f t="shared" si="0"/>
        <v>HER-19-19-20457</v>
      </c>
      <c r="F1673" s="25">
        <v>332</v>
      </c>
      <c r="G1673" s="25" t="s">
        <v>1888</v>
      </c>
      <c r="J1673" s="25" t="s">
        <v>110</v>
      </c>
      <c r="L1673" s="25" t="s">
        <v>3292</v>
      </c>
      <c r="M1673" s="25" t="s">
        <v>127</v>
      </c>
      <c r="N1673" s="25" t="s">
        <v>3291</v>
      </c>
    </row>
    <row r="1674" spans="1:14" x14ac:dyDescent="0.55000000000000004">
      <c r="A1674">
        <v>1673</v>
      </c>
      <c r="B1674" s="25" t="s">
        <v>3283</v>
      </c>
      <c r="C1674" s="25">
        <v>15</v>
      </c>
      <c r="D1674" s="25" t="s">
        <v>5104</v>
      </c>
      <c r="E1674" s="25" t="str">
        <f t="shared" si="0"/>
        <v>HER-19-19-20458</v>
      </c>
      <c r="F1674" s="25">
        <v>338</v>
      </c>
      <c r="G1674" s="25" t="s">
        <v>1888</v>
      </c>
      <c r="J1674" s="25" t="s">
        <v>110</v>
      </c>
      <c r="L1674" s="25" t="s">
        <v>3292</v>
      </c>
      <c r="M1674" s="25" t="s">
        <v>128</v>
      </c>
      <c r="N1674" s="25" t="s">
        <v>3291</v>
      </c>
    </row>
    <row r="1675" spans="1:14" x14ac:dyDescent="0.55000000000000004">
      <c r="A1675">
        <v>1674</v>
      </c>
      <c r="B1675" s="25" t="s">
        <v>3284</v>
      </c>
      <c r="C1675" s="25">
        <v>15</v>
      </c>
      <c r="D1675" s="25" t="s">
        <v>5104</v>
      </c>
      <c r="E1675" s="25" t="str">
        <f t="shared" si="0"/>
        <v>HER-19-19-20459</v>
      </c>
      <c r="F1675" s="25">
        <v>288</v>
      </c>
      <c r="G1675" s="25" t="s">
        <v>1888</v>
      </c>
      <c r="J1675" s="25" t="s">
        <v>110</v>
      </c>
      <c r="L1675" s="25" t="s">
        <v>3292</v>
      </c>
      <c r="M1675" s="25" t="s">
        <v>129</v>
      </c>
      <c r="N1675" s="25" t="s">
        <v>3291</v>
      </c>
    </row>
    <row r="1676" spans="1:14" x14ac:dyDescent="0.55000000000000004">
      <c r="A1676">
        <v>1675</v>
      </c>
      <c r="B1676" s="25" t="s">
        <v>3285</v>
      </c>
      <c r="C1676" s="25">
        <v>15</v>
      </c>
      <c r="D1676" s="25" t="s">
        <v>5104</v>
      </c>
      <c r="E1676" s="25" t="str">
        <f t="shared" si="0"/>
        <v>HER-19-19-20460</v>
      </c>
      <c r="F1676" s="25">
        <v>305</v>
      </c>
      <c r="G1676" s="25" t="s">
        <v>1888</v>
      </c>
      <c r="J1676" s="25" t="s">
        <v>110</v>
      </c>
      <c r="L1676" s="25" t="s">
        <v>3292</v>
      </c>
      <c r="M1676" s="25" t="s">
        <v>130</v>
      </c>
      <c r="N1676" s="25" t="s">
        <v>3291</v>
      </c>
    </row>
    <row r="1677" spans="1:14" x14ac:dyDescent="0.55000000000000004">
      <c r="A1677">
        <v>1676</v>
      </c>
      <c r="B1677" s="25" t="s">
        <v>3286</v>
      </c>
      <c r="C1677" s="25">
        <v>15</v>
      </c>
      <c r="D1677" s="25" t="s">
        <v>5104</v>
      </c>
      <c r="E1677" s="25" t="str">
        <f t="shared" si="0"/>
        <v>HER-19-19-20461</v>
      </c>
      <c r="F1677" s="25">
        <v>300</v>
      </c>
      <c r="G1677" s="25" t="s">
        <v>1888</v>
      </c>
      <c r="J1677" s="25" t="s">
        <v>110</v>
      </c>
      <c r="L1677" s="25" t="s">
        <v>3292</v>
      </c>
      <c r="M1677" s="25" t="s">
        <v>131</v>
      </c>
      <c r="N1677" s="25" t="s">
        <v>3291</v>
      </c>
    </row>
    <row r="1678" spans="1:14" x14ac:dyDescent="0.55000000000000004">
      <c r="A1678">
        <v>1677</v>
      </c>
      <c r="B1678" s="25" t="s">
        <v>3287</v>
      </c>
      <c r="C1678" s="25">
        <v>15</v>
      </c>
      <c r="D1678" s="25" t="s">
        <v>5104</v>
      </c>
      <c r="E1678" s="25" t="str">
        <f t="shared" si="0"/>
        <v>HER-19-19-20462</v>
      </c>
      <c r="F1678" s="25">
        <v>325</v>
      </c>
      <c r="G1678" s="25" t="s">
        <v>1888</v>
      </c>
      <c r="J1678" s="25" t="s">
        <v>110</v>
      </c>
      <c r="L1678" s="25" t="s">
        <v>3292</v>
      </c>
      <c r="M1678" s="25" t="s">
        <v>132</v>
      </c>
      <c r="N1678" s="25" t="s">
        <v>3291</v>
      </c>
    </row>
    <row r="1679" spans="1:14" x14ac:dyDescent="0.55000000000000004">
      <c r="A1679">
        <v>1678</v>
      </c>
      <c r="B1679" s="25" t="s">
        <v>3288</v>
      </c>
      <c r="C1679" s="25">
        <v>15</v>
      </c>
      <c r="D1679" s="25" t="s">
        <v>5104</v>
      </c>
      <c r="E1679" s="25" t="str">
        <f t="shared" si="0"/>
        <v>HER-19-19-20463</v>
      </c>
      <c r="F1679" s="25">
        <v>300</v>
      </c>
      <c r="G1679" s="25" t="s">
        <v>1888</v>
      </c>
      <c r="J1679" s="25" t="s">
        <v>110</v>
      </c>
      <c r="L1679" s="25" t="s">
        <v>3292</v>
      </c>
      <c r="M1679" s="25" t="s">
        <v>115</v>
      </c>
      <c r="N1679" s="25" t="s">
        <v>3291</v>
      </c>
    </row>
    <row r="1680" spans="1:14" x14ac:dyDescent="0.55000000000000004">
      <c r="A1680">
        <v>1679</v>
      </c>
      <c r="B1680" s="25" t="s">
        <v>3289</v>
      </c>
      <c r="C1680" s="25">
        <v>15</v>
      </c>
      <c r="D1680" s="25" t="s">
        <v>5104</v>
      </c>
      <c r="E1680" s="25" t="str">
        <f t="shared" si="0"/>
        <v>HER-19-19-20464</v>
      </c>
      <c r="F1680" s="25">
        <v>314</v>
      </c>
      <c r="G1680" s="25" t="s">
        <v>1888</v>
      </c>
      <c r="J1680" s="25" t="s">
        <v>110</v>
      </c>
      <c r="L1680" s="25" t="s">
        <v>3292</v>
      </c>
      <c r="M1680" s="25" t="s">
        <v>133</v>
      </c>
      <c r="N1680" s="25" t="s">
        <v>3291</v>
      </c>
    </row>
    <row r="1681" spans="1:14" x14ac:dyDescent="0.55000000000000004">
      <c r="A1681">
        <v>1680</v>
      </c>
      <c r="B1681" s="25" t="s">
        <v>3290</v>
      </c>
      <c r="C1681" s="25">
        <v>15</v>
      </c>
      <c r="D1681" s="25" t="s">
        <v>5104</v>
      </c>
      <c r="E1681" s="25" t="str">
        <f t="shared" si="0"/>
        <v>HER-19-19-20465</v>
      </c>
      <c r="F1681" s="25">
        <v>580</v>
      </c>
      <c r="G1681" s="25" t="s">
        <v>1888</v>
      </c>
      <c r="J1681" s="25" t="s">
        <v>110</v>
      </c>
      <c r="L1681" s="25" t="s">
        <v>3292</v>
      </c>
      <c r="M1681" s="25" t="s">
        <v>134</v>
      </c>
      <c r="N1681" s="25" t="s">
        <v>3291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1B62-E18B-4A4F-BC6C-7F280B0E6F31}">
  <dimension ref="A1:K947"/>
  <sheetViews>
    <sheetView workbookViewId="0">
      <selection activeCell="C50" sqref="C50"/>
    </sheetView>
  </sheetViews>
  <sheetFormatPr defaultRowHeight="14.4" x14ac:dyDescent="0.55000000000000004"/>
  <cols>
    <col min="1" max="1" width="15.3671875" bestFit="1" customWidth="1"/>
  </cols>
  <sheetData>
    <row r="1" spans="1:11" x14ac:dyDescent="0.55000000000000004">
      <c r="A1" t="s">
        <v>5105</v>
      </c>
      <c r="B1" t="s">
        <v>5106</v>
      </c>
      <c r="C1" t="s">
        <v>5107</v>
      </c>
      <c r="D1" t="s">
        <v>5108</v>
      </c>
      <c r="E1" t="s">
        <v>5109</v>
      </c>
      <c r="F1" t="s">
        <v>5110</v>
      </c>
      <c r="G1" t="s">
        <v>5111</v>
      </c>
      <c r="H1" t="s">
        <v>5112</v>
      </c>
      <c r="I1" t="s">
        <v>5105</v>
      </c>
      <c r="J1" t="s">
        <v>5113</v>
      </c>
      <c r="K1" t="s">
        <v>5114</v>
      </c>
    </row>
    <row r="2" spans="1:11" x14ac:dyDescent="0.55000000000000004">
      <c r="A2" t="s">
        <v>4113</v>
      </c>
      <c r="B2" t="s">
        <v>5115</v>
      </c>
      <c r="C2" t="s">
        <v>5115</v>
      </c>
      <c r="D2" t="s">
        <v>5115</v>
      </c>
      <c r="E2">
        <v>0.97462848775620403</v>
      </c>
      <c r="F2">
        <v>1.26784644995747E-2</v>
      </c>
      <c r="G2">
        <v>6.8400932138822697E-3</v>
      </c>
      <c r="H2">
        <v>5.8529545303384603E-3</v>
      </c>
      <c r="I2" t="s">
        <v>4113</v>
      </c>
      <c r="J2" t="s">
        <v>5115</v>
      </c>
    </row>
    <row r="3" spans="1:11" x14ac:dyDescent="0.55000000000000004">
      <c r="A3" t="s">
        <v>4114</v>
      </c>
      <c r="B3" t="s">
        <v>5115</v>
      </c>
      <c r="C3" t="s">
        <v>5115</v>
      </c>
      <c r="D3" t="s">
        <v>5115</v>
      </c>
      <c r="E3">
        <v>0.935303070515075</v>
      </c>
      <c r="F3">
        <v>2.5573288380993001E-2</v>
      </c>
      <c r="G3">
        <v>3.2358165151457202E-2</v>
      </c>
      <c r="H3">
        <v>6.7654759524753303E-3</v>
      </c>
      <c r="I3" t="s">
        <v>4114</v>
      </c>
      <c r="J3" t="s">
        <v>5115</v>
      </c>
    </row>
    <row r="4" spans="1:11" x14ac:dyDescent="0.55000000000000004">
      <c r="A4" t="s">
        <v>4115</v>
      </c>
      <c r="B4" t="s">
        <v>5115</v>
      </c>
      <c r="C4" t="s">
        <v>5115</v>
      </c>
      <c r="D4" t="s">
        <v>5115</v>
      </c>
      <c r="E4">
        <v>0.97159222057032701</v>
      </c>
      <c r="F4">
        <v>1.2717783789415101E-2</v>
      </c>
      <c r="G4">
        <v>1.21044254382529E-2</v>
      </c>
      <c r="H4">
        <v>3.5855702020054802E-3</v>
      </c>
      <c r="I4" t="s">
        <v>4115</v>
      </c>
      <c r="J4" t="s">
        <v>5115</v>
      </c>
    </row>
    <row r="5" spans="1:11" x14ac:dyDescent="0.55000000000000004">
      <c r="A5" t="s">
        <v>4116</v>
      </c>
      <c r="B5" t="s">
        <v>5115</v>
      </c>
      <c r="C5" t="s">
        <v>5115</v>
      </c>
      <c r="D5" t="s">
        <v>5115</v>
      </c>
      <c r="E5">
        <v>0.93143316397487497</v>
      </c>
      <c r="F5">
        <v>1.7707619810647401E-2</v>
      </c>
      <c r="G5">
        <v>4.5872965636049201E-2</v>
      </c>
      <c r="H5">
        <v>4.9862505784283497E-3</v>
      </c>
      <c r="I5" t="s">
        <v>4116</v>
      </c>
      <c r="J5" t="s">
        <v>5115</v>
      </c>
    </row>
    <row r="6" spans="1:11" x14ac:dyDescent="0.55000000000000004">
      <c r="A6" t="s">
        <v>4117</v>
      </c>
      <c r="B6" t="s">
        <v>5115</v>
      </c>
      <c r="C6" t="s">
        <v>5115</v>
      </c>
      <c r="D6" t="s">
        <v>5115</v>
      </c>
      <c r="E6">
        <v>0.93250598625661696</v>
      </c>
      <c r="F6">
        <v>2.88867912441064E-2</v>
      </c>
      <c r="G6">
        <v>3.0022164468887801E-2</v>
      </c>
      <c r="H6">
        <v>8.5850580303885402E-3</v>
      </c>
      <c r="I6" t="s">
        <v>4117</v>
      </c>
      <c r="J6" t="s">
        <v>5115</v>
      </c>
    </row>
    <row r="7" spans="1:11" x14ac:dyDescent="0.55000000000000004">
      <c r="A7" t="s">
        <v>4118</v>
      </c>
      <c r="B7" t="s">
        <v>5115</v>
      </c>
      <c r="C7" t="s">
        <v>5115</v>
      </c>
      <c r="D7" t="s">
        <v>5115</v>
      </c>
      <c r="E7">
        <v>0.88168866896814502</v>
      </c>
      <c r="F7">
        <v>6.7891710510109393E-2</v>
      </c>
      <c r="G7">
        <v>4.2643924438813499E-2</v>
      </c>
      <c r="H7">
        <v>7.7756960829323098E-3</v>
      </c>
      <c r="I7" t="s">
        <v>4118</v>
      </c>
      <c r="J7" t="s">
        <v>5115</v>
      </c>
    </row>
    <row r="8" spans="1:11" x14ac:dyDescent="0.55000000000000004">
      <c r="A8" t="s">
        <v>4119</v>
      </c>
      <c r="B8" t="s">
        <v>5115</v>
      </c>
      <c r="C8" t="s">
        <v>5115</v>
      </c>
      <c r="D8" t="s">
        <v>5115</v>
      </c>
      <c r="E8">
        <v>0.95928748958620802</v>
      </c>
      <c r="F8">
        <v>1.8834627382853401E-2</v>
      </c>
      <c r="G8">
        <v>1.4939024114155999E-2</v>
      </c>
      <c r="H8">
        <v>6.9388589167823601E-3</v>
      </c>
      <c r="I8" t="s">
        <v>4119</v>
      </c>
      <c r="J8" t="s">
        <v>5115</v>
      </c>
    </row>
    <row r="9" spans="1:11" x14ac:dyDescent="0.55000000000000004">
      <c r="A9" t="s">
        <v>4120</v>
      </c>
      <c r="B9" t="s">
        <v>5115</v>
      </c>
      <c r="C9" t="s">
        <v>5115</v>
      </c>
      <c r="D9" t="s">
        <v>5115</v>
      </c>
      <c r="E9">
        <v>0.96704884411140402</v>
      </c>
      <c r="F9">
        <v>1.02263169044534E-2</v>
      </c>
      <c r="G9">
        <v>1.7804890841701601E-2</v>
      </c>
      <c r="H9">
        <v>4.9199481424404201E-3</v>
      </c>
      <c r="I9" t="s">
        <v>4120</v>
      </c>
      <c r="J9" t="s">
        <v>5115</v>
      </c>
    </row>
    <row r="10" spans="1:11" x14ac:dyDescent="0.55000000000000004">
      <c r="A10" t="s">
        <v>4121</v>
      </c>
      <c r="B10" t="s">
        <v>5115</v>
      </c>
      <c r="C10" t="s">
        <v>5115</v>
      </c>
      <c r="D10" t="s">
        <v>5115</v>
      </c>
      <c r="E10">
        <v>0.86415380941757103</v>
      </c>
      <c r="F10">
        <v>2.4387873212577099E-2</v>
      </c>
      <c r="G10">
        <v>0.101739962440152</v>
      </c>
      <c r="H10">
        <v>9.7183549296997601E-3</v>
      </c>
      <c r="I10" t="s">
        <v>4121</v>
      </c>
      <c r="J10" t="s">
        <v>5115</v>
      </c>
    </row>
    <row r="11" spans="1:11" x14ac:dyDescent="0.55000000000000004">
      <c r="A11" t="s">
        <v>4122</v>
      </c>
      <c r="B11" t="s">
        <v>5115</v>
      </c>
      <c r="C11" t="s">
        <v>5115</v>
      </c>
      <c r="D11" t="s">
        <v>5115</v>
      </c>
      <c r="E11">
        <v>0.85127576590126897</v>
      </c>
      <c r="F11">
        <v>6.2966759348791507E-2</v>
      </c>
      <c r="G11">
        <v>7.8714153668252004E-2</v>
      </c>
      <c r="H11">
        <v>7.0433210816871301E-3</v>
      </c>
      <c r="I11" t="s">
        <v>4122</v>
      </c>
      <c r="J11" t="s">
        <v>5115</v>
      </c>
    </row>
    <row r="12" spans="1:11" x14ac:dyDescent="0.55000000000000004">
      <c r="A12" t="s">
        <v>4123</v>
      </c>
      <c r="B12" t="s">
        <v>5115</v>
      </c>
      <c r="C12" t="s">
        <v>5115</v>
      </c>
      <c r="D12" t="s">
        <v>5115</v>
      </c>
      <c r="E12">
        <v>0.90390727158189998</v>
      </c>
      <c r="F12">
        <v>6.0872550490164698E-2</v>
      </c>
      <c r="G12">
        <v>2.4080598953859101E-2</v>
      </c>
      <c r="H12">
        <v>1.11395789740764E-2</v>
      </c>
      <c r="I12" t="s">
        <v>4123</v>
      </c>
      <c r="J12" t="s">
        <v>5115</v>
      </c>
    </row>
    <row r="13" spans="1:11" x14ac:dyDescent="0.55000000000000004">
      <c r="A13" t="s">
        <v>4124</v>
      </c>
      <c r="B13" t="s">
        <v>5115</v>
      </c>
      <c r="C13" t="s">
        <v>5115</v>
      </c>
      <c r="D13" t="s">
        <v>5115</v>
      </c>
      <c r="E13">
        <v>0.93054337621113403</v>
      </c>
      <c r="F13">
        <v>1.5719607607696199E-2</v>
      </c>
      <c r="G13">
        <v>4.5935383299803297E-2</v>
      </c>
      <c r="H13">
        <v>7.8016328813659899E-3</v>
      </c>
      <c r="I13" t="s">
        <v>4124</v>
      </c>
      <c r="J13" t="s">
        <v>5115</v>
      </c>
    </row>
    <row r="14" spans="1:11" x14ac:dyDescent="0.55000000000000004">
      <c r="A14" t="s">
        <v>4181</v>
      </c>
      <c r="B14" t="s">
        <v>5116</v>
      </c>
      <c r="C14" t="s">
        <v>5116</v>
      </c>
      <c r="D14" t="s">
        <v>5116</v>
      </c>
      <c r="E14">
        <v>1.6070196211461E-2</v>
      </c>
      <c r="F14">
        <v>1.7818745609495701E-2</v>
      </c>
      <c r="G14">
        <v>0.96204933109027702</v>
      </c>
      <c r="H14">
        <v>4.0617270887663096E-3</v>
      </c>
      <c r="I14" t="s">
        <v>4181</v>
      </c>
      <c r="J14" t="s">
        <v>5116</v>
      </c>
    </row>
    <row r="15" spans="1:11" x14ac:dyDescent="0.55000000000000004">
      <c r="A15" t="s">
        <v>4182</v>
      </c>
      <c r="B15" t="s">
        <v>5116</v>
      </c>
      <c r="C15" t="s">
        <v>5116</v>
      </c>
      <c r="D15" t="s">
        <v>5116</v>
      </c>
      <c r="E15">
        <v>8.6036841437895795E-3</v>
      </c>
      <c r="F15">
        <v>2.8693636209006401E-2</v>
      </c>
      <c r="G15">
        <v>0.958334735041385</v>
      </c>
      <c r="H15">
        <v>4.3679446058183099E-3</v>
      </c>
      <c r="I15" t="s">
        <v>4182</v>
      </c>
      <c r="J15" t="s">
        <v>5116</v>
      </c>
    </row>
    <row r="16" spans="1:11" x14ac:dyDescent="0.55000000000000004">
      <c r="A16" t="s">
        <v>4183</v>
      </c>
      <c r="B16" t="s">
        <v>5116</v>
      </c>
      <c r="C16" t="s">
        <v>5116</v>
      </c>
      <c r="D16" t="s">
        <v>5116</v>
      </c>
      <c r="E16">
        <v>4.6112814409989197E-3</v>
      </c>
      <c r="F16">
        <v>5.8526496016282903E-3</v>
      </c>
      <c r="G16">
        <v>0.98616944918508997</v>
      </c>
      <c r="H16">
        <v>3.3666197722832E-3</v>
      </c>
      <c r="I16" t="s">
        <v>4183</v>
      </c>
      <c r="J16" t="s">
        <v>5116</v>
      </c>
    </row>
    <row r="17" spans="1:11" x14ac:dyDescent="0.55000000000000004">
      <c r="A17" t="s">
        <v>4184</v>
      </c>
      <c r="B17" t="s">
        <v>5116</v>
      </c>
      <c r="C17" t="s">
        <v>5116</v>
      </c>
      <c r="D17" t="s">
        <v>5116</v>
      </c>
      <c r="E17">
        <v>7.9410050355138706E-3</v>
      </c>
      <c r="F17">
        <v>9.5076243043896707E-3</v>
      </c>
      <c r="G17">
        <v>0.97892946201687503</v>
      </c>
      <c r="H17">
        <v>3.6219086432220399E-3</v>
      </c>
      <c r="I17" t="s">
        <v>4184</v>
      </c>
      <c r="J17" t="s">
        <v>5116</v>
      </c>
    </row>
    <row r="18" spans="1:11" x14ac:dyDescent="0.55000000000000004">
      <c r="A18" t="s">
        <v>4185</v>
      </c>
      <c r="B18" t="s">
        <v>5116</v>
      </c>
      <c r="C18" t="s">
        <v>5116</v>
      </c>
      <c r="D18" t="s">
        <v>5116</v>
      </c>
      <c r="E18">
        <v>7.7496542856717397E-3</v>
      </c>
      <c r="F18">
        <v>1.2380173048430899E-2</v>
      </c>
      <c r="G18">
        <v>0.97685310757524602</v>
      </c>
      <c r="H18">
        <v>3.0170650906513499E-3</v>
      </c>
      <c r="I18" t="s">
        <v>4185</v>
      </c>
      <c r="J18" t="s">
        <v>5116</v>
      </c>
    </row>
    <row r="19" spans="1:11" x14ac:dyDescent="0.55000000000000004">
      <c r="A19" t="s">
        <v>4186</v>
      </c>
      <c r="B19" t="s">
        <v>5116</v>
      </c>
      <c r="C19" t="s">
        <v>5116</v>
      </c>
      <c r="D19" t="s">
        <v>5116</v>
      </c>
      <c r="E19">
        <v>1.6115169132833399E-2</v>
      </c>
      <c r="F19">
        <v>3.3023134699998097E-2</v>
      </c>
      <c r="G19">
        <v>0.94721274695786395</v>
      </c>
      <c r="H19">
        <v>3.6489492093040102E-3</v>
      </c>
      <c r="I19" t="s">
        <v>4186</v>
      </c>
      <c r="J19" t="s">
        <v>5116</v>
      </c>
    </row>
    <row r="20" spans="1:11" x14ac:dyDescent="0.55000000000000004">
      <c r="A20" t="s">
        <v>3894</v>
      </c>
      <c r="B20" t="s">
        <v>5115</v>
      </c>
      <c r="C20" t="s">
        <v>5115</v>
      </c>
      <c r="D20" t="s">
        <v>5115</v>
      </c>
      <c r="E20">
        <v>0.51792421662796095</v>
      </c>
      <c r="F20">
        <v>0.20374661621478701</v>
      </c>
      <c r="G20">
        <v>0.186812978084723</v>
      </c>
      <c r="H20">
        <v>9.15161890725288E-2</v>
      </c>
      <c r="I20" t="s">
        <v>3894</v>
      </c>
      <c r="J20" t="s">
        <v>5117</v>
      </c>
      <c r="K20" t="s">
        <v>5118</v>
      </c>
    </row>
    <row r="21" spans="1:11" x14ac:dyDescent="0.55000000000000004">
      <c r="A21" t="s">
        <v>3896</v>
      </c>
      <c r="B21" t="s">
        <v>5115</v>
      </c>
      <c r="C21" t="s">
        <v>5115</v>
      </c>
      <c r="D21" t="s">
        <v>5115</v>
      </c>
      <c r="E21">
        <v>0.57842895127079597</v>
      </c>
      <c r="F21">
        <v>0.19617399692462301</v>
      </c>
      <c r="G21">
        <v>0.15041899370717199</v>
      </c>
      <c r="H21">
        <v>7.4978058097407804E-2</v>
      </c>
      <c r="I21" t="s">
        <v>3896</v>
      </c>
      <c r="J21" t="s">
        <v>5117</v>
      </c>
      <c r="K21" t="s">
        <v>5118</v>
      </c>
    </row>
    <row r="22" spans="1:11" x14ac:dyDescent="0.55000000000000004">
      <c r="A22" t="s">
        <v>3897</v>
      </c>
      <c r="B22" t="s">
        <v>5115</v>
      </c>
      <c r="C22" t="s">
        <v>5115</v>
      </c>
      <c r="D22" t="s">
        <v>5115</v>
      </c>
      <c r="E22">
        <v>0.43653292647484798</v>
      </c>
      <c r="F22">
        <v>0.239803816636392</v>
      </c>
      <c r="G22">
        <v>0.23737339744085501</v>
      </c>
      <c r="H22">
        <v>8.6289859447904696E-2</v>
      </c>
      <c r="I22" t="s">
        <v>3897</v>
      </c>
      <c r="J22" t="s">
        <v>5117</v>
      </c>
      <c r="K22" t="s">
        <v>5118</v>
      </c>
    </row>
    <row r="23" spans="1:11" x14ac:dyDescent="0.55000000000000004">
      <c r="A23" t="s">
        <v>3899</v>
      </c>
      <c r="B23" t="s">
        <v>5115</v>
      </c>
      <c r="C23" t="s">
        <v>5115</v>
      </c>
      <c r="D23" t="s">
        <v>5115</v>
      </c>
      <c r="E23">
        <v>0.55415065026778199</v>
      </c>
      <c r="F23">
        <v>0.20901158491326499</v>
      </c>
      <c r="G23">
        <v>0.17923138382777001</v>
      </c>
      <c r="H23">
        <v>5.7606380991182801E-2</v>
      </c>
      <c r="I23" t="s">
        <v>3899</v>
      </c>
      <c r="J23" t="s">
        <v>5117</v>
      </c>
      <c r="K23" t="s">
        <v>5118</v>
      </c>
    </row>
    <row r="24" spans="1:11" x14ac:dyDescent="0.55000000000000004">
      <c r="A24" t="s">
        <v>3900</v>
      </c>
      <c r="B24" t="s">
        <v>5115</v>
      </c>
      <c r="C24" t="s">
        <v>5115</v>
      </c>
      <c r="D24" t="s">
        <v>5115</v>
      </c>
      <c r="E24">
        <v>0.39635702016799401</v>
      </c>
      <c r="F24">
        <v>0.23535476502181699</v>
      </c>
      <c r="G24">
        <v>0.25560546066857598</v>
      </c>
      <c r="H24">
        <v>0.112682754141613</v>
      </c>
      <c r="I24" t="s">
        <v>3900</v>
      </c>
      <c r="J24" t="s">
        <v>5117</v>
      </c>
      <c r="K24" t="s">
        <v>5119</v>
      </c>
    </row>
    <row r="25" spans="1:11" x14ac:dyDescent="0.55000000000000004">
      <c r="A25" t="s">
        <v>3903</v>
      </c>
      <c r="B25" t="s">
        <v>5115</v>
      </c>
      <c r="C25" t="s">
        <v>5115</v>
      </c>
      <c r="D25" t="s">
        <v>5115</v>
      </c>
      <c r="E25">
        <v>0.53465176299865502</v>
      </c>
      <c r="F25">
        <v>0.19466895511743501</v>
      </c>
      <c r="G25">
        <v>0.185829103103546</v>
      </c>
      <c r="H25">
        <v>8.4850178780364993E-2</v>
      </c>
      <c r="I25" t="s">
        <v>3903</v>
      </c>
      <c r="J25" t="s">
        <v>5117</v>
      </c>
      <c r="K25" t="s">
        <v>5118</v>
      </c>
    </row>
    <row r="26" spans="1:11" x14ac:dyDescent="0.55000000000000004">
      <c r="A26" t="s">
        <v>3904</v>
      </c>
      <c r="B26" t="s">
        <v>5115</v>
      </c>
      <c r="C26" t="s">
        <v>5115</v>
      </c>
      <c r="D26" t="s">
        <v>5115</v>
      </c>
      <c r="E26">
        <v>0.42271450970921898</v>
      </c>
      <c r="F26">
        <v>0.21278687965288301</v>
      </c>
      <c r="G26">
        <v>0.294065812751926</v>
      </c>
      <c r="H26">
        <v>7.0432797885971093E-2</v>
      </c>
      <c r="I26" t="s">
        <v>3904</v>
      </c>
      <c r="J26" t="s">
        <v>5117</v>
      </c>
      <c r="K26" t="s">
        <v>5119</v>
      </c>
    </row>
    <row r="27" spans="1:11" x14ac:dyDescent="0.55000000000000004">
      <c r="A27" t="s">
        <v>3906</v>
      </c>
      <c r="B27" t="s">
        <v>5115</v>
      </c>
      <c r="C27" t="s">
        <v>5115</v>
      </c>
      <c r="D27" t="s">
        <v>5115</v>
      </c>
      <c r="E27">
        <v>0.51579857454217304</v>
      </c>
      <c r="F27">
        <v>0.178505122277235</v>
      </c>
      <c r="G27">
        <v>0.21149572297542801</v>
      </c>
      <c r="H27">
        <v>9.4200580205164003E-2</v>
      </c>
      <c r="I27" t="s">
        <v>3906</v>
      </c>
      <c r="J27" t="s">
        <v>5117</v>
      </c>
      <c r="K27" t="s">
        <v>5119</v>
      </c>
    </row>
    <row r="28" spans="1:11" x14ac:dyDescent="0.55000000000000004">
      <c r="A28" t="s">
        <v>3842</v>
      </c>
      <c r="B28" t="s">
        <v>5115</v>
      </c>
      <c r="C28" t="s">
        <v>5115</v>
      </c>
      <c r="D28" t="s">
        <v>5115</v>
      </c>
      <c r="E28">
        <v>0.98116889203876201</v>
      </c>
      <c r="F28">
        <v>8.1126754742339904E-3</v>
      </c>
      <c r="G28">
        <v>7.2692735797998797E-3</v>
      </c>
      <c r="H28">
        <v>3.44915890720372E-3</v>
      </c>
      <c r="I28" t="s">
        <v>3842</v>
      </c>
      <c r="J28" t="s">
        <v>5115</v>
      </c>
    </row>
    <row r="29" spans="1:11" x14ac:dyDescent="0.55000000000000004">
      <c r="A29" t="s">
        <v>3843</v>
      </c>
      <c r="B29" t="s">
        <v>5115</v>
      </c>
      <c r="C29" t="s">
        <v>5115</v>
      </c>
      <c r="D29" t="s">
        <v>5115</v>
      </c>
      <c r="E29">
        <v>0.97245896430647105</v>
      </c>
      <c r="F29">
        <v>1.28035977521732E-2</v>
      </c>
      <c r="G29">
        <v>1.1378742217057499E-2</v>
      </c>
      <c r="H29">
        <v>3.3586957242985002E-3</v>
      </c>
      <c r="I29" t="s">
        <v>3843</v>
      </c>
      <c r="J29" t="s">
        <v>5115</v>
      </c>
    </row>
    <row r="30" spans="1:11" x14ac:dyDescent="0.55000000000000004">
      <c r="A30" t="s">
        <v>3844</v>
      </c>
      <c r="B30" t="s">
        <v>5115</v>
      </c>
      <c r="C30" t="s">
        <v>5115</v>
      </c>
      <c r="D30" t="s">
        <v>5115</v>
      </c>
      <c r="E30">
        <v>0.94319416848599502</v>
      </c>
      <c r="F30">
        <v>2.35811712080909E-2</v>
      </c>
      <c r="G30">
        <v>2.7574128474805899E-2</v>
      </c>
      <c r="H30">
        <v>5.65053183110818E-3</v>
      </c>
      <c r="I30" t="s">
        <v>3844</v>
      </c>
      <c r="J30" t="s">
        <v>5115</v>
      </c>
    </row>
    <row r="31" spans="1:11" x14ac:dyDescent="0.55000000000000004">
      <c r="A31" t="s">
        <v>3845</v>
      </c>
      <c r="B31" t="s">
        <v>5115</v>
      </c>
      <c r="C31" t="s">
        <v>5115</v>
      </c>
      <c r="D31" t="s">
        <v>5115</v>
      </c>
      <c r="E31">
        <v>0.98377902805085005</v>
      </c>
      <c r="F31">
        <v>6.7577129926246499E-3</v>
      </c>
      <c r="G31">
        <v>5.7985440927187399E-3</v>
      </c>
      <c r="H31">
        <v>3.6647148638061398E-3</v>
      </c>
      <c r="I31" t="s">
        <v>3845</v>
      </c>
      <c r="J31" t="s">
        <v>5115</v>
      </c>
    </row>
    <row r="32" spans="1:11" x14ac:dyDescent="0.55000000000000004">
      <c r="A32" t="s">
        <v>3846</v>
      </c>
      <c r="B32" t="s">
        <v>5115</v>
      </c>
      <c r="C32" t="s">
        <v>5115</v>
      </c>
      <c r="D32" t="s">
        <v>5115</v>
      </c>
      <c r="E32">
        <v>0.96890581941210796</v>
      </c>
      <c r="F32">
        <v>1.43287951040845E-2</v>
      </c>
      <c r="G32">
        <v>1.1603209109558E-2</v>
      </c>
      <c r="H32">
        <v>5.1621763742497797E-3</v>
      </c>
      <c r="I32" t="s">
        <v>3846</v>
      </c>
      <c r="J32" t="s">
        <v>5115</v>
      </c>
    </row>
    <row r="33" spans="1:10" x14ac:dyDescent="0.55000000000000004">
      <c r="A33" t="s">
        <v>3847</v>
      </c>
      <c r="B33" t="s">
        <v>5115</v>
      </c>
      <c r="C33" t="s">
        <v>5115</v>
      </c>
      <c r="D33" t="s">
        <v>5115</v>
      </c>
      <c r="E33">
        <v>0.97709020104224398</v>
      </c>
      <c r="F33">
        <v>8.0842151527697106E-3</v>
      </c>
      <c r="G33">
        <v>1.1654165739522699E-2</v>
      </c>
      <c r="H33">
        <v>3.1714180654634598E-3</v>
      </c>
      <c r="I33" t="s">
        <v>3847</v>
      </c>
      <c r="J33" t="s">
        <v>5115</v>
      </c>
    </row>
    <row r="34" spans="1:10" x14ac:dyDescent="0.55000000000000004">
      <c r="A34" t="s">
        <v>3848</v>
      </c>
      <c r="B34" t="s">
        <v>5115</v>
      </c>
      <c r="C34" t="s">
        <v>5115</v>
      </c>
      <c r="D34" t="s">
        <v>5115</v>
      </c>
      <c r="E34">
        <v>0.95021400987925098</v>
      </c>
      <c r="F34">
        <v>2.3751000881325202E-2</v>
      </c>
      <c r="G34">
        <v>2.19903354733865E-2</v>
      </c>
      <c r="H34">
        <v>4.0446537660380399E-3</v>
      </c>
      <c r="I34" t="s">
        <v>3848</v>
      </c>
      <c r="J34" t="s">
        <v>5115</v>
      </c>
    </row>
    <row r="35" spans="1:10" x14ac:dyDescent="0.55000000000000004">
      <c r="A35" t="s">
        <v>3849</v>
      </c>
      <c r="B35" t="s">
        <v>5115</v>
      </c>
      <c r="C35" t="s">
        <v>5115</v>
      </c>
      <c r="D35" t="s">
        <v>5115</v>
      </c>
      <c r="E35">
        <v>0.95517746502368595</v>
      </c>
      <c r="F35">
        <v>1.7170475298117899E-2</v>
      </c>
      <c r="G35">
        <v>1.98889025849486E-2</v>
      </c>
      <c r="H35">
        <v>7.7631570932471701E-3</v>
      </c>
      <c r="I35" t="s">
        <v>3849</v>
      </c>
      <c r="J35" t="s">
        <v>5115</v>
      </c>
    </row>
    <row r="36" spans="1:10" x14ac:dyDescent="0.55000000000000004">
      <c r="A36" t="s">
        <v>3850</v>
      </c>
      <c r="B36" t="s">
        <v>5116</v>
      </c>
      <c r="C36" t="s">
        <v>5116</v>
      </c>
      <c r="D36" t="s">
        <v>5116</v>
      </c>
      <c r="E36">
        <v>6.2453726662255998E-3</v>
      </c>
      <c r="F36">
        <v>4.0789464637387696E-3</v>
      </c>
      <c r="G36">
        <v>0.98613741516734799</v>
      </c>
      <c r="H36">
        <v>3.5382657026876599E-3</v>
      </c>
      <c r="I36" t="s">
        <v>3850</v>
      </c>
      <c r="J36" t="s">
        <v>5116</v>
      </c>
    </row>
    <row r="37" spans="1:10" x14ac:dyDescent="0.55000000000000004">
      <c r="A37" t="s">
        <v>3851</v>
      </c>
      <c r="B37" t="s">
        <v>5115</v>
      </c>
      <c r="C37" t="s">
        <v>5115</v>
      </c>
      <c r="D37" t="s">
        <v>5115</v>
      </c>
      <c r="E37">
        <v>0.98816942060231205</v>
      </c>
      <c r="F37">
        <v>1.91506740033793E-3</v>
      </c>
      <c r="G37">
        <v>4.6756147984968396E-3</v>
      </c>
      <c r="H37">
        <v>5.23989719885312E-3</v>
      </c>
      <c r="I37" t="s">
        <v>3851</v>
      </c>
      <c r="J37" t="s">
        <v>5115</v>
      </c>
    </row>
    <row r="38" spans="1:10" x14ac:dyDescent="0.55000000000000004">
      <c r="A38" t="s">
        <v>3852</v>
      </c>
      <c r="B38" t="s">
        <v>5116</v>
      </c>
      <c r="C38" t="s">
        <v>5116</v>
      </c>
      <c r="D38" t="s">
        <v>5116</v>
      </c>
      <c r="E38">
        <v>6.1152938701583099E-3</v>
      </c>
      <c r="F38">
        <v>8.9515928999808602E-3</v>
      </c>
      <c r="G38">
        <v>0.98178507143687599</v>
      </c>
      <c r="H38">
        <v>3.1480417929846899E-3</v>
      </c>
      <c r="I38" t="s">
        <v>3852</v>
      </c>
      <c r="J38" t="s">
        <v>5116</v>
      </c>
    </row>
    <row r="39" spans="1:10" x14ac:dyDescent="0.55000000000000004">
      <c r="A39" t="s">
        <v>3853</v>
      </c>
      <c r="B39" t="s">
        <v>5115</v>
      </c>
      <c r="C39" t="s">
        <v>5115</v>
      </c>
      <c r="D39" t="s">
        <v>5115</v>
      </c>
      <c r="E39">
        <v>0.98580384816703104</v>
      </c>
      <c r="F39">
        <v>2.2973229590811102E-3</v>
      </c>
      <c r="G39">
        <v>6.9786157023747101E-3</v>
      </c>
      <c r="H39">
        <v>4.9202131715133397E-3</v>
      </c>
      <c r="I39" t="s">
        <v>3853</v>
      </c>
      <c r="J39" t="s">
        <v>5115</v>
      </c>
    </row>
    <row r="40" spans="1:10" x14ac:dyDescent="0.55000000000000004">
      <c r="A40" t="s">
        <v>4139</v>
      </c>
      <c r="B40" t="s">
        <v>5116</v>
      </c>
      <c r="C40" t="s">
        <v>5116</v>
      </c>
      <c r="D40" t="s">
        <v>5116</v>
      </c>
      <c r="E40">
        <v>5.0556231239624102E-3</v>
      </c>
      <c r="F40">
        <v>7.0645640854945999E-3</v>
      </c>
      <c r="G40">
        <v>0.98546405771837198</v>
      </c>
      <c r="H40">
        <v>2.41575507217133E-3</v>
      </c>
      <c r="I40" t="s">
        <v>4139</v>
      </c>
      <c r="J40" t="s">
        <v>5116</v>
      </c>
    </row>
    <row r="41" spans="1:10" x14ac:dyDescent="0.55000000000000004">
      <c r="A41" t="s">
        <v>4140</v>
      </c>
      <c r="B41" t="s">
        <v>5116</v>
      </c>
      <c r="C41" t="s">
        <v>5116</v>
      </c>
      <c r="D41" t="s">
        <v>5116</v>
      </c>
      <c r="E41">
        <v>6.6097875254554003E-3</v>
      </c>
      <c r="F41">
        <v>1.4136901920539799E-2</v>
      </c>
      <c r="G41">
        <v>0.97591067529652298</v>
      </c>
      <c r="H41">
        <v>3.34263525748156E-3</v>
      </c>
      <c r="I41" t="s">
        <v>4140</v>
      </c>
      <c r="J41" t="s">
        <v>5116</v>
      </c>
    </row>
    <row r="42" spans="1:10" x14ac:dyDescent="0.55000000000000004">
      <c r="A42" t="s">
        <v>4141</v>
      </c>
      <c r="B42" t="s">
        <v>5116</v>
      </c>
      <c r="C42" t="s">
        <v>5116</v>
      </c>
      <c r="D42" t="s">
        <v>5116</v>
      </c>
      <c r="E42">
        <v>6.2310375577185797E-3</v>
      </c>
      <c r="F42">
        <v>3.1776502840700098E-2</v>
      </c>
      <c r="G42">
        <v>0.957476687697281</v>
      </c>
      <c r="H42">
        <v>4.5157719043007298E-3</v>
      </c>
      <c r="I42" t="s">
        <v>4141</v>
      </c>
      <c r="J42" t="s">
        <v>5116</v>
      </c>
    </row>
    <row r="43" spans="1:10" x14ac:dyDescent="0.55000000000000004">
      <c r="A43" t="s">
        <v>4142</v>
      </c>
      <c r="B43" t="s">
        <v>5116</v>
      </c>
      <c r="C43" t="s">
        <v>5116</v>
      </c>
      <c r="D43" t="s">
        <v>5116</v>
      </c>
      <c r="E43">
        <v>4.5774118656441197E-3</v>
      </c>
      <c r="F43">
        <v>1.63354552140339E-2</v>
      </c>
      <c r="G43">
        <v>0.97560568675720205</v>
      </c>
      <c r="H43">
        <v>3.4814461631193601E-3</v>
      </c>
      <c r="I43" t="s">
        <v>4142</v>
      </c>
      <c r="J43" t="s">
        <v>5116</v>
      </c>
    </row>
    <row r="44" spans="1:10" x14ac:dyDescent="0.55000000000000004">
      <c r="A44" t="s">
        <v>4143</v>
      </c>
      <c r="B44" t="s">
        <v>5116</v>
      </c>
      <c r="C44" t="s">
        <v>5116</v>
      </c>
      <c r="D44" t="s">
        <v>5116</v>
      </c>
      <c r="E44">
        <v>1.16846780069328E-2</v>
      </c>
      <c r="F44">
        <v>1.7214895684359698E-2</v>
      </c>
      <c r="G44">
        <v>0.96701548857580699</v>
      </c>
      <c r="H44">
        <v>4.0849377329007699E-3</v>
      </c>
      <c r="I44" t="s">
        <v>4143</v>
      </c>
      <c r="J44" t="s">
        <v>5116</v>
      </c>
    </row>
    <row r="45" spans="1:10" x14ac:dyDescent="0.55000000000000004">
      <c r="A45" t="s">
        <v>4144</v>
      </c>
      <c r="B45" t="s">
        <v>5116</v>
      </c>
      <c r="C45" t="s">
        <v>5116</v>
      </c>
      <c r="D45" t="s">
        <v>5116</v>
      </c>
      <c r="E45">
        <v>3.4907173451676999E-3</v>
      </c>
      <c r="F45">
        <v>5.3401796621300396E-3</v>
      </c>
      <c r="G45">
        <v>0.98717713013484298</v>
      </c>
      <c r="H45">
        <v>3.9919728578595003E-3</v>
      </c>
      <c r="I45" t="s">
        <v>4144</v>
      </c>
      <c r="J45" t="s">
        <v>5116</v>
      </c>
    </row>
    <row r="46" spans="1:10" x14ac:dyDescent="0.55000000000000004">
      <c r="A46" t="s">
        <v>4145</v>
      </c>
      <c r="B46" t="s">
        <v>5116</v>
      </c>
      <c r="C46" t="s">
        <v>5116</v>
      </c>
      <c r="D46" t="s">
        <v>5116</v>
      </c>
      <c r="E46">
        <v>8.5723164198406292E-3</v>
      </c>
      <c r="F46">
        <v>1.29720155680572E-2</v>
      </c>
      <c r="G46">
        <v>0.97501067142548803</v>
      </c>
      <c r="H46">
        <v>3.4449965866144602E-3</v>
      </c>
      <c r="I46" t="s">
        <v>4145</v>
      </c>
      <c r="J46" t="s">
        <v>5116</v>
      </c>
    </row>
    <row r="47" spans="1:10" x14ac:dyDescent="0.55000000000000004">
      <c r="A47" t="s">
        <v>4146</v>
      </c>
      <c r="B47" t="s">
        <v>5115</v>
      </c>
      <c r="C47" t="s">
        <v>5115</v>
      </c>
      <c r="D47" t="s">
        <v>5115</v>
      </c>
      <c r="E47">
        <v>0.97957977502910398</v>
      </c>
      <c r="F47">
        <v>8.0209076877978402E-3</v>
      </c>
      <c r="G47">
        <v>7.5642045112023796E-3</v>
      </c>
      <c r="H47">
        <v>4.8351127718956697E-3</v>
      </c>
      <c r="I47" t="s">
        <v>4146</v>
      </c>
      <c r="J47" t="s">
        <v>5115</v>
      </c>
    </row>
    <row r="48" spans="1:10" x14ac:dyDescent="0.55000000000000004">
      <c r="A48" t="s">
        <v>4147</v>
      </c>
      <c r="B48" t="s">
        <v>5116</v>
      </c>
      <c r="C48" t="s">
        <v>5116</v>
      </c>
      <c r="D48" t="s">
        <v>5116</v>
      </c>
      <c r="E48">
        <v>8.7040670144819705E-3</v>
      </c>
      <c r="F48">
        <v>1.76301376871443E-2</v>
      </c>
      <c r="G48">
        <v>0.971019206370065</v>
      </c>
      <c r="H48">
        <v>2.6465889283086102E-3</v>
      </c>
      <c r="I48" t="s">
        <v>4147</v>
      </c>
      <c r="J48" t="s">
        <v>5116</v>
      </c>
    </row>
    <row r="49" spans="1:10" x14ac:dyDescent="0.55000000000000004">
      <c r="A49" t="s">
        <v>4148</v>
      </c>
      <c r="B49" t="s">
        <v>5115</v>
      </c>
      <c r="C49" t="s">
        <v>5115</v>
      </c>
      <c r="D49" t="s">
        <v>5115</v>
      </c>
      <c r="E49">
        <v>0.98246509719126796</v>
      </c>
      <c r="F49">
        <v>4.9181425356455404E-3</v>
      </c>
      <c r="G49">
        <v>8.9458542491470706E-3</v>
      </c>
      <c r="H49">
        <v>3.6709060239394999E-3</v>
      </c>
      <c r="I49" t="s">
        <v>4148</v>
      </c>
      <c r="J49" t="s">
        <v>5115</v>
      </c>
    </row>
    <row r="50" spans="1:10" x14ac:dyDescent="0.55000000000000004">
      <c r="A50" t="s">
        <v>4149</v>
      </c>
      <c r="B50" t="s">
        <v>5116</v>
      </c>
      <c r="C50" t="s">
        <v>5116</v>
      </c>
      <c r="D50" t="s">
        <v>5116</v>
      </c>
      <c r="E50">
        <v>5.2545304687068696E-3</v>
      </c>
      <c r="F50">
        <v>1.5717911614859401E-2</v>
      </c>
      <c r="G50">
        <v>0.97313009469177603</v>
      </c>
      <c r="H50">
        <v>5.8974632246578404E-3</v>
      </c>
      <c r="I50" t="s">
        <v>4149</v>
      </c>
      <c r="J50" t="s">
        <v>5116</v>
      </c>
    </row>
    <row r="51" spans="1:10" x14ac:dyDescent="0.55000000000000004">
      <c r="A51" t="s">
        <v>4150</v>
      </c>
      <c r="B51" t="s">
        <v>5116</v>
      </c>
      <c r="C51" t="s">
        <v>5116</v>
      </c>
      <c r="D51" t="s">
        <v>5116</v>
      </c>
      <c r="E51">
        <v>6.8942404422234604E-3</v>
      </c>
      <c r="F51">
        <v>8.4769473501688005E-3</v>
      </c>
      <c r="G51">
        <v>0.98153685155631498</v>
      </c>
      <c r="H51">
        <v>3.0919606512932701E-3</v>
      </c>
      <c r="I51" t="s">
        <v>4150</v>
      </c>
      <c r="J51" t="s">
        <v>5116</v>
      </c>
    </row>
    <row r="52" spans="1:10" x14ac:dyDescent="0.55000000000000004">
      <c r="A52" t="s">
        <v>3675</v>
      </c>
      <c r="B52" t="s">
        <v>5115</v>
      </c>
      <c r="C52" t="s">
        <v>5115</v>
      </c>
      <c r="D52" t="s">
        <v>5115</v>
      </c>
      <c r="E52">
        <v>0.95978294353318905</v>
      </c>
      <c r="F52">
        <v>9.1956114342312406E-3</v>
      </c>
      <c r="G52">
        <v>2.6634895216974801E-2</v>
      </c>
      <c r="H52">
        <v>4.3865498156044702E-3</v>
      </c>
      <c r="I52" t="s">
        <v>3675</v>
      </c>
      <c r="J52" t="s">
        <v>5115</v>
      </c>
    </row>
    <row r="53" spans="1:10" x14ac:dyDescent="0.55000000000000004">
      <c r="A53" t="s">
        <v>3676</v>
      </c>
      <c r="B53" t="s">
        <v>5115</v>
      </c>
      <c r="C53" t="s">
        <v>5115</v>
      </c>
      <c r="D53" t="s">
        <v>5115</v>
      </c>
      <c r="E53">
        <v>0.97885484834877001</v>
      </c>
      <c r="F53">
        <v>6.6651139836509301E-3</v>
      </c>
      <c r="G53">
        <v>7.5924627564776404E-3</v>
      </c>
      <c r="H53">
        <v>6.8875749111013598E-3</v>
      </c>
      <c r="I53" t="s">
        <v>3676</v>
      </c>
      <c r="J53" t="s">
        <v>5115</v>
      </c>
    </row>
    <row r="54" spans="1:10" x14ac:dyDescent="0.55000000000000004">
      <c r="A54" t="s">
        <v>3677</v>
      </c>
      <c r="B54" t="s">
        <v>5115</v>
      </c>
      <c r="C54" t="s">
        <v>5115</v>
      </c>
      <c r="D54" t="s">
        <v>5115</v>
      </c>
      <c r="E54">
        <v>0.934691543941916</v>
      </c>
      <c r="F54">
        <v>3.00114395109932E-2</v>
      </c>
      <c r="G54">
        <v>2.9367506068369499E-2</v>
      </c>
      <c r="H54">
        <v>5.9295104787213298E-3</v>
      </c>
      <c r="I54" t="s">
        <v>3677</v>
      </c>
      <c r="J54" t="s">
        <v>5115</v>
      </c>
    </row>
    <row r="55" spans="1:10" x14ac:dyDescent="0.55000000000000004">
      <c r="A55" t="s">
        <v>3678</v>
      </c>
      <c r="B55" t="s">
        <v>5116</v>
      </c>
      <c r="C55" t="s">
        <v>5116</v>
      </c>
      <c r="D55" t="s">
        <v>5116</v>
      </c>
      <c r="E55">
        <v>3.19614570393371E-3</v>
      </c>
      <c r="F55">
        <v>9.9538629390079104E-3</v>
      </c>
      <c r="G55">
        <v>0.98328666870992898</v>
      </c>
      <c r="H55">
        <v>3.5633226471292901E-3</v>
      </c>
      <c r="I55" t="s">
        <v>3678</v>
      </c>
      <c r="J55" t="s">
        <v>5116</v>
      </c>
    </row>
    <row r="56" spans="1:10" x14ac:dyDescent="0.55000000000000004">
      <c r="A56" t="s">
        <v>3679</v>
      </c>
      <c r="B56" t="s">
        <v>5115</v>
      </c>
      <c r="C56" t="s">
        <v>5115</v>
      </c>
      <c r="D56" t="s">
        <v>5115</v>
      </c>
      <c r="E56">
        <v>0.95566162456665704</v>
      </c>
      <c r="F56">
        <v>1.3885569788791199E-2</v>
      </c>
      <c r="G56">
        <v>2.4378231817594301E-2</v>
      </c>
      <c r="H56">
        <v>6.0745738269570998E-3</v>
      </c>
      <c r="I56" t="s">
        <v>3679</v>
      </c>
      <c r="J56" t="s">
        <v>5115</v>
      </c>
    </row>
    <row r="57" spans="1:10" x14ac:dyDescent="0.55000000000000004">
      <c r="A57" t="s">
        <v>3680</v>
      </c>
      <c r="B57" t="s">
        <v>5115</v>
      </c>
      <c r="C57" t="s">
        <v>5115</v>
      </c>
      <c r="D57" t="s">
        <v>5115</v>
      </c>
      <c r="E57">
        <v>0.94656028278386195</v>
      </c>
      <c r="F57">
        <v>1.38571049217831E-2</v>
      </c>
      <c r="G57">
        <v>3.31172216475345E-2</v>
      </c>
      <c r="H57">
        <v>6.4653906468206297E-3</v>
      </c>
      <c r="I57" t="s">
        <v>3680</v>
      </c>
      <c r="J57" t="s">
        <v>5115</v>
      </c>
    </row>
    <row r="58" spans="1:10" x14ac:dyDescent="0.55000000000000004">
      <c r="A58" t="s">
        <v>3681</v>
      </c>
      <c r="B58" t="s">
        <v>5115</v>
      </c>
      <c r="C58" t="s">
        <v>5115</v>
      </c>
      <c r="D58" t="s">
        <v>5115</v>
      </c>
      <c r="E58">
        <v>0.94595504243572703</v>
      </c>
      <c r="F58">
        <v>1.8847205815102099E-2</v>
      </c>
      <c r="G58">
        <v>3.01968468198833E-2</v>
      </c>
      <c r="H58">
        <v>5.0009049292876499E-3</v>
      </c>
      <c r="I58" t="s">
        <v>3681</v>
      </c>
      <c r="J58" t="s">
        <v>5115</v>
      </c>
    </row>
    <row r="59" spans="1:10" x14ac:dyDescent="0.55000000000000004">
      <c r="A59" t="s">
        <v>3682</v>
      </c>
      <c r="B59" t="s">
        <v>5115</v>
      </c>
      <c r="C59" t="s">
        <v>5115</v>
      </c>
      <c r="D59" t="s">
        <v>5115</v>
      </c>
      <c r="E59">
        <v>0.93379476811995998</v>
      </c>
      <c r="F59">
        <v>2.3136697869235001E-2</v>
      </c>
      <c r="G59">
        <v>3.00757905312629E-2</v>
      </c>
      <c r="H59">
        <v>1.2992743479542599E-2</v>
      </c>
      <c r="I59" t="s">
        <v>3682</v>
      </c>
      <c r="J59" t="s">
        <v>5115</v>
      </c>
    </row>
    <row r="60" spans="1:10" x14ac:dyDescent="0.55000000000000004">
      <c r="A60" t="s">
        <v>3683</v>
      </c>
      <c r="B60" t="s">
        <v>5115</v>
      </c>
      <c r="C60" t="s">
        <v>5115</v>
      </c>
      <c r="D60" t="s">
        <v>5115</v>
      </c>
      <c r="E60">
        <v>0.95005226689253497</v>
      </c>
      <c r="F60">
        <v>2.1327411014149599E-2</v>
      </c>
      <c r="G60">
        <v>2.1133818079797698E-2</v>
      </c>
      <c r="H60">
        <v>7.48650401351741E-3</v>
      </c>
      <c r="I60" t="s">
        <v>3683</v>
      </c>
      <c r="J60" t="s">
        <v>5115</v>
      </c>
    </row>
    <row r="61" spans="1:10" x14ac:dyDescent="0.55000000000000004">
      <c r="A61" t="s">
        <v>3684</v>
      </c>
      <c r="B61" t="s">
        <v>5115</v>
      </c>
      <c r="C61" t="s">
        <v>5115</v>
      </c>
      <c r="D61" t="s">
        <v>5115</v>
      </c>
      <c r="E61">
        <v>0.95890949351432897</v>
      </c>
      <c r="F61">
        <v>1.9875461808078799E-2</v>
      </c>
      <c r="G61">
        <v>1.46156071919113E-2</v>
      </c>
      <c r="H61">
        <v>6.5994374856811798E-3</v>
      </c>
      <c r="I61" t="s">
        <v>3684</v>
      </c>
      <c r="J61" t="s">
        <v>5115</v>
      </c>
    </row>
    <row r="62" spans="1:10" x14ac:dyDescent="0.55000000000000004">
      <c r="A62" t="s">
        <v>3685</v>
      </c>
      <c r="B62" t="s">
        <v>5115</v>
      </c>
      <c r="C62" t="s">
        <v>5115</v>
      </c>
      <c r="D62" t="s">
        <v>5115</v>
      </c>
      <c r="E62">
        <v>0.94253977828531998</v>
      </c>
      <c r="F62">
        <v>1.76619290053159E-2</v>
      </c>
      <c r="G62">
        <v>3.4126005660097498E-2</v>
      </c>
      <c r="H62">
        <v>5.6722870492659999E-3</v>
      </c>
      <c r="I62" t="s">
        <v>3685</v>
      </c>
      <c r="J62" t="s">
        <v>5115</v>
      </c>
    </row>
    <row r="63" spans="1:10" x14ac:dyDescent="0.55000000000000004">
      <c r="A63" t="s">
        <v>3686</v>
      </c>
      <c r="B63" t="s">
        <v>5115</v>
      </c>
      <c r="C63" t="s">
        <v>5115</v>
      </c>
      <c r="D63" t="s">
        <v>5115</v>
      </c>
      <c r="E63">
        <v>0.96656517205711401</v>
      </c>
      <c r="F63">
        <v>1.6774241580088001E-2</v>
      </c>
      <c r="G63">
        <v>1.14833738436592E-2</v>
      </c>
      <c r="H63">
        <v>5.1772125191388799E-3</v>
      </c>
      <c r="I63" t="s">
        <v>3686</v>
      </c>
      <c r="J63" t="s">
        <v>5115</v>
      </c>
    </row>
    <row r="64" spans="1:10" x14ac:dyDescent="0.55000000000000004">
      <c r="A64" t="s">
        <v>4250</v>
      </c>
      <c r="B64" t="s">
        <v>5115</v>
      </c>
      <c r="C64" t="s">
        <v>5115</v>
      </c>
      <c r="D64" t="s">
        <v>5115</v>
      </c>
      <c r="E64">
        <v>0.97287622525840101</v>
      </c>
      <c r="F64">
        <v>1.6254265182144099E-2</v>
      </c>
      <c r="G64">
        <v>6.6489388196717099E-3</v>
      </c>
      <c r="H64">
        <v>4.2205707397836804E-3</v>
      </c>
      <c r="I64" t="s">
        <v>4250</v>
      </c>
      <c r="J64" t="s">
        <v>5115</v>
      </c>
    </row>
    <row r="65" spans="1:11" x14ac:dyDescent="0.55000000000000004">
      <c r="A65" t="s">
        <v>4251</v>
      </c>
      <c r="B65" t="s">
        <v>5115</v>
      </c>
      <c r="C65" t="s">
        <v>5115</v>
      </c>
      <c r="D65" t="s">
        <v>5115</v>
      </c>
      <c r="E65">
        <v>0.90555839501449797</v>
      </c>
      <c r="F65">
        <v>6.2226248269296201E-2</v>
      </c>
      <c r="G65">
        <v>2.6230072633652901E-2</v>
      </c>
      <c r="H65">
        <v>5.9852840825534498E-3</v>
      </c>
      <c r="I65" t="s">
        <v>4251</v>
      </c>
      <c r="J65" t="s">
        <v>5115</v>
      </c>
    </row>
    <row r="66" spans="1:11" x14ac:dyDescent="0.55000000000000004">
      <c r="A66" t="s">
        <v>4252</v>
      </c>
      <c r="B66" t="s">
        <v>5115</v>
      </c>
      <c r="C66" t="s">
        <v>5115</v>
      </c>
      <c r="D66" t="s">
        <v>5115</v>
      </c>
      <c r="E66">
        <v>0.96650213764163795</v>
      </c>
      <c r="F66">
        <v>1.5693808191513101E-2</v>
      </c>
      <c r="G66">
        <v>1.35222345427019E-2</v>
      </c>
      <c r="H66">
        <v>4.2818196241467803E-3</v>
      </c>
      <c r="I66" t="s">
        <v>4252</v>
      </c>
      <c r="J66" t="s">
        <v>5115</v>
      </c>
    </row>
    <row r="67" spans="1:11" x14ac:dyDescent="0.55000000000000004">
      <c r="A67" t="s">
        <v>4253</v>
      </c>
      <c r="B67" t="s">
        <v>5115</v>
      </c>
      <c r="C67" t="s">
        <v>5115</v>
      </c>
      <c r="D67" t="s">
        <v>5115</v>
      </c>
      <c r="E67">
        <v>0.65005100889572998</v>
      </c>
      <c r="F67">
        <v>0.253494676407516</v>
      </c>
      <c r="G67">
        <v>8.7858731889814995E-2</v>
      </c>
      <c r="H67">
        <v>8.5955828069392698E-3</v>
      </c>
      <c r="I67" t="s">
        <v>4253</v>
      </c>
      <c r="J67" t="s">
        <v>5117</v>
      </c>
      <c r="K67" t="s">
        <v>5118</v>
      </c>
    </row>
    <row r="68" spans="1:11" x14ac:dyDescent="0.55000000000000004">
      <c r="A68" t="s">
        <v>4220</v>
      </c>
      <c r="B68" t="s">
        <v>5115</v>
      </c>
      <c r="C68" t="s">
        <v>5115</v>
      </c>
      <c r="D68" t="s">
        <v>5115</v>
      </c>
      <c r="E68">
        <v>0.95336245699164202</v>
      </c>
      <c r="F68">
        <v>2.1170823286569902E-2</v>
      </c>
      <c r="G68">
        <v>1.67311542871167E-2</v>
      </c>
      <c r="H68">
        <v>8.7355654346714506E-3</v>
      </c>
      <c r="I68" t="s">
        <v>4220</v>
      </c>
      <c r="J68" t="s">
        <v>5115</v>
      </c>
    </row>
    <row r="69" spans="1:11" x14ac:dyDescent="0.55000000000000004">
      <c r="A69" t="s">
        <v>4221</v>
      </c>
      <c r="B69" t="s">
        <v>5115</v>
      </c>
      <c r="C69" t="s">
        <v>5115</v>
      </c>
      <c r="D69" t="s">
        <v>5115</v>
      </c>
      <c r="E69">
        <v>0.88695171505856096</v>
      </c>
      <c r="F69">
        <v>4.3101011273347797E-2</v>
      </c>
      <c r="G69">
        <v>6.2031591117077699E-2</v>
      </c>
      <c r="H69">
        <v>7.9156825510135094E-3</v>
      </c>
      <c r="I69" t="s">
        <v>4221</v>
      </c>
      <c r="J69" t="s">
        <v>5115</v>
      </c>
    </row>
    <row r="70" spans="1:11" x14ac:dyDescent="0.55000000000000004">
      <c r="A70" t="s">
        <v>4222</v>
      </c>
      <c r="B70" t="s">
        <v>5116</v>
      </c>
      <c r="C70" t="s">
        <v>5116</v>
      </c>
      <c r="D70" t="s">
        <v>5116</v>
      </c>
      <c r="E70">
        <v>4.5396833233290797E-3</v>
      </c>
      <c r="F70">
        <v>6.9129817792133999E-3</v>
      </c>
      <c r="G70">
        <v>0.98381844266669705</v>
      </c>
      <c r="H70">
        <v>4.7288922307602401E-3</v>
      </c>
      <c r="I70" t="s">
        <v>4222</v>
      </c>
      <c r="J70" t="s">
        <v>5116</v>
      </c>
    </row>
    <row r="71" spans="1:11" x14ac:dyDescent="0.55000000000000004">
      <c r="A71" t="s">
        <v>4223</v>
      </c>
      <c r="B71" t="s">
        <v>5116</v>
      </c>
      <c r="C71" t="s">
        <v>5116</v>
      </c>
      <c r="D71" t="s">
        <v>5116</v>
      </c>
      <c r="E71">
        <v>2.03178953973009E-2</v>
      </c>
      <c r="F71">
        <v>2.2436283397839402E-2</v>
      </c>
      <c r="G71">
        <v>0.95220777235929299</v>
      </c>
      <c r="H71">
        <v>5.0380488455663503E-3</v>
      </c>
      <c r="I71" t="s">
        <v>4223</v>
      </c>
      <c r="J71" t="s">
        <v>5116</v>
      </c>
    </row>
    <row r="72" spans="1:11" x14ac:dyDescent="0.55000000000000004">
      <c r="A72" t="s">
        <v>4224</v>
      </c>
      <c r="B72" t="s">
        <v>5115</v>
      </c>
      <c r="C72" t="s">
        <v>5115</v>
      </c>
      <c r="D72" t="s">
        <v>5115</v>
      </c>
      <c r="E72">
        <v>0.94122407254208096</v>
      </c>
      <c r="F72">
        <v>3.2051921935956497E-2</v>
      </c>
      <c r="G72">
        <v>2.0356841457734299E-2</v>
      </c>
      <c r="H72">
        <v>6.3671640642278303E-3</v>
      </c>
      <c r="I72" t="s">
        <v>4224</v>
      </c>
      <c r="J72" t="s">
        <v>5115</v>
      </c>
    </row>
    <row r="73" spans="1:11" x14ac:dyDescent="0.55000000000000004">
      <c r="A73" t="s">
        <v>4225</v>
      </c>
      <c r="B73" t="s">
        <v>5116</v>
      </c>
      <c r="C73" t="s">
        <v>5116</v>
      </c>
      <c r="D73" t="s">
        <v>5116</v>
      </c>
      <c r="E73">
        <v>1.3090156574477801E-2</v>
      </c>
      <c r="F73">
        <v>1.2270173932959099E-2</v>
      </c>
      <c r="G73">
        <v>0.97053931885348199</v>
      </c>
      <c r="H73">
        <v>4.1003506390812098E-3</v>
      </c>
      <c r="I73" t="s">
        <v>4225</v>
      </c>
      <c r="J73" t="s">
        <v>5116</v>
      </c>
    </row>
    <row r="74" spans="1:11" x14ac:dyDescent="0.55000000000000004">
      <c r="A74" t="s">
        <v>4226</v>
      </c>
      <c r="B74" t="s">
        <v>5115</v>
      </c>
      <c r="C74" t="s">
        <v>5115</v>
      </c>
      <c r="D74" t="s">
        <v>5115</v>
      </c>
      <c r="E74">
        <v>0.80657647873712202</v>
      </c>
      <c r="F74">
        <v>6.6191923119731905E-2</v>
      </c>
      <c r="G74">
        <v>0.11920477042578</v>
      </c>
      <c r="H74">
        <v>8.0268277173664096E-3</v>
      </c>
      <c r="I74" t="s">
        <v>4226</v>
      </c>
      <c r="J74" t="s">
        <v>5115</v>
      </c>
    </row>
    <row r="75" spans="1:11" x14ac:dyDescent="0.55000000000000004">
      <c r="A75" t="s">
        <v>4194</v>
      </c>
      <c r="B75" t="s">
        <v>5116</v>
      </c>
      <c r="C75" t="s">
        <v>5116</v>
      </c>
      <c r="D75" t="s">
        <v>5116</v>
      </c>
      <c r="E75">
        <v>1.1816935617177501E-2</v>
      </c>
      <c r="F75">
        <v>1.30853077953383E-2</v>
      </c>
      <c r="G75">
        <v>0.96936983797009402</v>
      </c>
      <c r="H75">
        <v>5.7279186173899901E-3</v>
      </c>
      <c r="I75" t="s">
        <v>4194</v>
      </c>
      <c r="J75" t="s">
        <v>5116</v>
      </c>
    </row>
    <row r="76" spans="1:11" x14ac:dyDescent="0.55000000000000004">
      <c r="A76" t="s">
        <v>4195</v>
      </c>
      <c r="B76" t="s">
        <v>5116</v>
      </c>
      <c r="C76" t="s">
        <v>5116</v>
      </c>
      <c r="D76" t="s">
        <v>5116</v>
      </c>
      <c r="E76">
        <v>7.1891543031938404E-3</v>
      </c>
      <c r="F76">
        <v>9.7533143047139302E-3</v>
      </c>
      <c r="G76">
        <v>0.97964278344877798</v>
      </c>
      <c r="H76">
        <v>3.4147479433143399E-3</v>
      </c>
      <c r="I76" t="s">
        <v>4195</v>
      </c>
      <c r="J76" t="s">
        <v>5116</v>
      </c>
    </row>
    <row r="77" spans="1:11" x14ac:dyDescent="0.55000000000000004">
      <c r="A77" t="s">
        <v>4196</v>
      </c>
      <c r="B77" t="s">
        <v>5116</v>
      </c>
      <c r="C77" t="s">
        <v>5116</v>
      </c>
      <c r="D77" t="s">
        <v>5116</v>
      </c>
      <c r="E77">
        <v>3.4078104705820601E-3</v>
      </c>
      <c r="F77">
        <v>6.1087355244609804E-3</v>
      </c>
      <c r="G77">
        <v>0.98747934188812103</v>
      </c>
      <c r="H77">
        <v>3.0041121168359899E-3</v>
      </c>
      <c r="I77" t="s">
        <v>4196</v>
      </c>
      <c r="J77" t="s">
        <v>5116</v>
      </c>
    </row>
    <row r="78" spans="1:11" x14ac:dyDescent="0.55000000000000004">
      <c r="A78" t="s">
        <v>4197</v>
      </c>
      <c r="B78" t="s">
        <v>5116</v>
      </c>
      <c r="C78" t="s">
        <v>5116</v>
      </c>
      <c r="D78" t="s">
        <v>5116</v>
      </c>
      <c r="E78">
        <v>3.3199709557273798E-3</v>
      </c>
      <c r="F78">
        <v>1.8737585926595399E-2</v>
      </c>
      <c r="G78">
        <v>0.97471814543018498</v>
      </c>
      <c r="H78">
        <v>3.2242976874923401E-3</v>
      </c>
      <c r="I78" t="s">
        <v>4197</v>
      </c>
      <c r="J78" t="s">
        <v>5116</v>
      </c>
    </row>
    <row r="79" spans="1:11" x14ac:dyDescent="0.55000000000000004">
      <c r="A79" t="s">
        <v>4198</v>
      </c>
      <c r="B79" t="s">
        <v>5116</v>
      </c>
      <c r="C79" t="s">
        <v>5116</v>
      </c>
      <c r="D79" t="s">
        <v>5116</v>
      </c>
      <c r="E79">
        <v>1.30297929190826E-2</v>
      </c>
      <c r="F79">
        <v>1.3236173987886599E-2</v>
      </c>
      <c r="G79">
        <v>0.96920443651116694</v>
      </c>
      <c r="H79">
        <v>4.5295965818634596E-3</v>
      </c>
      <c r="I79" t="s">
        <v>4198</v>
      </c>
      <c r="J79" t="s">
        <v>5116</v>
      </c>
    </row>
    <row r="80" spans="1:11" x14ac:dyDescent="0.55000000000000004">
      <c r="A80" t="s">
        <v>4199</v>
      </c>
      <c r="B80" t="s">
        <v>5115</v>
      </c>
      <c r="C80" t="s">
        <v>5115</v>
      </c>
      <c r="D80" t="s">
        <v>5115</v>
      </c>
      <c r="E80">
        <v>0.98897614812313295</v>
      </c>
      <c r="F80">
        <v>1.5825932206824001E-3</v>
      </c>
      <c r="G80">
        <v>4.2402188984908204E-3</v>
      </c>
      <c r="H80">
        <v>5.20103975769405E-3</v>
      </c>
      <c r="I80" t="s">
        <v>4199</v>
      </c>
      <c r="J80" t="s">
        <v>5115</v>
      </c>
    </row>
    <row r="81" spans="1:10" x14ac:dyDescent="0.55000000000000004">
      <c r="A81" t="s">
        <v>4200</v>
      </c>
      <c r="B81" t="s">
        <v>5115</v>
      </c>
      <c r="C81" t="s">
        <v>5115</v>
      </c>
      <c r="D81" t="s">
        <v>5115</v>
      </c>
      <c r="E81">
        <v>0.90404147637408006</v>
      </c>
      <c r="F81">
        <v>3.1270779904823298E-2</v>
      </c>
      <c r="G81">
        <v>5.7220071759246198E-2</v>
      </c>
      <c r="H81">
        <v>7.4676719618512197E-3</v>
      </c>
      <c r="I81" t="s">
        <v>4200</v>
      </c>
      <c r="J81" t="s">
        <v>5115</v>
      </c>
    </row>
    <row r="82" spans="1:10" x14ac:dyDescent="0.55000000000000004">
      <c r="A82" t="s">
        <v>4201</v>
      </c>
      <c r="B82" t="s">
        <v>5116</v>
      </c>
      <c r="C82" t="s">
        <v>5116</v>
      </c>
      <c r="D82" t="s">
        <v>5116</v>
      </c>
      <c r="E82">
        <v>6.06700184251083E-3</v>
      </c>
      <c r="F82">
        <v>1.05015483371969E-2</v>
      </c>
      <c r="G82">
        <v>0.97990697897852697</v>
      </c>
      <c r="H82">
        <v>3.5244708417648302E-3</v>
      </c>
      <c r="I82" t="s">
        <v>4201</v>
      </c>
      <c r="J82" t="s">
        <v>5116</v>
      </c>
    </row>
    <row r="83" spans="1:10" x14ac:dyDescent="0.55000000000000004">
      <c r="A83" t="s">
        <v>4202</v>
      </c>
      <c r="B83" t="s">
        <v>5116</v>
      </c>
      <c r="C83" t="s">
        <v>5116</v>
      </c>
      <c r="D83" t="s">
        <v>5116</v>
      </c>
      <c r="E83">
        <v>5.6284267610662801E-3</v>
      </c>
      <c r="F83">
        <v>6.8718179420706503E-3</v>
      </c>
      <c r="G83">
        <v>0.98471097191024803</v>
      </c>
      <c r="H83">
        <v>2.7887833866155E-3</v>
      </c>
      <c r="I83" t="s">
        <v>4202</v>
      </c>
      <c r="J83" t="s">
        <v>5116</v>
      </c>
    </row>
    <row r="84" spans="1:10" x14ac:dyDescent="0.55000000000000004">
      <c r="A84" t="s">
        <v>4203</v>
      </c>
      <c r="B84" t="s">
        <v>5116</v>
      </c>
      <c r="C84" t="s">
        <v>5116</v>
      </c>
      <c r="D84" t="s">
        <v>5116</v>
      </c>
      <c r="E84">
        <v>2.8528762209991398E-3</v>
      </c>
      <c r="F84">
        <v>4.3152111568782398E-3</v>
      </c>
      <c r="G84">
        <v>0.99000115514367404</v>
      </c>
      <c r="H84">
        <v>2.83075747844803E-3</v>
      </c>
      <c r="I84" t="s">
        <v>4203</v>
      </c>
      <c r="J84" t="s">
        <v>5116</v>
      </c>
    </row>
    <row r="85" spans="1:10" x14ac:dyDescent="0.55000000000000004">
      <c r="A85" t="s">
        <v>4204</v>
      </c>
      <c r="B85" t="s">
        <v>5116</v>
      </c>
      <c r="C85" t="s">
        <v>5116</v>
      </c>
      <c r="D85" t="s">
        <v>5116</v>
      </c>
      <c r="E85">
        <v>2.2594297000597899E-2</v>
      </c>
      <c r="F85">
        <v>1.40753094649822E-2</v>
      </c>
      <c r="G85">
        <v>0.95895531873575102</v>
      </c>
      <c r="H85">
        <v>4.3750747986683698E-3</v>
      </c>
      <c r="I85" t="s">
        <v>4204</v>
      </c>
      <c r="J85" t="s">
        <v>5116</v>
      </c>
    </row>
    <row r="86" spans="1:10" x14ac:dyDescent="0.55000000000000004">
      <c r="A86" t="s">
        <v>4205</v>
      </c>
      <c r="B86" t="s">
        <v>5116</v>
      </c>
      <c r="C86" t="s">
        <v>5116</v>
      </c>
      <c r="D86" t="s">
        <v>5116</v>
      </c>
      <c r="E86">
        <v>3.8658411895053598E-3</v>
      </c>
      <c r="F86">
        <v>4.9247047314908499E-3</v>
      </c>
      <c r="G86">
        <v>0.98787237631921698</v>
      </c>
      <c r="H86">
        <v>3.3370777597864702E-3</v>
      </c>
      <c r="I86" t="s">
        <v>4205</v>
      </c>
      <c r="J86" t="s">
        <v>5116</v>
      </c>
    </row>
    <row r="87" spans="1:10" x14ac:dyDescent="0.55000000000000004">
      <c r="A87" t="s">
        <v>4190</v>
      </c>
      <c r="B87" t="s">
        <v>5115</v>
      </c>
      <c r="C87" t="s">
        <v>5115</v>
      </c>
      <c r="D87" t="s">
        <v>5115</v>
      </c>
      <c r="E87">
        <v>0.98045604171312895</v>
      </c>
      <c r="F87">
        <v>5.27424442581142E-3</v>
      </c>
      <c r="G87">
        <v>8.4028221192940702E-3</v>
      </c>
      <c r="H87">
        <v>5.8668917417657998E-3</v>
      </c>
      <c r="I87" t="s">
        <v>4190</v>
      </c>
      <c r="J87" t="s">
        <v>5115</v>
      </c>
    </row>
    <row r="88" spans="1:10" x14ac:dyDescent="0.55000000000000004">
      <c r="A88" t="s">
        <v>4191</v>
      </c>
      <c r="B88" t="s">
        <v>5116</v>
      </c>
      <c r="C88" t="s">
        <v>5116</v>
      </c>
      <c r="D88" t="s">
        <v>5116</v>
      </c>
      <c r="E88">
        <v>3.3388940073791401E-3</v>
      </c>
      <c r="F88">
        <v>1.16934671225296E-2</v>
      </c>
      <c r="G88">
        <v>0.98067950504815904</v>
      </c>
      <c r="H88">
        <v>4.2881338219325901E-3</v>
      </c>
      <c r="I88" t="s">
        <v>4191</v>
      </c>
      <c r="J88" t="s">
        <v>5116</v>
      </c>
    </row>
    <row r="89" spans="1:10" x14ac:dyDescent="0.55000000000000004">
      <c r="A89" t="s">
        <v>4192</v>
      </c>
      <c r="B89" t="s">
        <v>5115</v>
      </c>
      <c r="C89" t="s">
        <v>5115</v>
      </c>
      <c r="D89" t="s">
        <v>5115</v>
      </c>
      <c r="E89">
        <v>0.98301374650686801</v>
      </c>
      <c r="F89">
        <v>6.4345847109925601E-3</v>
      </c>
      <c r="G89">
        <v>6.7080402761426003E-3</v>
      </c>
      <c r="H89">
        <v>3.8436285059970199E-3</v>
      </c>
      <c r="I89" t="s">
        <v>4192</v>
      </c>
      <c r="J89" t="s">
        <v>5115</v>
      </c>
    </row>
    <row r="90" spans="1:10" x14ac:dyDescent="0.55000000000000004">
      <c r="A90" t="s">
        <v>5120</v>
      </c>
      <c r="B90" t="s">
        <v>5121</v>
      </c>
      <c r="C90" t="s">
        <v>5121</v>
      </c>
      <c r="D90" t="s">
        <v>5121</v>
      </c>
      <c r="E90">
        <v>1.8869298095708201E-2</v>
      </c>
      <c r="F90">
        <v>0.94170546691878998</v>
      </c>
      <c r="G90">
        <v>3.06294374736014E-2</v>
      </c>
      <c r="H90">
        <v>8.7957975119002194E-3</v>
      </c>
      <c r="I90" t="s">
        <v>5120</v>
      </c>
      <c r="J90" t="s">
        <v>5121</v>
      </c>
    </row>
    <row r="91" spans="1:10" x14ac:dyDescent="0.55000000000000004">
      <c r="A91" t="s">
        <v>5122</v>
      </c>
      <c r="B91" t="s">
        <v>5121</v>
      </c>
      <c r="C91" t="s">
        <v>5121</v>
      </c>
      <c r="D91" t="s">
        <v>5121</v>
      </c>
      <c r="E91">
        <v>5.3765968599465599E-2</v>
      </c>
      <c r="F91">
        <v>0.90802739070190097</v>
      </c>
      <c r="G91">
        <v>2.7439284383826899E-2</v>
      </c>
      <c r="H91">
        <v>1.0767356314807E-2</v>
      </c>
      <c r="I91" t="s">
        <v>5122</v>
      </c>
      <c r="J91" t="s">
        <v>5121</v>
      </c>
    </row>
    <row r="92" spans="1:10" x14ac:dyDescent="0.55000000000000004">
      <c r="A92" t="s">
        <v>5123</v>
      </c>
      <c r="B92" t="s">
        <v>5115</v>
      </c>
      <c r="C92" t="s">
        <v>5115</v>
      </c>
      <c r="D92" t="s">
        <v>5115</v>
      </c>
      <c r="E92">
        <v>0.94286588110659197</v>
      </c>
      <c r="F92">
        <v>3.2910403775230301E-2</v>
      </c>
      <c r="G92">
        <v>1.7991336901115099E-2</v>
      </c>
      <c r="H92">
        <v>6.2323782170619303E-3</v>
      </c>
      <c r="I92" t="s">
        <v>5123</v>
      </c>
      <c r="J92" t="s">
        <v>5115</v>
      </c>
    </row>
    <row r="93" spans="1:10" x14ac:dyDescent="0.55000000000000004">
      <c r="A93" t="s">
        <v>5124</v>
      </c>
      <c r="B93" t="s">
        <v>5115</v>
      </c>
      <c r="C93" t="s">
        <v>5115</v>
      </c>
      <c r="D93" t="s">
        <v>5115</v>
      </c>
      <c r="E93">
        <v>0.94984936384047003</v>
      </c>
      <c r="F93">
        <v>1.7853433690550698E-2</v>
      </c>
      <c r="G93">
        <v>2.6437072553641201E-2</v>
      </c>
      <c r="H93">
        <v>5.8601299153378502E-3</v>
      </c>
      <c r="I93" t="s">
        <v>5124</v>
      </c>
      <c r="J93" t="s">
        <v>5115</v>
      </c>
    </row>
    <row r="94" spans="1:10" x14ac:dyDescent="0.55000000000000004">
      <c r="A94" t="s">
        <v>5125</v>
      </c>
      <c r="B94" t="s">
        <v>5115</v>
      </c>
      <c r="C94" t="s">
        <v>5115</v>
      </c>
      <c r="D94" t="s">
        <v>5115</v>
      </c>
      <c r="E94">
        <v>0.95181489547593301</v>
      </c>
      <c r="F94">
        <v>1.80750631258756E-2</v>
      </c>
      <c r="G94">
        <v>2.55841556390899E-2</v>
      </c>
      <c r="H94">
        <v>4.5258857591011399E-3</v>
      </c>
      <c r="I94" t="s">
        <v>5125</v>
      </c>
      <c r="J94" t="s">
        <v>5115</v>
      </c>
    </row>
    <row r="95" spans="1:10" x14ac:dyDescent="0.55000000000000004">
      <c r="A95" t="s">
        <v>5126</v>
      </c>
      <c r="B95" t="s">
        <v>5115</v>
      </c>
      <c r="C95" t="s">
        <v>5115</v>
      </c>
      <c r="D95" t="s">
        <v>5115</v>
      </c>
      <c r="E95">
        <v>0.90897854963893998</v>
      </c>
      <c r="F95">
        <v>4.9021493918805399E-2</v>
      </c>
      <c r="G95">
        <v>3.1669059514347897E-2</v>
      </c>
      <c r="H95">
        <v>1.0330896927907E-2</v>
      </c>
      <c r="I95" t="s">
        <v>5126</v>
      </c>
      <c r="J95" t="s">
        <v>5115</v>
      </c>
    </row>
    <row r="96" spans="1:10" x14ac:dyDescent="0.55000000000000004">
      <c r="A96" t="s">
        <v>5127</v>
      </c>
      <c r="B96" t="s">
        <v>5121</v>
      </c>
      <c r="C96" t="s">
        <v>5121</v>
      </c>
      <c r="D96" t="s">
        <v>5121</v>
      </c>
      <c r="E96">
        <v>5.4096566910395799E-2</v>
      </c>
      <c r="F96">
        <v>0.91211787891198504</v>
      </c>
      <c r="G96">
        <v>2.4517699013304299E-2</v>
      </c>
      <c r="H96">
        <v>9.2678551643143505E-3</v>
      </c>
      <c r="I96" t="s">
        <v>5127</v>
      </c>
      <c r="J96" t="s">
        <v>5121</v>
      </c>
    </row>
    <row r="97" spans="1:11" x14ac:dyDescent="0.55000000000000004">
      <c r="A97" t="s">
        <v>5128</v>
      </c>
      <c r="B97" t="s">
        <v>5121</v>
      </c>
      <c r="C97" t="s">
        <v>5121</v>
      </c>
      <c r="D97" t="s">
        <v>5121</v>
      </c>
      <c r="E97">
        <v>9.5873753257729094E-2</v>
      </c>
      <c r="F97">
        <v>0.83939575906464403</v>
      </c>
      <c r="G97">
        <v>5.3827286404408203E-2</v>
      </c>
      <c r="H97">
        <v>1.09032012732183E-2</v>
      </c>
      <c r="I97" t="s">
        <v>5128</v>
      </c>
      <c r="J97" t="s">
        <v>5121</v>
      </c>
    </row>
    <row r="98" spans="1:11" x14ac:dyDescent="0.55000000000000004">
      <c r="A98" t="s">
        <v>5129</v>
      </c>
      <c r="B98" t="s">
        <v>5121</v>
      </c>
      <c r="C98" t="s">
        <v>5121</v>
      </c>
      <c r="D98" t="s">
        <v>5121</v>
      </c>
      <c r="E98">
        <v>6.9609679181265496E-2</v>
      </c>
      <c r="F98">
        <v>0.85035887659058795</v>
      </c>
      <c r="G98">
        <v>6.7063423679913803E-2</v>
      </c>
      <c r="H98">
        <v>1.29680205482325E-2</v>
      </c>
      <c r="I98" t="s">
        <v>5129</v>
      </c>
      <c r="J98" t="s">
        <v>5121</v>
      </c>
    </row>
    <row r="99" spans="1:11" x14ac:dyDescent="0.55000000000000004">
      <c r="A99" t="s">
        <v>5130</v>
      </c>
      <c r="B99" t="s">
        <v>5115</v>
      </c>
      <c r="C99" t="s">
        <v>5115</v>
      </c>
      <c r="D99" t="s">
        <v>5115</v>
      </c>
      <c r="E99">
        <v>0.53400124346136502</v>
      </c>
      <c r="F99">
        <v>0.34785465995522202</v>
      </c>
      <c r="G99">
        <v>9.8561226838986202E-2</v>
      </c>
      <c r="H99">
        <v>1.9582869744426998E-2</v>
      </c>
      <c r="I99" t="s">
        <v>5130</v>
      </c>
      <c r="J99" t="s">
        <v>5117</v>
      </c>
      <c r="K99" t="s">
        <v>5118</v>
      </c>
    </row>
    <row r="100" spans="1:11" x14ac:dyDescent="0.55000000000000004">
      <c r="A100" t="s">
        <v>5131</v>
      </c>
      <c r="B100" t="s">
        <v>5121</v>
      </c>
      <c r="C100" t="s">
        <v>5121</v>
      </c>
      <c r="D100" t="s">
        <v>5121</v>
      </c>
      <c r="E100">
        <v>7.1679338871656395E-2</v>
      </c>
      <c r="F100">
        <v>0.85763945065691005</v>
      </c>
      <c r="G100">
        <v>6.1398969423223301E-2</v>
      </c>
      <c r="H100">
        <v>9.2822410482101894E-3</v>
      </c>
      <c r="I100" t="s">
        <v>5131</v>
      </c>
      <c r="J100" t="s">
        <v>5121</v>
      </c>
    </row>
    <row r="101" spans="1:11" x14ac:dyDescent="0.55000000000000004">
      <c r="A101" t="s">
        <v>5132</v>
      </c>
      <c r="B101" t="s">
        <v>5116</v>
      </c>
      <c r="C101" t="s">
        <v>5116</v>
      </c>
      <c r="D101" t="s">
        <v>5116</v>
      </c>
      <c r="E101">
        <v>2.8516647853721801E-2</v>
      </c>
      <c r="F101">
        <v>0.25220034822232401</v>
      </c>
      <c r="G101">
        <v>0.70957111709684495</v>
      </c>
      <c r="H101">
        <v>9.7118868271087507E-3</v>
      </c>
      <c r="I101" t="s">
        <v>5132</v>
      </c>
      <c r="J101" t="s">
        <v>5116</v>
      </c>
    </row>
    <row r="102" spans="1:11" x14ac:dyDescent="0.55000000000000004">
      <c r="A102" t="s">
        <v>5133</v>
      </c>
      <c r="B102" t="s">
        <v>5121</v>
      </c>
      <c r="C102" t="s">
        <v>5121</v>
      </c>
      <c r="D102" t="s">
        <v>5121</v>
      </c>
      <c r="E102">
        <v>2.8509046118687299E-2</v>
      </c>
      <c r="F102">
        <v>0.94697352305853999</v>
      </c>
      <c r="G102">
        <v>1.56550133882369E-2</v>
      </c>
      <c r="H102">
        <v>8.8624174345352802E-3</v>
      </c>
      <c r="I102" t="s">
        <v>5133</v>
      </c>
      <c r="J102" t="s">
        <v>5121</v>
      </c>
    </row>
    <row r="103" spans="1:11" x14ac:dyDescent="0.55000000000000004">
      <c r="A103" t="s">
        <v>5134</v>
      </c>
      <c r="B103" t="s">
        <v>5121</v>
      </c>
      <c r="C103" t="s">
        <v>5121</v>
      </c>
      <c r="D103" t="s">
        <v>5121</v>
      </c>
      <c r="E103">
        <v>2.2874684696569E-2</v>
      </c>
      <c r="F103">
        <v>0.93854925402952805</v>
      </c>
      <c r="G103">
        <v>3.00896031628759E-2</v>
      </c>
      <c r="H103">
        <v>8.4864581110274603E-3</v>
      </c>
      <c r="I103" t="s">
        <v>5134</v>
      </c>
      <c r="J103" t="s">
        <v>5121</v>
      </c>
    </row>
    <row r="104" spans="1:11" x14ac:dyDescent="0.55000000000000004">
      <c r="A104" t="s">
        <v>5135</v>
      </c>
      <c r="B104" t="s">
        <v>5121</v>
      </c>
      <c r="C104" t="s">
        <v>5121</v>
      </c>
      <c r="D104" t="s">
        <v>5121</v>
      </c>
      <c r="E104">
        <v>1.08524710728725E-2</v>
      </c>
      <c r="F104">
        <v>0.97140904866027999</v>
      </c>
      <c r="G104">
        <v>1.07932485705046E-2</v>
      </c>
      <c r="H104">
        <v>6.9452316963426802E-3</v>
      </c>
      <c r="I104" t="s">
        <v>5135</v>
      </c>
      <c r="J104" t="s">
        <v>5121</v>
      </c>
    </row>
    <row r="105" spans="1:11" x14ac:dyDescent="0.55000000000000004">
      <c r="A105" t="s">
        <v>5136</v>
      </c>
      <c r="B105" t="s">
        <v>5121</v>
      </c>
      <c r="C105" t="s">
        <v>5121</v>
      </c>
      <c r="D105" t="s">
        <v>5121</v>
      </c>
      <c r="E105">
        <v>6.9640518538957502E-2</v>
      </c>
      <c r="F105">
        <v>0.88935845691052795</v>
      </c>
      <c r="G105">
        <v>3.0490982163174699E-2</v>
      </c>
      <c r="H105">
        <v>1.05100423873396E-2</v>
      </c>
      <c r="I105" t="s">
        <v>5136</v>
      </c>
      <c r="J105" t="s">
        <v>5121</v>
      </c>
    </row>
    <row r="106" spans="1:11" x14ac:dyDescent="0.55000000000000004">
      <c r="A106" t="s">
        <v>5137</v>
      </c>
      <c r="B106" t="s">
        <v>5121</v>
      </c>
      <c r="C106" t="s">
        <v>5121</v>
      </c>
      <c r="D106" t="s">
        <v>5121</v>
      </c>
      <c r="E106">
        <v>4.33801927285309E-2</v>
      </c>
      <c r="F106">
        <v>0.91197605035913798</v>
      </c>
      <c r="G106">
        <v>3.7028255926675503E-2</v>
      </c>
      <c r="H106">
        <v>7.6155009856560801E-3</v>
      </c>
      <c r="I106" t="s">
        <v>5137</v>
      </c>
      <c r="J106" t="s">
        <v>5121</v>
      </c>
    </row>
    <row r="107" spans="1:11" x14ac:dyDescent="0.55000000000000004">
      <c r="A107" t="s">
        <v>5138</v>
      </c>
      <c r="B107" t="s">
        <v>5115</v>
      </c>
      <c r="C107" t="s">
        <v>5115</v>
      </c>
      <c r="D107" t="s">
        <v>5115</v>
      </c>
      <c r="E107">
        <v>0.848294322461978</v>
      </c>
      <c r="F107">
        <v>0.11500583089142601</v>
      </c>
      <c r="G107">
        <v>2.86932628504287E-2</v>
      </c>
      <c r="H107">
        <v>8.0065837961675306E-3</v>
      </c>
      <c r="I107" t="s">
        <v>5138</v>
      </c>
      <c r="J107" t="s">
        <v>5115</v>
      </c>
    </row>
    <row r="108" spans="1:11" x14ac:dyDescent="0.55000000000000004">
      <c r="A108" t="s">
        <v>5139</v>
      </c>
      <c r="B108" t="s">
        <v>5121</v>
      </c>
      <c r="C108" t="s">
        <v>5121</v>
      </c>
      <c r="D108" t="s">
        <v>5121</v>
      </c>
      <c r="E108">
        <v>1.7843666599619199E-2</v>
      </c>
      <c r="F108">
        <v>0.93411436654957303</v>
      </c>
      <c r="G108">
        <v>4.0554205044683399E-2</v>
      </c>
      <c r="H108">
        <v>7.4877618061238603E-3</v>
      </c>
      <c r="I108" t="s">
        <v>5139</v>
      </c>
      <c r="J108" t="s">
        <v>5121</v>
      </c>
    </row>
    <row r="109" spans="1:11" x14ac:dyDescent="0.55000000000000004">
      <c r="A109" t="s">
        <v>5140</v>
      </c>
      <c r="B109" t="s">
        <v>5121</v>
      </c>
      <c r="C109" t="s">
        <v>5121</v>
      </c>
      <c r="D109" t="s">
        <v>5121</v>
      </c>
      <c r="E109">
        <v>3.0420216917699E-2</v>
      </c>
      <c r="F109">
        <v>0.88213042364665295</v>
      </c>
      <c r="G109">
        <v>7.9649987967572097E-2</v>
      </c>
      <c r="H109">
        <v>7.7993714680757902E-3</v>
      </c>
      <c r="I109" t="s">
        <v>5140</v>
      </c>
      <c r="J109" t="s">
        <v>5121</v>
      </c>
    </row>
    <row r="110" spans="1:11" x14ac:dyDescent="0.55000000000000004">
      <c r="A110" t="s">
        <v>5141</v>
      </c>
      <c r="B110" t="s">
        <v>5121</v>
      </c>
      <c r="C110" t="s">
        <v>5121</v>
      </c>
      <c r="D110" t="s">
        <v>5121</v>
      </c>
      <c r="E110">
        <v>4.3217606763498402E-2</v>
      </c>
      <c r="F110">
        <v>0.91698765471280896</v>
      </c>
      <c r="G110">
        <v>3.2424565934133502E-2</v>
      </c>
      <c r="H110">
        <v>7.3701725895595699E-3</v>
      </c>
      <c r="I110" t="s">
        <v>5141</v>
      </c>
      <c r="J110" t="s">
        <v>5121</v>
      </c>
    </row>
    <row r="111" spans="1:11" x14ac:dyDescent="0.55000000000000004">
      <c r="A111" t="s">
        <v>5142</v>
      </c>
      <c r="B111" t="s">
        <v>5121</v>
      </c>
      <c r="C111" t="s">
        <v>5121</v>
      </c>
      <c r="D111" t="s">
        <v>5121</v>
      </c>
      <c r="E111">
        <v>0.18773260855528501</v>
      </c>
      <c r="F111">
        <v>0.71052178990347503</v>
      </c>
      <c r="G111">
        <v>9.0722009415095506E-2</v>
      </c>
      <c r="H111">
        <v>1.10235921261443E-2</v>
      </c>
      <c r="I111" t="s">
        <v>5142</v>
      </c>
      <c r="J111" t="s">
        <v>5121</v>
      </c>
    </row>
    <row r="112" spans="1:11" x14ac:dyDescent="0.55000000000000004">
      <c r="A112" t="s">
        <v>5143</v>
      </c>
      <c r="B112" t="s">
        <v>5121</v>
      </c>
      <c r="C112" t="s">
        <v>5121</v>
      </c>
      <c r="D112" t="s">
        <v>5121</v>
      </c>
      <c r="E112">
        <v>1.03587982282744E-2</v>
      </c>
      <c r="F112">
        <v>0.96241512856875</v>
      </c>
      <c r="G112">
        <v>1.9564879696648801E-2</v>
      </c>
      <c r="H112">
        <v>7.6611935063267203E-3</v>
      </c>
      <c r="I112" t="s">
        <v>5143</v>
      </c>
      <c r="J112" t="s">
        <v>5121</v>
      </c>
    </row>
    <row r="113" spans="1:11" x14ac:dyDescent="0.55000000000000004">
      <c r="A113" t="s">
        <v>5144</v>
      </c>
      <c r="B113" t="s">
        <v>5115</v>
      </c>
      <c r="C113" t="s">
        <v>5115</v>
      </c>
      <c r="D113" t="s">
        <v>5115</v>
      </c>
      <c r="E113">
        <v>0.52736613438375102</v>
      </c>
      <c r="F113">
        <v>0.35428252427400903</v>
      </c>
      <c r="G113">
        <v>0.105373379645215</v>
      </c>
      <c r="H113">
        <v>1.29779616970253E-2</v>
      </c>
      <c r="I113" t="s">
        <v>5144</v>
      </c>
      <c r="J113" t="s">
        <v>5117</v>
      </c>
      <c r="K113" t="s">
        <v>5118</v>
      </c>
    </row>
    <row r="114" spans="1:11" x14ac:dyDescent="0.55000000000000004">
      <c r="A114" t="s">
        <v>5145</v>
      </c>
      <c r="B114" t="s">
        <v>5121</v>
      </c>
      <c r="C114" t="s">
        <v>5121</v>
      </c>
      <c r="D114" t="s">
        <v>5121</v>
      </c>
      <c r="E114">
        <v>0.15639139695284801</v>
      </c>
      <c r="F114">
        <v>0.73667764769199295</v>
      </c>
      <c r="G114">
        <v>8.9986257648968407E-2</v>
      </c>
      <c r="H114">
        <v>1.6944697706190399E-2</v>
      </c>
      <c r="I114" t="s">
        <v>5145</v>
      </c>
      <c r="J114" t="s">
        <v>5121</v>
      </c>
    </row>
    <row r="115" spans="1:11" x14ac:dyDescent="0.55000000000000004">
      <c r="A115" t="s">
        <v>5146</v>
      </c>
      <c r="B115" t="s">
        <v>5121</v>
      </c>
      <c r="C115" t="s">
        <v>5121</v>
      </c>
      <c r="D115" t="s">
        <v>5121</v>
      </c>
      <c r="E115">
        <v>2.6510959584927399E-2</v>
      </c>
      <c r="F115">
        <v>0.95025746667064104</v>
      </c>
      <c r="G115">
        <v>1.5735863461386598E-2</v>
      </c>
      <c r="H115">
        <v>7.4957102830455402E-3</v>
      </c>
      <c r="I115" t="s">
        <v>5146</v>
      </c>
      <c r="J115" t="s">
        <v>5121</v>
      </c>
    </row>
    <row r="116" spans="1:11" x14ac:dyDescent="0.55000000000000004">
      <c r="A116" t="s">
        <v>5147</v>
      </c>
      <c r="B116" t="s">
        <v>5116</v>
      </c>
      <c r="C116" t="s">
        <v>5116</v>
      </c>
      <c r="D116" t="s">
        <v>5116</v>
      </c>
      <c r="E116">
        <v>4.1508220597684499E-3</v>
      </c>
      <c r="F116">
        <v>3.5818987781397302E-3</v>
      </c>
      <c r="G116">
        <v>0.988523562964439</v>
      </c>
      <c r="H116">
        <v>3.74371619765234E-3</v>
      </c>
      <c r="I116" t="s">
        <v>5147</v>
      </c>
      <c r="J116" t="s">
        <v>5116</v>
      </c>
    </row>
    <row r="117" spans="1:11" x14ac:dyDescent="0.55000000000000004">
      <c r="A117" t="s">
        <v>5148</v>
      </c>
      <c r="B117" t="s">
        <v>5116</v>
      </c>
      <c r="C117" t="s">
        <v>5116</v>
      </c>
      <c r="D117" t="s">
        <v>5116</v>
      </c>
      <c r="E117">
        <v>6.32415298553548E-3</v>
      </c>
      <c r="F117">
        <v>1.3103814092535601E-2</v>
      </c>
      <c r="G117">
        <v>0.97725385389855901</v>
      </c>
      <c r="H117">
        <v>3.3181790233702E-3</v>
      </c>
      <c r="I117" t="s">
        <v>5148</v>
      </c>
      <c r="J117" t="s">
        <v>5116</v>
      </c>
    </row>
    <row r="118" spans="1:11" x14ac:dyDescent="0.55000000000000004">
      <c r="A118" t="s">
        <v>5149</v>
      </c>
      <c r="B118" t="s">
        <v>5116</v>
      </c>
      <c r="C118" t="s">
        <v>5116</v>
      </c>
      <c r="D118" t="s">
        <v>5116</v>
      </c>
      <c r="E118">
        <v>9.4647725089757207E-3</v>
      </c>
      <c r="F118">
        <v>1.64470453119725E-2</v>
      </c>
      <c r="G118">
        <v>0.97010864779198003</v>
      </c>
      <c r="H118">
        <v>3.9795343870715197E-3</v>
      </c>
      <c r="I118" t="s">
        <v>5149</v>
      </c>
      <c r="J118" t="s">
        <v>5116</v>
      </c>
    </row>
    <row r="119" spans="1:11" x14ac:dyDescent="0.55000000000000004">
      <c r="A119" t="s">
        <v>5150</v>
      </c>
      <c r="B119" t="s">
        <v>5116</v>
      </c>
      <c r="C119" t="s">
        <v>5116</v>
      </c>
      <c r="D119" t="s">
        <v>5116</v>
      </c>
      <c r="E119">
        <v>1.0204109452566199E-2</v>
      </c>
      <c r="F119">
        <v>9.0290294967206395E-3</v>
      </c>
      <c r="G119">
        <v>0.97701439285797698</v>
      </c>
      <c r="H119">
        <v>3.75246819273651E-3</v>
      </c>
      <c r="I119" t="s">
        <v>5150</v>
      </c>
      <c r="J119" t="s">
        <v>5116</v>
      </c>
    </row>
    <row r="120" spans="1:11" x14ac:dyDescent="0.55000000000000004">
      <c r="A120" t="s">
        <v>5151</v>
      </c>
      <c r="B120" t="s">
        <v>5116</v>
      </c>
      <c r="C120" t="s">
        <v>5116</v>
      </c>
      <c r="D120" t="s">
        <v>5116</v>
      </c>
      <c r="E120">
        <v>1.38297596878877E-2</v>
      </c>
      <c r="F120">
        <v>1.0642430802385699E-2</v>
      </c>
      <c r="G120">
        <v>0.97194591669136998</v>
      </c>
      <c r="H120">
        <v>3.5818928183570398E-3</v>
      </c>
      <c r="I120" t="s">
        <v>5151</v>
      </c>
      <c r="J120" t="s">
        <v>5116</v>
      </c>
    </row>
    <row r="121" spans="1:11" x14ac:dyDescent="0.55000000000000004">
      <c r="A121" t="s">
        <v>5152</v>
      </c>
      <c r="B121" t="s">
        <v>5116</v>
      </c>
      <c r="C121" t="s">
        <v>5116</v>
      </c>
      <c r="D121" t="s">
        <v>5116</v>
      </c>
      <c r="E121">
        <v>1.05286260438006E-2</v>
      </c>
      <c r="F121">
        <v>1.09120009711702E-2</v>
      </c>
      <c r="G121">
        <v>0.97316932760747299</v>
      </c>
      <c r="H121">
        <v>5.3900453775561803E-3</v>
      </c>
      <c r="I121" t="s">
        <v>5152</v>
      </c>
      <c r="J121" t="s">
        <v>5116</v>
      </c>
    </row>
    <row r="122" spans="1:11" x14ac:dyDescent="0.55000000000000004">
      <c r="A122" t="s">
        <v>5153</v>
      </c>
      <c r="B122" t="s">
        <v>5116</v>
      </c>
      <c r="C122" t="s">
        <v>5116</v>
      </c>
      <c r="D122" t="s">
        <v>5116</v>
      </c>
      <c r="E122">
        <v>7.6840607094968696E-3</v>
      </c>
      <c r="F122">
        <v>1.1451841780239801E-2</v>
      </c>
      <c r="G122">
        <v>0.97798363802511301</v>
      </c>
      <c r="H122">
        <v>2.8804594851501398E-3</v>
      </c>
      <c r="I122" t="s">
        <v>5153</v>
      </c>
      <c r="J122" t="s">
        <v>5116</v>
      </c>
    </row>
    <row r="123" spans="1:11" x14ac:dyDescent="0.55000000000000004">
      <c r="A123" t="s">
        <v>5154</v>
      </c>
      <c r="B123" t="s">
        <v>5115</v>
      </c>
      <c r="C123" t="s">
        <v>5121</v>
      </c>
      <c r="D123" t="s">
        <v>5116</v>
      </c>
      <c r="E123">
        <v>0.34565486069936202</v>
      </c>
      <c r="F123">
        <v>0.23366500295254</v>
      </c>
      <c r="G123">
        <v>0.34738532419974499</v>
      </c>
      <c r="H123">
        <v>7.3294812148353095E-2</v>
      </c>
      <c r="I123" t="s">
        <v>5154</v>
      </c>
      <c r="J123" t="s">
        <v>5117</v>
      </c>
      <c r="K123" t="s">
        <v>5119</v>
      </c>
    </row>
    <row r="124" spans="1:11" x14ac:dyDescent="0.55000000000000004">
      <c r="A124" t="s">
        <v>5155</v>
      </c>
      <c r="B124" t="s">
        <v>5116</v>
      </c>
      <c r="C124" t="s">
        <v>5116</v>
      </c>
      <c r="D124" t="s">
        <v>5116</v>
      </c>
      <c r="E124">
        <v>3.9108108389656901E-3</v>
      </c>
      <c r="F124">
        <v>7.0256469612009799E-3</v>
      </c>
      <c r="G124">
        <v>0.98611637145435105</v>
      </c>
      <c r="H124">
        <v>2.94717074548242E-3</v>
      </c>
      <c r="I124" t="s">
        <v>5155</v>
      </c>
      <c r="J124" t="s">
        <v>5116</v>
      </c>
    </row>
    <row r="125" spans="1:11" x14ac:dyDescent="0.55000000000000004">
      <c r="A125" t="s">
        <v>5156</v>
      </c>
      <c r="B125" t="s">
        <v>5116</v>
      </c>
      <c r="C125" t="s">
        <v>5116</v>
      </c>
      <c r="D125" t="s">
        <v>5116</v>
      </c>
      <c r="E125">
        <v>7.3570032758524797E-3</v>
      </c>
      <c r="F125">
        <v>8.4160835875977495E-3</v>
      </c>
      <c r="G125">
        <v>0.98064612915017302</v>
      </c>
      <c r="H125">
        <v>3.5807839863768801E-3</v>
      </c>
      <c r="I125" t="s">
        <v>5156</v>
      </c>
      <c r="J125" t="s">
        <v>5116</v>
      </c>
    </row>
    <row r="126" spans="1:11" x14ac:dyDescent="0.55000000000000004">
      <c r="A126" t="s">
        <v>5157</v>
      </c>
      <c r="B126" t="s">
        <v>5116</v>
      </c>
      <c r="C126" t="s">
        <v>5116</v>
      </c>
      <c r="D126" t="s">
        <v>5116</v>
      </c>
      <c r="E126">
        <v>5.4213085474695702E-3</v>
      </c>
      <c r="F126">
        <v>7.8508208884885307E-3</v>
      </c>
      <c r="G126">
        <v>0.98152120025984202</v>
      </c>
      <c r="H126">
        <v>5.2066703041995102E-3</v>
      </c>
      <c r="I126" t="s">
        <v>5157</v>
      </c>
      <c r="J126" t="s">
        <v>5116</v>
      </c>
    </row>
    <row r="127" spans="1:11" x14ac:dyDescent="0.55000000000000004">
      <c r="A127" t="s">
        <v>5158</v>
      </c>
      <c r="B127" t="s">
        <v>5116</v>
      </c>
      <c r="C127" t="s">
        <v>5116</v>
      </c>
      <c r="D127" t="s">
        <v>5116</v>
      </c>
      <c r="E127">
        <v>2.70358396755013E-2</v>
      </c>
      <c r="F127">
        <v>0.24426229219350001</v>
      </c>
      <c r="G127">
        <v>0.718913850535569</v>
      </c>
      <c r="H127">
        <v>9.7880175954296392E-3</v>
      </c>
      <c r="I127" t="s">
        <v>5158</v>
      </c>
      <c r="J127" t="s">
        <v>5116</v>
      </c>
    </row>
    <row r="128" spans="1:11" x14ac:dyDescent="0.55000000000000004">
      <c r="A128" t="s">
        <v>5159</v>
      </c>
      <c r="B128" t="s">
        <v>5116</v>
      </c>
      <c r="C128" t="s">
        <v>5116</v>
      </c>
      <c r="D128" t="s">
        <v>5116</v>
      </c>
      <c r="E128">
        <v>7.60050684646244E-3</v>
      </c>
      <c r="F128">
        <v>8.3185294924039196E-3</v>
      </c>
      <c r="G128">
        <v>0.98071074788058399</v>
      </c>
      <c r="H128">
        <v>3.3702157805495301E-3</v>
      </c>
      <c r="I128" t="s">
        <v>5159</v>
      </c>
      <c r="J128" t="s">
        <v>5116</v>
      </c>
    </row>
    <row r="129" spans="1:10" x14ac:dyDescent="0.55000000000000004">
      <c r="A129" t="s">
        <v>5160</v>
      </c>
      <c r="B129" t="s">
        <v>5116</v>
      </c>
      <c r="C129" t="s">
        <v>5116</v>
      </c>
      <c r="D129" t="s">
        <v>5116</v>
      </c>
      <c r="E129">
        <v>5.5048141172902004E-3</v>
      </c>
      <c r="F129">
        <v>1.0719965402239E-2</v>
      </c>
      <c r="G129">
        <v>0.97966474029304396</v>
      </c>
      <c r="H129">
        <v>4.1104801874271603E-3</v>
      </c>
      <c r="I129" t="s">
        <v>5160</v>
      </c>
      <c r="J129" t="s">
        <v>5116</v>
      </c>
    </row>
    <row r="130" spans="1:10" x14ac:dyDescent="0.55000000000000004">
      <c r="A130" t="s">
        <v>5161</v>
      </c>
      <c r="B130" t="s">
        <v>5116</v>
      </c>
      <c r="C130" t="s">
        <v>5116</v>
      </c>
      <c r="D130" t="s">
        <v>5116</v>
      </c>
      <c r="E130">
        <v>7.8317187247162606E-3</v>
      </c>
      <c r="F130">
        <v>1.7067958369701201E-2</v>
      </c>
      <c r="G130">
        <v>0.96942812426672598</v>
      </c>
      <c r="H130">
        <v>5.6721986388563999E-3</v>
      </c>
      <c r="I130" t="s">
        <v>5161</v>
      </c>
      <c r="J130" t="s">
        <v>5116</v>
      </c>
    </row>
    <row r="131" spans="1:10" x14ac:dyDescent="0.55000000000000004">
      <c r="A131" t="s">
        <v>5162</v>
      </c>
      <c r="B131" t="s">
        <v>5116</v>
      </c>
      <c r="C131" t="s">
        <v>5116</v>
      </c>
      <c r="D131" t="s">
        <v>5116</v>
      </c>
      <c r="E131">
        <v>8.1291114771803001E-3</v>
      </c>
      <c r="F131">
        <v>1.36747120159488E-2</v>
      </c>
      <c r="G131">
        <v>0.97518378789418203</v>
      </c>
      <c r="H131">
        <v>3.0123886126893601E-3</v>
      </c>
      <c r="I131" t="s">
        <v>5162</v>
      </c>
      <c r="J131" t="s">
        <v>5116</v>
      </c>
    </row>
    <row r="132" spans="1:10" x14ac:dyDescent="0.55000000000000004">
      <c r="A132" t="s">
        <v>5163</v>
      </c>
      <c r="B132" t="s">
        <v>5116</v>
      </c>
      <c r="C132" t="s">
        <v>5116</v>
      </c>
      <c r="D132" t="s">
        <v>5116</v>
      </c>
      <c r="E132">
        <v>2.3783967241552198E-3</v>
      </c>
      <c r="F132">
        <v>4.45063488987064E-3</v>
      </c>
      <c r="G132">
        <v>0.99034642883295598</v>
      </c>
      <c r="H132">
        <v>2.8245395530185299E-3</v>
      </c>
      <c r="I132" t="s">
        <v>5163</v>
      </c>
      <c r="J132" t="s">
        <v>5116</v>
      </c>
    </row>
    <row r="133" spans="1:10" x14ac:dyDescent="0.55000000000000004">
      <c r="A133" t="s">
        <v>5164</v>
      </c>
      <c r="B133" t="s">
        <v>5116</v>
      </c>
      <c r="C133" t="s">
        <v>5116</v>
      </c>
      <c r="D133" t="s">
        <v>5116</v>
      </c>
      <c r="E133">
        <v>3.6819982467365801E-3</v>
      </c>
      <c r="F133">
        <v>4.3719851040360004E-3</v>
      </c>
      <c r="G133">
        <v>0.989202794568802</v>
      </c>
      <c r="H133">
        <v>2.74322208042571E-3</v>
      </c>
      <c r="I133" t="s">
        <v>5164</v>
      </c>
      <c r="J133" t="s">
        <v>5116</v>
      </c>
    </row>
    <row r="134" spans="1:10" x14ac:dyDescent="0.55000000000000004">
      <c r="A134" t="s">
        <v>5165</v>
      </c>
      <c r="B134" t="s">
        <v>5116</v>
      </c>
      <c r="C134" t="s">
        <v>5116</v>
      </c>
      <c r="D134" t="s">
        <v>5116</v>
      </c>
      <c r="E134">
        <v>2.9822843817153399E-3</v>
      </c>
      <c r="F134">
        <v>8.4534905892458493E-3</v>
      </c>
      <c r="G134">
        <v>0.98355992761923705</v>
      </c>
      <c r="H134">
        <v>5.0042974098017399E-3</v>
      </c>
      <c r="I134" t="s">
        <v>5165</v>
      </c>
      <c r="J134" t="s">
        <v>5116</v>
      </c>
    </row>
    <row r="135" spans="1:10" x14ac:dyDescent="0.55000000000000004">
      <c r="A135" t="s">
        <v>4028</v>
      </c>
      <c r="B135" t="s">
        <v>5115</v>
      </c>
      <c r="C135" t="s">
        <v>5115</v>
      </c>
      <c r="D135" t="s">
        <v>5115</v>
      </c>
      <c r="E135">
        <v>0.94270465271650505</v>
      </c>
      <c r="F135">
        <v>1.8718681706762701E-2</v>
      </c>
      <c r="G135">
        <v>3.3018263750338797E-2</v>
      </c>
      <c r="H135">
        <v>5.55840182639393E-3</v>
      </c>
      <c r="I135" t="s">
        <v>4028</v>
      </c>
      <c r="J135" t="s">
        <v>5115</v>
      </c>
    </row>
    <row r="136" spans="1:10" x14ac:dyDescent="0.55000000000000004">
      <c r="A136" t="s">
        <v>4029</v>
      </c>
      <c r="B136" t="s">
        <v>5115</v>
      </c>
      <c r="C136" t="s">
        <v>5115</v>
      </c>
      <c r="D136" t="s">
        <v>5115</v>
      </c>
      <c r="E136">
        <v>0.98245274268912997</v>
      </c>
      <c r="F136">
        <v>7.06794030502536E-3</v>
      </c>
      <c r="G136">
        <v>5.4789475909307701E-3</v>
      </c>
      <c r="H136">
        <v>5.0003694149143496E-3</v>
      </c>
      <c r="I136" t="s">
        <v>4029</v>
      </c>
      <c r="J136" t="s">
        <v>5115</v>
      </c>
    </row>
    <row r="137" spans="1:10" x14ac:dyDescent="0.55000000000000004">
      <c r="A137" t="s">
        <v>4030</v>
      </c>
      <c r="B137" t="s">
        <v>5115</v>
      </c>
      <c r="C137" t="s">
        <v>5115</v>
      </c>
      <c r="D137" t="s">
        <v>5115</v>
      </c>
      <c r="E137">
        <v>0.97707920768928802</v>
      </c>
      <c r="F137">
        <v>7.3188731525500898E-3</v>
      </c>
      <c r="G137">
        <v>1.18657026878396E-2</v>
      </c>
      <c r="H137">
        <v>3.7362164703219698E-3</v>
      </c>
      <c r="I137" t="s">
        <v>4030</v>
      </c>
      <c r="J137" t="s">
        <v>5115</v>
      </c>
    </row>
    <row r="138" spans="1:10" x14ac:dyDescent="0.55000000000000004">
      <c r="A138" t="s">
        <v>4031</v>
      </c>
      <c r="B138" t="s">
        <v>5115</v>
      </c>
      <c r="C138" t="s">
        <v>5115</v>
      </c>
      <c r="D138" t="s">
        <v>5115</v>
      </c>
      <c r="E138">
        <v>0.983740984674639</v>
      </c>
      <c r="F138">
        <v>6.1292613576367297E-3</v>
      </c>
      <c r="G138">
        <v>7.0400743335891297E-3</v>
      </c>
      <c r="H138">
        <v>3.08967963413545E-3</v>
      </c>
      <c r="I138" t="s">
        <v>4031</v>
      </c>
      <c r="J138" t="s">
        <v>5115</v>
      </c>
    </row>
    <row r="139" spans="1:10" x14ac:dyDescent="0.55000000000000004">
      <c r="A139" t="s">
        <v>4032</v>
      </c>
      <c r="B139" t="s">
        <v>5115</v>
      </c>
      <c r="C139" t="s">
        <v>5115</v>
      </c>
      <c r="D139" t="s">
        <v>5115</v>
      </c>
      <c r="E139">
        <v>0.97258954822658805</v>
      </c>
      <c r="F139">
        <v>1.28753968386397E-2</v>
      </c>
      <c r="G139">
        <v>8.0797923027321802E-3</v>
      </c>
      <c r="H139">
        <v>6.45526263204017E-3</v>
      </c>
      <c r="I139" t="s">
        <v>4032</v>
      </c>
      <c r="J139" t="s">
        <v>5115</v>
      </c>
    </row>
    <row r="140" spans="1:10" x14ac:dyDescent="0.55000000000000004">
      <c r="A140" t="s">
        <v>4002</v>
      </c>
      <c r="B140" t="s">
        <v>5115</v>
      </c>
      <c r="C140" t="s">
        <v>5115</v>
      </c>
      <c r="D140" t="s">
        <v>5115</v>
      </c>
      <c r="E140">
        <v>0.98952909965302205</v>
      </c>
      <c r="F140">
        <v>3.2197593613061E-3</v>
      </c>
      <c r="G140">
        <v>2.5971406595932901E-3</v>
      </c>
      <c r="H140">
        <v>4.6540003260787397E-3</v>
      </c>
      <c r="I140" t="s">
        <v>4002</v>
      </c>
      <c r="J140" t="s">
        <v>5115</v>
      </c>
    </row>
    <row r="141" spans="1:10" x14ac:dyDescent="0.55000000000000004">
      <c r="A141" t="s">
        <v>4003</v>
      </c>
      <c r="B141" t="s">
        <v>5115</v>
      </c>
      <c r="C141" t="s">
        <v>5115</v>
      </c>
      <c r="D141" t="s">
        <v>5115</v>
      </c>
      <c r="E141">
        <v>0.87391521595356203</v>
      </c>
      <c r="F141">
        <v>7.0932644838570105E-2</v>
      </c>
      <c r="G141">
        <v>4.8381026084503502E-2</v>
      </c>
      <c r="H141">
        <v>6.771113123364E-3</v>
      </c>
      <c r="I141" t="s">
        <v>4003</v>
      </c>
      <c r="J141" t="s">
        <v>5115</v>
      </c>
    </row>
    <row r="142" spans="1:10" x14ac:dyDescent="0.55000000000000004">
      <c r="A142" t="s">
        <v>4004</v>
      </c>
      <c r="B142" t="s">
        <v>5115</v>
      </c>
      <c r="C142" t="s">
        <v>5115</v>
      </c>
      <c r="D142" t="s">
        <v>5115</v>
      </c>
      <c r="E142">
        <v>0.89697092236499898</v>
      </c>
      <c r="F142">
        <v>5.5064954728473697E-2</v>
      </c>
      <c r="G142">
        <v>4.1126433093501898E-2</v>
      </c>
      <c r="H142">
        <v>6.8376898130248203E-3</v>
      </c>
      <c r="I142" t="s">
        <v>4004</v>
      </c>
      <c r="J142" t="s">
        <v>5115</v>
      </c>
    </row>
    <row r="143" spans="1:10" x14ac:dyDescent="0.55000000000000004">
      <c r="A143" t="s">
        <v>4005</v>
      </c>
      <c r="B143" t="s">
        <v>5115</v>
      </c>
      <c r="C143" t="s">
        <v>5115</v>
      </c>
      <c r="D143" t="s">
        <v>5115</v>
      </c>
      <c r="E143">
        <v>0.986736686005103</v>
      </c>
      <c r="F143">
        <v>3.9183049206293896E-3</v>
      </c>
      <c r="G143">
        <v>5.7652408225702797E-3</v>
      </c>
      <c r="H143">
        <v>3.57976825169689E-3</v>
      </c>
      <c r="I143" t="s">
        <v>4005</v>
      </c>
      <c r="J143" t="s">
        <v>5115</v>
      </c>
    </row>
    <row r="144" spans="1:10" x14ac:dyDescent="0.55000000000000004">
      <c r="A144" t="s">
        <v>4006</v>
      </c>
      <c r="B144" t="s">
        <v>5115</v>
      </c>
      <c r="C144" t="s">
        <v>5115</v>
      </c>
      <c r="D144" t="s">
        <v>5115</v>
      </c>
      <c r="E144">
        <v>0.94948764539248798</v>
      </c>
      <c r="F144">
        <v>2.06209653981957E-2</v>
      </c>
      <c r="G144">
        <v>2.4479120012360401E-2</v>
      </c>
      <c r="H144">
        <v>5.4122691969556097E-3</v>
      </c>
      <c r="I144" t="s">
        <v>4006</v>
      </c>
      <c r="J144" t="s">
        <v>5115</v>
      </c>
    </row>
    <row r="145" spans="1:10" x14ac:dyDescent="0.55000000000000004">
      <c r="A145" t="s">
        <v>4007</v>
      </c>
      <c r="B145" t="s">
        <v>5115</v>
      </c>
      <c r="C145" t="s">
        <v>5115</v>
      </c>
      <c r="D145" t="s">
        <v>5115</v>
      </c>
      <c r="E145">
        <v>0.91491049425874105</v>
      </c>
      <c r="F145">
        <v>4.1919179457545898E-2</v>
      </c>
      <c r="G145">
        <v>3.6786077223555501E-2</v>
      </c>
      <c r="H145">
        <v>6.3842490601577597E-3</v>
      </c>
      <c r="I145" t="s">
        <v>4007</v>
      </c>
      <c r="J145" t="s">
        <v>5115</v>
      </c>
    </row>
    <row r="146" spans="1:10" x14ac:dyDescent="0.55000000000000004">
      <c r="A146" t="s">
        <v>4008</v>
      </c>
      <c r="B146" t="s">
        <v>5115</v>
      </c>
      <c r="C146" t="s">
        <v>5115</v>
      </c>
      <c r="D146" t="s">
        <v>5115</v>
      </c>
      <c r="E146">
        <v>0.970594755061436</v>
      </c>
      <c r="F146">
        <v>1.39934033743421E-2</v>
      </c>
      <c r="G146">
        <v>7.8501243072887292E-3</v>
      </c>
      <c r="H146">
        <v>7.5617172569337901E-3</v>
      </c>
      <c r="I146" t="s">
        <v>4008</v>
      </c>
      <c r="J146" t="s">
        <v>5115</v>
      </c>
    </row>
    <row r="147" spans="1:10" x14ac:dyDescent="0.55000000000000004">
      <c r="A147" t="s">
        <v>4009</v>
      </c>
      <c r="B147" t="s">
        <v>5115</v>
      </c>
      <c r="C147" t="s">
        <v>5115</v>
      </c>
      <c r="D147" t="s">
        <v>5115</v>
      </c>
      <c r="E147">
        <v>0.97608399536312396</v>
      </c>
      <c r="F147">
        <v>1.3324670700385999E-2</v>
      </c>
      <c r="G147">
        <v>5.0061857610982302E-3</v>
      </c>
      <c r="H147">
        <v>5.5851481753921798E-3</v>
      </c>
      <c r="I147" t="s">
        <v>4009</v>
      </c>
      <c r="J147" t="s">
        <v>5115</v>
      </c>
    </row>
    <row r="148" spans="1:10" x14ac:dyDescent="0.55000000000000004">
      <c r="A148" t="s">
        <v>4010</v>
      </c>
      <c r="B148" t="s">
        <v>5115</v>
      </c>
      <c r="C148" t="s">
        <v>5115</v>
      </c>
      <c r="D148" t="s">
        <v>5115</v>
      </c>
      <c r="E148">
        <v>0.96448987634774797</v>
      </c>
      <c r="F148">
        <v>1.49541263875934E-2</v>
      </c>
      <c r="G148">
        <v>1.34983902607558E-2</v>
      </c>
      <c r="H148">
        <v>7.0576070039027796E-3</v>
      </c>
      <c r="I148" t="s">
        <v>4010</v>
      </c>
      <c r="J148" t="s">
        <v>5115</v>
      </c>
    </row>
    <row r="149" spans="1:10" x14ac:dyDescent="0.55000000000000004">
      <c r="A149" t="s">
        <v>4011</v>
      </c>
      <c r="B149" t="s">
        <v>5115</v>
      </c>
      <c r="C149" t="s">
        <v>5115</v>
      </c>
      <c r="D149" t="s">
        <v>5115</v>
      </c>
      <c r="E149">
        <v>0.99210521951728603</v>
      </c>
      <c r="F149">
        <v>1.4518825352624E-3</v>
      </c>
      <c r="G149">
        <v>3.0311331829952098E-3</v>
      </c>
      <c r="H149">
        <v>3.4117647644568302E-3</v>
      </c>
      <c r="I149" t="s">
        <v>4011</v>
      </c>
      <c r="J149" t="s">
        <v>5115</v>
      </c>
    </row>
    <row r="150" spans="1:10" x14ac:dyDescent="0.55000000000000004">
      <c r="A150" t="s">
        <v>4012</v>
      </c>
      <c r="B150" t="s">
        <v>5115</v>
      </c>
      <c r="C150" t="s">
        <v>5115</v>
      </c>
      <c r="D150" t="s">
        <v>5115</v>
      </c>
      <c r="E150">
        <v>0.98109929525569595</v>
      </c>
      <c r="F150">
        <v>7.4996839566663998E-3</v>
      </c>
      <c r="G150">
        <v>6.7805495005970598E-3</v>
      </c>
      <c r="H150">
        <v>4.6204712870409198E-3</v>
      </c>
      <c r="I150" t="s">
        <v>4012</v>
      </c>
      <c r="J150" t="s">
        <v>5115</v>
      </c>
    </row>
    <row r="151" spans="1:10" x14ac:dyDescent="0.55000000000000004">
      <c r="A151" t="s">
        <v>4013</v>
      </c>
      <c r="B151" t="s">
        <v>5115</v>
      </c>
      <c r="C151" t="s">
        <v>5115</v>
      </c>
      <c r="D151" t="s">
        <v>5115</v>
      </c>
      <c r="E151">
        <v>0.92197903317774099</v>
      </c>
      <c r="F151">
        <v>3.6507044785230001E-2</v>
      </c>
      <c r="G151">
        <v>3.44666826394468E-2</v>
      </c>
      <c r="H151">
        <v>7.0472393975819303E-3</v>
      </c>
      <c r="I151" t="s">
        <v>4013</v>
      </c>
      <c r="J151" t="s">
        <v>5115</v>
      </c>
    </row>
    <row r="152" spans="1:10" x14ac:dyDescent="0.55000000000000004">
      <c r="A152" t="s">
        <v>3923</v>
      </c>
      <c r="B152" t="s">
        <v>5115</v>
      </c>
      <c r="C152" t="s">
        <v>5115</v>
      </c>
      <c r="D152" t="s">
        <v>5115</v>
      </c>
      <c r="E152">
        <v>0.98279595518979401</v>
      </c>
      <c r="F152">
        <v>5.9244519110122499E-3</v>
      </c>
      <c r="G152">
        <v>7.22587963455647E-3</v>
      </c>
      <c r="H152">
        <v>4.0537132646374001E-3</v>
      </c>
      <c r="I152" t="s">
        <v>3923</v>
      </c>
      <c r="J152" t="s">
        <v>5115</v>
      </c>
    </row>
    <row r="153" spans="1:10" x14ac:dyDescent="0.55000000000000004">
      <c r="A153" t="s">
        <v>3924</v>
      </c>
      <c r="B153" t="s">
        <v>5115</v>
      </c>
      <c r="C153" t="s">
        <v>5115</v>
      </c>
      <c r="D153" t="s">
        <v>5115</v>
      </c>
      <c r="E153">
        <v>0.99375581762391596</v>
      </c>
      <c r="F153">
        <v>1.5123526849736199E-3</v>
      </c>
      <c r="G153">
        <v>2.11412002944517E-3</v>
      </c>
      <c r="H153">
        <v>2.6177096616646399E-3</v>
      </c>
      <c r="I153" t="s">
        <v>3924</v>
      </c>
      <c r="J153" t="s">
        <v>5115</v>
      </c>
    </row>
    <row r="154" spans="1:10" x14ac:dyDescent="0.55000000000000004">
      <c r="A154" t="s">
        <v>3925</v>
      </c>
      <c r="B154" t="s">
        <v>5115</v>
      </c>
      <c r="C154" t="s">
        <v>5115</v>
      </c>
      <c r="D154" t="s">
        <v>5115</v>
      </c>
      <c r="E154">
        <v>0.956114458408165</v>
      </c>
      <c r="F154">
        <v>1.7735925815997599E-2</v>
      </c>
      <c r="G154">
        <v>2.0451857302655502E-2</v>
      </c>
      <c r="H154">
        <v>5.6977584731821703E-3</v>
      </c>
      <c r="I154" t="s">
        <v>3925</v>
      </c>
      <c r="J154" t="s">
        <v>5115</v>
      </c>
    </row>
    <row r="155" spans="1:10" x14ac:dyDescent="0.55000000000000004">
      <c r="A155" t="s">
        <v>3926</v>
      </c>
      <c r="B155" t="s">
        <v>5115</v>
      </c>
      <c r="C155" t="s">
        <v>5115</v>
      </c>
      <c r="D155" t="s">
        <v>5115</v>
      </c>
      <c r="E155">
        <v>0.98936538000677399</v>
      </c>
      <c r="F155">
        <v>2.6267157873810201E-3</v>
      </c>
      <c r="G155">
        <v>3.57486733465387E-3</v>
      </c>
      <c r="H155">
        <v>4.43303687119098E-3</v>
      </c>
      <c r="I155" t="s">
        <v>3926</v>
      </c>
      <c r="J155" t="s">
        <v>5115</v>
      </c>
    </row>
    <row r="156" spans="1:10" x14ac:dyDescent="0.55000000000000004">
      <c r="A156" t="s">
        <v>3927</v>
      </c>
      <c r="B156" t="s">
        <v>5115</v>
      </c>
      <c r="C156" t="s">
        <v>5115</v>
      </c>
      <c r="D156" t="s">
        <v>5115</v>
      </c>
      <c r="E156">
        <v>0.95666424954559404</v>
      </c>
      <c r="F156">
        <v>2.5288491566122801E-2</v>
      </c>
      <c r="G156">
        <v>1.1828927303611601E-2</v>
      </c>
      <c r="H156">
        <v>6.2183315846714403E-3</v>
      </c>
      <c r="I156" t="s">
        <v>3927</v>
      </c>
      <c r="J156" t="s">
        <v>5115</v>
      </c>
    </row>
    <row r="157" spans="1:10" x14ac:dyDescent="0.55000000000000004">
      <c r="A157" t="s">
        <v>3928</v>
      </c>
      <c r="B157" t="s">
        <v>5115</v>
      </c>
      <c r="C157" t="s">
        <v>5115</v>
      </c>
      <c r="D157" t="s">
        <v>5115</v>
      </c>
      <c r="E157">
        <v>0.95575377135126705</v>
      </c>
      <c r="F157">
        <v>2.0764407683652401E-2</v>
      </c>
      <c r="G157">
        <v>1.9136665412852201E-2</v>
      </c>
      <c r="H157">
        <v>4.3451555522283697E-3</v>
      </c>
      <c r="I157" t="s">
        <v>3928</v>
      </c>
      <c r="J157" t="s">
        <v>5115</v>
      </c>
    </row>
    <row r="158" spans="1:10" x14ac:dyDescent="0.55000000000000004">
      <c r="A158" t="s">
        <v>3929</v>
      </c>
      <c r="B158" t="s">
        <v>5115</v>
      </c>
      <c r="C158" t="s">
        <v>5115</v>
      </c>
      <c r="D158" t="s">
        <v>5115</v>
      </c>
      <c r="E158">
        <v>0.97472508380393197</v>
      </c>
      <c r="F158">
        <v>7.1696099142962303E-3</v>
      </c>
      <c r="G158">
        <v>1.38396658335304E-2</v>
      </c>
      <c r="H158">
        <v>4.2656404482407798E-3</v>
      </c>
      <c r="I158" t="s">
        <v>3929</v>
      </c>
      <c r="J158" t="s">
        <v>5115</v>
      </c>
    </row>
    <row r="159" spans="1:10" x14ac:dyDescent="0.55000000000000004">
      <c r="A159" t="s">
        <v>3930</v>
      </c>
      <c r="B159" t="s">
        <v>5115</v>
      </c>
      <c r="C159" t="s">
        <v>5115</v>
      </c>
      <c r="D159" t="s">
        <v>5115</v>
      </c>
      <c r="E159">
        <v>0.983846058919707</v>
      </c>
      <c r="F159">
        <v>4.1011661916640404E-3</v>
      </c>
      <c r="G159">
        <v>8.1025050195501994E-3</v>
      </c>
      <c r="H159">
        <v>3.9502698690790398E-3</v>
      </c>
      <c r="I159" t="s">
        <v>3930</v>
      </c>
      <c r="J159" t="s">
        <v>5115</v>
      </c>
    </row>
    <row r="160" spans="1:10" x14ac:dyDescent="0.55000000000000004">
      <c r="A160" t="s">
        <v>3931</v>
      </c>
      <c r="B160" t="s">
        <v>5115</v>
      </c>
      <c r="C160" t="s">
        <v>5115</v>
      </c>
      <c r="D160" t="s">
        <v>5115</v>
      </c>
      <c r="E160">
        <v>0.93701858435085095</v>
      </c>
      <c r="F160">
        <v>1.40873960339772E-2</v>
      </c>
      <c r="G160">
        <v>4.3698981328520903E-2</v>
      </c>
      <c r="H160">
        <v>5.19503828665054E-3</v>
      </c>
      <c r="I160" t="s">
        <v>3931</v>
      </c>
      <c r="J160" t="s">
        <v>5115</v>
      </c>
    </row>
    <row r="161" spans="1:10" x14ac:dyDescent="0.55000000000000004">
      <c r="A161" t="s">
        <v>3932</v>
      </c>
      <c r="B161" t="s">
        <v>5115</v>
      </c>
      <c r="C161" t="s">
        <v>5115</v>
      </c>
      <c r="D161" t="s">
        <v>5115</v>
      </c>
      <c r="E161">
        <v>0.822915052916256</v>
      </c>
      <c r="F161">
        <v>7.9602347216936806E-2</v>
      </c>
      <c r="G161">
        <v>8.3811574690230498E-2</v>
      </c>
      <c r="H161">
        <v>1.36710251765765E-2</v>
      </c>
      <c r="I161" t="s">
        <v>3932</v>
      </c>
      <c r="J161" t="s">
        <v>5115</v>
      </c>
    </row>
    <row r="162" spans="1:10" x14ac:dyDescent="0.55000000000000004">
      <c r="A162" t="s">
        <v>3933</v>
      </c>
      <c r="B162" t="s">
        <v>5115</v>
      </c>
      <c r="C162" t="s">
        <v>5115</v>
      </c>
      <c r="D162" t="s">
        <v>5115</v>
      </c>
      <c r="E162">
        <v>0.88317761256150895</v>
      </c>
      <c r="F162">
        <v>7.1046093652454595E-2</v>
      </c>
      <c r="G162">
        <v>4.02906976897816E-2</v>
      </c>
      <c r="H162">
        <v>5.4855960962544503E-3</v>
      </c>
      <c r="I162" t="s">
        <v>3933</v>
      </c>
      <c r="J162" t="s">
        <v>5115</v>
      </c>
    </row>
    <row r="163" spans="1:10" x14ac:dyDescent="0.55000000000000004">
      <c r="A163" t="s">
        <v>3934</v>
      </c>
      <c r="B163" t="s">
        <v>5115</v>
      </c>
      <c r="C163" t="s">
        <v>5115</v>
      </c>
      <c r="D163" t="s">
        <v>5115</v>
      </c>
      <c r="E163">
        <v>0.88719664359970796</v>
      </c>
      <c r="F163">
        <v>5.72981974983875E-2</v>
      </c>
      <c r="G163">
        <v>4.7406010365867397E-2</v>
      </c>
      <c r="H163">
        <v>8.0991485360369601E-3</v>
      </c>
      <c r="I163" t="s">
        <v>3934</v>
      </c>
      <c r="J163" t="s">
        <v>5115</v>
      </c>
    </row>
    <row r="164" spans="1:10" x14ac:dyDescent="0.55000000000000004">
      <c r="A164" t="s">
        <v>3816</v>
      </c>
      <c r="B164" t="s">
        <v>5115</v>
      </c>
      <c r="C164" t="s">
        <v>5115</v>
      </c>
      <c r="D164" t="s">
        <v>5115</v>
      </c>
      <c r="E164">
        <v>0.921099781651604</v>
      </c>
      <c r="F164">
        <v>2.23407842752609E-2</v>
      </c>
      <c r="G164">
        <v>4.9972876279194701E-2</v>
      </c>
      <c r="H164">
        <v>6.58655779394065E-3</v>
      </c>
      <c r="I164" t="s">
        <v>3816</v>
      </c>
      <c r="J164" t="s">
        <v>5115</v>
      </c>
    </row>
    <row r="165" spans="1:10" x14ac:dyDescent="0.55000000000000004">
      <c r="A165" t="s">
        <v>3817</v>
      </c>
      <c r="B165" t="s">
        <v>5115</v>
      </c>
      <c r="C165" t="s">
        <v>5115</v>
      </c>
      <c r="D165" t="s">
        <v>5115</v>
      </c>
      <c r="E165">
        <v>0.92883398330089795</v>
      </c>
      <c r="F165">
        <v>4.5690743029116299E-2</v>
      </c>
      <c r="G165">
        <v>1.8079390515431101E-2</v>
      </c>
      <c r="H165">
        <v>7.3958831545542702E-3</v>
      </c>
      <c r="I165" t="s">
        <v>3817</v>
      </c>
      <c r="J165" t="s">
        <v>5115</v>
      </c>
    </row>
    <row r="166" spans="1:10" x14ac:dyDescent="0.55000000000000004">
      <c r="A166" t="s">
        <v>3818</v>
      </c>
      <c r="B166" t="s">
        <v>5115</v>
      </c>
      <c r="C166" t="s">
        <v>5115</v>
      </c>
      <c r="D166" t="s">
        <v>5115</v>
      </c>
      <c r="E166">
        <v>0.95284065699104803</v>
      </c>
      <c r="F166">
        <v>2.8127614733513901E-2</v>
      </c>
      <c r="G166">
        <v>1.44805127488904E-2</v>
      </c>
      <c r="H166">
        <v>4.5512155265482E-3</v>
      </c>
      <c r="I166" t="s">
        <v>3818</v>
      </c>
      <c r="J166" t="s">
        <v>5115</v>
      </c>
    </row>
    <row r="167" spans="1:10" x14ac:dyDescent="0.55000000000000004">
      <c r="A167" t="s">
        <v>3819</v>
      </c>
      <c r="B167" t="s">
        <v>5115</v>
      </c>
      <c r="C167" t="s">
        <v>5115</v>
      </c>
      <c r="D167" t="s">
        <v>5115</v>
      </c>
      <c r="E167">
        <v>0.98008119681736905</v>
      </c>
      <c r="F167">
        <v>5.52133004887041E-3</v>
      </c>
      <c r="G167">
        <v>1.12064829709727E-2</v>
      </c>
      <c r="H167">
        <v>3.1909901627874999E-3</v>
      </c>
      <c r="I167" t="s">
        <v>3819</v>
      </c>
      <c r="J167" t="s">
        <v>5115</v>
      </c>
    </row>
    <row r="168" spans="1:10" x14ac:dyDescent="0.55000000000000004">
      <c r="A168" t="s">
        <v>3820</v>
      </c>
      <c r="B168" t="s">
        <v>5115</v>
      </c>
      <c r="C168" t="s">
        <v>5115</v>
      </c>
      <c r="D168" t="s">
        <v>5115</v>
      </c>
      <c r="E168">
        <v>0.97624566139646995</v>
      </c>
      <c r="F168">
        <v>1.0655425113595501E-2</v>
      </c>
      <c r="G168">
        <v>6.8055071266557897E-3</v>
      </c>
      <c r="H168">
        <v>6.2934063632786698E-3</v>
      </c>
      <c r="I168" t="s">
        <v>3820</v>
      </c>
      <c r="J168" t="s">
        <v>5115</v>
      </c>
    </row>
    <row r="169" spans="1:10" x14ac:dyDescent="0.55000000000000004">
      <c r="A169" t="s">
        <v>3821</v>
      </c>
      <c r="B169" t="s">
        <v>5115</v>
      </c>
      <c r="C169" t="s">
        <v>5115</v>
      </c>
      <c r="D169" t="s">
        <v>5115</v>
      </c>
      <c r="E169">
        <v>0.91045840596781702</v>
      </c>
      <c r="F169">
        <v>2.2236431332243799E-2</v>
      </c>
      <c r="G169">
        <v>6.3411862025808299E-2</v>
      </c>
      <c r="H169">
        <v>3.89330067413043E-3</v>
      </c>
      <c r="I169" t="s">
        <v>3821</v>
      </c>
      <c r="J169" t="s">
        <v>5115</v>
      </c>
    </row>
    <row r="170" spans="1:10" x14ac:dyDescent="0.55000000000000004">
      <c r="A170" t="s">
        <v>3822</v>
      </c>
      <c r="B170" t="s">
        <v>5115</v>
      </c>
      <c r="C170" t="s">
        <v>5115</v>
      </c>
      <c r="D170" t="s">
        <v>5115</v>
      </c>
      <c r="E170">
        <v>0.96529274268341203</v>
      </c>
      <c r="F170">
        <v>1.27878153813959E-2</v>
      </c>
      <c r="G170">
        <v>1.4720863206139001E-2</v>
      </c>
      <c r="H170">
        <v>7.1985787290533001E-3</v>
      </c>
      <c r="I170" t="s">
        <v>3822</v>
      </c>
      <c r="J170" t="s">
        <v>5115</v>
      </c>
    </row>
    <row r="171" spans="1:10" x14ac:dyDescent="0.55000000000000004">
      <c r="A171" t="s">
        <v>3823</v>
      </c>
      <c r="B171" t="s">
        <v>5115</v>
      </c>
      <c r="C171" t="s">
        <v>5115</v>
      </c>
      <c r="D171" t="s">
        <v>5115</v>
      </c>
      <c r="E171">
        <v>0.97392166657549195</v>
      </c>
      <c r="F171">
        <v>9.1954038919825308E-3</v>
      </c>
      <c r="G171">
        <v>1.25979897470856E-2</v>
      </c>
      <c r="H171">
        <v>4.2849397854394502E-3</v>
      </c>
      <c r="I171" t="s">
        <v>3823</v>
      </c>
      <c r="J171" t="s">
        <v>5115</v>
      </c>
    </row>
    <row r="172" spans="1:10" x14ac:dyDescent="0.55000000000000004">
      <c r="A172" t="s">
        <v>3824</v>
      </c>
      <c r="B172" t="s">
        <v>5115</v>
      </c>
      <c r="C172" t="s">
        <v>5115</v>
      </c>
      <c r="D172" t="s">
        <v>5115</v>
      </c>
      <c r="E172">
        <v>0.95355971196764699</v>
      </c>
      <c r="F172">
        <v>1.9141268957243999E-2</v>
      </c>
      <c r="G172">
        <v>2.3120110229699301E-2</v>
      </c>
      <c r="H172">
        <v>4.1789088454102499E-3</v>
      </c>
      <c r="I172" t="s">
        <v>3824</v>
      </c>
      <c r="J172" t="s">
        <v>5115</v>
      </c>
    </row>
    <row r="173" spans="1:10" x14ac:dyDescent="0.55000000000000004">
      <c r="A173" t="s">
        <v>3825</v>
      </c>
      <c r="B173" t="s">
        <v>5116</v>
      </c>
      <c r="C173" t="s">
        <v>5116</v>
      </c>
      <c r="D173" t="s">
        <v>5116</v>
      </c>
      <c r="E173">
        <v>5.2010333628413298E-3</v>
      </c>
      <c r="F173">
        <v>1.7652108572332199E-2</v>
      </c>
      <c r="G173">
        <v>0.97241861769540205</v>
      </c>
      <c r="H173">
        <v>4.7282403694242801E-3</v>
      </c>
      <c r="I173" t="s">
        <v>3825</v>
      </c>
      <c r="J173" t="s">
        <v>5116</v>
      </c>
    </row>
    <row r="174" spans="1:10" x14ac:dyDescent="0.55000000000000004">
      <c r="A174" t="s">
        <v>3826</v>
      </c>
      <c r="B174" t="s">
        <v>5115</v>
      </c>
      <c r="C174" t="s">
        <v>5115</v>
      </c>
      <c r="D174" t="s">
        <v>5115</v>
      </c>
      <c r="E174">
        <v>0.96334993385281098</v>
      </c>
      <c r="F174">
        <v>2.1617788418670202E-2</v>
      </c>
      <c r="G174">
        <v>8.5707389077173107E-3</v>
      </c>
      <c r="H174">
        <v>6.4615388208017297E-3</v>
      </c>
      <c r="I174" t="s">
        <v>3826</v>
      </c>
      <c r="J174" t="s">
        <v>5115</v>
      </c>
    </row>
    <row r="175" spans="1:10" x14ac:dyDescent="0.55000000000000004">
      <c r="A175" t="s">
        <v>3827</v>
      </c>
      <c r="B175" t="s">
        <v>5115</v>
      </c>
      <c r="C175" t="s">
        <v>5115</v>
      </c>
      <c r="D175" t="s">
        <v>5115</v>
      </c>
      <c r="E175">
        <v>0.95163739085149002</v>
      </c>
      <c r="F175">
        <v>2.0354885068711501E-2</v>
      </c>
      <c r="G175">
        <v>2.29718686530818E-2</v>
      </c>
      <c r="H175">
        <v>5.03585542671681E-3</v>
      </c>
      <c r="I175" t="s">
        <v>3827</v>
      </c>
      <c r="J175" t="s">
        <v>5115</v>
      </c>
    </row>
    <row r="176" spans="1:10" x14ac:dyDescent="0.55000000000000004">
      <c r="A176" t="s">
        <v>3701</v>
      </c>
      <c r="B176" t="s">
        <v>5115</v>
      </c>
      <c r="C176" t="s">
        <v>5115</v>
      </c>
      <c r="D176" t="s">
        <v>5115</v>
      </c>
      <c r="E176">
        <v>0.86020776971365998</v>
      </c>
      <c r="F176">
        <v>4.8594916271696098E-2</v>
      </c>
      <c r="G176">
        <v>8.4510983761103206E-2</v>
      </c>
      <c r="H176">
        <v>6.6863302535403102E-3</v>
      </c>
      <c r="I176" t="s">
        <v>3701</v>
      </c>
      <c r="J176" t="s">
        <v>5115</v>
      </c>
    </row>
    <row r="177" spans="1:10" x14ac:dyDescent="0.55000000000000004">
      <c r="A177" t="s">
        <v>3702</v>
      </c>
      <c r="B177" t="s">
        <v>5116</v>
      </c>
      <c r="C177" t="s">
        <v>5116</v>
      </c>
      <c r="D177" t="s">
        <v>5116</v>
      </c>
      <c r="E177">
        <v>4.8698005546974699E-3</v>
      </c>
      <c r="F177">
        <v>1.18240201529074E-2</v>
      </c>
      <c r="G177">
        <v>0.97915319246008004</v>
      </c>
      <c r="H177">
        <v>4.1529868323149904E-3</v>
      </c>
      <c r="I177" t="s">
        <v>3702</v>
      </c>
      <c r="J177" t="s">
        <v>5116</v>
      </c>
    </row>
    <row r="178" spans="1:10" x14ac:dyDescent="0.55000000000000004">
      <c r="A178" t="s">
        <v>3703</v>
      </c>
      <c r="B178" t="s">
        <v>5115</v>
      </c>
      <c r="C178" t="s">
        <v>5115</v>
      </c>
      <c r="D178" t="s">
        <v>5115</v>
      </c>
      <c r="E178">
        <v>0.97547097811809302</v>
      </c>
      <c r="F178">
        <v>5.20215187315417E-3</v>
      </c>
      <c r="G178">
        <v>1.57020370703791E-2</v>
      </c>
      <c r="H178">
        <v>3.62483293837405E-3</v>
      </c>
      <c r="I178" t="s">
        <v>3703</v>
      </c>
      <c r="J178" t="s">
        <v>5115</v>
      </c>
    </row>
    <row r="179" spans="1:10" x14ac:dyDescent="0.55000000000000004">
      <c r="A179" t="s">
        <v>3704</v>
      </c>
      <c r="B179" t="s">
        <v>5115</v>
      </c>
      <c r="C179" t="s">
        <v>5115</v>
      </c>
      <c r="D179" t="s">
        <v>5115</v>
      </c>
      <c r="E179">
        <v>0.90846502148992803</v>
      </c>
      <c r="F179">
        <v>2.88510433383663E-2</v>
      </c>
      <c r="G179">
        <v>5.5580253591231102E-2</v>
      </c>
      <c r="H179">
        <v>7.1036815804744E-3</v>
      </c>
      <c r="I179" t="s">
        <v>3704</v>
      </c>
      <c r="J179" t="s">
        <v>5115</v>
      </c>
    </row>
    <row r="180" spans="1:10" x14ac:dyDescent="0.55000000000000004">
      <c r="A180" t="s">
        <v>3705</v>
      </c>
      <c r="B180" t="s">
        <v>5115</v>
      </c>
      <c r="C180" t="s">
        <v>5115</v>
      </c>
      <c r="D180" t="s">
        <v>5115</v>
      </c>
      <c r="E180">
        <v>0.97470954856019199</v>
      </c>
      <c r="F180">
        <v>1.1329792090108501E-2</v>
      </c>
      <c r="G180">
        <v>1.0289053363894801E-2</v>
      </c>
      <c r="H180">
        <v>3.67160598580507E-3</v>
      </c>
      <c r="I180" t="s">
        <v>3705</v>
      </c>
      <c r="J180" t="s">
        <v>5115</v>
      </c>
    </row>
    <row r="181" spans="1:10" x14ac:dyDescent="0.55000000000000004">
      <c r="A181" t="s">
        <v>3706</v>
      </c>
      <c r="B181" t="s">
        <v>5115</v>
      </c>
      <c r="C181" t="s">
        <v>5115</v>
      </c>
      <c r="D181" t="s">
        <v>5115</v>
      </c>
      <c r="E181">
        <v>0.96322463505238598</v>
      </c>
      <c r="F181">
        <v>1.28389782721555E-2</v>
      </c>
      <c r="G181">
        <v>1.8924396094089E-2</v>
      </c>
      <c r="H181">
        <v>5.0119905813698299E-3</v>
      </c>
      <c r="I181" t="s">
        <v>3706</v>
      </c>
      <c r="J181" t="s">
        <v>5115</v>
      </c>
    </row>
    <row r="182" spans="1:10" x14ac:dyDescent="0.55000000000000004">
      <c r="A182" t="s">
        <v>3707</v>
      </c>
      <c r="B182" t="s">
        <v>5115</v>
      </c>
      <c r="C182" t="s">
        <v>5115</v>
      </c>
      <c r="D182" t="s">
        <v>5115</v>
      </c>
      <c r="E182">
        <v>0.98433988849700205</v>
      </c>
      <c r="F182">
        <v>4.5739750162602797E-3</v>
      </c>
      <c r="G182">
        <v>6.4985531480657799E-3</v>
      </c>
      <c r="H182">
        <v>4.5875833386720896E-3</v>
      </c>
      <c r="I182" t="s">
        <v>3707</v>
      </c>
      <c r="J182" t="s">
        <v>5115</v>
      </c>
    </row>
    <row r="183" spans="1:10" x14ac:dyDescent="0.55000000000000004">
      <c r="A183" t="s">
        <v>3708</v>
      </c>
      <c r="B183" t="s">
        <v>5115</v>
      </c>
      <c r="C183" t="s">
        <v>5115</v>
      </c>
      <c r="D183" t="s">
        <v>5115</v>
      </c>
      <c r="E183">
        <v>0.93397703674268995</v>
      </c>
      <c r="F183">
        <v>1.78206872333623E-2</v>
      </c>
      <c r="G183">
        <v>4.3797852640542097E-2</v>
      </c>
      <c r="H183">
        <v>4.4044233834053103E-3</v>
      </c>
      <c r="I183" t="s">
        <v>3708</v>
      </c>
      <c r="J183" t="s">
        <v>5115</v>
      </c>
    </row>
    <row r="184" spans="1:10" x14ac:dyDescent="0.55000000000000004">
      <c r="A184" t="s">
        <v>3709</v>
      </c>
      <c r="B184" t="s">
        <v>5115</v>
      </c>
      <c r="C184" t="s">
        <v>5115</v>
      </c>
      <c r="D184" t="s">
        <v>5115</v>
      </c>
      <c r="E184">
        <v>0.97767964163951604</v>
      </c>
      <c r="F184">
        <v>8.5681936938016394E-3</v>
      </c>
      <c r="G184">
        <v>7.8564816281062808E-3</v>
      </c>
      <c r="H184">
        <v>5.8956830385762599E-3</v>
      </c>
      <c r="I184" t="s">
        <v>3709</v>
      </c>
      <c r="J184" t="s">
        <v>5115</v>
      </c>
    </row>
    <row r="185" spans="1:10" x14ac:dyDescent="0.55000000000000004">
      <c r="A185" t="s">
        <v>3710</v>
      </c>
      <c r="B185" t="s">
        <v>5115</v>
      </c>
      <c r="C185" t="s">
        <v>5115</v>
      </c>
      <c r="D185" t="s">
        <v>5115</v>
      </c>
      <c r="E185">
        <v>0.95172233975117004</v>
      </c>
      <c r="F185">
        <v>1.57794327898109E-2</v>
      </c>
      <c r="G185">
        <v>2.7879393332017301E-2</v>
      </c>
      <c r="H185">
        <v>4.6188341270020699E-3</v>
      </c>
      <c r="I185" t="s">
        <v>3710</v>
      </c>
      <c r="J185" t="s">
        <v>5115</v>
      </c>
    </row>
    <row r="186" spans="1:10" x14ac:dyDescent="0.55000000000000004">
      <c r="A186" t="s">
        <v>3711</v>
      </c>
      <c r="B186" t="s">
        <v>5115</v>
      </c>
      <c r="C186" t="s">
        <v>5115</v>
      </c>
      <c r="D186" t="s">
        <v>5115</v>
      </c>
      <c r="E186">
        <v>0.95061054517374499</v>
      </c>
      <c r="F186">
        <v>1.5141935648230499E-2</v>
      </c>
      <c r="G186">
        <v>2.9221815856208502E-2</v>
      </c>
      <c r="H186">
        <v>5.0257033218152596E-3</v>
      </c>
      <c r="I186" t="s">
        <v>3711</v>
      </c>
      <c r="J186" t="s">
        <v>5115</v>
      </c>
    </row>
    <row r="187" spans="1:10" x14ac:dyDescent="0.55000000000000004">
      <c r="A187" t="s">
        <v>3712</v>
      </c>
      <c r="B187" t="s">
        <v>5115</v>
      </c>
      <c r="C187" t="s">
        <v>5115</v>
      </c>
      <c r="D187" t="s">
        <v>5115</v>
      </c>
      <c r="E187">
        <v>0.96595694688116795</v>
      </c>
      <c r="F187">
        <v>1.1082312776269899E-2</v>
      </c>
      <c r="G187">
        <v>1.85354327498626E-2</v>
      </c>
      <c r="H187">
        <v>4.4253075926990303E-3</v>
      </c>
      <c r="I187" t="s">
        <v>3712</v>
      </c>
      <c r="J187" t="s">
        <v>5115</v>
      </c>
    </row>
    <row r="188" spans="1:10" x14ac:dyDescent="0.55000000000000004">
      <c r="A188" t="s">
        <v>3607</v>
      </c>
      <c r="B188" t="s">
        <v>5115</v>
      </c>
      <c r="C188" t="s">
        <v>5115</v>
      </c>
      <c r="D188" t="s">
        <v>5115</v>
      </c>
      <c r="E188">
        <v>0.96029153183993399</v>
      </c>
      <c r="F188">
        <v>1.1500643001090599E-2</v>
      </c>
      <c r="G188">
        <v>2.39350603572785E-2</v>
      </c>
      <c r="H188">
        <v>4.2727648016971298E-3</v>
      </c>
      <c r="I188" t="s">
        <v>3607</v>
      </c>
      <c r="J188" t="s">
        <v>5115</v>
      </c>
    </row>
    <row r="189" spans="1:10" x14ac:dyDescent="0.55000000000000004">
      <c r="A189" t="s">
        <v>3608</v>
      </c>
      <c r="B189" t="s">
        <v>5115</v>
      </c>
      <c r="C189" t="s">
        <v>5115</v>
      </c>
      <c r="D189" t="s">
        <v>5115</v>
      </c>
      <c r="E189">
        <v>0.90704034090527896</v>
      </c>
      <c r="F189">
        <v>3.8505481629504602E-2</v>
      </c>
      <c r="G189">
        <v>4.8622031837562502E-2</v>
      </c>
      <c r="H189">
        <v>5.8321456276542796E-3</v>
      </c>
      <c r="I189" t="s">
        <v>3608</v>
      </c>
      <c r="J189" t="s">
        <v>5115</v>
      </c>
    </row>
    <row r="190" spans="1:10" x14ac:dyDescent="0.55000000000000004">
      <c r="A190" t="s">
        <v>3609</v>
      </c>
      <c r="B190" t="s">
        <v>5115</v>
      </c>
      <c r="C190" t="s">
        <v>5115</v>
      </c>
      <c r="D190" t="s">
        <v>5115</v>
      </c>
      <c r="E190">
        <v>0.92980871880942895</v>
      </c>
      <c r="F190">
        <v>3.0227420445030701E-2</v>
      </c>
      <c r="G190">
        <v>3.4751365536253201E-2</v>
      </c>
      <c r="H190">
        <v>5.2124952092867998E-3</v>
      </c>
      <c r="I190" t="s">
        <v>3609</v>
      </c>
      <c r="J190" t="s">
        <v>5115</v>
      </c>
    </row>
    <row r="191" spans="1:10" x14ac:dyDescent="0.55000000000000004">
      <c r="A191" t="s">
        <v>3610</v>
      </c>
      <c r="B191" t="s">
        <v>5115</v>
      </c>
      <c r="C191" t="s">
        <v>5115</v>
      </c>
      <c r="D191" t="s">
        <v>5115</v>
      </c>
      <c r="E191">
        <v>0.93849063294961399</v>
      </c>
      <c r="F191">
        <v>2.4386444778053198E-2</v>
      </c>
      <c r="G191">
        <v>3.15996525263047E-2</v>
      </c>
      <c r="H191">
        <v>5.5232697460282599E-3</v>
      </c>
      <c r="I191" t="s">
        <v>3610</v>
      </c>
      <c r="J191" t="s">
        <v>5115</v>
      </c>
    </row>
    <row r="192" spans="1:10" x14ac:dyDescent="0.55000000000000004">
      <c r="A192" t="s">
        <v>3611</v>
      </c>
      <c r="B192" t="s">
        <v>5115</v>
      </c>
      <c r="C192" t="s">
        <v>5115</v>
      </c>
      <c r="D192" t="s">
        <v>5115</v>
      </c>
      <c r="E192">
        <v>0.87172957377379601</v>
      </c>
      <c r="F192">
        <v>5.85940765996842E-2</v>
      </c>
      <c r="G192">
        <v>6.0025364093314999E-2</v>
      </c>
      <c r="H192">
        <v>9.6509855332047208E-3</v>
      </c>
      <c r="I192" t="s">
        <v>3611</v>
      </c>
      <c r="J192" t="s">
        <v>5115</v>
      </c>
    </row>
    <row r="193" spans="1:11" x14ac:dyDescent="0.55000000000000004">
      <c r="A193" t="s">
        <v>3613</v>
      </c>
      <c r="B193" t="s">
        <v>5115</v>
      </c>
      <c r="C193" t="s">
        <v>5115</v>
      </c>
      <c r="D193" t="s">
        <v>5115</v>
      </c>
      <c r="E193">
        <v>0.88658738216746102</v>
      </c>
      <c r="F193">
        <v>5.9792107149659199E-2</v>
      </c>
      <c r="G193">
        <v>4.7287440699233102E-2</v>
      </c>
      <c r="H193">
        <v>6.33306998364683E-3</v>
      </c>
      <c r="I193" t="s">
        <v>3613</v>
      </c>
      <c r="J193" t="s">
        <v>5115</v>
      </c>
    </row>
    <row r="194" spans="1:11" x14ac:dyDescent="0.55000000000000004">
      <c r="A194" t="s">
        <v>3615</v>
      </c>
      <c r="B194" t="s">
        <v>5115</v>
      </c>
      <c r="C194" t="s">
        <v>5115</v>
      </c>
      <c r="D194" t="s">
        <v>5115</v>
      </c>
      <c r="E194">
        <v>0.95215481259311696</v>
      </c>
      <c r="F194">
        <v>1.7786712648859601E-2</v>
      </c>
      <c r="G194">
        <v>2.3991274694329601E-2</v>
      </c>
      <c r="H194">
        <v>6.0672000636936901E-3</v>
      </c>
      <c r="I194" t="s">
        <v>3615</v>
      </c>
      <c r="J194" t="s">
        <v>5115</v>
      </c>
    </row>
    <row r="195" spans="1:11" x14ac:dyDescent="0.55000000000000004">
      <c r="A195" t="s">
        <v>3616</v>
      </c>
      <c r="B195" t="s">
        <v>5115</v>
      </c>
      <c r="C195" t="s">
        <v>5115</v>
      </c>
      <c r="D195" t="s">
        <v>5115</v>
      </c>
      <c r="E195">
        <v>0.970046773044689</v>
      </c>
      <c r="F195">
        <v>9.6490438593927492E-3</v>
      </c>
      <c r="G195">
        <v>1.5773524409563699E-2</v>
      </c>
      <c r="H195">
        <v>4.5306586863544602E-3</v>
      </c>
      <c r="I195" t="s">
        <v>3616</v>
      </c>
      <c r="J195" t="s">
        <v>5115</v>
      </c>
    </row>
    <row r="196" spans="1:11" x14ac:dyDescent="0.55000000000000004">
      <c r="A196" t="s">
        <v>3617</v>
      </c>
      <c r="B196" t="s">
        <v>5115</v>
      </c>
      <c r="C196" t="s">
        <v>5115</v>
      </c>
      <c r="D196" t="s">
        <v>5115</v>
      </c>
      <c r="E196">
        <v>0.957425226160732</v>
      </c>
      <c r="F196">
        <v>1.48238109149687E-2</v>
      </c>
      <c r="G196">
        <v>2.23729162126322E-2</v>
      </c>
      <c r="H196">
        <v>5.37804671166654E-3</v>
      </c>
      <c r="I196" t="s">
        <v>3617</v>
      </c>
      <c r="J196" t="s">
        <v>5115</v>
      </c>
    </row>
    <row r="197" spans="1:11" x14ac:dyDescent="0.55000000000000004">
      <c r="A197" t="s">
        <v>3618</v>
      </c>
      <c r="B197" t="s">
        <v>5115</v>
      </c>
      <c r="C197" t="s">
        <v>5115</v>
      </c>
      <c r="D197" t="s">
        <v>5115</v>
      </c>
      <c r="E197">
        <v>0.98549964419529201</v>
      </c>
      <c r="F197">
        <v>2.4759100990353802E-3</v>
      </c>
      <c r="G197">
        <v>7.7975428299591398E-3</v>
      </c>
      <c r="H197">
        <v>4.2269028757136702E-3</v>
      </c>
      <c r="I197" t="s">
        <v>3618</v>
      </c>
      <c r="J197" t="s">
        <v>5115</v>
      </c>
    </row>
    <row r="198" spans="1:11" x14ac:dyDescent="0.55000000000000004">
      <c r="A198" t="s">
        <v>3619</v>
      </c>
      <c r="B198" t="s">
        <v>5116</v>
      </c>
      <c r="C198" t="s">
        <v>5116</v>
      </c>
      <c r="D198" t="s">
        <v>5116</v>
      </c>
      <c r="E198">
        <v>5.8730132330018303E-3</v>
      </c>
      <c r="F198">
        <v>1.6907986190323899E-2</v>
      </c>
      <c r="G198">
        <v>0.97453618133830699</v>
      </c>
      <c r="H198">
        <v>2.6828192383676198E-3</v>
      </c>
      <c r="I198" t="s">
        <v>3619</v>
      </c>
      <c r="J198" t="s">
        <v>5116</v>
      </c>
    </row>
    <row r="199" spans="1:11" x14ac:dyDescent="0.55000000000000004">
      <c r="A199" t="s">
        <v>3620</v>
      </c>
      <c r="B199" t="s">
        <v>5115</v>
      </c>
      <c r="C199" t="s">
        <v>5115</v>
      </c>
      <c r="D199" t="s">
        <v>5115</v>
      </c>
      <c r="E199">
        <v>0.79731398434839595</v>
      </c>
      <c r="F199">
        <v>9.7352113304288598E-2</v>
      </c>
      <c r="G199">
        <v>9.49143218789536E-2</v>
      </c>
      <c r="H199">
        <v>1.0419580468361901E-2</v>
      </c>
      <c r="I199" t="s">
        <v>3620</v>
      </c>
      <c r="J199" t="s">
        <v>5115</v>
      </c>
    </row>
    <row r="200" spans="1:11" x14ac:dyDescent="0.55000000000000004">
      <c r="A200" t="s">
        <v>4651</v>
      </c>
      <c r="B200" t="s">
        <v>5115</v>
      </c>
      <c r="C200" t="s">
        <v>5115</v>
      </c>
      <c r="D200" t="s">
        <v>5115</v>
      </c>
      <c r="E200">
        <v>0.98561443615895905</v>
      </c>
      <c r="F200">
        <v>5.0194034128176798E-3</v>
      </c>
      <c r="G200">
        <v>4.9179140492460697E-3</v>
      </c>
      <c r="H200">
        <v>4.4482463789771104E-3</v>
      </c>
      <c r="I200" t="s">
        <v>4651</v>
      </c>
      <c r="J200" t="s">
        <v>5115</v>
      </c>
    </row>
    <row r="201" spans="1:11" x14ac:dyDescent="0.55000000000000004">
      <c r="A201" t="s">
        <v>4652</v>
      </c>
      <c r="B201" t="s">
        <v>5115</v>
      </c>
      <c r="C201" t="s">
        <v>5115</v>
      </c>
      <c r="D201" t="s">
        <v>5115</v>
      </c>
      <c r="E201">
        <v>0.94783509149483702</v>
      </c>
      <c r="F201">
        <v>2.41319927915505E-2</v>
      </c>
      <c r="G201">
        <v>2.2975400874088101E-2</v>
      </c>
      <c r="H201">
        <v>5.0575148395245496E-3</v>
      </c>
      <c r="I201" t="s">
        <v>4652</v>
      </c>
      <c r="J201" t="s">
        <v>5115</v>
      </c>
    </row>
    <row r="202" spans="1:11" x14ac:dyDescent="0.55000000000000004">
      <c r="A202" t="s">
        <v>4653</v>
      </c>
      <c r="B202" t="s">
        <v>5115</v>
      </c>
      <c r="C202" t="s">
        <v>5115</v>
      </c>
      <c r="D202" t="s">
        <v>5115</v>
      </c>
      <c r="E202">
        <v>0.95338474939125994</v>
      </c>
      <c r="F202">
        <v>1.8424435206978E-2</v>
      </c>
      <c r="G202">
        <v>2.2672902289273801E-2</v>
      </c>
      <c r="H202">
        <v>5.5179131124882697E-3</v>
      </c>
      <c r="I202" t="s">
        <v>4653</v>
      </c>
      <c r="J202" t="s">
        <v>5115</v>
      </c>
    </row>
    <row r="203" spans="1:11" x14ac:dyDescent="0.55000000000000004">
      <c r="A203" t="s">
        <v>4654</v>
      </c>
      <c r="B203" t="s">
        <v>5115</v>
      </c>
      <c r="C203" t="s">
        <v>5115</v>
      </c>
      <c r="D203" t="s">
        <v>5115</v>
      </c>
      <c r="E203">
        <v>0.91175407627537297</v>
      </c>
      <c r="F203">
        <v>1.67823128681613E-2</v>
      </c>
      <c r="G203">
        <v>6.3382644220576406E-2</v>
      </c>
      <c r="H203">
        <v>8.0809666358892997E-3</v>
      </c>
      <c r="I203" t="s">
        <v>4654</v>
      </c>
      <c r="J203" t="s">
        <v>5115</v>
      </c>
    </row>
    <row r="204" spans="1:11" x14ac:dyDescent="0.55000000000000004">
      <c r="A204" t="s">
        <v>4655</v>
      </c>
      <c r="B204" t="s">
        <v>5115</v>
      </c>
      <c r="C204" t="s">
        <v>5115</v>
      </c>
      <c r="D204" t="s">
        <v>5115</v>
      </c>
      <c r="E204">
        <v>0.90647697583037701</v>
      </c>
      <c r="F204">
        <v>5.5568639750359E-2</v>
      </c>
      <c r="G204">
        <v>3.05513181286227E-2</v>
      </c>
      <c r="H204">
        <v>7.40306629064126E-3</v>
      </c>
      <c r="I204" t="s">
        <v>4655</v>
      </c>
      <c r="J204" t="s">
        <v>5115</v>
      </c>
    </row>
    <row r="205" spans="1:11" x14ac:dyDescent="0.55000000000000004">
      <c r="A205" t="s">
        <v>4656</v>
      </c>
      <c r="B205" t="s">
        <v>5115</v>
      </c>
      <c r="C205" t="s">
        <v>5115</v>
      </c>
      <c r="D205" t="s">
        <v>5115</v>
      </c>
      <c r="E205">
        <v>0.991077563550535</v>
      </c>
      <c r="F205">
        <v>2.5762191217425599E-3</v>
      </c>
      <c r="G205">
        <v>2.9166957683713201E-3</v>
      </c>
      <c r="H205">
        <v>3.4295215593512802E-3</v>
      </c>
      <c r="I205" t="s">
        <v>4656</v>
      </c>
      <c r="J205" t="s">
        <v>5115</v>
      </c>
    </row>
    <row r="206" spans="1:11" x14ac:dyDescent="0.55000000000000004">
      <c r="A206" t="s">
        <v>4657</v>
      </c>
      <c r="B206" t="s">
        <v>5115</v>
      </c>
      <c r="C206" t="s">
        <v>5115</v>
      </c>
      <c r="D206" t="s">
        <v>5115</v>
      </c>
      <c r="E206">
        <v>0.98426001247323802</v>
      </c>
      <c r="F206">
        <v>5.3260325982496604E-3</v>
      </c>
      <c r="G206">
        <v>5.7058902413501004E-3</v>
      </c>
      <c r="H206">
        <v>4.7080646871623796E-3</v>
      </c>
      <c r="I206" t="s">
        <v>4657</v>
      </c>
      <c r="J206" t="s">
        <v>5115</v>
      </c>
    </row>
    <row r="207" spans="1:11" x14ac:dyDescent="0.55000000000000004">
      <c r="A207" t="s">
        <v>4658</v>
      </c>
      <c r="B207" t="s">
        <v>5115</v>
      </c>
      <c r="C207" t="s">
        <v>5115</v>
      </c>
      <c r="D207" t="s">
        <v>5115</v>
      </c>
      <c r="E207">
        <v>0.52851093075261302</v>
      </c>
      <c r="F207">
        <v>0.165534582421729</v>
      </c>
      <c r="G207">
        <v>0.27215179273520601</v>
      </c>
      <c r="H207">
        <v>3.3802694090451703E-2</v>
      </c>
      <c r="I207" t="s">
        <v>4658</v>
      </c>
      <c r="J207" t="s">
        <v>5117</v>
      </c>
      <c r="K207" t="s">
        <v>5119</v>
      </c>
    </row>
    <row r="208" spans="1:11" x14ac:dyDescent="0.55000000000000004">
      <c r="A208" t="s">
        <v>4659</v>
      </c>
      <c r="B208" t="s">
        <v>5115</v>
      </c>
      <c r="C208" t="s">
        <v>5115</v>
      </c>
      <c r="D208" t="s">
        <v>5115</v>
      </c>
      <c r="E208">
        <v>0.98238010075434801</v>
      </c>
      <c r="F208">
        <v>5.3898662400189397E-3</v>
      </c>
      <c r="G208">
        <v>7.13406357422329E-3</v>
      </c>
      <c r="H208">
        <v>5.0959694314099101E-3</v>
      </c>
      <c r="I208" t="s">
        <v>4659</v>
      </c>
      <c r="J208" t="s">
        <v>5115</v>
      </c>
    </row>
    <row r="209" spans="1:11" x14ac:dyDescent="0.55000000000000004">
      <c r="A209" t="s">
        <v>4660</v>
      </c>
      <c r="B209" t="s">
        <v>5115</v>
      </c>
      <c r="C209" t="s">
        <v>5115</v>
      </c>
      <c r="D209" t="s">
        <v>5115</v>
      </c>
      <c r="E209">
        <v>0.98893019868764098</v>
      </c>
      <c r="F209">
        <v>2.8355204407744098E-3</v>
      </c>
      <c r="G209">
        <v>4.4954250209649103E-3</v>
      </c>
      <c r="H209">
        <v>3.7388558506192202E-3</v>
      </c>
      <c r="I209" t="s">
        <v>4660</v>
      </c>
      <c r="J209" t="s">
        <v>5115</v>
      </c>
    </row>
    <row r="210" spans="1:11" x14ac:dyDescent="0.55000000000000004">
      <c r="A210" t="s">
        <v>4661</v>
      </c>
      <c r="B210" t="s">
        <v>5115</v>
      </c>
      <c r="C210" t="s">
        <v>5115</v>
      </c>
      <c r="D210" t="s">
        <v>5115</v>
      </c>
      <c r="E210">
        <v>0.92823328449508802</v>
      </c>
      <c r="F210">
        <v>2.9039468137695201E-2</v>
      </c>
      <c r="G210">
        <v>3.4047308785762301E-2</v>
      </c>
      <c r="H210">
        <v>8.6799385814543394E-3</v>
      </c>
      <c r="I210" t="s">
        <v>4661</v>
      </c>
      <c r="J210" t="s">
        <v>5115</v>
      </c>
    </row>
    <row r="211" spans="1:11" x14ac:dyDescent="0.55000000000000004">
      <c r="A211" t="s">
        <v>4662</v>
      </c>
      <c r="B211" t="s">
        <v>5115</v>
      </c>
      <c r="C211" t="s">
        <v>5115</v>
      </c>
      <c r="D211" t="s">
        <v>5115</v>
      </c>
      <c r="E211">
        <v>0.98632287051696399</v>
      </c>
      <c r="F211">
        <v>4.9940463765841096E-3</v>
      </c>
      <c r="G211">
        <v>3.1233364901276702E-3</v>
      </c>
      <c r="H211">
        <v>5.55974661632452E-3</v>
      </c>
      <c r="I211" t="s">
        <v>4662</v>
      </c>
      <c r="J211" t="s">
        <v>5115</v>
      </c>
    </row>
    <row r="212" spans="1:11" x14ac:dyDescent="0.55000000000000004">
      <c r="A212" t="s">
        <v>3949</v>
      </c>
      <c r="B212" t="s">
        <v>5115</v>
      </c>
      <c r="C212" t="s">
        <v>5115</v>
      </c>
      <c r="D212" t="s">
        <v>5115</v>
      </c>
      <c r="E212">
        <v>0.56902463071118603</v>
      </c>
      <c r="F212">
        <v>0.16948024184244201</v>
      </c>
      <c r="G212">
        <v>0.22289856375440201</v>
      </c>
      <c r="H212">
        <v>3.8596563691970003E-2</v>
      </c>
      <c r="I212" t="s">
        <v>3949</v>
      </c>
      <c r="J212" t="s">
        <v>5117</v>
      </c>
      <c r="K212" t="s">
        <v>5119</v>
      </c>
    </row>
    <row r="213" spans="1:11" x14ac:dyDescent="0.55000000000000004">
      <c r="A213" t="s">
        <v>3950</v>
      </c>
      <c r="B213" t="s">
        <v>5115</v>
      </c>
      <c r="C213" t="s">
        <v>5115</v>
      </c>
      <c r="D213" t="s">
        <v>5115</v>
      </c>
      <c r="E213">
        <v>0.44981233311535102</v>
      </c>
      <c r="F213">
        <v>0.201610595238052</v>
      </c>
      <c r="G213">
        <v>0.30312156474596602</v>
      </c>
      <c r="H213">
        <v>4.54555069006315E-2</v>
      </c>
      <c r="I213" t="s">
        <v>3950</v>
      </c>
      <c r="J213" t="s">
        <v>5117</v>
      </c>
      <c r="K213" t="s">
        <v>5119</v>
      </c>
    </row>
    <row r="214" spans="1:11" x14ac:dyDescent="0.55000000000000004">
      <c r="A214" t="s">
        <v>3951</v>
      </c>
      <c r="B214" t="s">
        <v>5115</v>
      </c>
      <c r="C214" t="s">
        <v>5115</v>
      </c>
      <c r="D214" t="s">
        <v>5115</v>
      </c>
      <c r="E214">
        <v>0.51248245384483304</v>
      </c>
      <c r="F214">
        <v>9.6295665378367798E-2</v>
      </c>
      <c r="G214">
        <v>0.354209986894786</v>
      </c>
      <c r="H214">
        <v>3.7011893882012703E-2</v>
      </c>
      <c r="I214" t="s">
        <v>3951</v>
      </c>
      <c r="J214" t="s">
        <v>5117</v>
      </c>
      <c r="K214" t="s">
        <v>5119</v>
      </c>
    </row>
    <row r="215" spans="1:11" x14ac:dyDescent="0.55000000000000004">
      <c r="A215" t="s">
        <v>3952</v>
      </c>
      <c r="B215" t="s">
        <v>5115</v>
      </c>
      <c r="C215" t="s">
        <v>5115</v>
      </c>
      <c r="D215" t="s">
        <v>5115</v>
      </c>
      <c r="E215">
        <v>0.96412012269047598</v>
      </c>
      <c r="F215">
        <v>1.3921455125434801E-2</v>
      </c>
      <c r="G215">
        <v>1.59247684352678E-2</v>
      </c>
      <c r="H215">
        <v>6.0336537488214796E-3</v>
      </c>
      <c r="I215" t="s">
        <v>3952</v>
      </c>
      <c r="J215" t="s">
        <v>5115</v>
      </c>
    </row>
    <row r="216" spans="1:11" x14ac:dyDescent="0.55000000000000004">
      <c r="A216" t="s">
        <v>3953</v>
      </c>
      <c r="B216" t="s">
        <v>5115</v>
      </c>
      <c r="C216" t="s">
        <v>5115</v>
      </c>
      <c r="D216" t="s">
        <v>5115</v>
      </c>
      <c r="E216">
        <v>0.63075744229768904</v>
      </c>
      <c r="F216">
        <v>0.14527275561522701</v>
      </c>
      <c r="G216">
        <v>0.20174455373934999</v>
      </c>
      <c r="H216">
        <v>2.22252483477339E-2</v>
      </c>
      <c r="I216" t="s">
        <v>3953</v>
      </c>
      <c r="J216" t="s">
        <v>5117</v>
      </c>
      <c r="K216" t="s">
        <v>5119</v>
      </c>
    </row>
    <row r="217" spans="1:11" x14ac:dyDescent="0.55000000000000004">
      <c r="A217" t="s">
        <v>3954</v>
      </c>
      <c r="B217" t="s">
        <v>5115</v>
      </c>
      <c r="C217" t="s">
        <v>5115</v>
      </c>
      <c r="D217" t="s">
        <v>5115</v>
      </c>
      <c r="E217">
        <v>0.9323851884819</v>
      </c>
      <c r="F217">
        <v>2.49237548185973E-2</v>
      </c>
      <c r="G217">
        <v>3.7290976993172298E-2</v>
      </c>
      <c r="H217">
        <v>5.40007970633068E-3</v>
      </c>
      <c r="I217" t="s">
        <v>3954</v>
      </c>
      <c r="J217" t="s">
        <v>5115</v>
      </c>
    </row>
    <row r="218" spans="1:11" x14ac:dyDescent="0.55000000000000004">
      <c r="A218" t="s">
        <v>3955</v>
      </c>
      <c r="B218" t="s">
        <v>5116</v>
      </c>
      <c r="C218" t="s">
        <v>5116</v>
      </c>
      <c r="D218" t="s">
        <v>5116</v>
      </c>
      <c r="E218">
        <v>6.5218697744859298E-3</v>
      </c>
      <c r="F218">
        <v>7.51375804660568E-3</v>
      </c>
      <c r="G218">
        <v>0.98294586398053796</v>
      </c>
      <c r="H218">
        <v>3.0185081983710401E-3</v>
      </c>
      <c r="I218" t="s">
        <v>3955</v>
      </c>
      <c r="J218" t="s">
        <v>5116</v>
      </c>
    </row>
    <row r="219" spans="1:11" x14ac:dyDescent="0.55000000000000004">
      <c r="A219" t="s">
        <v>3956</v>
      </c>
      <c r="B219" t="s">
        <v>5115</v>
      </c>
      <c r="C219" t="s">
        <v>5115</v>
      </c>
      <c r="D219" t="s">
        <v>5115</v>
      </c>
      <c r="E219">
        <v>0.93353085714810102</v>
      </c>
      <c r="F219">
        <v>2.5968094018598901E-2</v>
      </c>
      <c r="G219">
        <v>3.3820205992060197E-2</v>
      </c>
      <c r="H219">
        <v>6.6808428412397699E-3</v>
      </c>
      <c r="I219" t="s">
        <v>3956</v>
      </c>
      <c r="J219" t="s">
        <v>5115</v>
      </c>
    </row>
    <row r="220" spans="1:11" x14ac:dyDescent="0.55000000000000004">
      <c r="A220" t="s">
        <v>3957</v>
      </c>
      <c r="B220" t="s">
        <v>5115</v>
      </c>
      <c r="C220" t="s">
        <v>5115</v>
      </c>
      <c r="D220" t="s">
        <v>5115</v>
      </c>
      <c r="E220">
        <v>0.61409680873384898</v>
      </c>
      <c r="F220">
        <v>0.108475353342513</v>
      </c>
      <c r="G220">
        <v>0.24434015327418501</v>
      </c>
      <c r="H220">
        <v>3.3087684649452498E-2</v>
      </c>
      <c r="I220" t="s">
        <v>3957</v>
      </c>
      <c r="J220" t="s">
        <v>5117</v>
      </c>
      <c r="K220" t="s">
        <v>5119</v>
      </c>
    </row>
    <row r="221" spans="1:11" x14ac:dyDescent="0.55000000000000004">
      <c r="A221" t="s">
        <v>3958</v>
      </c>
      <c r="B221" t="s">
        <v>5115</v>
      </c>
      <c r="C221" t="s">
        <v>5115</v>
      </c>
      <c r="D221" t="s">
        <v>5115</v>
      </c>
      <c r="E221">
        <v>0.94753766860340505</v>
      </c>
      <c r="F221">
        <v>2.3446270587668398E-2</v>
      </c>
      <c r="G221">
        <v>2.2508840667463899E-2</v>
      </c>
      <c r="H221">
        <v>6.5072201414626499E-3</v>
      </c>
      <c r="I221" t="s">
        <v>3958</v>
      </c>
      <c r="J221" t="s">
        <v>5115</v>
      </c>
    </row>
    <row r="222" spans="1:11" x14ac:dyDescent="0.55000000000000004">
      <c r="A222" t="s">
        <v>3959</v>
      </c>
      <c r="B222" t="s">
        <v>5115</v>
      </c>
      <c r="C222" t="s">
        <v>5115</v>
      </c>
      <c r="D222" t="s">
        <v>5115</v>
      </c>
      <c r="E222">
        <v>0.94529196059006904</v>
      </c>
      <c r="F222">
        <v>3.6275286711177801E-2</v>
      </c>
      <c r="G222">
        <v>1.27863648419908E-2</v>
      </c>
      <c r="H222">
        <v>5.6463878567620104E-3</v>
      </c>
      <c r="I222" t="s">
        <v>3959</v>
      </c>
      <c r="J222" t="s">
        <v>5115</v>
      </c>
    </row>
    <row r="223" spans="1:11" x14ac:dyDescent="0.55000000000000004">
      <c r="A223" t="s">
        <v>3960</v>
      </c>
      <c r="B223" t="s">
        <v>5115</v>
      </c>
      <c r="C223" t="s">
        <v>5115</v>
      </c>
      <c r="D223" t="s">
        <v>5115</v>
      </c>
      <c r="E223">
        <v>0.97735604400000398</v>
      </c>
      <c r="F223">
        <v>8.5781513488497208E-3</v>
      </c>
      <c r="G223">
        <v>9.3594973404817899E-3</v>
      </c>
      <c r="H223">
        <v>4.7063073106645799E-3</v>
      </c>
      <c r="I223" t="s">
        <v>3960</v>
      </c>
      <c r="J223" t="s">
        <v>5115</v>
      </c>
    </row>
    <row r="224" spans="1:11" x14ac:dyDescent="0.55000000000000004">
      <c r="A224" t="s">
        <v>4248</v>
      </c>
      <c r="B224" t="s">
        <v>5116</v>
      </c>
      <c r="C224" t="s">
        <v>5116</v>
      </c>
      <c r="D224" t="s">
        <v>5116</v>
      </c>
      <c r="E224">
        <v>7.1553351483392902E-3</v>
      </c>
      <c r="F224">
        <v>7.0104691550477299E-3</v>
      </c>
      <c r="G224">
        <v>0.98256688740687803</v>
      </c>
      <c r="H224">
        <v>3.2673082897348099E-3</v>
      </c>
      <c r="I224" t="s">
        <v>4248</v>
      </c>
      <c r="J224" t="s">
        <v>5116</v>
      </c>
    </row>
    <row r="225" spans="1:11" x14ac:dyDescent="0.55000000000000004">
      <c r="A225" t="s">
        <v>4246</v>
      </c>
      <c r="B225" t="s">
        <v>5115</v>
      </c>
      <c r="C225" t="s">
        <v>5115</v>
      </c>
      <c r="D225" t="s">
        <v>5115</v>
      </c>
      <c r="E225">
        <v>0.966297869368406</v>
      </c>
      <c r="F225">
        <v>1.6711533147498101E-2</v>
      </c>
      <c r="G225">
        <v>9.6310167118763695E-3</v>
      </c>
      <c r="H225">
        <v>7.3595807722189001E-3</v>
      </c>
      <c r="I225" t="s">
        <v>4246</v>
      </c>
      <c r="J225" t="s">
        <v>5115</v>
      </c>
    </row>
    <row r="226" spans="1:11" x14ac:dyDescent="0.55000000000000004">
      <c r="A226" t="s">
        <v>4228</v>
      </c>
      <c r="B226" t="s">
        <v>5116</v>
      </c>
      <c r="C226" t="s">
        <v>5116</v>
      </c>
      <c r="D226" t="s">
        <v>5116</v>
      </c>
      <c r="E226">
        <v>1.0210600476204699E-2</v>
      </c>
      <c r="F226">
        <v>1.9778157334181298E-2</v>
      </c>
      <c r="G226">
        <v>0.96509197517053702</v>
      </c>
      <c r="H226">
        <v>4.9192670190766896E-3</v>
      </c>
      <c r="I226" t="s">
        <v>4228</v>
      </c>
      <c r="J226" t="s">
        <v>5116</v>
      </c>
    </row>
    <row r="227" spans="1:11" x14ac:dyDescent="0.55000000000000004">
      <c r="A227" t="s">
        <v>4229</v>
      </c>
      <c r="B227" t="s">
        <v>5115</v>
      </c>
      <c r="C227" t="s">
        <v>5115</v>
      </c>
      <c r="D227" t="s">
        <v>5115</v>
      </c>
      <c r="E227">
        <v>0.92223977769413601</v>
      </c>
      <c r="F227">
        <v>2.7935783014158899E-2</v>
      </c>
      <c r="G227">
        <v>4.2882159946640602E-2</v>
      </c>
      <c r="H227">
        <v>6.9422793450647103E-3</v>
      </c>
      <c r="I227" t="s">
        <v>4229</v>
      </c>
      <c r="J227" t="s">
        <v>5115</v>
      </c>
    </row>
    <row r="228" spans="1:11" x14ac:dyDescent="0.55000000000000004">
      <c r="A228" t="s">
        <v>4230</v>
      </c>
      <c r="B228" t="s">
        <v>5116</v>
      </c>
      <c r="C228" t="s">
        <v>5116</v>
      </c>
      <c r="D228" t="s">
        <v>5116</v>
      </c>
      <c r="E228">
        <v>1.05633912803206E-2</v>
      </c>
      <c r="F228">
        <v>1.3522498696292001E-2</v>
      </c>
      <c r="G228">
        <v>0.97274289962795002</v>
      </c>
      <c r="H228">
        <v>3.17121039543726E-3</v>
      </c>
      <c r="I228" t="s">
        <v>4230</v>
      </c>
      <c r="J228" t="s">
        <v>5116</v>
      </c>
    </row>
    <row r="229" spans="1:11" x14ac:dyDescent="0.55000000000000004">
      <c r="A229" t="s">
        <v>4231</v>
      </c>
      <c r="B229" t="s">
        <v>5116</v>
      </c>
      <c r="C229" t="s">
        <v>5116</v>
      </c>
      <c r="D229" t="s">
        <v>5116</v>
      </c>
      <c r="E229">
        <v>6.8344026444503003E-3</v>
      </c>
      <c r="F229">
        <v>1.33642577568121E-2</v>
      </c>
      <c r="G229">
        <v>0.97673302005013396</v>
      </c>
      <c r="H229">
        <v>3.0683195486033402E-3</v>
      </c>
      <c r="I229" t="s">
        <v>4231</v>
      </c>
      <c r="J229" t="s">
        <v>5116</v>
      </c>
    </row>
    <row r="230" spans="1:11" x14ac:dyDescent="0.55000000000000004">
      <c r="A230" t="s">
        <v>4232</v>
      </c>
      <c r="B230" t="s">
        <v>5116</v>
      </c>
      <c r="C230" t="s">
        <v>5116</v>
      </c>
      <c r="D230" t="s">
        <v>5116</v>
      </c>
      <c r="E230">
        <v>2.1230743507934199E-3</v>
      </c>
      <c r="F230">
        <v>8.3032546172057704E-3</v>
      </c>
      <c r="G230">
        <v>0.98599751416733905</v>
      </c>
      <c r="H230">
        <v>3.57615686466168E-3</v>
      </c>
      <c r="I230" t="s">
        <v>4232</v>
      </c>
      <c r="J230" t="s">
        <v>5116</v>
      </c>
    </row>
    <row r="231" spans="1:11" x14ac:dyDescent="0.55000000000000004">
      <c r="A231" t="s">
        <v>4233</v>
      </c>
      <c r="B231" t="s">
        <v>5116</v>
      </c>
      <c r="C231" t="s">
        <v>5116</v>
      </c>
      <c r="D231" t="s">
        <v>5116</v>
      </c>
      <c r="E231">
        <v>8.1505222609668301E-3</v>
      </c>
      <c r="F231">
        <v>2.9744129274429699E-2</v>
      </c>
      <c r="G231">
        <v>0.95571535064838498</v>
      </c>
      <c r="H231">
        <v>6.3899978162183504E-3</v>
      </c>
      <c r="I231" t="s">
        <v>4233</v>
      </c>
      <c r="J231" t="s">
        <v>5116</v>
      </c>
    </row>
    <row r="232" spans="1:11" x14ac:dyDescent="0.55000000000000004">
      <c r="A232" t="s">
        <v>4234</v>
      </c>
      <c r="B232" t="s">
        <v>5116</v>
      </c>
      <c r="C232" t="s">
        <v>5116</v>
      </c>
      <c r="D232" t="s">
        <v>5116</v>
      </c>
      <c r="E232">
        <v>3.22535973912862E-3</v>
      </c>
      <c r="F232">
        <v>6.9132602629107002E-3</v>
      </c>
      <c r="G232">
        <v>0.98620159903677196</v>
      </c>
      <c r="H232">
        <v>3.6597809611885902E-3</v>
      </c>
      <c r="I232" t="s">
        <v>4234</v>
      </c>
      <c r="J232" t="s">
        <v>5116</v>
      </c>
    </row>
    <row r="233" spans="1:11" x14ac:dyDescent="0.55000000000000004">
      <c r="A233" t="s">
        <v>4235</v>
      </c>
      <c r="B233" t="s">
        <v>5115</v>
      </c>
      <c r="C233" t="s">
        <v>5115</v>
      </c>
      <c r="D233" t="s">
        <v>5115</v>
      </c>
      <c r="E233">
        <v>0.94597621787577302</v>
      </c>
      <c r="F233">
        <v>1.3105375492408E-2</v>
      </c>
      <c r="G233">
        <v>3.6235541370355402E-2</v>
      </c>
      <c r="H233">
        <v>4.6828652614635397E-3</v>
      </c>
      <c r="I233" t="s">
        <v>4235</v>
      </c>
      <c r="J233" t="s">
        <v>5115</v>
      </c>
    </row>
    <row r="234" spans="1:11" x14ac:dyDescent="0.55000000000000004">
      <c r="A234" t="s">
        <v>4236</v>
      </c>
      <c r="B234" t="s">
        <v>5115</v>
      </c>
      <c r="C234" t="s">
        <v>5115</v>
      </c>
      <c r="D234" t="s">
        <v>5115</v>
      </c>
      <c r="E234">
        <v>0.95652741036553401</v>
      </c>
      <c r="F234">
        <v>2.0189278940786801E-2</v>
      </c>
      <c r="G234">
        <v>1.8721255512690601E-2</v>
      </c>
      <c r="H234">
        <v>4.5620551809887498E-3</v>
      </c>
      <c r="I234" t="s">
        <v>4236</v>
      </c>
      <c r="J234" t="s">
        <v>5115</v>
      </c>
    </row>
    <row r="235" spans="1:11" x14ac:dyDescent="0.55000000000000004">
      <c r="A235" t="s">
        <v>4237</v>
      </c>
      <c r="B235" t="s">
        <v>5116</v>
      </c>
      <c r="C235" t="s">
        <v>5116</v>
      </c>
      <c r="D235" t="s">
        <v>5116</v>
      </c>
      <c r="E235">
        <v>4.7852430000142498E-2</v>
      </c>
      <c r="F235">
        <v>3.3600666617520702E-2</v>
      </c>
      <c r="G235">
        <v>0.91043908773217996</v>
      </c>
      <c r="H235">
        <v>8.1078156501563897E-3</v>
      </c>
      <c r="I235" t="s">
        <v>4237</v>
      </c>
      <c r="J235" t="s">
        <v>5116</v>
      </c>
    </row>
    <row r="236" spans="1:11" x14ac:dyDescent="0.55000000000000004">
      <c r="A236" t="s">
        <v>4238</v>
      </c>
      <c r="B236" t="s">
        <v>5115</v>
      </c>
      <c r="C236" t="s">
        <v>5115</v>
      </c>
      <c r="D236" t="s">
        <v>5115</v>
      </c>
      <c r="E236">
        <v>0.44419200210395698</v>
      </c>
      <c r="F236">
        <v>0.15407361932176999</v>
      </c>
      <c r="G236">
        <v>0.33272963469036798</v>
      </c>
      <c r="H236">
        <v>6.9004743883905498E-2</v>
      </c>
      <c r="I236" t="s">
        <v>4238</v>
      </c>
      <c r="J236" t="s">
        <v>5117</v>
      </c>
      <c r="K236" t="s">
        <v>5119</v>
      </c>
    </row>
    <row r="237" spans="1:11" x14ac:dyDescent="0.55000000000000004">
      <c r="A237" t="s">
        <v>4239</v>
      </c>
      <c r="B237" t="s">
        <v>5115</v>
      </c>
      <c r="C237" t="s">
        <v>5115</v>
      </c>
      <c r="D237" t="s">
        <v>5115</v>
      </c>
      <c r="E237">
        <v>0.97441308279550198</v>
      </c>
      <c r="F237">
        <v>1.09336256637768E-2</v>
      </c>
      <c r="G237">
        <v>1.01745526556716E-2</v>
      </c>
      <c r="H237">
        <v>4.4787388850496702E-3</v>
      </c>
      <c r="I237" t="s">
        <v>4239</v>
      </c>
      <c r="J237" t="s">
        <v>5115</v>
      </c>
    </row>
    <row r="238" spans="1:11" x14ac:dyDescent="0.55000000000000004">
      <c r="A238" t="s">
        <v>4165</v>
      </c>
      <c r="B238" t="s">
        <v>5116</v>
      </c>
      <c r="C238" t="s">
        <v>5116</v>
      </c>
      <c r="D238" t="s">
        <v>5116</v>
      </c>
      <c r="E238">
        <v>6.7139490037772696E-3</v>
      </c>
      <c r="F238">
        <v>8.7479982707251193E-3</v>
      </c>
      <c r="G238">
        <v>0.98228976930561895</v>
      </c>
      <c r="H238">
        <v>2.2482834198781399E-3</v>
      </c>
      <c r="I238" t="s">
        <v>4165</v>
      </c>
      <c r="J238" t="s">
        <v>5116</v>
      </c>
    </row>
    <row r="239" spans="1:11" x14ac:dyDescent="0.55000000000000004">
      <c r="A239" t="s">
        <v>4166</v>
      </c>
      <c r="B239" t="s">
        <v>5116</v>
      </c>
      <c r="C239" t="s">
        <v>5116</v>
      </c>
      <c r="D239" t="s">
        <v>5116</v>
      </c>
      <c r="E239">
        <v>1.8055168856499801E-3</v>
      </c>
      <c r="F239">
        <v>7.2943199681589797E-3</v>
      </c>
      <c r="G239">
        <v>0.98838100550894503</v>
      </c>
      <c r="H239">
        <v>2.5191576372458001E-3</v>
      </c>
      <c r="I239" t="s">
        <v>4166</v>
      </c>
      <c r="J239" t="s">
        <v>5116</v>
      </c>
    </row>
    <row r="240" spans="1:11" x14ac:dyDescent="0.55000000000000004">
      <c r="A240" t="s">
        <v>4167</v>
      </c>
      <c r="B240" t="s">
        <v>5115</v>
      </c>
      <c r="C240" t="s">
        <v>5115</v>
      </c>
      <c r="D240" t="s">
        <v>5115</v>
      </c>
      <c r="E240">
        <v>0.97991522559613697</v>
      </c>
      <c r="F240">
        <v>9.2093666763198197E-3</v>
      </c>
      <c r="G240">
        <v>3.6368415920068299E-3</v>
      </c>
      <c r="H240">
        <v>7.2385661355357702E-3</v>
      </c>
      <c r="I240" t="s">
        <v>4167</v>
      </c>
      <c r="J240" t="s">
        <v>5115</v>
      </c>
    </row>
    <row r="241" spans="1:10" x14ac:dyDescent="0.55000000000000004">
      <c r="A241" t="s">
        <v>4168</v>
      </c>
      <c r="B241" t="s">
        <v>5116</v>
      </c>
      <c r="C241" t="s">
        <v>5116</v>
      </c>
      <c r="D241" t="s">
        <v>5116</v>
      </c>
      <c r="E241">
        <v>7.4733210168073001E-3</v>
      </c>
      <c r="F241">
        <v>1.10645322219022E-2</v>
      </c>
      <c r="G241">
        <v>0.97847648199403003</v>
      </c>
      <c r="H241">
        <v>2.9856647672602799E-3</v>
      </c>
      <c r="I241" t="s">
        <v>4168</v>
      </c>
      <c r="J241" t="s">
        <v>5116</v>
      </c>
    </row>
    <row r="242" spans="1:10" x14ac:dyDescent="0.55000000000000004">
      <c r="A242" t="s">
        <v>4169</v>
      </c>
      <c r="B242" t="s">
        <v>5116</v>
      </c>
      <c r="C242" t="s">
        <v>5116</v>
      </c>
      <c r="D242" t="s">
        <v>5116</v>
      </c>
      <c r="E242">
        <v>1.51545834867236E-2</v>
      </c>
      <c r="F242">
        <v>3.12402051206754E-2</v>
      </c>
      <c r="G242">
        <v>0.94930180455434299</v>
      </c>
      <c r="H242">
        <v>4.3034068382579302E-3</v>
      </c>
      <c r="I242" t="s">
        <v>4169</v>
      </c>
      <c r="J242" t="s">
        <v>5116</v>
      </c>
    </row>
    <row r="243" spans="1:10" x14ac:dyDescent="0.55000000000000004">
      <c r="A243" t="s">
        <v>4170</v>
      </c>
      <c r="B243" t="s">
        <v>5116</v>
      </c>
      <c r="C243" t="s">
        <v>5116</v>
      </c>
      <c r="D243" t="s">
        <v>5116</v>
      </c>
      <c r="E243">
        <v>8.9567086177904098E-3</v>
      </c>
      <c r="F243">
        <v>7.3590332987347098E-3</v>
      </c>
      <c r="G243">
        <v>0.98016970332082698</v>
      </c>
      <c r="H243">
        <v>3.51455476264848E-3</v>
      </c>
      <c r="I243" t="s">
        <v>4170</v>
      </c>
      <c r="J243" t="s">
        <v>5116</v>
      </c>
    </row>
    <row r="244" spans="1:10" x14ac:dyDescent="0.55000000000000004">
      <c r="A244" t="s">
        <v>4171</v>
      </c>
      <c r="B244" t="s">
        <v>5115</v>
      </c>
      <c r="C244" t="s">
        <v>5115</v>
      </c>
      <c r="D244" t="s">
        <v>5115</v>
      </c>
      <c r="E244">
        <v>0.98717004280069598</v>
      </c>
      <c r="F244">
        <v>3.7995094873264101E-3</v>
      </c>
      <c r="G244">
        <v>3.7403583734821198E-3</v>
      </c>
      <c r="H244">
        <v>5.2900893384955601E-3</v>
      </c>
      <c r="I244" t="s">
        <v>4171</v>
      </c>
      <c r="J244" t="s">
        <v>5115</v>
      </c>
    </row>
    <row r="245" spans="1:10" x14ac:dyDescent="0.55000000000000004">
      <c r="A245" t="s">
        <v>4172</v>
      </c>
      <c r="B245" t="s">
        <v>5115</v>
      </c>
      <c r="C245" t="s">
        <v>5115</v>
      </c>
      <c r="D245" t="s">
        <v>5115</v>
      </c>
      <c r="E245">
        <v>0.842559096777456</v>
      </c>
      <c r="F245">
        <v>6.7247678169818595E-2</v>
      </c>
      <c r="G245">
        <v>8.1668791219356496E-2</v>
      </c>
      <c r="H245">
        <v>8.5244338333688406E-3</v>
      </c>
      <c r="I245" t="s">
        <v>4172</v>
      </c>
      <c r="J245" t="s">
        <v>5115</v>
      </c>
    </row>
    <row r="246" spans="1:10" x14ac:dyDescent="0.55000000000000004">
      <c r="A246" t="s">
        <v>4173</v>
      </c>
      <c r="B246" t="s">
        <v>5116</v>
      </c>
      <c r="C246" t="s">
        <v>5116</v>
      </c>
      <c r="D246" t="s">
        <v>5116</v>
      </c>
      <c r="E246">
        <v>1.03463570412073E-2</v>
      </c>
      <c r="F246">
        <v>1.0902935451739299E-2</v>
      </c>
      <c r="G246">
        <v>0.97457329473457499</v>
      </c>
      <c r="H246">
        <v>4.1774127724786697E-3</v>
      </c>
      <c r="I246" t="s">
        <v>4173</v>
      </c>
      <c r="J246" t="s">
        <v>5116</v>
      </c>
    </row>
    <row r="247" spans="1:10" x14ac:dyDescent="0.55000000000000004">
      <c r="A247" t="s">
        <v>4174</v>
      </c>
      <c r="B247" t="s">
        <v>5116</v>
      </c>
      <c r="C247" t="s">
        <v>5116</v>
      </c>
      <c r="D247" t="s">
        <v>5116</v>
      </c>
      <c r="E247">
        <v>7.9233269921192406E-3</v>
      </c>
      <c r="F247">
        <v>2.6240067238846101E-2</v>
      </c>
      <c r="G247">
        <v>0.96220858574539003</v>
      </c>
      <c r="H247">
        <v>3.62802002364467E-3</v>
      </c>
      <c r="I247" t="s">
        <v>4174</v>
      </c>
      <c r="J247" t="s">
        <v>5116</v>
      </c>
    </row>
    <row r="248" spans="1:10" x14ac:dyDescent="0.55000000000000004">
      <c r="A248" t="s">
        <v>4175</v>
      </c>
      <c r="B248" t="s">
        <v>5116</v>
      </c>
      <c r="C248" t="s">
        <v>5116</v>
      </c>
      <c r="D248" t="s">
        <v>5116</v>
      </c>
      <c r="E248">
        <v>3.3189303881460898E-3</v>
      </c>
      <c r="F248">
        <v>5.9906082555288504E-3</v>
      </c>
      <c r="G248">
        <v>0.98719584057199705</v>
      </c>
      <c r="H248">
        <v>3.4946207843284099E-3</v>
      </c>
      <c r="I248" t="s">
        <v>4175</v>
      </c>
      <c r="J248" t="s">
        <v>5116</v>
      </c>
    </row>
    <row r="249" spans="1:10" x14ac:dyDescent="0.55000000000000004">
      <c r="A249" t="s">
        <v>4176</v>
      </c>
      <c r="B249" t="s">
        <v>5116</v>
      </c>
      <c r="C249" t="s">
        <v>5116</v>
      </c>
      <c r="D249" t="s">
        <v>5116</v>
      </c>
      <c r="E249">
        <v>3.01790737120008E-3</v>
      </c>
      <c r="F249">
        <v>5.8275332832272301E-3</v>
      </c>
      <c r="G249">
        <v>0.98822876935044401</v>
      </c>
      <c r="H249">
        <v>2.9257899951288802E-3</v>
      </c>
      <c r="I249" t="s">
        <v>4176</v>
      </c>
      <c r="J249" t="s">
        <v>5116</v>
      </c>
    </row>
    <row r="250" spans="1:10" x14ac:dyDescent="0.55000000000000004">
      <c r="A250" t="s">
        <v>3473</v>
      </c>
      <c r="B250" t="s">
        <v>5115</v>
      </c>
      <c r="C250" t="s">
        <v>5115</v>
      </c>
      <c r="D250" t="s">
        <v>5115</v>
      </c>
      <c r="E250">
        <v>0.98058597141564596</v>
      </c>
      <c r="F250">
        <v>8.8419789449963194E-3</v>
      </c>
      <c r="G250">
        <v>7.3243595501977501E-3</v>
      </c>
      <c r="H250">
        <v>3.2476900891597301E-3</v>
      </c>
      <c r="I250" t="s">
        <v>3473</v>
      </c>
      <c r="J250" t="s">
        <v>5115</v>
      </c>
    </row>
    <row r="251" spans="1:10" x14ac:dyDescent="0.55000000000000004">
      <c r="A251" t="s">
        <v>3474</v>
      </c>
      <c r="B251" t="s">
        <v>5115</v>
      </c>
      <c r="C251" t="s">
        <v>5115</v>
      </c>
      <c r="D251" t="s">
        <v>5115</v>
      </c>
      <c r="E251">
        <v>0.98946226894199696</v>
      </c>
      <c r="F251">
        <v>1.6138908210015701E-3</v>
      </c>
      <c r="G251">
        <v>5.1498923318926996E-3</v>
      </c>
      <c r="H251">
        <v>3.7739479051091302E-3</v>
      </c>
      <c r="I251" t="s">
        <v>3474</v>
      </c>
      <c r="J251" t="s">
        <v>5115</v>
      </c>
    </row>
    <row r="252" spans="1:10" x14ac:dyDescent="0.55000000000000004">
      <c r="A252" t="s">
        <v>3475</v>
      </c>
      <c r="B252" t="s">
        <v>5115</v>
      </c>
      <c r="C252" t="s">
        <v>5115</v>
      </c>
      <c r="D252" t="s">
        <v>5115</v>
      </c>
      <c r="E252">
        <v>0.92252698374061604</v>
      </c>
      <c r="F252">
        <v>3.20663302500937E-2</v>
      </c>
      <c r="G252">
        <v>3.92430228089935E-2</v>
      </c>
      <c r="H252">
        <v>6.16366320029672E-3</v>
      </c>
      <c r="I252" t="s">
        <v>3475</v>
      </c>
      <c r="J252" t="s">
        <v>5115</v>
      </c>
    </row>
    <row r="253" spans="1:10" x14ac:dyDescent="0.55000000000000004">
      <c r="A253" t="s">
        <v>3476</v>
      </c>
      <c r="B253" t="s">
        <v>5115</v>
      </c>
      <c r="C253" t="s">
        <v>5115</v>
      </c>
      <c r="D253" t="s">
        <v>5115</v>
      </c>
      <c r="E253">
        <v>0.94551259080529304</v>
      </c>
      <c r="F253">
        <v>2.11744267282085E-2</v>
      </c>
      <c r="G253">
        <v>2.5987649721042502E-2</v>
      </c>
      <c r="H253">
        <v>7.3253327454557001E-3</v>
      </c>
      <c r="I253" t="s">
        <v>3476</v>
      </c>
      <c r="J253" t="s">
        <v>5115</v>
      </c>
    </row>
    <row r="254" spans="1:10" x14ac:dyDescent="0.55000000000000004">
      <c r="A254" t="s">
        <v>3477</v>
      </c>
      <c r="B254" t="s">
        <v>5116</v>
      </c>
      <c r="C254" t="s">
        <v>5116</v>
      </c>
      <c r="D254" t="s">
        <v>5116</v>
      </c>
      <c r="E254">
        <v>1.47751574559747E-2</v>
      </c>
      <c r="F254">
        <v>1.44298283644581E-2</v>
      </c>
      <c r="G254">
        <v>0.966914747794828</v>
      </c>
      <c r="H254">
        <v>3.8802663847394502E-3</v>
      </c>
      <c r="I254" t="s">
        <v>3477</v>
      </c>
      <c r="J254" t="s">
        <v>5116</v>
      </c>
    </row>
    <row r="255" spans="1:10" x14ac:dyDescent="0.55000000000000004">
      <c r="A255" t="s">
        <v>3478</v>
      </c>
      <c r="B255" t="s">
        <v>5115</v>
      </c>
      <c r="C255" t="s">
        <v>5115</v>
      </c>
      <c r="D255" t="s">
        <v>5115</v>
      </c>
      <c r="E255">
        <v>0.84687203519378595</v>
      </c>
      <c r="F255">
        <v>8.3855185695257003E-2</v>
      </c>
      <c r="G255">
        <v>3.8093368031193703E-2</v>
      </c>
      <c r="H255">
        <v>3.1179411079762999E-2</v>
      </c>
      <c r="I255" t="s">
        <v>3478</v>
      </c>
      <c r="J255" t="s">
        <v>5115</v>
      </c>
    </row>
    <row r="256" spans="1:10" x14ac:dyDescent="0.55000000000000004">
      <c r="A256" t="s">
        <v>3479</v>
      </c>
      <c r="B256" t="s">
        <v>5115</v>
      </c>
      <c r="C256" t="s">
        <v>5115</v>
      </c>
      <c r="D256" t="s">
        <v>5115</v>
      </c>
      <c r="E256">
        <v>0.98894091451077204</v>
      </c>
      <c r="F256">
        <v>2.7250923315030699E-3</v>
      </c>
      <c r="G256">
        <v>3.0770758837445201E-3</v>
      </c>
      <c r="H256">
        <v>5.2569172739800399E-3</v>
      </c>
      <c r="I256" t="s">
        <v>3479</v>
      </c>
      <c r="J256" t="s">
        <v>5115</v>
      </c>
    </row>
    <row r="257" spans="1:11" x14ac:dyDescent="0.55000000000000004">
      <c r="A257" t="s">
        <v>3480</v>
      </c>
      <c r="B257" t="s">
        <v>5115</v>
      </c>
      <c r="C257" t="s">
        <v>5115</v>
      </c>
      <c r="D257" t="s">
        <v>5115</v>
      </c>
      <c r="E257">
        <v>0.94657410302667999</v>
      </c>
      <c r="F257">
        <v>1.92435055851004E-2</v>
      </c>
      <c r="G257">
        <v>2.8288283541062598E-2</v>
      </c>
      <c r="H257">
        <v>5.8941078471572896E-3</v>
      </c>
      <c r="I257" t="s">
        <v>3480</v>
      </c>
      <c r="J257" t="s">
        <v>5115</v>
      </c>
    </row>
    <row r="258" spans="1:11" x14ac:dyDescent="0.55000000000000004">
      <c r="A258" t="s">
        <v>3481</v>
      </c>
      <c r="B258" t="s">
        <v>5115</v>
      </c>
      <c r="C258" t="s">
        <v>5115</v>
      </c>
      <c r="D258" t="s">
        <v>5115</v>
      </c>
      <c r="E258">
        <v>0.98663281093778099</v>
      </c>
      <c r="F258">
        <v>3.4473168472675402E-3</v>
      </c>
      <c r="G258">
        <v>5.8676945934923999E-3</v>
      </c>
      <c r="H258">
        <v>4.0521776214592501E-3</v>
      </c>
      <c r="I258" t="s">
        <v>3481</v>
      </c>
      <c r="J258" t="s">
        <v>5115</v>
      </c>
    </row>
    <row r="259" spans="1:11" x14ac:dyDescent="0.55000000000000004">
      <c r="A259" t="s">
        <v>3482</v>
      </c>
      <c r="B259" t="s">
        <v>5115</v>
      </c>
      <c r="C259" t="s">
        <v>5115</v>
      </c>
      <c r="D259" t="s">
        <v>5115</v>
      </c>
      <c r="E259">
        <v>0.93122246010847098</v>
      </c>
      <c r="F259">
        <v>3.2109785438251201E-2</v>
      </c>
      <c r="G259">
        <v>2.9444066982380401E-2</v>
      </c>
      <c r="H259">
        <v>7.2236874708970899E-3</v>
      </c>
      <c r="I259" t="s">
        <v>3482</v>
      </c>
      <c r="J259" t="s">
        <v>5115</v>
      </c>
    </row>
    <row r="260" spans="1:11" x14ac:dyDescent="0.55000000000000004">
      <c r="A260" t="s">
        <v>3483</v>
      </c>
      <c r="B260" t="s">
        <v>5115</v>
      </c>
      <c r="C260" t="s">
        <v>5115</v>
      </c>
      <c r="D260" t="s">
        <v>5115</v>
      </c>
      <c r="E260">
        <v>0.92281122842534802</v>
      </c>
      <c r="F260">
        <v>3.72478767582256E-2</v>
      </c>
      <c r="G260">
        <v>3.3333008847478501E-2</v>
      </c>
      <c r="H260">
        <v>6.60788596894866E-3</v>
      </c>
      <c r="I260" t="s">
        <v>3483</v>
      </c>
      <c r="J260" t="s">
        <v>5115</v>
      </c>
    </row>
    <row r="261" spans="1:11" x14ac:dyDescent="0.55000000000000004">
      <c r="A261" t="s">
        <v>3484</v>
      </c>
      <c r="B261" t="s">
        <v>5115</v>
      </c>
      <c r="C261" t="s">
        <v>5115</v>
      </c>
      <c r="D261" t="s">
        <v>5115</v>
      </c>
      <c r="E261">
        <v>0.97926715075517101</v>
      </c>
      <c r="F261">
        <v>8.7857975289415899E-3</v>
      </c>
      <c r="G261">
        <v>8.8298640244331601E-3</v>
      </c>
      <c r="H261">
        <v>3.11718769145382E-3</v>
      </c>
      <c r="I261" t="s">
        <v>3484</v>
      </c>
      <c r="J261" t="s">
        <v>5115</v>
      </c>
    </row>
    <row r="262" spans="1:11" x14ac:dyDescent="0.55000000000000004">
      <c r="A262" t="s">
        <v>4953</v>
      </c>
      <c r="B262" t="s">
        <v>5115</v>
      </c>
      <c r="C262" t="s">
        <v>5115</v>
      </c>
      <c r="D262" t="s">
        <v>5115</v>
      </c>
      <c r="E262">
        <v>0.70499832634690096</v>
      </c>
      <c r="F262">
        <v>0.20816079156376399</v>
      </c>
      <c r="G262">
        <v>7.6664328344222904E-2</v>
      </c>
      <c r="H262">
        <v>1.01765537451121E-2</v>
      </c>
      <c r="I262" t="s">
        <v>4953</v>
      </c>
      <c r="J262" t="s">
        <v>5115</v>
      </c>
    </row>
    <row r="263" spans="1:11" x14ac:dyDescent="0.55000000000000004">
      <c r="A263" t="s">
        <v>4954</v>
      </c>
      <c r="B263" t="s">
        <v>5115</v>
      </c>
      <c r="C263" t="s">
        <v>5115</v>
      </c>
      <c r="D263" t="s">
        <v>5115</v>
      </c>
      <c r="E263">
        <v>0.63327975740884201</v>
      </c>
      <c r="F263">
        <v>0.16183418018523099</v>
      </c>
      <c r="G263">
        <v>0.19629659058149901</v>
      </c>
      <c r="H263">
        <v>8.5894718244277704E-3</v>
      </c>
      <c r="I263" t="s">
        <v>4954</v>
      </c>
      <c r="J263" t="s">
        <v>5117</v>
      </c>
      <c r="K263" t="s">
        <v>5119</v>
      </c>
    </row>
    <row r="264" spans="1:11" x14ac:dyDescent="0.55000000000000004">
      <c r="A264" t="s">
        <v>4955</v>
      </c>
      <c r="B264" t="s">
        <v>5115</v>
      </c>
      <c r="C264" t="s">
        <v>5115</v>
      </c>
      <c r="D264" t="s">
        <v>5115</v>
      </c>
      <c r="E264">
        <v>0.85920080369886698</v>
      </c>
      <c r="F264">
        <v>4.9846218167603401E-2</v>
      </c>
      <c r="G264">
        <v>8.2784324493440406E-2</v>
      </c>
      <c r="H264">
        <v>8.1686536400896494E-3</v>
      </c>
      <c r="I264" t="s">
        <v>4955</v>
      </c>
      <c r="J264" t="s">
        <v>5115</v>
      </c>
    </row>
    <row r="265" spans="1:11" x14ac:dyDescent="0.55000000000000004">
      <c r="A265" t="s">
        <v>4956</v>
      </c>
      <c r="B265" t="s">
        <v>5115</v>
      </c>
      <c r="C265" t="s">
        <v>5115</v>
      </c>
      <c r="D265" t="s">
        <v>5115</v>
      </c>
      <c r="E265">
        <v>0.86282805502684401</v>
      </c>
      <c r="F265">
        <v>7.4862327973963999E-2</v>
      </c>
      <c r="G265">
        <v>5.2024743145454098E-2</v>
      </c>
      <c r="H265">
        <v>1.02848738537379E-2</v>
      </c>
      <c r="I265" t="s">
        <v>4956</v>
      </c>
      <c r="J265" t="s">
        <v>5115</v>
      </c>
    </row>
    <row r="266" spans="1:11" x14ac:dyDescent="0.55000000000000004">
      <c r="A266" t="s">
        <v>3805</v>
      </c>
      <c r="B266" t="s">
        <v>5115</v>
      </c>
      <c r="C266" t="s">
        <v>5115</v>
      </c>
      <c r="D266" t="s">
        <v>5115</v>
      </c>
      <c r="E266">
        <v>0.93310159919025204</v>
      </c>
      <c r="F266">
        <v>3.4895644280203801E-2</v>
      </c>
      <c r="G266">
        <v>2.6428814240105201E-2</v>
      </c>
      <c r="H266">
        <v>5.5739422894398498E-3</v>
      </c>
      <c r="I266" t="s">
        <v>3805</v>
      </c>
      <c r="J266" t="s">
        <v>5115</v>
      </c>
    </row>
    <row r="267" spans="1:11" x14ac:dyDescent="0.55000000000000004">
      <c r="A267" t="s">
        <v>3806</v>
      </c>
      <c r="B267" t="s">
        <v>5115</v>
      </c>
      <c r="C267" t="s">
        <v>5115</v>
      </c>
      <c r="D267" t="s">
        <v>5115</v>
      </c>
      <c r="E267">
        <v>0.979653216122226</v>
      </c>
      <c r="F267">
        <v>9.1943227790440198E-3</v>
      </c>
      <c r="G267">
        <v>7.0747103565637504E-3</v>
      </c>
      <c r="H267">
        <v>4.07775074216648E-3</v>
      </c>
      <c r="I267" t="s">
        <v>3806</v>
      </c>
      <c r="J267" t="s">
        <v>5115</v>
      </c>
    </row>
    <row r="268" spans="1:11" x14ac:dyDescent="0.55000000000000004">
      <c r="A268" t="s">
        <v>3807</v>
      </c>
      <c r="B268" t="s">
        <v>5115</v>
      </c>
      <c r="C268" t="s">
        <v>5115</v>
      </c>
      <c r="D268" t="s">
        <v>5115</v>
      </c>
      <c r="E268">
        <v>0.99232089968039405</v>
      </c>
      <c r="F268">
        <v>1.9590997900585301E-3</v>
      </c>
      <c r="G268">
        <v>2.5216556755296199E-3</v>
      </c>
      <c r="H268">
        <v>3.1983448540180998E-3</v>
      </c>
      <c r="I268" t="s">
        <v>3807</v>
      </c>
      <c r="J268" t="s">
        <v>5115</v>
      </c>
    </row>
    <row r="269" spans="1:11" x14ac:dyDescent="0.55000000000000004">
      <c r="A269" t="s">
        <v>3808</v>
      </c>
      <c r="B269" t="s">
        <v>5115</v>
      </c>
      <c r="C269" t="s">
        <v>5115</v>
      </c>
      <c r="D269" t="s">
        <v>5115</v>
      </c>
      <c r="E269">
        <v>0.97643173743789802</v>
      </c>
      <c r="F269">
        <v>9.9862423877038597E-3</v>
      </c>
      <c r="G269">
        <v>8.9789397162277403E-3</v>
      </c>
      <c r="H269">
        <v>4.6030804581700903E-3</v>
      </c>
      <c r="I269" t="s">
        <v>3808</v>
      </c>
      <c r="J269" t="s">
        <v>5115</v>
      </c>
    </row>
    <row r="270" spans="1:11" x14ac:dyDescent="0.55000000000000004">
      <c r="A270" t="s">
        <v>3809</v>
      </c>
      <c r="B270" t="s">
        <v>5115</v>
      </c>
      <c r="C270" t="s">
        <v>5115</v>
      </c>
      <c r="D270" t="s">
        <v>5115</v>
      </c>
      <c r="E270">
        <v>0.97821108815121605</v>
      </c>
      <c r="F270">
        <v>5.54469651765945E-3</v>
      </c>
      <c r="G270">
        <v>9.9580672284637801E-3</v>
      </c>
      <c r="H270">
        <v>6.2861481026605902E-3</v>
      </c>
      <c r="I270" t="s">
        <v>3809</v>
      </c>
      <c r="J270" t="s">
        <v>5115</v>
      </c>
    </row>
    <row r="271" spans="1:11" x14ac:dyDescent="0.55000000000000004">
      <c r="A271" t="s">
        <v>3810</v>
      </c>
      <c r="B271" t="s">
        <v>5115</v>
      </c>
      <c r="C271" t="s">
        <v>5115</v>
      </c>
      <c r="D271" t="s">
        <v>5115</v>
      </c>
      <c r="E271">
        <v>0.96194913010063698</v>
      </c>
      <c r="F271">
        <v>8.2922494851123997E-3</v>
      </c>
      <c r="G271">
        <v>2.3951138300752899E-2</v>
      </c>
      <c r="H271">
        <v>5.8074821134974398E-3</v>
      </c>
      <c r="I271" t="s">
        <v>3810</v>
      </c>
      <c r="J271" t="s">
        <v>5115</v>
      </c>
    </row>
    <row r="272" spans="1:11" x14ac:dyDescent="0.55000000000000004">
      <c r="A272" t="s">
        <v>3811</v>
      </c>
      <c r="B272" t="s">
        <v>5115</v>
      </c>
      <c r="C272" t="s">
        <v>5115</v>
      </c>
      <c r="D272" t="s">
        <v>5115</v>
      </c>
      <c r="E272">
        <v>0.989668775833489</v>
      </c>
      <c r="F272">
        <v>2.0370527205037701E-3</v>
      </c>
      <c r="G272">
        <v>5.2853986282662101E-3</v>
      </c>
      <c r="H272">
        <v>3.0087728177411702E-3</v>
      </c>
      <c r="I272" t="s">
        <v>3811</v>
      </c>
      <c r="J272" t="s">
        <v>5115</v>
      </c>
    </row>
    <row r="273" spans="1:11" x14ac:dyDescent="0.55000000000000004">
      <c r="A273" t="s">
        <v>3812</v>
      </c>
      <c r="B273" t="s">
        <v>5115</v>
      </c>
      <c r="C273" t="s">
        <v>5115</v>
      </c>
      <c r="D273" t="s">
        <v>5115</v>
      </c>
      <c r="E273">
        <v>0.96217565345679101</v>
      </c>
      <c r="F273">
        <v>1.3286797811813199E-2</v>
      </c>
      <c r="G273">
        <v>1.8088727818747902E-2</v>
      </c>
      <c r="H273">
        <v>6.4488209126476103E-3</v>
      </c>
      <c r="I273" t="s">
        <v>3812</v>
      </c>
      <c r="J273" t="s">
        <v>5115</v>
      </c>
    </row>
    <row r="274" spans="1:11" x14ac:dyDescent="0.55000000000000004">
      <c r="A274" t="s">
        <v>3813</v>
      </c>
      <c r="B274" t="s">
        <v>5115</v>
      </c>
      <c r="C274" t="s">
        <v>5115</v>
      </c>
      <c r="D274" t="s">
        <v>5115</v>
      </c>
      <c r="E274">
        <v>0.96174798377123505</v>
      </c>
      <c r="F274">
        <v>1.46076403421365E-2</v>
      </c>
      <c r="G274">
        <v>1.89880891404701E-2</v>
      </c>
      <c r="H274">
        <v>4.6562867461585299E-3</v>
      </c>
      <c r="I274" t="s">
        <v>3813</v>
      </c>
      <c r="J274" t="s">
        <v>5115</v>
      </c>
    </row>
    <row r="275" spans="1:11" x14ac:dyDescent="0.55000000000000004">
      <c r="A275" t="s">
        <v>3814</v>
      </c>
      <c r="B275" t="s">
        <v>5115</v>
      </c>
      <c r="C275" t="s">
        <v>5115</v>
      </c>
      <c r="D275" t="s">
        <v>5115</v>
      </c>
      <c r="E275">
        <v>0.94370097225754201</v>
      </c>
      <c r="F275">
        <v>1.8671171149178201E-2</v>
      </c>
      <c r="G275">
        <v>3.2245455640121698E-2</v>
      </c>
      <c r="H275">
        <v>5.3824009531584097E-3</v>
      </c>
      <c r="I275" t="s">
        <v>3814</v>
      </c>
      <c r="J275" t="s">
        <v>5115</v>
      </c>
    </row>
    <row r="276" spans="1:11" x14ac:dyDescent="0.55000000000000004">
      <c r="A276" t="s">
        <v>5006</v>
      </c>
      <c r="B276" t="s">
        <v>5116</v>
      </c>
      <c r="C276" t="s">
        <v>5116</v>
      </c>
      <c r="D276" t="s">
        <v>5116</v>
      </c>
      <c r="E276">
        <v>7.6003109906707901E-3</v>
      </c>
      <c r="F276">
        <v>1.42038530735045E-2</v>
      </c>
      <c r="G276">
        <v>0.97394579379542801</v>
      </c>
      <c r="H276">
        <v>4.2500421403968902E-3</v>
      </c>
      <c r="I276" t="s">
        <v>5006</v>
      </c>
      <c r="J276" t="s">
        <v>5116</v>
      </c>
    </row>
    <row r="277" spans="1:11" x14ac:dyDescent="0.55000000000000004">
      <c r="A277" t="s">
        <v>5007</v>
      </c>
      <c r="B277" t="s">
        <v>5115</v>
      </c>
      <c r="C277" t="s">
        <v>5115</v>
      </c>
      <c r="D277" t="s">
        <v>5115</v>
      </c>
      <c r="E277">
        <v>0.984348017632654</v>
      </c>
      <c r="F277">
        <v>5.2626281256660497E-3</v>
      </c>
      <c r="G277">
        <v>7.2744283465564497E-3</v>
      </c>
      <c r="H277">
        <v>3.1149258951233901E-3</v>
      </c>
      <c r="I277" t="s">
        <v>5007</v>
      </c>
      <c r="J277" t="s">
        <v>5115</v>
      </c>
    </row>
    <row r="278" spans="1:11" x14ac:dyDescent="0.55000000000000004">
      <c r="A278" t="s">
        <v>5008</v>
      </c>
      <c r="B278" t="s">
        <v>5115</v>
      </c>
      <c r="C278" t="s">
        <v>5115</v>
      </c>
      <c r="D278" t="s">
        <v>5115</v>
      </c>
      <c r="E278">
        <v>0.93963900617013596</v>
      </c>
      <c r="F278">
        <v>3.0513821900218299E-2</v>
      </c>
      <c r="G278">
        <v>2.3045658665381899E-2</v>
      </c>
      <c r="H278">
        <v>6.8015132642633104E-3</v>
      </c>
      <c r="I278" t="s">
        <v>5008</v>
      </c>
      <c r="J278" t="s">
        <v>5115</v>
      </c>
    </row>
    <row r="279" spans="1:11" x14ac:dyDescent="0.55000000000000004">
      <c r="A279" t="s">
        <v>5010</v>
      </c>
      <c r="B279" t="s">
        <v>5115</v>
      </c>
      <c r="C279" t="s">
        <v>5115</v>
      </c>
      <c r="D279" t="s">
        <v>5115</v>
      </c>
      <c r="E279">
        <v>0.80475021254218304</v>
      </c>
      <c r="F279">
        <v>7.1048782978307398E-2</v>
      </c>
      <c r="G279">
        <v>0.115060276195385</v>
      </c>
      <c r="H279">
        <v>9.1407282841245996E-3</v>
      </c>
      <c r="I279" t="s">
        <v>5010</v>
      </c>
      <c r="J279" t="s">
        <v>5115</v>
      </c>
    </row>
    <row r="280" spans="1:11" x14ac:dyDescent="0.55000000000000004">
      <c r="A280" t="s">
        <v>5011</v>
      </c>
      <c r="B280" t="s">
        <v>5115</v>
      </c>
      <c r="C280" t="s">
        <v>5115</v>
      </c>
      <c r="D280" t="s">
        <v>5115</v>
      </c>
      <c r="E280">
        <v>0.53590032197289805</v>
      </c>
      <c r="F280">
        <v>0.40614371429894403</v>
      </c>
      <c r="G280">
        <v>4.9727249734488797E-2</v>
      </c>
      <c r="H280">
        <v>8.2287139936685402E-3</v>
      </c>
      <c r="I280" t="s">
        <v>5011</v>
      </c>
      <c r="J280" t="s">
        <v>5117</v>
      </c>
      <c r="K280" t="s">
        <v>5118</v>
      </c>
    </row>
    <row r="281" spans="1:11" x14ac:dyDescent="0.55000000000000004">
      <c r="A281" t="s">
        <v>5012</v>
      </c>
      <c r="B281" t="s">
        <v>5116</v>
      </c>
      <c r="C281" t="s">
        <v>5116</v>
      </c>
      <c r="D281" t="s">
        <v>5116</v>
      </c>
      <c r="E281">
        <v>3.7133570039388801E-3</v>
      </c>
      <c r="F281">
        <v>7.7154859830001902E-3</v>
      </c>
      <c r="G281">
        <v>0.98588332259017097</v>
      </c>
      <c r="H281">
        <v>2.6878344228896999E-3</v>
      </c>
      <c r="I281" t="s">
        <v>5012</v>
      </c>
      <c r="J281" t="s">
        <v>5116</v>
      </c>
    </row>
    <row r="282" spans="1:11" x14ac:dyDescent="0.55000000000000004">
      <c r="A282" t="s">
        <v>5014</v>
      </c>
      <c r="B282" t="s">
        <v>5115</v>
      </c>
      <c r="C282" t="s">
        <v>5115</v>
      </c>
      <c r="D282" t="s">
        <v>5115</v>
      </c>
      <c r="E282">
        <v>0.92614965524785697</v>
      </c>
      <c r="F282">
        <v>3.4156621353692899E-2</v>
      </c>
      <c r="G282">
        <v>3.4534947513491197E-2</v>
      </c>
      <c r="H282">
        <v>5.1587758849590704E-3</v>
      </c>
      <c r="I282" t="s">
        <v>5014</v>
      </c>
      <c r="J282" t="s">
        <v>5115</v>
      </c>
    </row>
    <row r="283" spans="1:11" x14ac:dyDescent="0.55000000000000004">
      <c r="A283" t="s">
        <v>5015</v>
      </c>
      <c r="B283" t="s">
        <v>5115</v>
      </c>
      <c r="C283" t="s">
        <v>5115</v>
      </c>
      <c r="D283" t="s">
        <v>5115</v>
      </c>
      <c r="E283">
        <v>0.91228293385817305</v>
      </c>
      <c r="F283">
        <v>4.4737445988878001E-2</v>
      </c>
      <c r="G283">
        <v>3.8154703350659097E-2</v>
      </c>
      <c r="H283">
        <v>4.82491680228961E-3</v>
      </c>
      <c r="I283" t="s">
        <v>5015</v>
      </c>
      <c r="J283" t="s">
        <v>5115</v>
      </c>
    </row>
    <row r="284" spans="1:11" x14ac:dyDescent="0.55000000000000004">
      <c r="A284" t="s">
        <v>5016</v>
      </c>
      <c r="B284" t="s">
        <v>5116</v>
      </c>
      <c r="C284" t="s">
        <v>5116</v>
      </c>
      <c r="D284" t="s">
        <v>5116</v>
      </c>
      <c r="E284">
        <v>8.2848569480236597E-3</v>
      </c>
      <c r="F284">
        <v>9.6165484834572993E-3</v>
      </c>
      <c r="G284">
        <v>0.97926453119844403</v>
      </c>
      <c r="H284">
        <v>2.83406337007506E-3</v>
      </c>
      <c r="I284" t="s">
        <v>5016</v>
      </c>
      <c r="J284" t="s">
        <v>5116</v>
      </c>
    </row>
    <row r="285" spans="1:11" x14ac:dyDescent="0.55000000000000004">
      <c r="A285" t="s">
        <v>5017</v>
      </c>
      <c r="B285" t="s">
        <v>5115</v>
      </c>
      <c r="C285" t="s">
        <v>5115</v>
      </c>
      <c r="D285" t="s">
        <v>5115</v>
      </c>
      <c r="E285">
        <v>0.55768819421303895</v>
      </c>
      <c r="F285">
        <v>0.35107551199727199</v>
      </c>
      <c r="G285">
        <v>8.1783094880376495E-2</v>
      </c>
      <c r="H285">
        <v>9.45319890931293E-3</v>
      </c>
      <c r="I285" t="s">
        <v>5017</v>
      </c>
      <c r="J285" t="s">
        <v>5117</v>
      </c>
      <c r="K285" t="s">
        <v>5118</v>
      </c>
    </row>
    <row r="286" spans="1:11" x14ac:dyDescent="0.55000000000000004">
      <c r="A286" t="s">
        <v>3779</v>
      </c>
      <c r="B286" t="s">
        <v>5115</v>
      </c>
      <c r="C286" t="s">
        <v>5115</v>
      </c>
      <c r="D286" t="s">
        <v>5115</v>
      </c>
      <c r="E286">
        <v>0.95903212884031497</v>
      </c>
      <c r="F286">
        <v>1.82853170719121E-2</v>
      </c>
      <c r="G286">
        <v>1.5372038632840399E-2</v>
      </c>
      <c r="H286">
        <v>7.3105154549331702E-3</v>
      </c>
      <c r="I286" t="s">
        <v>3779</v>
      </c>
      <c r="J286" t="s">
        <v>5115</v>
      </c>
    </row>
    <row r="287" spans="1:11" x14ac:dyDescent="0.55000000000000004">
      <c r="A287" t="s">
        <v>3780</v>
      </c>
      <c r="B287" t="s">
        <v>5115</v>
      </c>
      <c r="C287" t="s">
        <v>5115</v>
      </c>
      <c r="D287" t="s">
        <v>5115</v>
      </c>
      <c r="E287">
        <v>0.89134169703591004</v>
      </c>
      <c r="F287">
        <v>4.9385109296693902E-2</v>
      </c>
      <c r="G287">
        <v>5.1267415695289399E-2</v>
      </c>
      <c r="H287">
        <v>8.0057779721069491E-3</v>
      </c>
      <c r="I287" t="s">
        <v>3780</v>
      </c>
      <c r="J287" t="s">
        <v>5115</v>
      </c>
    </row>
    <row r="288" spans="1:11" x14ac:dyDescent="0.55000000000000004">
      <c r="A288" t="s">
        <v>3781</v>
      </c>
      <c r="B288" t="s">
        <v>5115</v>
      </c>
      <c r="C288" t="s">
        <v>5115</v>
      </c>
      <c r="D288" t="s">
        <v>5115</v>
      </c>
      <c r="E288">
        <v>0.97651220094347901</v>
      </c>
      <c r="F288">
        <v>8.0773267523688106E-3</v>
      </c>
      <c r="G288">
        <v>1.17315538898272E-2</v>
      </c>
      <c r="H288">
        <v>3.6789184143256101E-3</v>
      </c>
      <c r="I288" t="s">
        <v>3781</v>
      </c>
      <c r="J288" t="s">
        <v>5115</v>
      </c>
    </row>
    <row r="289" spans="1:11" x14ac:dyDescent="0.55000000000000004">
      <c r="A289" t="s">
        <v>3782</v>
      </c>
      <c r="B289" t="s">
        <v>5115</v>
      </c>
      <c r="C289" t="s">
        <v>5115</v>
      </c>
      <c r="D289" t="s">
        <v>5115</v>
      </c>
      <c r="E289">
        <v>0.97279754240901395</v>
      </c>
      <c r="F289">
        <v>1.04683159893779E-2</v>
      </c>
      <c r="G289">
        <v>1.2739663327045601E-2</v>
      </c>
      <c r="H289">
        <v>3.9944782745627598E-3</v>
      </c>
      <c r="I289" t="s">
        <v>3782</v>
      </c>
      <c r="J289" t="s">
        <v>5115</v>
      </c>
    </row>
    <row r="290" spans="1:11" x14ac:dyDescent="0.55000000000000004">
      <c r="A290" t="s">
        <v>3783</v>
      </c>
      <c r="B290" t="s">
        <v>5115</v>
      </c>
      <c r="C290" t="s">
        <v>5115</v>
      </c>
      <c r="D290" t="s">
        <v>5115</v>
      </c>
      <c r="E290">
        <v>0.98176885255011204</v>
      </c>
      <c r="F290">
        <v>6.8517882231715899E-3</v>
      </c>
      <c r="G290">
        <v>7.9888928790918298E-3</v>
      </c>
      <c r="H290">
        <v>3.3904663476248399E-3</v>
      </c>
      <c r="I290" t="s">
        <v>3783</v>
      </c>
      <c r="J290" t="s">
        <v>5115</v>
      </c>
    </row>
    <row r="291" spans="1:11" x14ac:dyDescent="0.55000000000000004">
      <c r="A291" t="s">
        <v>3784</v>
      </c>
      <c r="B291" t="s">
        <v>5115</v>
      </c>
      <c r="C291" t="s">
        <v>5115</v>
      </c>
      <c r="D291" t="s">
        <v>5115</v>
      </c>
      <c r="E291">
        <v>0.97889600608582095</v>
      </c>
      <c r="F291">
        <v>7.4413866135194804E-3</v>
      </c>
      <c r="G291">
        <v>8.6910504422535104E-3</v>
      </c>
      <c r="H291">
        <v>4.9715568584053002E-3</v>
      </c>
      <c r="I291" t="s">
        <v>3784</v>
      </c>
      <c r="J291" t="s">
        <v>5115</v>
      </c>
    </row>
    <row r="292" spans="1:11" x14ac:dyDescent="0.55000000000000004">
      <c r="A292" t="s">
        <v>3785</v>
      </c>
      <c r="B292" t="s">
        <v>5115</v>
      </c>
      <c r="C292" t="s">
        <v>5115</v>
      </c>
      <c r="D292" t="s">
        <v>5115</v>
      </c>
      <c r="E292">
        <v>0.943939692523308</v>
      </c>
      <c r="F292">
        <v>3.3430951184879001E-2</v>
      </c>
      <c r="G292">
        <v>1.59647572570287E-2</v>
      </c>
      <c r="H292">
        <v>6.6645990347839199E-3</v>
      </c>
      <c r="I292" t="s">
        <v>3785</v>
      </c>
      <c r="J292" t="s">
        <v>5115</v>
      </c>
    </row>
    <row r="293" spans="1:11" x14ac:dyDescent="0.55000000000000004">
      <c r="A293" t="s">
        <v>3786</v>
      </c>
      <c r="B293" t="s">
        <v>5115</v>
      </c>
      <c r="C293" t="s">
        <v>5115</v>
      </c>
      <c r="D293" t="s">
        <v>5115</v>
      </c>
      <c r="E293">
        <v>0.96028139480791397</v>
      </c>
      <c r="F293">
        <v>1.8943895088747598E-2</v>
      </c>
      <c r="G293">
        <v>1.4959504423121E-2</v>
      </c>
      <c r="H293">
        <v>5.8152056802171703E-3</v>
      </c>
      <c r="I293" t="s">
        <v>3786</v>
      </c>
      <c r="J293" t="s">
        <v>5115</v>
      </c>
    </row>
    <row r="294" spans="1:11" x14ac:dyDescent="0.55000000000000004">
      <c r="A294" t="s">
        <v>3787</v>
      </c>
      <c r="B294" t="s">
        <v>5115</v>
      </c>
      <c r="C294" t="s">
        <v>5115</v>
      </c>
      <c r="D294" t="s">
        <v>5115</v>
      </c>
      <c r="E294">
        <v>0.96047066280492799</v>
      </c>
      <c r="F294">
        <v>2.0349380960708801E-2</v>
      </c>
      <c r="G294">
        <v>1.41400311932974E-2</v>
      </c>
      <c r="H294">
        <v>5.0399250410654E-3</v>
      </c>
      <c r="I294" t="s">
        <v>3787</v>
      </c>
      <c r="J294" t="s">
        <v>5115</v>
      </c>
    </row>
    <row r="295" spans="1:11" x14ac:dyDescent="0.55000000000000004">
      <c r="A295" t="s">
        <v>3788</v>
      </c>
      <c r="B295" t="s">
        <v>5115</v>
      </c>
      <c r="C295" t="s">
        <v>5116</v>
      </c>
      <c r="D295" t="s">
        <v>5116</v>
      </c>
      <c r="E295">
        <v>0.32956234739244</v>
      </c>
      <c r="F295">
        <v>0.14099099951503799</v>
      </c>
      <c r="G295">
        <v>0.50250280494071098</v>
      </c>
      <c r="H295">
        <v>2.6943848151810799E-2</v>
      </c>
      <c r="I295" t="s">
        <v>3788</v>
      </c>
      <c r="J295" t="s">
        <v>5117</v>
      </c>
      <c r="K295" t="s">
        <v>5119</v>
      </c>
    </row>
    <row r="296" spans="1:11" x14ac:dyDescent="0.55000000000000004">
      <c r="A296" t="s">
        <v>3789</v>
      </c>
      <c r="B296" t="s">
        <v>5115</v>
      </c>
      <c r="C296" t="s">
        <v>5115</v>
      </c>
      <c r="D296" t="s">
        <v>5115</v>
      </c>
      <c r="E296">
        <v>0.97234973878352204</v>
      </c>
      <c r="F296">
        <v>1.270775727099E-2</v>
      </c>
      <c r="G296">
        <v>8.8041754425207501E-3</v>
      </c>
      <c r="H296">
        <v>6.13832850296677E-3</v>
      </c>
      <c r="I296" t="s">
        <v>3789</v>
      </c>
      <c r="J296" t="s">
        <v>5115</v>
      </c>
    </row>
    <row r="297" spans="1:11" x14ac:dyDescent="0.55000000000000004">
      <c r="A297" t="s">
        <v>3790</v>
      </c>
      <c r="B297" t="s">
        <v>5115</v>
      </c>
      <c r="C297" t="s">
        <v>5115</v>
      </c>
      <c r="D297" t="s">
        <v>5115</v>
      </c>
      <c r="E297">
        <v>0.93914192200647895</v>
      </c>
      <c r="F297">
        <v>1.4392064151825999E-2</v>
      </c>
      <c r="G297">
        <v>4.1678872406904099E-2</v>
      </c>
      <c r="H297">
        <v>4.7871414347909003E-3</v>
      </c>
      <c r="I297" t="s">
        <v>3790</v>
      </c>
      <c r="J297" t="s">
        <v>5115</v>
      </c>
    </row>
    <row r="298" spans="1:11" x14ac:dyDescent="0.55000000000000004">
      <c r="A298" t="s">
        <v>4677</v>
      </c>
      <c r="B298" t="s">
        <v>5115</v>
      </c>
      <c r="C298" t="s">
        <v>5115</v>
      </c>
      <c r="D298" t="s">
        <v>5115</v>
      </c>
      <c r="E298">
        <v>0.88228800392747098</v>
      </c>
      <c r="F298">
        <v>3.9576899795813199E-2</v>
      </c>
      <c r="G298">
        <v>7.1346549318738101E-2</v>
      </c>
      <c r="H298">
        <v>6.7885469579773297E-3</v>
      </c>
      <c r="I298" t="s">
        <v>4677</v>
      </c>
      <c r="J298" t="s">
        <v>5115</v>
      </c>
    </row>
    <row r="299" spans="1:11" x14ac:dyDescent="0.55000000000000004">
      <c r="A299" t="s">
        <v>4678</v>
      </c>
      <c r="B299" t="s">
        <v>5115</v>
      </c>
      <c r="C299" t="s">
        <v>5115</v>
      </c>
      <c r="D299" t="s">
        <v>5115</v>
      </c>
      <c r="E299">
        <v>0.928992795476831</v>
      </c>
      <c r="F299">
        <v>2.5942273975126599E-2</v>
      </c>
      <c r="G299">
        <v>3.79090207171668E-2</v>
      </c>
      <c r="H299">
        <v>7.1559098308758302E-3</v>
      </c>
      <c r="I299" t="s">
        <v>4678</v>
      </c>
      <c r="J299" t="s">
        <v>5115</v>
      </c>
    </row>
    <row r="300" spans="1:11" x14ac:dyDescent="0.55000000000000004">
      <c r="A300" t="s">
        <v>4679</v>
      </c>
      <c r="B300" t="s">
        <v>5116</v>
      </c>
      <c r="C300" t="s">
        <v>5116</v>
      </c>
      <c r="D300" t="s">
        <v>5116</v>
      </c>
      <c r="E300">
        <v>0.30505280747815899</v>
      </c>
      <c r="F300">
        <v>6.7073281011398797E-2</v>
      </c>
      <c r="G300">
        <v>0.62123233998558203</v>
      </c>
      <c r="H300">
        <v>6.6415715248601803E-3</v>
      </c>
      <c r="I300" t="s">
        <v>4679</v>
      </c>
      <c r="J300" t="s">
        <v>5117</v>
      </c>
      <c r="K300" t="s">
        <v>5119</v>
      </c>
    </row>
    <row r="301" spans="1:11" x14ac:dyDescent="0.55000000000000004">
      <c r="A301" t="s">
        <v>4680</v>
      </c>
      <c r="B301" t="s">
        <v>5115</v>
      </c>
      <c r="C301" t="s">
        <v>5115</v>
      </c>
      <c r="D301" t="s">
        <v>5115</v>
      </c>
      <c r="E301">
        <v>0.84305428883126099</v>
      </c>
      <c r="F301">
        <v>9.4240952094112804E-2</v>
      </c>
      <c r="G301">
        <v>5.0859455761752902E-2</v>
      </c>
      <c r="H301">
        <v>1.1845303312873701E-2</v>
      </c>
      <c r="I301" t="s">
        <v>4680</v>
      </c>
      <c r="J301" t="s">
        <v>5115</v>
      </c>
    </row>
    <row r="302" spans="1:11" x14ac:dyDescent="0.55000000000000004">
      <c r="A302" t="s">
        <v>4681</v>
      </c>
      <c r="B302" t="s">
        <v>5116</v>
      </c>
      <c r="C302" t="s">
        <v>5116</v>
      </c>
      <c r="D302" t="s">
        <v>5116</v>
      </c>
      <c r="E302">
        <v>4.3515745226859201E-3</v>
      </c>
      <c r="F302">
        <v>5.5067860490016001E-3</v>
      </c>
      <c r="G302">
        <v>0.98702458864326903</v>
      </c>
      <c r="H302">
        <v>3.1170507850432402E-3</v>
      </c>
      <c r="I302" t="s">
        <v>4681</v>
      </c>
      <c r="J302" t="s">
        <v>5116</v>
      </c>
    </row>
    <row r="303" spans="1:11" x14ac:dyDescent="0.55000000000000004">
      <c r="A303" t="s">
        <v>4682</v>
      </c>
      <c r="B303" t="s">
        <v>5116</v>
      </c>
      <c r="C303" t="s">
        <v>5116</v>
      </c>
      <c r="D303" t="s">
        <v>5116</v>
      </c>
      <c r="E303">
        <v>6.7368596094566999E-3</v>
      </c>
      <c r="F303">
        <v>7.6643370287503296E-3</v>
      </c>
      <c r="G303">
        <v>0.98153940869679501</v>
      </c>
      <c r="H303">
        <v>4.0593946649976299E-3</v>
      </c>
      <c r="I303" t="s">
        <v>4682</v>
      </c>
      <c r="J303" t="s">
        <v>5116</v>
      </c>
    </row>
    <row r="304" spans="1:11" x14ac:dyDescent="0.55000000000000004">
      <c r="A304" t="s">
        <v>4683</v>
      </c>
      <c r="B304" t="s">
        <v>5115</v>
      </c>
      <c r="C304" t="s">
        <v>5115</v>
      </c>
      <c r="D304" t="s">
        <v>5115</v>
      </c>
      <c r="E304">
        <v>0.93892251412608996</v>
      </c>
      <c r="F304">
        <v>1.58686707377356E-2</v>
      </c>
      <c r="G304">
        <v>3.8786389760404098E-2</v>
      </c>
      <c r="H304">
        <v>6.4224253757699003E-3</v>
      </c>
      <c r="I304" t="s">
        <v>4683</v>
      </c>
      <c r="J304" t="s">
        <v>5115</v>
      </c>
    </row>
    <row r="305" spans="1:11" x14ac:dyDescent="0.55000000000000004">
      <c r="A305" t="s">
        <v>4684</v>
      </c>
      <c r="B305" t="s">
        <v>5115</v>
      </c>
      <c r="C305" t="s">
        <v>5115</v>
      </c>
      <c r="D305" t="s">
        <v>5115</v>
      </c>
      <c r="E305">
        <v>0.93168561778762204</v>
      </c>
      <c r="F305">
        <v>2.9569855430459001E-2</v>
      </c>
      <c r="G305">
        <v>3.24204808316335E-2</v>
      </c>
      <c r="H305">
        <v>6.3240459502859597E-3</v>
      </c>
      <c r="I305" t="s">
        <v>4684</v>
      </c>
      <c r="J305" t="s">
        <v>5115</v>
      </c>
    </row>
    <row r="306" spans="1:11" x14ac:dyDescent="0.55000000000000004">
      <c r="A306" t="s">
        <v>4685</v>
      </c>
      <c r="B306" t="s">
        <v>5115</v>
      </c>
      <c r="C306" t="s">
        <v>5115</v>
      </c>
      <c r="D306" t="s">
        <v>5115</v>
      </c>
      <c r="E306">
        <v>0.98050411853728403</v>
      </c>
      <c r="F306">
        <v>4.9998937010305904E-3</v>
      </c>
      <c r="G306">
        <v>1.0525471476419201E-2</v>
      </c>
      <c r="H306">
        <v>3.9705162852665798E-3</v>
      </c>
      <c r="I306" t="s">
        <v>4685</v>
      </c>
      <c r="J306" t="s">
        <v>5115</v>
      </c>
    </row>
    <row r="307" spans="1:11" x14ac:dyDescent="0.55000000000000004">
      <c r="A307" t="s">
        <v>4686</v>
      </c>
      <c r="B307" t="s">
        <v>5116</v>
      </c>
      <c r="C307" t="s">
        <v>5116</v>
      </c>
      <c r="D307" t="s">
        <v>5116</v>
      </c>
      <c r="E307">
        <v>1.12092875731701E-2</v>
      </c>
      <c r="F307">
        <v>9.7412188095667707E-3</v>
      </c>
      <c r="G307">
        <v>0.97522331489497305</v>
      </c>
      <c r="H307">
        <v>3.8261787222902601E-3</v>
      </c>
      <c r="I307" t="s">
        <v>4686</v>
      </c>
      <c r="J307" t="s">
        <v>5116</v>
      </c>
    </row>
    <row r="308" spans="1:11" x14ac:dyDescent="0.55000000000000004">
      <c r="A308" t="s">
        <v>4687</v>
      </c>
      <c r="B308" t="s">
        <v>5116</v>
      </c>
      <c r="C308" t="s">
        <v>5116</v>
      </c>
      <c r="D308" t="s">
        <v>5116</v>
      </c>
      <c r="E308">
        <v>3.11019534740716E-3</v>
      </c>
      <c r="F308">
        <v>6.5018494145011197E-3</v>
      </c>
      <c r="G308">
        <v>0.98703920645141696</v>
      </c>
      <c r="H308">
        <v>3.3487487866747799E-3</v>
      </c>
      <c r="I308" t="s">
        <v>4687</v>
      </c>
      <c r="J308" t="s">
        <v>5116</v>
      </c>
    </row>
    <row r="309" spans="1:11" x14ac:dyDescent="0.55000000000000004">
      <c r="A309" t="s">
        <v>4688</v>
      </c>
      <c r="B309" t="s">
        <v>5115</v>
      </c>
      <c r="C309" t="s">
        <v>5115</v>
      </c>
      <c r="D309" t="s">
        <v>5115</v>
      </c>
      <c r="E309">
        <v>0.95372468325622795</v>
      </c>
      <c r="F309">
        <v>2.8440046405207101E-2</v>
      </c>
      <c r="G309">
        <v>1.17750894161671E-2</v>
      </c>
      <c r="H309">
        <v>6.0601809223981597E-3</v>
      </c>
      <c r="I309" t="s">
        <v>4688</v>
      </c>
      <c r="J309" t="s">
        <v>5115</v>
      </c>
    </row>
    <row r="310" spans="1:11" x14ac:dyDescent="0.55000000000000004">
      <c r="A310" t="s">
        <v>3638</v>
      </c>
      <c r="B310" t="s">
        <v>5115</v>
      </c>
      <c r="C310" t="s">
        <v>5115</v>
      </c>
      <c r="D310" t="s">
        <v>5115</v>
      </c>
      <c r="E310">
        <v>0.936789660220539</v>
      </c>
      <c r="F310">
        <v>2.6609140253353501E-2</v>
      </c>
      <c r="G310">
        <v>3.2456522512927702E-2</v>
      </c>
      <c r="H310">
        <v>4.1446770131804396E-3</v>
      </c>
      <c r="I310" t="s">
        <v>3638</v>
      </c>
      <c r="J310" t="s">
        <v>5115</v>
      </c>
    </row>
    <row r="311" spans="1:11" x14ac:dyDescent="0.55000000000000004">
      <c r="A311" t="s">
        <v>3639</v>
      </c>
      <c r="B311" t="s">
        <v>5115</v>
      </c>
      <c r="C311" t="s">
        <v>5115</v>
      </c>
      <c r="D311" t="s">
        <v>5115</v>
      </c>
      <c r="E311">
        <v>0.95634713215990697</v>
      </c>
      <c r="F311">
        <v>1.19379816795011E-2</v>
      </c>
      <c r="G311">
        <v>2.6944917155868799E-2</v>
      </c>
      <c r="H311">
        <v>4.7699690047228703E-3</v>
      </c>
      <c r="I311" t="s">
        <v>3639</v>
      </c>
      <c r="J311" t="s">
        <v>5115</v>
      </c>
    </row>
    <row r="312" spans="1:11" x14ac:dyDescent="0.55000000000000004">
      <c r="A312" t="s">
        <v>3640</v>
      </c>
      <c r="B312" t="s">
        <v>5115</v>
      </c>
      <c r="C312" t="s">
        <v>5115</v>
      </c>
      <c r="D312" t="s">
        <v>5115</v>
      </c>
      <c r="E312">
        <v>0.86586284260689494</v>
      </c>
      <c r="F312">
        <v>6.8967064197987496E-2</v>
      </c>
      <c r="G312">
        <v>5.7839817411091198E-2</v>
      </c>
      <c r="H312">
        <v>7.3302757840260696E-3</v>
      </c>
      <c r="I312" t="s">
        <v>3640</v>
      </c>
      <c r="J312" t="s">
        <v>5115</v>
      </c>
    </row>
    <row r="313" spans="1:11" x14ac:dyDescent="0.55000000000000004">
      <c r="A313" t="s">
        <v>3641</v>
      </c>
      <c r="B313" t="s">
        <v>5115</v>
      </c>
      <c r="C313" t="s">
        <v>5115</v>
      </c>
      <c r="D313" t="s">
        <v>5115</v>
      </c>
      <c r="E313">
        <v>0.96093849237505402</v>
      </c>
      <c r="F313">
        <v>1.7304189588917801E-2</v>
      </c>
      <c r="G313">
        <v>1.4764955433346799E-2</v>
      </c>
      <c r="H313">
        <v>6.9923626026814501E-3</v>
      </c>
      <c r="I313" t="s">
        <v>3641</v>
      </c>
      <c r="J313" t="s">
        <v>5115</v>
      </c>
    </row>
    <row r="314" spans="1:11" x14ac:dyDescent="0.55000000000000004">
      <c r="A314" t="s">
        <v>3642</v>
      </c>
      <c r="B314" t="s">
        <v>5115</v>
      </c>
      <c r="C314" t="s">
        <v>5115</v>
      </c>
      <c r="D314" t="s">
        <v>5115</v>
      </c>
      <c r="E314">
        <v>0.89758551150739596</v>
      </c>
      <c r="F314">
        <v>3.8803673497536897E-2</v>
      </c>
      <c r="G314">
        <v>5.5879470224644297E-2</v>
      </c>
      <c r="H314">
        <v>7.73134477042296E-3</v>
      </c>
      <c r="I314" t="s">
        <v>3642</v>
      </c>
      <c r="J314" t="s">
        <v>5115</v>
      </c>
    </row>
    <row r="315" spans="1:11" x14ac:dyDescent="0.55000000000000004">
      <c r="A315" t="s">
        <v>3643</v>
      </c>
      <c r="B315" t="s">
        <v>5115</v>
      </c>
      <c r="C315" t="s">
        <v>5115</v>
      </c>
      <c r="D315" t="s">
        <v>5115</v>
      </c>
      <c r="E315">
        <v>0.95192555406169999</v>
      </c>
      <c r="F315">
        <v>1.93049196250452E-2</v>
      </c>
      <c r="G315">
        <v>2.1066404341411101E-2</v>
      </c>
      <c r="H315">
        <v>7.7031219718435304E-3</v>
      </c>
      <c r="I315" t="s">
        <v>3643</v>
      </c>
      <c r="J315" t="s">
        <v>5115</v>
      </c>
    </row>
    <row r="316" spans="1:11" x14ac:dyDescent="0.55000000000000004">
      <c r="A316" t="s">
        <v>3644</v>
      </c>
      <c r="B316" t="s">
        <v>5115</v>
      </c>
      <c r="C316" t="s">
        <v>5115</v>
      </c>
      <c r="D316" t="s">
        <v>5115</v>
      </c>
      <c r="E316">
        <v>0.96475166499068299</v>
      </c>
      <c r="F316">
        <v>1.7086753737151902E-2</v>
      </c>
      <c r="G316">
        <v>1.2484581850350999E-2</v>
      </c>
      <c r="H316">
        <v>5.6769994218137899E-3</v>
      </c>
      <c r="I316" t="s">
        <v>3644</v>
      </c>
      <c r="J316" t="s">
        <v>5115</v>
      </c>
    </row>
    <row r="317" spans="1:11" x14ac:dyDescent="0.55000000000000004">
      <c r="A317" t="s">
        <v>3645</v>
      </c>
      <c r="B317" t="s">
        <v>5115</v>
      </c>
      <c r="C317" t="s">
        <v>5115</v>
      </c>
      <c r="D317" t="s">
        <v>5115</v>
      </c>
      <c r="E317">
        <v>0.92162005121474699</v>
      </c>
      <c r="F317">
        <v>2.2627257390090999E-2</v>
      </c>
      <c r="G317">
        <v>4.81387366895362E-2</v>
      </c>
      <c r="H317">
        <v>7.61395470562633E-3</v>
      </c>
      <c r="I317" t="s">
        <v>3645</v>
      </c>
      <c r="J317" t="s">
        <v>5115</v>
      </c>
    </row>
    <row r="318" spans="1:11" x14ac:dyDescent="0.55000000000000004">
      <c r="A318" t="s">
        <v>3646</v>
      </c>
      <c r="B318" t="s">
        <v>5115</v>
      </c>
      <c r="C318" t="s">
        <v>5115</v>
      </c>
      <c r="D318" t="s">
        <v>5115</v>
      </c>
      <c r="E318">
        <v>0.98180078475294297</v>
      </c>
      <c r="F318">
        <v>6.9131219287952E-3</v>
      </c>
      <c r="G318">
        <v>6.0198889369989196E-3</v>
      </c>
      <c r="H318">
        <v>5.26620438126348E-3</v>
      </c>
      <c r="I318" t="s">
        <v>3646</v>
      </c>
      <c r="J318" t="s">
        <v>5115</v>
      </c>
    </row>
    <row r="319" spans="1:11" x14ac:dyDescent="0.55000000000000004">
      <c r="A319" t="s">
        <v>3647</v>
      </c>
      <c r="B319" t="s">
        <v>5115</v>
      </c>
      <c r="C319" t="s">
        <v>5115</v>
      </c>
      <c r="D319" t="s">
        <v>5115</v>
      </c>
      <c r="E319">
        <v>0.56939864141385899</v>
      </c>
      <c r="F319">
        <v>0.139244720892856</v>
      </c>
      <c r="G319">
        <v>0.21848324962345</v>
      </c>
      <c r="H319">
        <v>7.2873388069834594E-2</v>
      </c>
      <c r="I319" t="s">
        <v>3647</v>
      </c>
      <c r="J319" t="s">
        <v>5117</v>
      </c>
      <c r="K319" t="s">
        <v>5119</v>
      </c>
    </row>
    <row r="320" spans="1:11" x14ac:dyDescent="0.55000000000000004">
      <c r="A320" t="s">
        <v>4188</v>
      </c>
      <c r="B320" t="s">
        <v>5116</v>
      </c>
      <c r="C320" t="s">
        <v>5116</v>
      </c>
      <c r="D320" t="s">
        <v>5116</v>
      </c>
      <c r="E320">
        <v>1.11988074240501E-2</v>
      </c>
      <c r="F320">
        <v>1.3889737373872999E-2</v>
      </c>
      <c r="G320">
        <v>0.97143097869046002</v>
      </c>
      <c r="H320">
        <v>3.4804765116171E-3</v>
      </c>
      <c r="I320" t="s">
        <v>4188</v>
      </c>
      <c r="J320" t="s">
        <v>5116</v>
      </c>
    </row>
    <row r="321" spans="1:10" x14ac:dyDescent="0.55000000000000004">
      <c r="A321" t="s">
        <v>3753</v>
      </c>
      <c r="B321" t="s">
        <v>5116</v>
      </c>
      <c r="C321" t="s">
        <v>5116</v>
      </c>
      <c r="D321" t="s">
        <v>5116</v>
      </c>
      <c r="E321">
        <v>2.17268210713163E-3</v>
      </c>
      <c r="F321">
        <v>8.1715740593644292E-3</v>
      </c>
      <c r="G321">
        <v>0.98634688569617202</v>
      </c>
      <c r="H321">
        <v>3.3088581373323001E-3</v>
      </c>
      <c r="I321" t="s">
        <v>3753</v>
      </c>
      <c r="J321" t="s">
        <v>5116</v>
      </c>
    </row>
    <row r="322" spans="1:10" x14ac:dyDescent="0.55000000000000004">
      <c r="A322" t="s">
        <v>3754</v>
      </c>
      <c r="B322" t="s">
        <v>5115</v>
      </c>
      <c r="C322" t="s">
        <v>5115</v>
      </c>
      <c r="D322" t="s">
        <v>5115</v>
      </c>
      <c r="E322">
        <v>0.95163746909326996</v>
      </c>
      <c r="F322">
        <v>2.5991306070835499E-2</v>
      </c>
      <c r="G322">
        <v>1.66626185656941E-2</v>
      </c>
      <c r="H322">
        <v>5.7086062702007296E-3</v>
      </c>
      <c r="I322" t="s">
        <v>3754</v>
      </c>
      <c r="J322" t="s">
        <v>5115</v>
      </c>
    </row>
    <row r="323" spans="1:10" x14ac:dyDescent="0.55000000000000004">
      <c r="A323" t="s">
        <v>3755</v>
      </c>
      <c r="B323" t="s">
        <v>5115</v>
      </c>
      <c r="C323" t="s">
        <v>5115</v>
      </c>
      <c r="D323" t="s">
        <v>5115</v>
      </c>
      <c r="E323">
        <v>0.95189913534602</v>
      </c>
      <c r="F323">
        <v>2.13919354924508E-2</v>
      </c>
      <c r="G323">
        <v>1.88086248020864E-2</v>
      </c>
      <c r="H323">
        <v>7.9003043594423408E-3</v>
      </c>
      <c r="I323" t="s">
        <v>3755</v>
      </c>
      <c r="J323" t="s">
        <v>5115</v>
      </c>
    </row>
    <row r="324" spans="1:10" x14ac:dyDescent="0.55000000000000004">
      <c r="A324" t="s">
        <v>3756</v>
      </c>
      <c r="B324" t="s">
        <v>5115</v>
      </c>
      <c r="C324" t="s">
        <v>5115</v>
      </c>
      <c r="D324" t="s">
        <v>5115</v>
      </c>
      <c r="E324">
        <v>0.97654789748489501</v>
      </c>
      <c r="F324">
        <v>8.1212644670992304E-3</v>
      </c>
      <c r="G324">
        <v>1.0793072242754101E-2</v>
      </c>
      <c r="H324">
        <v>4.5377658052515703E-3</v>
      </c>
      <c r="I324" t="s">
        <v>3756</v>
      </c>
      <c r="J324" t="s">
        <v>5115</v>
      </c>
    </row>
    <row r="325" spans="1:10" x14ac:dyDescent="0.55000000000000004">
      <c r="A325" t="s">
        <v>3757</v>
      </c>
      <c r="B325" t="s">
        <v>5116</v>
      </c>
      <c r="C325" t="s">
        <v>5116</v>
      </c>
      <c r="D325" t="s">
        <v>5116</v>
      </c>
      <c r="E325">
        <v>1.0406588165550301E-2</v>
      </c>
      <c r="F325">
        <v>7.0539225415179804E-3</v>
      </c>
      <c r="G325">
        <v>0.97859053762944004</v>
      </c>
      <c r="H325">
        <v>3.9489516634920703E-3</v>
      </c>
      <c r="I325" t="s">
        <v>3757</v>
      </c>
      <c r="J325" t="s">
        <v>5116</v>
      </c>
    </row>
    <row r="326" spans="1:10" x14ac:dyDescent="0.55000000000000004">
      <c r="A326" t="s">
        <v>3758</v>
      </c>
      <c r="B326" t="s">
        <v>5115</v>
      </c>
      <c r="C326" t="s">
        <v>5115</v>
      </c>
      <c r="D326" t="s">
        <v>5115</v>
      </c>
      <c r="E326">
        <v>0.87381331586960498</v>
      </c>
      <c r="F326">
        <v>4.6943675536019698E-2</v>
      </c>
      <c r="G326">
        <v>7.1036927216496806E-2</v>
      </c>
      <c r="H326">
        <v>8.2060813778787097E-3</v>
      </c>
      <c r="I326" t="s">
        <v>3758</v>
      </c>
      <c r="J326" t="s">
        <v>5115</v>
      </c>
    </row>
    <row r="327" spans="1:10" x14ac:dyDescent="0.55000000000000004">
      <c r="A327" t="s">
        <v>3759</v>
      </c>
      <c r="B327" t="s">
        <v>5115</v>
      </c>
      <c r="C327" t="s">
        <v>5115</v>
      </c>
      <c r="D327" t="s">
        <v>5115</v>
      </c>
      <c r="E327">
        <v>0.90717596039414405</v>
      </c>
      <c r="F327">
        <v>3.5041505746801697E-2</v>
      </c>
      <c r="G327">
        <v>5.2438384448709199E-2</v>
      </c>
      <c r="H327">
        <v>5.3441494103452702E-3</v>
      </c>
      <c r="I327" t="s">
        <v>3759</v>
      </c>
      <c r="J327" t="s">
        <v>5115</v>
      </c>
    </row>
    <row r="328" spans="1:10" x14ac:dyDescent="0.55000000000000004">
      <c r="A328" t="s">
        <v>3760</v>
      </c>
      <c r="B328" t="s">
        <v>5116</v>
      </c>
      <c r="C328" t="s">
        <v>5116</v>
      </c>
      <c r="D328" t="s">
        <v>5116</v>
      </c>
      <c r="E328">
        <v>5.0174141229849898E-3</v>
      </c>
      <c r="F328">
        <v>2.6503937330758499E-2</v>
      </c>
      <c r="G328">
        <v>0.96483088934547701</v>
      </c>
      <c r="H328">
        <v>3.6477592007795401E-3</v>
      </c>
      <c r="I328" t="s">
        <v>3760</v>
      </c>
      <c r="J328" t="s">
        <v>5116</v>
      </c>
    </row>
    <row r="329" spans="1:10" x14ac:dyDescent="0.55000000000000004">
      <c r="A329" t="s">
        <v>3761</v>
      </c>
      <c r="B329" t="s">
        <v>5115</v>
      </c>
      <c r="C329" t="s">
        <v>5115</v>
      </c>
      <c r="D329" t="s">
        <v>5115</v>
      </c>
      <c r="E329">
        <v>0.95710549537553102</v>
      </c>
      <c r="F329">
        <v>1.9757839694760599E-2</v>
      </c>
      <c r="G329">
        <v>1.8871959674326599E-2</v>
      </c>
      <c r="H329">
        <v>4.2647052553816496E-3</v>
      </c>
      <c r="I329" t="s">
        <v>3761</v>
      </c>
      <c r="J329" t="s">
        <v>5115</v>
      </c>
    </row>
    <row r="330" spans="1:10" x14ac:dyDescent="0.55000000000000004">
      <c r="A330" t="s">
        <v>3762</v>
      </c>
      <c r="B330" t="s">
        <v>5115</v>
      </c>
      <c r="C330" t="s">
        <v>5115</v>
      </c>
      <c r="D330" t="s">
        <v>5115</v>
      </c>
      <c r="E330">
        <v>0.91493938731072599</v>
      </c>
      <c r="F330">
        <v>5.2594480764474899E-2</v>
      </c>
      <c r="G330">
        <v>2.63044498156291E-2</v>
      </c>
      <c r="H330">
        <v>6.1616821091698103E-3</v>
      </c>
      <c r="I330" t="s">
        <v>3762</v>
      </c>
      <c r="J330" t="s">
        <v>5115</v>
      </c>
    </row>
    <row r="331" spans="1:10" x14ac:dyDescent="0.55000000000000004">
      <c r="A331" t="s">
        <v>3763</v>
      </c>
      <c r="B331" t="s">
        <v>5116</v>
      </c>
      <c r="C331" t="s">
        <v>5116</v>
      </c>
      <c r="D331" t="s">
        <v>5116</v>
      </c>
      <c r="E331">
        <v>7.7823670905034599E-3</v>
      </c>
      <c r="F331">
        <v>1.1132161912069999E-2</v>
      </c>
      <c r="G331">
        <v>0.978321043254755</v>
      </c>
      <c r="H331">
        <v>2.76442774267121E-3</v>
      </c>
      <c r="I331" t="s">
        <v>3763</v>
      </c>
      <c r="J331" t="s">
        <v>5116</v>
      </c>
    </row>
    <row r="332" spans="1:10" x14ac:dyDescent="0.55000000000000004">
      <c r="A332" t="s">
        <v>3764</v>
      </c>
      <c r="B332" t="s">
        <v>5116</v>
      </c>
      <c r="C332" t="s">
        <v>5116</v>
      </c>
      <c r="D332" t="s">
        <v>5116</v>
      </c>
      <c r="E332">
        <v>1.0524573558708899E-2</v>
      </c>
      <c r="F332">
        <v>1.2376601384026501E-2</v>
      </c>
      <c r="G332">
        <v>0.97406227826890102</v>
      </c>
      <c r="H332">
        <v>3.0365467883635999E-3</v>
      </c>
      <c r="I332" t="s">
        <v>3764</v>
      </c>
      <c r="J332" t="s">
        <v>5116</v>
      </c>
    </row>
    <row r="333" spans="1:10" x14ac:dyDescent="0.55000000000000004">
      <c r="A333" t="s">
        <v>4840</v>
      </c>
      <c r="B333" t="s">
        <v>5115</v>
      </c>
      <c r="C333" t="s">
        <v>5115</v>
      </c>
      <c r="D333" t="s">
        <v>5115</v>
      </c>
      <c r="E333">
        <v>0.97975708438690701</v>
      </c>
      <c r="F333">
        <v>6.3176049227628402E-3</v>
      </c>
      <c r="G333">
        <v>1.0261590099274E-2</v>
      </c>
      <c r="H333">
        <v>3.6637205910557999E-3</v>
      </c>
      <c r="I333" t="s">
        <v>4840</v>
      </c>
      <c r="J333" t="s">
        <v>5115</v>
      </c>
    </row>
    <row r="334" spans="1:10" x14ac:dyDescent="0.55000000000000004">
      <c r="A334" t="s">
        <v>4841</v>
      </c>
      <c r="B334" t="s">
        <v>5116</v>
      </c>
      <c r="C334" t="s">
        <v>5116</v>
      </c>
      <c r="D334" t="s">
        <v>5116</v>
      </c>
      <c r="E334">
        <v>6.7585116621108202E-3</v>
      </c>
      <c r="F334">
        <v>6.7766225460749296E-3</v>
      </c>
      <c r="G334">
        <v>0.98284792467700099</v>
      </c>
      <c r="H334">
        <v>3.61694111481355E-3</v>
      </c>
      <c r="I334" t="s">
        <v>4841</v>
      </c>
      <c r="J334" t="s">
        <v>5116</v>
      </c>
    </row>
    <row r="335" spans="1:10" x14ac:dyDescent="0.55000000000000004">
      <c r="A335" t="s">
        <v>4842</v>
      </c>
      <c r="B335" t="s">
        <v>5121</v>
      </c>
      <c r="C335" t="s">
        <v>5121</v>
      </c>
      <c r="D335" t="s">
        <v>5121</v>
      </c>
      <c r="E335">
        <v>8.5867904294988796E-3</v>
      </c>
      <c r="F335">
        <v>0.97178991824596195</v>
      </c>
      <c r="G335">
        <v>1.3430999310319E-2</v>
      </c>
      <c r="H335">
        <v>6.1922920142203196E-3</v>
      </c>
      <c r="I335" t="s">
        <v>4842</v>
      </c>
      <c r="J335" t="s">
        <v>5121</v>
      </c>
    </row>
    <row r="336" spans="1:10" x14ac:dyDescent="0.55000000000000004">
      <c r="A336" t="s">
        <v>4843</v>
      </c>
      <c r="B336" t="s">
        <v>5116</v>
      </c>
      <c r="C336" t="s">
        <v>5116</v>
      </c>
      <c r="D336" t="s">
        <v>5116</v>
      </c>
      <c r="E336">
        <v>1.1580826368586599E-2</v>
      </c>
      <c r="F336">
        <v>1.29944227963327E-2</v>
      </c>
      <c r="G336">
        <v>0.97194896065144398</v>
      </c>
      <c r="H336">
        <v>3.4757901836365199E-3</v>
      </c>
      <c r="I336" t="s">
        <v>4843</v>
      </c>
      <c r="J336" t="s">
        <v>5116</v>
      </c>
    </row>
    <row r="337" spans="1:11" x14ac:dyDescent="0.55000000000000004">
      <c r="A337" t="s">
        <v>4844</v>
      </c>
      <c r="B337" t="s">
        <v>5116</v>
      </c>
      <c r="C337" t="s">
        <v>5116</v>
      </c>
      <c r="D337" t="s">
        <v>5116</v>
      </c>
      <c r="E337">
        <v>6.3149839782296498E-3</v>
      </c>
      <c r="F337">
        <v>9.0297389875312207E-3</v>
      </c>
      <c r="G337">
        <v>0.98120994272880302</v>
      </c>
      <c r="H337">
        <v>3.4453343054362501E-3</v>
      </c>
      <c r="I337" t="s">
        <v>4844</v>
      </c>
      <c r="J337" t="s">
        <v>5116</v>
      </c>
    </row>
    <row r="338" spans="1:11" x14ac:dyDescent="0.55000000000000004">
      <c r="A338" t="s">
        <v>4845</v>
      </c>
      <c r="B338" t="s">
        <v>5116</v>
      </c>
      <c r="C338" t="s">
        <v>5116</v>
      </c>
      <c r="D338" t="s">
        <v>5116</v>
      </c>
      <c r="E338">
        <v>1.40984735185362E-2</v>
      </c>
      <c r="F338">
        <v>3.1525668764191099E-2</v>
      </c>
      <c r="G338">
        <v>0.94417720589827403</v>
      </c>
      <c r="H338">
        <v>1.0198651818998899E-2</v>
      </c>
      <c r="I338" t="s">
        <v>4845</v>
      </c>
      <c r="J338" t="s">
        <v>5116</v>
      </c>
    </row>
    <row r="339" spans="1:11" x14ac:dyDescent="0.55000000000000004">
      <c r="A339" t="s">
        <v>4846</v>
      </c>
      <c r="B339" t="s">
        <v>5116</v>
      </c>
      <c r="C339" t="s">
        <v>5116</v>
      </c>
      <c r="D339" t="s">
        <v>5116</v>
      </c>
      <c r="E339">
        <v>5.2029872736864E-3</v>
      </c>
      <c r="F339">
        <v>1.1048275224704E-2</v>
      </c>
      <c r="G339">
        <v>0.98083403893645804</v>
      </c>
      <c r="H339">
        <v>2.9146985651514901E-3</v>
      </c>
      <c r="I339" t="s">
        <v>4846</v>
      </c>
      <c r="J339" t="s">
        <v>5116</v>
      </c>
    </row>
    <row r="340" spans="1:11" x14ac:dyDescent="0.55000000000000004">
      <c r="A340" t="s">
        <v>4847</v>
      </c>
      <c r="B340" t="s">
        <v>5116</v>
      </c>
      <c r="C340" t="s">
        <v>5116</v>
      </c>
      <c r="D340" t="s">
        <v>5116</v>
      </c>
      <c r="E340">
        <v>5.4116367024290898E-3</v>
      </c>
      <c r="F340">
        <v>6.1495663215502998E-3</v>
      </c>
      <c r="G340">
        <v>0.98488279256697897</v>
      </c>
      <c r="H340">
        <v>3.5560044090418999E-3</v>
      </c>
      <c r="I340" t="s">
        <v>4847</v>
      </c>
      <c r="J340" t="s">
        <v>5116</v>
      </c>
    </row>
    <row r="341" spans="1:11" x14ac:dyDescent="0.55000000000000004">
      <c r="A341" t="s">
        <v>4848</v>
      </c>
      <c r="B341" t="s">
        <v>5121</v>
      </c>
      <c r="C341" t="s">
        <v>5121</v>
      </c>
      <c r="D341" t="s">
        <v>5121</v>
      </c>
      <c r="E341">
        <v>5.9545606608297899E-2</v>
      </c>
      <c r="F341">
        <v>0.51096617849774995</v>
      </c>
      <c r="G341">
        <v>0.42292311508555902</v>
      </c>
      <c r="H341">
        <v>6.5650998083937899E-3</v>
      </c>
      <c r="I341" t="s">
        <v>4848</v>
      </c>
      <c r="J341" t="s">
        <v>5117</v>
      </c>
      <c r="K341" t="s">
        <v>5166</v>
      </c>
    </row>
    <row r="342" spans="1:11" x14ac:dyDescent="0.55000000000000004">
      <c r="A342" t="s">
        <v>4849</v>
      </c>
      <c r="B342" t="s">
        <v>5116</v>
      </c>
      <c r="C342" t="s">
        <v>5116</v>
      </c>
      <c r="D342" t="s">
        <v>5116</v>
      </c>
      <c r="E342">
        <v>6.5216255936678203E-3</v>
      </c>
      <c r="F342">
        <v>1.4916152209141401E-2</v>
      </c>
      <c r="G342">
        <v>0.975114782888715</v>
      </c>
      <c r="H342">
        <v>3.4474393084762199E-3</v>
      </c>
      <c r="I342" t="s">
        <v>4849</v>
      </c>
      <c r="J342" t="s">
        <v>5116</v>
      </c>
    </row>
    <row r="343" spans="1:11" x14ac:dyDescent="0.55000000000000004">
      <c r="A343" t="s">
        <v>4850</v>
      </c>
      <c r="B343" t="s">
        <v>5116</v>
      </c>
      <c r="C343" t="s">
        <v>5116</v>
      </c>
      <c r="D343" t="s">
        <v>5116</v>
      </c>
      <c r="E343">
        <v>1.1956036306082499E-2</v>
      </c>
      <c r="F343">
        <v>1.1085862734384199E-2</v>
      </c>
      <c r="G343">
        <v>0.97267874673886401</v>
      </c>
      <c r="H343">
        <v>4.2793542206695E-3</v>
      </c>
      <c r="I343" t="s">
        <v>4850</v>
      </c>
      <c r="J343" t="s">
        <v>5116</v>
      </c>
    </row>
    <row r="344" spans="1:11" x14ac:dyDescent="0.55000000000000004">
      <c r="A344" t="s">
        <v>4912</v>
      </c>
      <c r="B344" t="s">
        <v>5115</v>
      </c>
      <c r="C344" t="s">
        <v>5115</v>
      </c>
      <c r="D344" t="s">
        <v>5115</v>
      </c>
      <c r="E344">
        <v>0.86700219073810403</v>
      </c>
      <c r="F344">
        <v>0.100534789416791</v>
      </c>
      <c r="G344">
        <v>2.55638517228019E-2</v>
      </c>
      <c r="H344">
        <v>6.8991681223031804E-3</v>
      </c>
      <c r="I344" t="s">
        <v>4912</v>
      </c>
      <c r="J344" t="s">
        <v>5115</v>
      </c>
    </row>
    <row r="345" spans="1:11" x14ac:dyDescent="0.55000000000000004">
      <c r="A345" t="s">
        <v>4913</v>
      </c>
      <c r="B345" t="s">
        <v>5121</v>
      </c>
      <c r="C345" t="s">
        <v>5121</v>
      </c>
      <c r="D345" t="s">
        <v>5121</v>
      </c>
      <c r="E345">
        <v>0.286277021508475</v>
      </c>
      <c r="F345">
        <v>0.538465570348023</v>
      </c>
      <c r="G345">
        <v>0.163664287906019</v>
      </c>
      <c r="H345">
        <v>1.1593120237482799E-2</v>
      </c>
      <c r="I345" t="s">
        <v>4913</v>
      </c>
      <c r="J345" t="s">
        <v>5117</v>
      </c>
      <c r="K345" t="s">
        <v>5118</v>
      </c>
    </row>
    <row r="346" spans="1:11" x14ac:dyDescent="0.55000000000000004">
      <c r="A346" t="s">
        <v>4914</v>
      </c>
      <c r="B346" t="s">
        <v>5116</v>
      </c>
      <c r="C346" t="s">
        <v>5116</v>
      </c>
      <c r="D346" t="s">
        <v>5116</v>
      </c>
      <c r="E346">
        <v>1.51358633470049E-2</v>
      </c>
      <c r="F346">
        <v>2.20787772168511E-2</v>
      </c>
      <c r="G346">
        <v>0.95935817680105495</v>
      </c>
      <c r="H346">
        <v>3.42718263508902E-3</v>
      </c>
      <c r="I346" t="s">
        <v>4914</v>
      </c>
      <c r="J346" t="s">
        <v>5116</v>
      </c>
    </row>
    <row r="347" spans="1:11" x14ac:dyDescent="0.55000000000000004">
      <c r="A347" t="s">
        <v>4915</v>
      </c>
      <c r="B347" t="s">
        <v>5116</v>
      </c>
      <c r="C347" t="s">
        <v>5116</v>
      </c>
      <c r="D347" t="s">
        <v>5116</v>
      </c>
      <c r="E347">
        <v>8.4188311413304195E-3</v>
      </c>
      <c r="F347">
        <v>8.3111048600153E-3</v>
      </c>
      <c r="G347">
        <v>0.97901699647331697</v>
      </c>
      <c r="H347">
        <v>4.2530675253377804E-3</v>
      </c>
      <c r="I347" t="s">
        <v>4915</v>
      </c>
      <c r="J347" t="s">
        <v>5116</v>
      </c>
    </row>
    <row r="348" spans="1:11" x14ac:dyDescent="0.55000000000000004">
      <c r="A348" t="s">
        <v>4916</v>
      </c>
      <c r="B348" t="s">
        <v>5121</v>
      </c>
      <c r="C348" t="s">
        <v>5121</v>
      </c>
      <c r="D348" t="s">
        <v>5121</v>
      </c>
      <c r="E348">
        <v>0.22844264383646701</v>
      </c>
      <c r="F348">
        <v>0.51386298467551195</v>
      </c>
      <c r="G348">
        <v>0.24338492202304701</v>
      </c>
      <c r="H348">
        <v>1.4309449464974E-2</v>
      </c>
      <c r="I348" t="s">
        <v>4916</v>
      </c>
      <c r="J348" t="s">
        <v>5117</v>
      </c>
      <c r="K348" t="s">
        <v>5166</v>
      </c>
    </row>
    <row r="349" spans="1:11" x14ac:dyDescent="0.55000000000000004">
      <c r="A349" t="s">
        <v>4917</v>
      </c>
      <c r="B349" t="s">
        <v>5116</v>
      </c>
      <c r="C349" t="s">
        <v>5116</v>
      </c>
      <c r="D349" t="s">
        <v>5116</v>
      </c>
      <c r="E349">
        <v>4.7139806911446099E-3</v>
      </c>
      <c r="F349">
        <v>6.6908847883873799E-3</v>
      </c>
      <c r="G349">
        <v>0.98489971862225201</v>
      </c>
      <c r="H349">
        <v>3.6954158982164202E-3</v>
      </c>
      <c r="I349" t="s">
        <v>4917</v>
      </c>
      <c r="J349" t="s">
        <v>5116</v>
      </c>
    </row>
    <row r="350" spans="1:11" x14ac:dyDescent="0.55000000000000004">
      <c r="A350" t="s">
        <v>4918</v>
      </c>
      <c r="B350" t="s">
        <v>5116</v>
      </c>
      <c r="C350" t="s">
        <v>5116</v>
      </c>
      <c r="D350" t="s">
        <v>5116</v>
      </c>
      <c r="E350">
        <v>8.9810518093961407E-3</v>
      </c>
      <c r="F350">
        <v>1.10997970388654E-2</v>
      </c>
      <c r="G350">
        <v>0.97676274804885399</v>
      </c>
      <c r="H350">
        <v>3.1564031028846699E-3</v>
      </c>
      <c r="I350" t="s">
        <v>4918</v>
      </c>
      <c r="J350" t="s">
        <v>5116</v>
      </c>
    </row>
    <row r="351" spans="1:11" x14ac:dyDescent="0.55000000000000004">
      <c r="A351" t="s">
        <v>4919</v>
      </c>
      <c r="B351" t="s">
        <v>5116</v>
      </c>
      <c r="C351" t="s">
        <v>5116</v>
      </c>
      <c r="D351" t="s">
        <v>5116</v>
      </c>
      <c r="E351">
        <v>6.9931901899510096E-3</v>
      </c>
      <c r="F351">
        <v>1.13313872776084E-2</v>
      </c>
      <c r="G351">
        <v>0.97852004645589696</v>
      </c>
      <c r="H351">
        <v>3.1553760765437402E-3</v>
      </c>
      <c r="I351" t="s">
        <v>4919</v>
      </c>
      <c r="J351" t="s">
        <v>5116</v>
      </c>
    </row>
    <row r="352" spans="1:11" x14ac:dyDescent="0.55000000000000004">
      <c r="A352" t="s">
        <v>4920</v>
      </c>
      <c r="B352" t="s">
        <v>5116</v>
      </c>
      <c r="C352" t="s">
        <v>5116</v>
      </c>
      <c r="D352" t="s">
        <v>5116</v>
      </c>
      <c r="E352">
        <v>6.6814954690878796E-3</v>
      </c>
      <c r="F352">
        <v>1.3011194068328199E-2</v>
      </c>
      <c r="G352">
        <v>0.97733662062234195</v>
      </c>
      <c r="H352">
        <v>2.97068984024215E-3</v>
      </c>
      <c r="I352" t="s">
        <v>4920</v>
      </c>
      <c r="J352" t="s">
        <v>5116</v>
      </c>
    </row>
    <row r="353" spans="1:10" x14ac:dyDescent="0.55000000000000004">
      <c r="A353" t="s">
        <v>4921</v>
      </c>
      <c r="B353" t="s">
        <v>5116</v>
      </c>
      <c r="C353" t="s">
        <v>5116</v>
      </c>
      <c r="D353" t="s">
        <v>5116</v>
      </c>
      <c r="E353">
        <v>9.8801170713766102E-3</v>
      </c>
      <c r="F353">
        <v>6.6286493916188202E-3</v>
      </c>
      <c r="G353">
        <v>0.97929728311148001</v>
      </c>
      <c r="H353">
        <v>4.1939504255241299E-3</v>
      </c>
      <c r="I353" t="s">
        <v>4921</v>
      </c>
      <c r="J353" t="s">
        <v>5116</v>
      </c>
    </row>
    <row r="354" spans="1:10" x14ac:dyDescent="0.55000000000000004">
      <c r="A354" t="s">
        <v>4922</v>
      </c>
      <c r="B354" t="s">
        <v>5116</v>
      </c>
      <c r="C354" t="s">
        <v>5116</v>
      </c>
      <c r="D354" t="s">
        <v>5116</v>
      </c>
      <c r="E354">
        <v>1.9656251852658999E-2</v>
      </c>
      <c r="F354">
        <v>0.125344757307636</v>
      </c>
      <c r="G354">
        <v>0.84960545665148901</v>
      </c>
      <c r="H354">
        <v>5.3935341882154503E-3</v>
      </c>
      <c r="I354" t="s">
        <v>4922</v>
      </c>
      <c r="J354" t="s">
        <v>5116</v>
      </c>
    </row>
    <row r="355" spans="1:10" x14ac:dyDescent="0.55000000000000004">
      <c r="A355" t="s">
        <v>4923</v>
      </c>
      <c r="B355" t="s">
        <v>5115</v>
      </c>
      <c r="C355" t="s">
        <v>5115</v>
      </c>
      <c r="D355" t="s">
        <v>5115</v>
      </c>
      <c r="E355">
        <v>0.86582721657876005</v>
      </c>
      <c r="F355">
        <v>8.66681354038321E-2</v>
      </c>
      <c r="G355">
        <v>3.8035448001202697E-2</v>
      </c>
      <c r="H355">
        <v>9.4692000162050101E-3</v>
      </c>
      <c r="I355" t="s">
        <v>4923</v>
      </c>
      <c r="J355" t="s">
        <v>5115</v>
      </c>
    </row>
    <row r="356" spans="1:10" x14ac:dyDescent="0.55000000000000004">
      <c r="A356" t="s">
        <v>4870</v>
      </c>
      <c r="B356" t="s">
        <v>5115</v>
      </c>
      <c r="C356" t="s">
        <v>5115</v>
      </c>
      <c r="D356" t="s">
        <v>5115</v>
      </c>
      <c r="E356">
        <v>0.94142027793798</v>
      </c>
      <c r="F356">
        <v>3.2367124367412597E-2</v>
      </c>
      <c r="G356">
        <v>1.9551565635835801E-2</v>
      </c>
      <c r="H356">
        <v>6.6610320587712699E-3</v>
      </c>
      <c r="I356" t="s">
        <v>4870</v>
      </c>
      <c r="J356" t="s">
        <v>5115</v>
      </c>
    </row>
    <row r="357" spans="1:10" x14ac:dyDescent="0.55000000000000004">
      <c r="A357" t="s">
        <v>4871</v>
      </c>
      <c r="B357" t="s">
        <v>5116</v>
      </c>
      <c r="C357" t="s">
        <v>5116</v>
      </c>
      <c r="D357" t="s">
        <v>5116</v>
      </c>
      <c r="E357">
        <v>8.2755793355284192E-3</v>
      </c>
      <c r="F357">
        <v>1.16754170051015E-2</v>
      </c>
      <c r="G357">
        <v>0.97611632844190599</v>
      </c>
      <c r="H357">
        <v>3.9326752174636296E-3</v>
      </c>
      <c r="I357" t="s">
        <v>4871</v>
      </c>
      <c r="J357" t="s">
        <v>5116</v>
      </c>
    </row>
    <row r="358" spans="1:10" x14ac:dyDescent="0.55000000000000004">
      <c r="A358" t="s">
        <v>4872</v>
      </c>
      <c r="B358" t="s">
        <v>5116</v>
      </c>
      <c r="C358" t="s">
        <v>5116</v>
      </c>
      <c r="D358" t="s">
        <v>5116</v>
      </c>
      <c r="E358">
        <v>3.11862697861191E-3</v>
      </c>
      <c r="F358">
        <v>6.7448296907933799E-3</v>
      </c>
      <c r="G358">
        <v>0.98708296559902897</v>
      </c>
      <c r="H358">
        <v>3.05357773156535E-3</v>
      </c>
      <c r="I358" t="s">
        <v>4872</v>
      </c>
      <c r="J358" t="s">
        <v>5116</v>
      </c>
    </row>
    <row r="359" spans="1:10" x14ac:dyDescent="0.55000000000000004">
      <c r="A359" t="s">
        <v>4873</v>
      </c>
      <c r="B359" t="s">
        <v>5116</v>
      </c>
      <c r="C359" t="s">
        <v>5116</v>
      </c>
      <c r="D359" t="s">
        <v>5116</v>
      </c>
      <c r="E359">
        <v>1.0824609331059699E-2</v>
      </c>
      <c r="F359">
        <v>9.9115118806911307E-3</v>
      </c>
      <c r="G359">
        <v>0.97396745678173102</v>
      </c>
      <c r="H359">
        <v>5.2964220065177398E-3</v>
      </c>
      <c r="I359" t="s">
        <v>4873</v>
      </c>
      <c r="J359" t="s">
        <v>5116</v>
      </c>
    </row>
    <row r="360" spans="1:10" x14ac:dyDescent="0.55000000000000004">
      <c r="A360" t="s">
        <v>4874</v>
      </c>
      <c r="B360" t="s">
        <v>5116</v>
      </c>
      <c r="C360" t="s">
        <v>5116</v>
      </c>
      <c r="D360" t="s">
        <v>5116</v>
      </c>
      <c r="E360">
        <v>6.6385754781667604E-3</v>
      </c>
      <c r="F360">
        <v>9.7087008260858705E-3</v>
      </c>
      <c r="G360">
        <v>0.98095572443817902</v>
      </c>
      <c r="H360">
        <v>2.6969992575680999E-3</v>
      </c>
      <c r="I360" t="s">
        <v>4874</v>
      </c>
      <c r="J360" t="s">
        <v>5116</v>
      </c>
    </row>
    <row r="361" spans="1:10" x14ac:dyDescent="0.55000000000000004">
      <c r="A361" t="s">
        <v>4875</v>
      </c>
      <c r="B361" t="s">
        <v>5115</v>
      </c>
      <c r="C361" t="s">
        <v>5115</v>
      </c>
      <c r="D361" t="s">
        <v>5115</v>
      </c>
      <c r="E361">
        <v>0.94905468378482905</v>
      </c>
      <c r="F361">
        <v>2.2520704196705099E-2</v>
      </c>
      <c r="G361">
        <v>2.29344919647913E-2</v>
      </c>
      <c r="H361">
        <v>5.4901200536749996E-3</v>
      </c>
      <c r="I361" t="s">
        <v>4875</v>
      </c>
      <c r="J361" t="s">
        <v>5115</v>
      </c>
    </row>
    <row r="362" spans="1:10" x14ac:dyDescent="0.55000000000000004">
      <c r="A362" t="s">
        <v>4876</v>
      </c>
      <c r="B362" t="s">
        <v>5116</v>
      </c>
      <c r="C362" t="s">
        <v>5116</v>
      </c>
      <c r="D362" t="s">
        <v>5116</v>
      </c>
      <c r="E362">
        <v>1.07127369328501E-2</v>
      </c>
      <c r="F362">
        <v>1.00773439430392E-2</v>
      </c>
      <c r="G362">
        <v>0.975103725628921</v>
      </c>
      <c r="H362">
        <v>4.1061934951898199E-3</v>
      </c>
      <c r="I362" t="s">
        <v>4876</v>
      </c>
      <c r="J362" t="s">
        <v>5116</v>
      </c>
    </row>
    <row r="363" spans="1:10" x14ac:dyDescent="0.55000000000000004">
      <c r="A363" t="s">
        <v>4877</v>
      </c>
      <c r="B363" t="s">
        <v>5116</v>
      </c>
      <c r="C363" t="s">
        <v>5116</v>
      </c>
      <c r="D363" t="s">
        <v>5116</v>
      </c>
      <c r="E363">
        <v>1.2956462815841899E-2</v>
      </c>
      <c r="F363">
        <v>3.2086191725619898E-2</v>
      </c>
      <c r="G363">
        <v>0.95056561906853698</v>
      </c>
      <c r="H363">
        <v>4.3917263900019599E-3</v>
      </c>
      <c r="I363" t="s">
        <v>4877</v>
      </c>
      <c r="J363" t="s">
        <v>5116</v>
      </c>
    </row>
    <row r="364" spans="1:10" x14ac:dyDescent="0.55000000000000004">
      <c r="A364" t="s">
        <v>4878</v>
      </c>
      <c r="B364" t="s">
        <v>5116</v>
      </c>
      <c r="C364" t="s">
        <v>5116</v>
      </c>
      <c r="D364" t="s">
        <v>5116</v>
      </c>
      <c r="E364">
        <v>2.19707002598294E-2</v>
      </c>
      <c r="F364">
        <v>4.7526508632883803E-2</v>
      </c>
      <c r="G364">
        <v>0.92543445720564499</v>
      </c>
      <c r="H364">
        <v>5.0683339016420496E-3</v>
      </c>
      <c r="I364" t="s">
        <v>4878</v>
      </c>
      <c r="J364" t="s">
        <v>5116</v>
      </c>
    </row>
    <row r="365" spans="1:10" x14ac:dyDescent="0.55000000000000004">
      <c r="A365" t="s">
        <v>4879</v>
      </c>
      <c r="B365" t="s">
        <v>5116</v>
      </c>
      <c r="C365" t="s">
        <v>5116</v>
      </c>
      <c r="D365" t="s">
        <v>5116</v>
      </c>
      <c r="E365">
        <v>8.8655765776061192E-3</v>
      </c>
      <c r="F365">
        <v>1.7918469853091399E-2</v>
      </c>
      <c r="G365">
        <v>0.968502021540108</v>
      </c>
      <c r="H365">
        <v>4.7139320291948198E-3</v>
      </c>
      <c r="I365" t="s">
        <v>4879</v>
      </c>
      <c r="J365" t="s">
        <v>5116</v>
      </c>
    </row>
    <row r="366" spans="1:10" x14ac:dyDescent="0.55000000000000004">
      <c r="A366" t="s">
        <v>4880</v>
      </c>
      <c r="B366" t="s">
        <v>5116</v>
      </c>
      <c r="C366" t="s">
        <v>5116</v>
      </c>
      <c r="D366" t="s">
        <v>5116</v>
      </c>
      <c r="E366">
        <v>1.7980660754742198E-2</v>
      </c>
      <c r="F366">
        <v>2.3104839401798801E-2</v>
      </c>
      <c r="G366">
        <v>0.95403845418787803</v>
      </c>
      <c r="H366">
        <v>4.8760456555803702E-3</v>
      </c>
      <c r="I366" t="s">
        <v>4880</v>
      </c>
      <c r="J366" t="s">
        <v>5116</v>
      </c>
    </row>
    <row r="367" spans="1:10" x14ac:dyDescent="0.55000000000000004">
      <c r="A367" t="s">
        <v>4881</v>
      </c>
      <c r="B367" t="s">
        <v>5116</v>
      </c>
      <c r="C367" t="s">
        <v>5116</v>
      </c>
      <c r="D367" t="s">
        <v>5116</v>
      </c>
      <c r="E367">
        <v>1.06388361373198E-2</v>
      </c>
      <c r="F367">
        <v>7.1904029281029003E-3</v>
      </c>
      <c r="G367">
        <v>0.97879957737136303</v>
      </c>
      <c r="H367">
        <v>3.3711835632145499E-3</v>
      </c>
      <c r="I367" t="s">
        <v>4881</v>
      </c>
      <c r="J367" t="s">
        <v>5116</v>
      </c>
    </row>
    <row r="368" spans="1:10" x14ac:dyDescent="0.55000000000000004">
      <c r="A368" t="s">
        <v>5067</v>
      </c>
      <c r="B368" t="s">
        <v>5115</v>
      </c>
      <c r="C368" t="s">
        <v>5115</v>
      </c>
      <c r="D368" t="s">
        <v>5115</v>
      </c>
      <c r="E368">
        <v>0.983568306385872</v>
      </c>
      <c r="F368">
        <v>4.2433796909746198E-3</v>
      </c>
      <c r="G368">
        <v>7.1063898263556899E-3</v>
      </c>
      <c r="H368">
        <v>5.0819240967983504E-3</v>
      </c>
      <c r="I368" t="s">
        <v>5067</v>
      </c>
      <c r="J368" t="s">
        <v>5115</v>
      </c>
    </row>
    <row r="369" spans="1:11" x14ac:dyDescent="0.55000000000000004">
      <c r="A369" t="s">
        <v>5068</v>
      </c>
      <c r="B369" t="s">
        <v>5115</v>
      </c>
      <c r="C369" t="s">
        <v>5115</v>
      </c>
      <c r="D369" t="s">
        <v>5115</v>
      </c>
      <c r="E369">
        <v>0.41840300254929902</v>
      </c>
      <c r="F369">
        <v>0.29242113076956899</v>
      </c>
      <c r="G369">
        <v>0.22252766372685101</v>
      </c>
      <c r="H369">
        <v>6.6648202954280797E-2</v>
      </c>
      <c r="I369" t="s">
        <v>5068</v>
      </c>
      <c r="J369" t="s">
        <v>5117</v>
      </c>
      <c r="K369" t="s">
        <v>5118</v>
      </c>
    </row>
    <row r="370" spans="1:11" x14ac:dyDescent="0.55000000000000004">
      <c r="A370" t="s">
        <v>5069</v>
      </c>
      <c r="B370" t="s">
        <v>5115</v>
      </c>
      <c r="C370" t="s">
        <v>5115</v>
      </c>
      <c r="D370" t="s">
        <v>5115</v>
      </c>
      <c r="E370">
        <v>0.94267314083977904</v>
      </c>
      <c r="F370">
        <v>2.6648807934430599E-2</v>
      </c>
      <c r="G370">
        <v>2.6140091664679801E-2</v>
      </c>
      <c r="H370">
        <v>4.5379595611102896E-3</v>
      </c>
      <c r="I370" t="s">
        <v>5069</v>
      </c>
      <c r="J370" t="s">
        <v>5115</v>
      </c>
    </row>
    <row r="371" spans="1:11" x14ac:dyDescent="0.55000000000000004">
      <c r="A371" t="s">
        <v>5070</v>
      </c>
      <c r="B371" t="s">
        <v>5116</v>
      </c>
      <c r="C371" t="s">
        <v>5116</v>
      </c>
      <c r="D371" t="s">
        <v>5116</v>
      </c>
      <c r="E371">
        <v>1.82370559519522E-2</v>
      </c>
      <c r="F371">
        <v>1.4842586974932299E-2</v>
      </c>
      <c r="G371">
        <v>0.96234006918713599</v>
      </c>
      <c r="H371">
        <v>4.5802878859792801E-3</v>
      </c>
      <c r="I371" t="s">
        <v>5070</v>
      </c>
      <c r="J371" t="s">
        <v>5116</v>
      </c>
    </row>
    <row r="372" spans="1:11" x14ac:dyDescent="0.55000000000000004">
      <c r="A372" t="s">
        <v>4780</v>
      </c>
      <c r="B372" t="s">
        <v>5116</v>
      </c>
      <c r="C372" t="s">
        <v>5116</v>
      </c>
      <c r="D372" t="s">
        <v>5116</v>
      </c>
      <c r="E372">
        <v>2.7391387424264401E-3</v>
      </c>
      <c r="F372">
        <v>8.3212922480298095E-3</v>
      </c>
      <c r="G372">
        <v>0.98583979624979201</v>
      </c>
      <c r="H372">
        <v>3.0997727597516902E-3</v>
      </c>
      <c r="I372" t="s">
        <v>4780</v>
      </c>
      <c r="J372" t="s">
        <v>5116</v>
      </c>
    </row>
    <row r="373" spans="1:11" x14ac:dyDescent="0.55000000000000004">
      <c r="A373" t="s">
        <v>4781</v>
      </c>
      <c r="B373" t="s">
        <v>5116</v>
      </c>
      <c r="C373" t="s">
        <v>5116</v>
      </c>
      <c r="D373" t="s">
        <v>5116</v>
      </c>
      <c r="E373">
        <v>1.5925659571345702E-2</v>
      </c>
      <c r="F373">
        <v>1.7781969299137501E-2</v>
      </c>
      <c r="G373">
        <v>0.96208536868477101</v>
      </c>
      <c r="H373">
        <v>4.2070024447452099E-3</v>
      </c>
      <c r="I373" t="s">
        <v>4781</v>
      </c>
      <c r="J373" t="s">
        <v>5116</v>
      </c>
    </row>
    <row r="374" spans="1:11" x14ac:dyDescent="0.55000000000000004">
      <c r="A374" t="s">
        <v>4782</v>
      </c>
      <c r="B374" t="s">
        <v>5115</v>
      </c>
      <c r="C374" t="s">
        <v>5115</v>
      </c>
      <c r="D374" t="s">
        <v>5115</v>
      </c>
      <c r="E374">
        <v>0.92505153840882703</v>
      </c>
      <c r="F374">
        <v>1.3786776890338401E-2</v>
      </c>
      <c r="G374">
        <v>5.4869253379035497E-2</v>
      </c>
      <c r="H374">
        <v>6.2924313217985603E-3</v>
      </c>
      <c r="I374" t="s">
        <v>4782</v>
      </c>
      <c r="J374" t="s">
        <v>5115</v>
      </c>
    </row>
    <row r="375" spans="1:11" x14ac:dyDescent="0.55000000000000004">
      <c r="A375" t="s">
        <v>4783</v>
      </c>
      <c r="B375" t="s">
        <v>5115</v>
      </c>
      <c r="C375" t="s">
        <v>5115</v>
      </c>
      <c r="D375" t="s">
        <v>5115</v>
      </c>
      <c r="E375">
        <v>0.99116515898263702</v>
      </c>
      <c r="F375">
        <v>1.7633810235856699E-3</v>
      </c>
      <c r="G375">
        <v>3.16060418660455E-3</v>
      </c>
      <c r="H375">
        <v>3.9108558071726902E-3</v>
      </c>
      <c r="I375" t="s">
        <v>4783</v>
      </c>
      <c r="J375" t="s">
        <v>5115</v>
      </c>
    </row>
    <row r="376" spans="1:11" x14ac:dyDescent="0.55000000000000004">
      <c r="A376" t="s">
        <v>4784</v>
      </c>
      <c r="B376" t="s">
        <v>5115</v>
      </c>
      <c r="C376" t="s">
        <v>5115</v>
      </c>
      <c r="D376" t="s">
        <v>5115</v>
      </c>
      <c r="E376">
        <v>0.85324013276754596</v>
      </c>
      <c r="F376">
        <v>9.5552021418847097E-2</v>
      </c>
      <c r="G376">
        <v>4.3936062141872699E-2</v>
      </c>
      <c r="H376">
        <v>7.2717836717337298E-3</v>
      </c>
      <c r="I376" t="s">
        <v>4784</v>
      </c>
      <c r="J376" t="s">
        <v>5115</v>
      </c>
    </row>
    <row r="377" spans="1:11" x14ac:dyDescent="0.55000000000000004">
      <c r="A377" t="s">
        <v>4785</v>
      </c>
      <c r="B377" t="s">
        <v>5115</v>
      </c>
      <c r="C377" t="s">
        <v>5115</v>
      </c>
      <c r="D377" t="s">
        <v>5115</v>
      </c>
      <c r="E377">
        <v>0.96864126883563795</v>
      </c>
      <c r="F377">
        <v>9.4539544034401499E-3</v>
      </c>
      <c r="G377">
        <v>1.76720589035918E-2</v>
      </c>
      <c r="H377">
        <v>4.2327178573301804E-3</v>
      </c>
      <c r="I377" t="s">
        <v>4785</v>
      </c>
      <c r="J377" t="s">
        <v>5115</v>
      </c>
    </row>
    <row r="378" spans="1:11" x14ac:dyDescent="0.55000000000000004">
      <c r="A378" t="s">
        <v>4786</v>
      </c>
      <c r="B378" t="s">
        <v>5115</v>
      </c>
      <c r="C378" t="s">
        <v>5115</v>
      </c>
      <c r="D378" t="s">
        <v>5115</v>
      </c>
      <c r="E378">
        <v>0.98759780293570698</v>
      </c>
      <c r="F378">
        <v>3.90002123354422E-3</v>
      </c>
      <c r="G378">
        <v>4.34846223009289E-3</v>
      </c>
      <c r="H378">
        <v>4.1537136006560603E-3</v>
      </c>
      <c r="I378" t="s">
        <v>4786</v>
      </c>
      <c r="J378" t="s">
        <v>5115</v>
      </c>
    </row>
    <row r="379" spans="1:11" x14ac:dyDescent="0.55000000000000004">
      <c r="A379" t="s">
        <v>4787</v>
      </c>
      <c r="B379" t="s">
        <v>5115</v>
      </c>
      <c r="C379" t="s">
        <v>5115</v>
      </c>
      <c r="D379" t="s">
        <v>5115</v>
      </c>
      <c r="E379">
        <v>0.98238799048925296</v>
      </c>
      <c r="F379">
        <v>5.00178485765482E-3</v>
      </c>
      <c r="G379">
        <v>5.8783108783198703E-3</v>
      </c>
      <c r="H379">
        <v>6.7319137747725204E-3</v>
      </c>
      <c r="I379" t="s">
        <v>4787</v>
      </c>
      <c r="J379" t="s">
        <v>5115</v>
      </c>
    </row>
    <row r="380" spans="1:11" x14ac:dyDescent="0.55000000000000004">
      <c r="A380" t="s">
        <v>4788</v>
      </c>
      <c r="B380" t="s">
        <v>5115</v>
      </c>
      <c r="C380" t="s">
        <v>5115</v>
      </c>
      <c r="D380" t="s">
        <v>5115</v>
      </c>
      <c r="E380">
        <v>0.96153182218309097</v>
      </c>
      <c r="F380">
        <v>1.65454933481839E-2</v>
      </c>
      <c r="G380">
        <v>1.56390681638937E-2</v>
      </c>
      <c r="H380">
        <v>6.2836163048312103E-3</v>
      </c>
      <c r="I380" t="s">
        <v>4788</v>
      </c>
      <c r="J380" t="s">
        <v>5115</v>
      </c>
    </row>
    <row r="381" spans="1:11" x14ac:dyDescent="0.55000000000000004">
      <c r="A381" t="s">
        <v>4789</v>
      </c>
      <c r="B381" t="s">
        <v>5115</v>
      </c>
      <c r="C381" t="s">
        <v>5115</v>
      </c>
      <c r="D381" t="s">
        <v>5115</v>
      </c>
      <c r="E381">
        <v>0.974784038586887</v>
      </c>
      <c r="F381">
        <v>9.7369915371359195E-3</v>
      </c>
      <c r="G381">
        <v>1.1811741457864599E-2</v>
      </c>
      <c r="H381">
        <v>3.6672284181128098E-3</v>
      </c>
      <c r="I381" t="s">
        <v>4789</v>
      </c>
      <c r="J381" t="s">
        <v>5115</v>
      </c>
    </row>
    <row r="382" spans="1:11" x14ac:dyDescent="0.55000000000000004">
      <c r="A382" t="s">
        <v>4790</v>
      </c>
      <c r="B382" t="s">
        <v>5115</v>
      </c>
      <c r="C382" t="s">
        <v>5115</v>
      </c>
      <c r="D382" t="s">
        <v>5115</v>
      </c>
      <c r="E382">
        <v>0.98092465738699897</v>
      </c>
      <c r="F382">
        <v>5.2800100169228198E-3</v>
      </c>
      <c r="G382">
        <v>8.5157596486860904E-3</v>
      </c>
      <c r="H382">
        <v>5.2795729473918496E-3</v>
      </c>
      <c r="I382" t="s">
        <v>4790</v>
      </c>
      <c r="J382" t="s">
        <v>5115</v>
      </c>
    </row>
    <row r="383" spans="1:11" x14ac:dyDescent="0.55000000000000004">
      <c r="A383" t="s">
        <v>4791</v>
      </c>
      <c r="B383" t="s">
        <v>5115</v>
      </c>
      <c r="C383" t="s">
        <v>5115</v>
      </c>
      <c r="D383" t="s">
        <v>5115</v>
      </c>
      <c r="E383">
        <v>0.97070426718877001</v>
      </c>
      <c r="F383">
        <v>1.09932463250583E-2</v>
      </c>
      <c r="G383">
        <v>1.31462948278949E-2</v>
      </c>
      <c r="H383">
        <v>5.1561916582772002E-3</v>
      </c>
      <c r="I383" t="s">
        <v>4791</v>
      </c>
      <c r="J383" t="s">
        <v>5115</v>
      </c>
    </row>
    <row r="384" spans="1:11" x14ac:dyDescent="0.55000000000000004">
      <c r="A384" t="s">
        <v>4984</v>
      </c>
      <c r="B384" t="s">
        <v>5115</v>
      </c>
      <c r="C384" t="s">
        <v>5115</v>
      </c>
      <c r="D384" t="s">
        <v>5115</v>
      </c>
      <c r="E384">
        <v>0.943715021377175</v>
      </c>
      <c r="F384">
        <v>2.2240434713522599E-2</v>
      </c>
      <c r="G384">
        <v>2.83161749228679E-2</v>
      </c>
      <c r="H384">
        <v>5.7283689864344204E-3</v>
      </c>
      <c r="I384" t="s">
        <v>4984</v>
      </c>
      <c r="J384" t="s">
        <v>5115</v>
      </c>
    </row>
    <row r="385" spans="1:11" x14ac:dyDescent="0.55000000000000004">
      <c r="A385" t="s">
        <v>4985</v>
      </c>
      <c r="B385" t="s">
        <v>5115</v>
      </c>
      <c r="C385" t="s">
        <v>5115</v>
      </c>
      <c r="D385" t="s">
        <v>5115</v>
      </c>
      <c r="E385">
        <v>0.83926424871181204</v>
      </c>
      <c r="F385">
        <v>4.3108181091410097E-2</v>
      </c>
      <c r="G385">
        <v>0.11278370541595201</v>
      </c>
      <c r="H385">
        <v>4.8438647808264302E-3</v>
      </c>
      <c r="I385" t="s">
        <v>4985</v>
      </c>
      <c r="J385" t="s">
        <v>5115</v>
      </c>
    </row>
    <row r="386" spans="1:11" x14ac:dyDescent="0.55000000000000004">
      <c r="A386" t="s">
        <v>4986</v>
      </c>
      <c r="B386" t="s">
        <v>5115</v>
      </c>
      <c r="C386" t="s">
        <v>5115</v>
      </c>
      <c r="D386" t="s">
        <v>5115</v>
      </c>
      <c r="E386">
        <v>0.98296713731756302</v>
      </c>
      <c r="F386">
        <v>4.67569811998776E-3</v>
      </c>
      <c r="G386">
        <v>7.7349873285961898E-3</v>
      </c>
      <c r="H386">
        <v>4.6221772338534504E-3</v>
      </c>
      <c r="I386" t="s">
        <v>4986</v>
      </c>
      <c r="J386" t="s">
        <v>5115</v>
      </c>
    </row>
    <row r="387" spans="1:11" x14ac:dyDescent="0.55000000000000004">
      <c r="A387" t="s">
        <v>4987</v>
      </c>
      <c r="B387" t="s">
        <v>5115</v>
      </c>
      <c r="C387" t="s">
        <v>5121</v>
      </c>
      <c r="D387" t="s">
        <v>5115</v>
      </c>
      <c r="E387">
        <v>0.39897399677634399</v>
      </c>
      <c r="F387">
        <v>0.29270628848803698</v>
      </c>
      <c r="G387">
        <v>0.23322262825764001</v>
      </c>
      <c r="H387">
        <v>7.50970864779789E-2</v>
      </c>
      <c r="I387" t="s">
        <v>4987</v>
      </c>
      <c r="J387" t="s">
        <v>5117</v>
      </c>
      <c r="K387" t="s">
        <v>5118</v>
      </c>
    </row>
    <row r="388" spans="1:11" x14ac:dyDescent="0.55000000000000004">
      <c r="A388" t="s">
        <v>4988</v>
      </c>
      <c r="B388" t="s">
        <v>5115</v>
      </c>
      <c r="C388" t="s">
        <v>5115</v>
      </c>
      <c r="D388" t="s">
        <v>5115</v>
      </c>
      <c r="E388">
        <v>0.98601505622446695</v>
      </c>
      <c r="F388">
        <v>4.7283541742779199E-3</v>
      </c>
      <c r="G388">
        <v>4.6601521396545604E-3</v>
      </c>
      <c r="H388">
        <v>4.5964374616003596E-3</v>
      </c>
      <c r="I388" t="s">
        <v>4988</v>
      </c>
      <c r="J388" t="s">
        <v>5115</v>
      </c>
    </row>
    <row r="389" spans="1:11" x14ac:dyDescent="0.55000000000000004">
      <c r="A389" t="s">
        <v>4989</v>
      </c>
      <c r="B389" t="s">
        <v>5115</v>
      </c>
      <c r="C389" t="s">
        <v>5115</v>
      </c>
      <c r="D389" t="s">
        <v>5115</v>
      </c>
      <c r="E389">
        <v>0.98231351554870106</v>
      </c>
      <c r="F389">
        <v>3.7192157774846202E-3</v>
      </c>
      <c r="G389">
        <v>9.3205595271205807E-3</v>
      </c>
      <c r="H389">
        <v>4.6467091466939198E-3</v>
      </c>
      <c r="I389" t="s">
        <v>4989</v>
      </c>
      <c r="J389" t="s">
        <v>5115</v>
      </c>
    </row>
    <row r="390" spans="1:11" x14ac:dyDescent="0.55000000000000004">
      <c r="A390" t="s">
        <v>4990</v>
      </c>
      <c r="B390" t="s">
        <v>5115</v>
      </c>
      <c r="C390" t="s">
        <v>5115</v>
      </c>
      <c r="D390" t="s">
        <v>5115</v>
      </c>
      <c r="E390">
        <v>0.97499678269342804</v>
      </c>
      <c r="F390">
        <v>8.3944901639035601E-3</v>
      </c>
      <c r="G390">
        <v>1.1068641468777399E-2</v>
      </c>
      <c r="H390">
        <v>5.5400856738910204E-3</v>
      </c>
      <c r="I390" t="s">
        <v>4990</v>
      </c>
      <c r="J390" t="s">
        <v>5115</v>
      </c>
    </row>
    <row r="391" spans="1:11" x14ac:dyDescent="0.55000000000000004">
      <c r="A391" t="s">
        <v>4991</v>
      </c>
      <c r="B391" t="s">
        <v>5115</v>
      </c>
      <c r="C391" t="s">
        <v>5115</v>
      </c>
      <c r="D391" t="s">
        <v>5115</v>
      </c>
      <c r="E391">
        <v>0.955327414105128</v>
      </c>
      <c r="F391">
        <v>1.40613284045385E-2</v>
      </c>
      <c r="G391">
        <v>2.6975703490592699E-2</v>
      </c>
      <c r="H391">
        <v>3.6355539997412999E-3</v>
      </c>
      <c r="I391" t="s">
        <v>4991</v>
      </c>
      <c r="J391" t="s">
        <v>5115</v>
      </c>
    </row>
    <row r="392" spans="1:11" x14ac:dyDescent="0.55000000000000004">
      <c r="A392" t="s">
        <v>4992</v>
      </c>
      <c r="B392" t="s">
        <v>5115</v>
      </c>
      <c r="C392" t="s">
        <v>5115</v>
      </c>
      <c r="D392" t="s">
        <v>5115</v>
      </c>
      <c r="E392">
        <v>0.98287771291372905</v>
      </c>
      <c r="F392">
        <v>6.0663354913624299E-3</v>
      </c>
      <c r="G392">
        <v>6.4809353564249401E-3</v>
      </c>
      <c r="H392">
        <v>4.5750162384832101E-3</v>
      </c>
      <c r="I392" t="s">
        <v>4992</v>
      </c>
      <c r="J392" t="s">
        <v>5115</v>
      </c>
    </row>
    <row r="393" spans="1:11" x14ac:dyDescent="0.55000000000000004">
      <c r="A393" t="s">
        <v>4993</v>
      </c>
      <c r="B393" t="s">
        <v>5115</v>
      </c>
      <c r="C393" t="s">
        <v>5115</v>
      </c>
      <c r="D393" t="s">
        <v>5115</v>
      </c>
      <c r="E393">
        <v>0.97412784319590096</v>
      </c>
      <c r="F393">
        <v>7.6997025641321699E-3</v>
      </c>
      <c r="G393">
        <v>1.2958709533523899E-2</v>
      </c>
      <c r="H393">
        <v>5.2137447064434803E-3</v>
      </c>
      <c r="I393" t="s">
        <v>4993</v>
      </c>
      <c r="J393" t="s">
        <v>5115</v>
      </c>
    </row>
    <row r="394" spans="1:11" x14ac:dyDescent="0.55000000000000004">
      <c r="A394" t="s">
        <v>4994</v>
      </c>
      <c r="B394" t="s">
        <v>5115</v>
      </c>
      <c r="C394" t="s">
        <v>5115</v>
      </c>
      <c r="D394" t="s">
        <v>5115</v>
      </c>
      <c r="E394">
        <v>0.67177681412458401</v>
      </c>
      <c r="F394">
        <v>0.14187915728512199</v>
      </c>
      <c r="G394">
        <v>0.17879260734365901</v>
      </c>
      <c r="H394">
        <v>7.5514212466346996E-3</v>
      </c>
      <c r="I394" t="s">
        <v>4994</v>
      </c>
      <c r="J394" t="s">
        <v>5117</v>
      </c>
      <c r="K394" t="s">
        <v>5119</v>
      </c>
    </row>
    <row r="395" spans="1:11" x14ac:dyDescent="0.55000000000000004">
      <c r="A395" t="s">
        <v>4995</v>
      </c>
      <c r="B395" t="s">
        <v>5115</v>
      </c>
      <c r="C395" t="s">
        <v>5115</v>
      </c>
      <c r="D395" t="s">
        <v>5115</v>
      </c>
      <c r="E395">
        <v>0.53225257280480798</v>
      </c>
      <c r="F395">
        <v>0.166212800690097</v>
      </c>
      <c r="G395">
        <v>0.29398361355621</v>
      </c>
      <c r="H395">
        <v>7.5510129488844599E-3</v>
      </c>
      <c r="I395" t="s">
        <v>4995</v>
      </c>
      <c r="J395" t="s">
        <v>5117</v>
      </c>
      <c r="K395" t="s">
        <v>5119</v>
      </c>
    </row>
    <row r="396" spans="1:11" x14ac:dyDescent="0.55000000000000004">
      <c r="A396" t="s">
        <v>4891</v>
      </c>
      <c r="B396" t="s">
        <v>5116</v>
      </c>
      <c r="C396" t="s">
        <v>5116</v>
      </c>
      <c r="D396" t="s">
        <v>5116</v>
      </c>
      <c r="E396">
        <v>4.6678587730761799E-3</v>
      </c>
      <c r="F396">
        <v>5.3552721710143003E-3</v>
      </c>
      <c r="G396">
        <v>0.98631625329518202</v>
      </c>
      <c r="H396">
        <v>3.6606157607278998E-3</v>
      </c>
      <c r="I396" t="s">
        <v>4891</v>
      </c>
      <c r="J396" t="s">
        <v>5116</v>
      </c>
    </row>
    <row r="397" spans="1:11" x14ac:dyDescent="0.55000000000000004">
      <c r="A397" t="s">
        <v>4892</v>
      </c>
      <c r="B397" t="s">
        <v>5115</v>
      </c>
      <c r="C397" t="s">
        <v>5115</v>
      </c>
      <c r="D397" t="s">
        <v>5115</v>
      </c>
      <c r="E397">
        <v>0.938521756384324</v>
      </c>
      <c r="F397">
        <v>1.7810961328085E-2</v>
      </c>
      <c r="G397">
        <v>3.8403462404845601E-2</v>
      </c>
      <c r="H397">
        <v>5.2638198827452704E-3</v>
      </c>
      <c r="I397" t="s">
        <v>4892</v>
      </c>
      <c r="J397" t="s">
        <v>5115</v>
      </c>
    </row>
    <row r="398" spans="1:11" x14ac:dyDescent="0.55000000000000004">
      <c r="A398" t="s">
        <v>4737</v>
      </c>
      <c r="B398" t="s">
        <v>5116</v>
      </c>
      <c r="C398" t="s">
        <v>5116</v>
      </c>
      <c r="D398" t="s">
        <v>5116</v>
      </c>
      <c r="E398">
        <v>1.5029722666031701E-2</v>
      </c>
      <c r="F398">
        <v>1.1724238352340301E-2</v>
      </c>
      <c r="G398">
        <v>0.96968057926768203</v>
      </c>
      <c r="H398">
        <v>3.5654597139465E-3</v>
      </c>
      <c r="I398" t="s">
        <v>4737</v>
      </c>
      <c r="J398" t="s">
        <v>5116</v>
      </c>
    </row>
    <row r="399" spans="1:11" x14ac:dyDescent="0.55000000000000004">
      <c r="A399" t="s">
        <v>4738</v>
      </c>
      <c r="B399" t="s">
        <v>5167</v>
      </c>
      <c r="C399" t="s">
        <v>5115</v>
      </c>
      <c r="D399" t="s">
        <v>5115</v>
      </c>
      <c r="E399">
        <v>0.98779984601708104</v>
      </c>
      <c r="F399">
        <v>3.2122726611631602E-3</v>
      </c>
      <c r="G399">
        <v>5.0725400389736199E-3</v>
      </c>
      <c r="H399">
        <v>3.9153412827825597E-3</v>
      </c>
      <c r="I399" t="s">
        <v>4738</v>
      </c>
      <c r="J399" t="s">
        <v>5115</v>
      </c>
    </row>
    <row r="400" spans="1:11" x14ac:dyDescent="0.55000000000000004">
      <c r="A400" t="s">
        <v>4739</v>
      </c>
      <c r="B400" t="s">
        <v>5115</v>
      </c>
      <c r="C400" t="s">
        <v>5115</v>
      </c>
      <c r="D400" t="s">
        <v>5115</v>
      </c>
      <c r="E400">
        <v>0.96750347654479396</v>
      </c>
      <c r="F400">
        <v>8.4116814098667992E-3</v>
      </c>
      <c r="G400">
        <v>1.7938607291300899E-2</v>
      </c>
      <c r="H400">
        <v>6.1462347540382802E-3</v>
      </c>
      <c r="I400" t="s">
        <v>4739</v>
      </c>
      <c r="J400" t="s">
        <v>5115</v>
      </c>
    </row>
    <row r="401" spans="1:10" x14ac:dyDescent="0.55000000000000004">
      <c r="A401" t="s">
        <v>4740</v>
      </c>
      <c r="B401" t="s">
        <v>5116</v>
      </c>
      <c r="C401" t="s">
        <v>5116</v>
      </c>
      <c r="D401" t="s">
        <v>5116</v>
      </c>
      <c r="E401">
        <v>7.79941420820597E-3</v>
      </c>
      <c r="F401">
        <v>1.55456745984175E-2</v>
      </c>
      <c r="G401">
        <v>0.97341964566196404</v>
      </c>
      <c r="H401">
        <v>3.2352655314121098E-3</v>
      </c>
      <c r="I401" t="s">
        <v>4740</v>
      </c>
      <c r="J401" t="s">
        <v>5116</v>
      </c>
    </row>
    <row r="402" spans="1:10" x14ac:dyDescent="0.55000000000000004">
      <c r="A402" t="s">
        <v>4741</v>
      </c>
      <c r="B402" t="s">
        <v>5116</v>
      </c>
      <c r="C402" t="s">
        <v>5116</v>
      </c>
      <c r="D402" t="s">
        <v>5116</v>
      </c>
      <c r="E402">
        <v>9.1717055311162608E-3</v>
      </c>
      <c r="F402">
        <v>1.1180085385564E-2</v>
      </c>
      <c r="G402">
        <v>0.97612630910041698</v>
      </c>
      <c r="H402">
        <v>3.52189998290268E-3</v>
      </c>
      <c r="I402" t="s">
        <v>4741</v>
      </c>
      <c r="J402" t="s">
        <v>5116</v>
      </c>
    </row>
    <row r="403" spans="1:10" x14ac:dyDescent="0.55000000000000004">
      <c r="A403" t="s">
        <v>4742</v>
      </c>
      <c r="B403" t="s">
        <v>5116</v>
      </c>
      <c r="C403" t="s">
        <v>5116</v>
      </c>
      <c r="D403" t="s">
        <v>5116</v>
      </c>
      <c r="E403">
        <v>8.8277422489941894E-3</v>
      </c>
      <c r="F403">
        <v>3.0970197705370201E-2</v>
      </c>
      <c r="G403">
        <v>0.95582013792776999</v>
      </c>
      <c r="H403">
        <v>4.3819221178653398E-3</v>
      </c>
      <c r="I403" t="s">
        <v>4742</v>
      </c>
      <c r="J403" t="s">
        <v>5116</v>
      </c>
    </row>
    <row r="404" spans="1:10" x14ac:dyDescent="0.55000000000000004">
      <c r="A404" t="s">
        <v>4743</v>
      </c>
      <c r="B404" t="s">
        <v>5116</v>
      </c>
      <c r="C404" t="s">
        <v>5116</v>
      </c>
      <c r="D404" t="s">
        <v>5116</v>
      </c>
      <c r="E404">
        <v>4.73947812010919E-3</v>
      </c>
      <c r="F404">
        <v>7.0637581573635396E-3</v>
      </c>
      <c r="G404">
        <v>0.98417595029858496</v>
      </c>
      <c r="H404">
        <v>4.0208134239425103E-3</v>
      </c>
      <c r="I404" t="s">
        <v>4743</v>
      </c>
      <c r="J404" t="s">
        <v>5116</v>
      </c>
    </row>
    <row r="405" spans="1:10" x14ac:dyDescent="0.55000000000000004">
      <c r="A405" t="s">
        <v>4744</v>
      </c>
      <c r="B405" t="s">
        <v>5116</v>
      </c>
      <c r="C405" t="s">
        <v>5116</v>
      </c>
      <c r="D405" t="s">
        <v>5116</v>
      </c>
      <c r="E405">
        <v>1.03312914653292E-2</v>
      </c>
      <c r="F405">
        <v>1.5975758520495899E-2</v>
      </c>
      <c r="G405">
        <v>0.96895428783235804</v>
      </c>
      <c r="H405">
        <v>4.73866218181721E-3</v>
      </c>
      <c r="I405" t="s">
        <v>4744</v>
      </c>
      <c r="J405" t="s">
        <v>5116</v>
      </c>
    </row>
    <row r="406" spans="1:10" x14ac:dyDescent="0.55000000000000004">
      <c r="A406" t="s">
        <v>4745</v>
      </c>
      <c r="B406" t="s">
        <v>5116</v>
      </c>
      <c r="C406" t="s">
        <v>5116</v>
      </c>
      <c r="D406" t="s">
        <v>5116</v>
      </c>
      <c r="E406">
        <v>2.3275924631728801E-2</v>
      </c>
      <c r="F406">
        <v>1.22160916774621E-2</v>
      </c>
      <c r="G406">
        <v>0.96031793303883295</v>
      </c>
      <c r="H406">
        <v>4.1900506519765004E-3</v>
      </c>
      <c r="I406" t="s">
        <v>4745</v>
      </c>
      <c r="J406" t="s">
        <v>5116</v>
      </c>
    </row>
    <row r="407" spans="1:10" x14ac:dyDescent="0.55000000000000004">
      <c r="A407" t="s">
        <v>4746</v>
      </c>
      <c r="B407" t="s">
        <v>5116</v>
      </c>
      <c r="C407" t="s">
        <v>5116</v>
      </c>
      <c r="D407" t="s">
        <v>5116</v>
      </c>
      <c r="E407">
        <v>6.4804863836197503E-3</v>
      </c>
      <c r="F407">
        <v>4.5492552827721099E-3</v>
      </c>
      <c r="G407">
        <v>0.98593420272073296</v>
      </c>
      <c r="H407">
        <v>3.0360556128754199E-3</v>
      </c>
      <c r="I407" t="s">
        <v>4746</v>
      </c>
      <c r="J407" t="s">
        <v>5116</v>
      </c>
    </row>
    <row r="408" spans="1:10" x14ac:dyDescent="0.55000000000000004">
      <c r="A408" t="s">
        <v>4747</v>
      </c>
      <c r="B408" t="s">
        <v>5115</v>
      </c>
      <c r="C408" t="s">
        <v>5115</v>
      </c>
      <c r="D408" t="s">
        <v>5115</v>
      </c>
      <c r="E408">
        <v>0.99015612723735602</v>
      </c>
      <c r="F408">
        <v>2.7280340600281199E-3</v>
      </c>
      <c r="G408">
        <v>4.2840233827498601E-3</v>
      </c>
      <c r="H408">
        <v>2.8318153198658201E-3</v>
      </c>
      <c r="I408" t="s">
        <v>4747</v>
      </c>
      <c r="J408" t="s">
        <v>5115</v>
      </c>
    </row>
    <row r="409" spans="1:10" x14ac:dyDescent="0.55000000000000004">
      <c r="A409" t="s">
        <v>4748</v>
      </c>
      <c r="B409" t="s">
        <v>5115</v>
      </c>
      <c r="C409" t="s">
        <v>5115</v>
      </c>
      <c r="D409" t="s">
        <v>5115</v>
      </c>
      <c r="E409">
        <v>0.93390931168068203</v>
      </c>
      <c r="F409">
        <v>3.3790673529852898E-2</v>
      </c>
      <c r="G409">
        <v>2.4089663046914501E-2</v>
      </c>
      <c r="H409">
        <v>8.2103517425504598E-3</v>
      </c>
      <c r="I409" t="s">
        <v>4748</v>
      </c>
      <c r="J409" t="s">
        <v>5115</v>
      </c>
    </row>
    <row r="410" spans="1:10" x14ac:dyDescent="0.55000000000000004">
      <c r="A410" t="s">
        <v>4947</v>
      </c>
      <c r="B410" t="s">
        <v>5115</v>
      </c>
      <c r="C410" t="s">
        <v>5115</v>
      </c>
      <c r="D410" t="s">
        <v>5115</v>
      </c>
      <c r="E410">
        <v>0.75613031402404496</v>
      </c>
      <c r="F410">
        <v>0.13342681289417899</v>
      </c>
      <c r="G410">
        <v>0.10283756077359001</v>
      </c>
      <c r="H410">
        <v>7.6053123081861402E-3</v>
      </c>
      <c r="I410" t="s">
        <v>4947</v>
      </c>
      <c r="J410" t="s">
        <v>5115</v>
      </c>
    </row>
    <row r="411" spans="1:10" x14ac:dyDescent="0.55000000000000004">
      <c r="A411" t="s">
        <v>4948</v>
      </c>
      <c r="B411" t="s">
        <v>5115</v>
      </c>
      <c r="C411" t="s">
        <v>5115</v>
      </c>
      <c r="D411" t="s">
        <v>5115</v>
      </c>
      <c r="E411">
        <v>0.94584264687483799</v>
      </c>
      <c r="F411">
        <v>2.9263162843305199E-2</v>
      </c>
      <c r="G411">
        <v>1.7945379463520501E-2</v>
      </c>
      <c r="H411">
        <v>6.9488108183365597E-3</v>
      </c>
      <c r="I411" t="s">
        <v>4948</v>
      </c>
      <c r="J411" t="s">
        <v>5115</v>
      </c>
    </row>
    <row r="412" spans="1:10" x14ac:dyDescent="0.55000000000000004">
      <c r="A412" t="s">
        <v>5064</v>
      </c>
      <c r="B412" t="s">
        <v>5116</v>
      </c>
      <c r="C412" t="s">
        <v>5116</v>
      </c>
      <c r="D412" t="s">
        <v>5116</v>
      </c>
      <c r="E412">
        <v>1.6134387467678299E-2</v>
      </c>
      <c r="F412">
        <v>1.9748252141689099E-2</v>
      </c>
      <c r="G412">
        <v>0.95936985996964996</v>
      </c>
      <c r="H412">
        <v>4.7475004209826003E-3</v>
      </c>
      <c r="I412" t="s">
        <v>5064</v>
      </c>
      <c r="J412" t="s">
        <v>5116</v>
      </c>
    </row>
    <row r="413" spans="1:10" x14ac:dyDescent="0.55000000000000004">
      <c r="A413" t="s">
        <v>5065</v>
      </c>
      <c r="B413" t="s">
        <v>5116</v>
      </c>
      <c r="C413" t="s">
        <v>5116</v>
      </c>
      <c r="D413" t="s">
        <v>5116</v>
      </c>
      <c r="E413">
        <v>2.09823421870441E-2</v>
      </c>
      <c r="F413">
        <v>1.3475468434219399E-2</v>
      </c>
      <c r="G413">
        <v>0.96053479269290998</v>
      </c>
      <c r="H413">
        <v>5.0073966858271198E-3</v>
      </c>
      <c r="I413" t="s">
        <v>5065</v>
      </c>
      <c r="J413" t="s">
        <v>5116</v>
      </c>
    </row>
    <row r="414" spans="1:10" x14ac:dyDescent="0.55000000000000004">
      <c r="A414" t="s">
        <v>5091</v>
      </c>
      <c r="B414" t="s">
        <v>5116</v>
      </c>
      <c r="C414" t="s">
        <v>5116</v>
      </c>
      <c r="D414" t="s">
        <v>5116</v>
      </c>
      <c r="E414">
        <v>7.5169931078830398E-3</v>
      </c>
      <c r="F414">
        <v>5.7609420081086203E-3</v>
      </c>
      <c r="G414">
        <v>0.98374181433151098</v>
      </c>
      <c r="H414">
        <v>2.98025055249726E-3</v>
      </c>
      <c r="I414" t="s">
        <v>5091</v>
      </c>
      <c r="J414" t="s">
        <v>5116</v>
      </c>
    </row>
    <row r="415" spans="1:10" x14ac:dyDescent="0.55000000000000004">
      <c r="A415" t="s">
        <v>5092</v>
      </c>
      <c r="B415" t="s">
        <v>5116</v>
      </c>
      <c r="C415" t="s">
        <v>5116</v>
      </c>
      <c r="D415" t="s">
        <v>5116</v>
      </c>
      <c r="E415">
        <v>6.6514359506556599E-3</v>
      </c>
      <c r="F415">
        <v>1.5698736231202999E-2</v>
      </c>
      <c r="G415">
        <v>0.973961803267959</v>
      </c>
      <c r="H415">
        <v>3.6880245501823799E-3</v>
      </c>
      <c r="I415" t="s">
        <v>5092</v>
      </c>
      <c r="J415" t="s">
        <v>5116</v>
      </c>
    </row>
    <row r="416" spans="1:10" x14ac:dyDescent="0.55000000000000004">
      <c r="A416" t="s">
        <v>5093</v>
      </c>
      <c r="B416" t="s">
        <v>5116</v>
      </c>
      <c r="C416" t="s">
        <v>5116</v>
      </c>
      <c r="D416" t="s">
        <v>5116</v>
      </c>
      <c r="E416">
        <v>0.106837845495898</v>
      </c>
      <c r="F416">
        <v>0.10556942641422599</v>
      </c>
      <c r="G416">
        <v>0.77939877082504605</v>
      </c>
      <c r="H416">
        <v>8.1939572648303295E-3</v>
      </c>
      <c r="I416" t="s">
        <v>5093</v>
      </c>
      <c r="J416" t="s">
        <v>5116</v>
      </c>
    </row>
    <row r="417" spans="1:11" x14ac:dyDescent="0.55000000000000004">
      <c r="A417" t="s">
        <v>5094</v>
      </c>
      <c r="B417" t="s">
        <v>5115</v>
      </c>
      <c r="C417" t="s">
        <v>5115</v>
      </c>
      <c r="D417" t="s">
        <v>5115</v>
      </c>
      <c r="E417">
        <v>0.90831379538522805</v>
      </c>
      <c r="F417">
        <v>5.6248319132450098E-2</v>
      </c>
      <c r="G417">
        <v>2.8713917773267601E-2</v>
      </c>
      <c r="H417">
        <v>6.7239677090537601E-3</v>
      </c>
      <c r="I417" t="s">
        <v>5094</v>
      </c>
      <c r="J417" t="s">
        <v>5115</v>
      </c>
    </row>
    <row r="418" spans="1:11" x14ac:dyDescent="0.55000000000000004">
      <c r="A418" t="s">
        <v>5095</v>
      </c>
      <c r="B418" t="s">
        <v>5116</v>
      </c>
      <c r="C418" t="s">
        <v>5116</v>
      </c>
      <c r="D418" t="s">
        <v>5116</v>
      </c>
      <c r="E418">
        <v>1.0909269484116101E-2</v>
      </c>
      <c r="F418">
        <v>2.47378765423279E-2</v>
      </c>
      <c r="G418">
        <v>0.95997879996529201</v>
      </c>
      <c r="H418">
        <v>4.3740540082636203E-3</v>
      </c>
      <c r="I418" t="s">
        <v>5095</v>
      </c>
      <c r="J418" t="s">
        <v>5116</v>
      </c>
    </row>
    <row r="419" spans="1:11" x14ac:dyDescent="0.55000000000000004">
      <c r="A419" t="s">
        <v>5096</v>
      </c>
      <c r="B419" t="s">
        <v>5116</v>
      </c>
      <c r="C419" t="s">
        <v>5116</v>
      </c>
      <c r="D419" t="s">
        <v>5116</v>
      </c>
      <c r="E419">
        <v>4.6579314867185497E-3</v>
      </c>
      <c r="F419">
        <v>1.7626670950632899E-2</v>
      </c>
      <c r="G419">
        <v>0.97386129742363903</v>
      </c>
      <c r="H419">
        <v>3.85410013900974E-3</v>
      </c>
      <c r="I419" t="s">
        <v>5096</v>
      </c>
      <c r="J419" t="s">
        <v>5116</v>
      </c>
    </row>
    <row r="420" spans="1:11" x14ac:dyDescent="0.55000000000000004">
      <c r="A420" t="s">
        <v>5097</v>
      </c>
      <c r="B420" t="s">
        <v>5115</v>
      </c>
      <c r="C420" t="s">
        <v>5115</v>
      </c>
      <c r="D420" t="s">
        <v>5115</v>
      </c>
      <c r="E420">
        <v>0.88439554343910398</v>
      </c>
      <c r="F420">
        <v>7.3878463367077096E-2</v>
      </c>
      <c r="G420">
        <v>3.4902909509792503E-2</v>
      </c>
      <c r="H420">
        <v>6.8230836840266398E-3</v>
      </c>
      <c r="I420" t="s">
        <v>5097</v>
      </c>
      <c r="J420" t="s">
        <v>5115</v>
      </c>
    </row>
    <row r="421" spans="1:11" x14ac:dyDescent="0.55000000000000004">
      <c r="A421" t="s">
        <v>5098</v>
      </c>
      <c r="B421" t="s">
        <v>5115</v>
      </c>
      <c r="C421" t="s">
        <v>5115</v>
      </c>
      <c r="D421" t="s">
        <v>5115</v>
      </c>
      <c r="E421">
        <v>0.91662598445577903</v>
      </c>
      <c r="F421">
        <v>4.1320039720893001E-2</v>
      </c>
      <c r="G421">
        <v>3.4410890486340003E-2</v>
      </c>
      <c r="H421">
        <v>7.6430853369874796E-3</v>
      </c>
      <c r="I421" t="s">
        <v>5098</v>
      </c>
      <c r="J421" t="s">
        <v>5115</v>
      </c>
    </row>
    <row r="422" spans="1:11" x14ac:dyDescent="0.55000000000000004">
      <c r="A422" t="s">
        <v>5099</v>
      </c>
      <c r="B422" t="s">
        <v>5116</v>
      </c>
      <c r="C422" t="s">
        <v>5116</v>
      </c>
      <c r="D422" t="s">
        <v>5116</v>
      </c>
      <c r="E422">
        <v>9.6590747259176404E-3</v>
      </c>
      <c r="F422">
        <v>1.5840138697037699E-2</v>
      </c>
      <c r="G422">
        <v>0.97037976689160599</v>
      </c>
      <c r="H422">
        <v>4.1210196854382201E-3</v>
      </c>
      <c r="I422" t="s">
        <v>5099</v>
      </c>
      <c r="J422" t="s">
        <v>5116</v>
      </c>
    </row>
    <row r="423" spans="1:11" x14ac:dyDescent="0.55000000000000004">
      <c r="A423" t="s">
        <v>5100</v>
      </c>
      <c r="B423" t="s">
        <v>5115</v>
      </c>
      <c r="C423" t="s">
        <v>5115</v>
      </c>
      <c r="D423" t="s">
        <v>5115</v>
      </c>
      <c r="E423">
        <v>0.98923691524617796</v>
      </c>
      <c r="F423">
        <v>3.5207226173484601E-3</v>
      </c>
      <c r="G423">
        <v>2.6817686900080201E-3</v>
      </c>
      <c r="H423">
        <v>4.5605934464652198E-3</v>
      </c>
      <c r="I423" t="s">
        <v>5100</v>
      </c>
      <c r="J423" t="s">
        <v>5115</v>
      </c>
    </row>
    <row r="424" spans="1:11" x14ac:dyDescent="0.55000000000000004">
      <c r="A424" t="s">
        <v>5101</v>
      </c>
      <c r="B424" t="s">
        <v>5167</v>
      </c>
      <c r="C424" t="s">
        <v>5167</v>
      </c>
      <c r="D424" t="s">
        <v>5167</v>
      </c>
      <c r="E424">
        <v>8.85821447034877E-2</v>
      </c>
      <c r="F424">
        <v>8.1528195233726702E-2</v>
      </c>
      <c r="G424">
        <v>5.5838452883532598E-2</v>
      </c>
      <c r="H424">
        <v>0.77405120717925302</v>
      </c>
      <c r="I424" t="s">
        <v>5101</v>
      </c>
      <c r="J424" t="s">
        <v>5167</v>
      </c>
    </row>
    <row r="425" spans="1:11" x14ac:dyDescent="0.55000000000000004">
      <c r="A425" t="s">
        <v>5102</v>
      </c>
      <c r="B425" t="s">
        <v>5115</v>
      </c>
      <c r="C425" t="s">
        <v>5115</v>
      </c>
      <c r="D425" t="s">
        <v>5115</v>
      </c>
      <c r="E425">
        <v>0.93584357382966299</v>
      </c>
      <c r="F425">
        <v>2.1781283534053002E-2</v>
      </c>
      <c r="G425">
        <v>3.7603422330707799E-2</v>
      </c>
      <c r="H425">
        <v>4.7717203055758902E-3</v>
      </c>
      <c r="I425" t="s">
        <v>5102</v>
      </c>
      <c r="J425" t="s">
        <v>5115</v>
      </c>
    </row>
    <row r="426" spans="1:11" x14ac:dyDescent="0.55000000000000004">
      <c r="A426" t="s">
        <v>4866</v>
      </c>
      <c r="B426" t="s">
        <v>5116</v>
      </c>
      <c r="C426" t="s">
        <v>5116</v>
      </c>
      <c r="D426" t="s">
        <v>5116</v>
      </c>
      <c r="E426">
        <v>1.0997468453784701E-2</v>
      </c>
      <c r="F426">
        <v>9.8457808356985105E-3</v>
      </c>
      <c r="G426">
        <v>0.97571772660856404</v>
      </c>
      <c r="H426">
        <v>3.43902410195283E-3</v>
      </c>
      <c r="I426" t="s">
        <v>4866</v>
      </c>
      <c r="J426" t="s">
        <v>5116</v>
      </c>
    </row>
    <row r="427" spans="1:11" x14ac:dyDescent="0.55000000000000004">
      <c r="A427" t="s">
        <v>5050</v>
      </c>
      <c r="B427" t="s">
        <v>5115</v>
      </c>
      <c r="C427" t="s">
        <v>5115</v>
      </c>
      <c r="D427" t="s">
        <v>5116</v>
      </c>
      <c r="E427">
        <v>0.39829053940820502</v>
      </c>
      <c r="F427">
        <v>0.120588701701354</v>
      </c>
      <c r="G427">
        <v>0.47154327421658898</v>
      </c>
      <c r="H427">
        <v>9.5774846738511995E-3</v>
      </c>
      <c r="I427" t="s">
        <v>5050</v>
      </c>
      <c r="J427" t="s">
        <v>5117</v>
      </c>
      <c r="K427" t="s">
        <v>5119</v>
      </c>
    </row>
    <row r="428" spans="1:11" x14ac:dyDescent="0.55000000000000004">
      <c r="A428" t="s">
        <v>5051</v>
      </c>
      <c r="B428" t="s">
        <v>5115</v>
      </c>
      <c r="C428" t="s">
        <v>5115</v>
      </c>
      <c r="D428" t="s">
        <v>5115</v>
      </c>
      <c r="E428">
        <v>0.92277182735864804</v>
      </c>
      <c r="F428">
        <v>3.02434374013387E-2</v>
      </c>
      <c r="G428">
        <v>4.0000763832623999E-2</v>
      </c>
      <c r="H428">
        <v>6.9839714073896501E-3</v>
      </c>
      <c r="I428" t="s">
        <v>5051</v>
      </c>
      <c r="J428" t="s">
        <v>5115</v>
      </c>
    </row>
    <row r="429" spans="1:11" x14ac:dyDescent="0.55000000000000004">
      <c r="A429" t="s">
        <v>5052</v>
      </c>
      <c r="B429" t="s">
        <v>5116</v>
      </c>
      <c r="C429" t="s">
        <v>5116</v>
      </c>
      <c r="D429" t="s">
        <v>5116</v>
      </c>
      <c r="E429">
        <v>9.5270097123313999E-3</v>
      </c>
      <c r="F429">
        <v>8.6116424972273505E-3</v>
      </c>
      <c r="G429">
        <v>0.978964732025148</v>
      </c>
      <c r="H429">
        <v>2.8966157652933399E-3</v>
      </c>
      <c r="I429" t="s">
        <v>5052</v>
      </c>
      <c r="J429" t="s">
        <v>5116</v>
      </c>
    </row>
    <row r="430" spans="1:11" x14ac:dyDescent="0.55000000000000004">
      <c r="A430" t="s">
        <v>4711</v>
      </c>
      <c r="B430" t="s">
        <v>5116</v>
      </c>
      <c r="C430" t="s">
        <v>5116</v>
      </c>
      <c r="D430" t="s">
        <v>5116</v>
      </c>
      <c r="E430">
        <v>3.5290823856170398E-3</v>
      </c>
      <c r="F430">
        <v>5.7820615610266199E-3</v>
      </c>
      <c r="G430">
        <v>0.98752838285413203</v>
      </c>
      <c r="H430">
        <v>3.1604731992242101E-3</v>
      </c>
      <c r="I430" t="s">
        <v>4711</v>
      </c>
      <c r="J430" t="s">
        <v>5116</v>
      </c>
    </row>
    <row r="431" spans="1:11" x14ac:dyDescent="0.55000000000000004">
      <c r="A431" t="s">
        <v>4712</v>
      </c>
      <c r="B431" t="s">
        <v>5116</v>
      </c>
      <c r="C431" t="s">
        <v>5116</v>
      </c>
      <c r="D431" t="s">
        <v>5116</v>
      </c>
      <c r="E431">
        <v>3.7638498656392999E-3</v>
      </c>
      <c r="F431">
        <v>8.7672408921353803E-3</v>
      </c>
      <c r="G431">
        <v>0.98478211757013101</v>
      </c>
      <c r="H431">
        <v>2.6867916720938901E-3</v>
      </c>
      <c r="I431" t="s">
        <v>4712</v>
      </c>
      <c r="J431" t="s">
        <v>5116</v>
      </c>
    </row>
    <row r="432" spans="1:11" x14ac:dyDescent="0.55000000000000004">
      <c r="A432" t="s">
        <v>4713</v>
      </c>
      <c r="B432" t="s">
        <v>5121</v>
      </c>
      <c r="C432" t="s">
        <v>5121</v>
      </c>
      <c r="D432" t="s">
        <v>5121</v>
      </c>
      <c r="E432">
        <v>4.0529198813976902E-2</v>
      </c>
      <c r="F432">
        <v>0.62707596575980196</v>
      </c>
      <c r="G432">
        <v>0.32299213643986002</v>
      </c>
      <c r="H432">
        <v>9.4026989863609401E-3</v>
      </c>
      <c r="I432" t="s">
        <v>4713</v>
      </c>
      <c r="J432" t="s">
        <v>5117</v>
      </c>
      <c r="K432" t="s">
        <v>5166</v>
      </c>
    </row>
    <row r="433" spans="1:11" x14ac:dyDescent="0.55000000000000004">
      <c r="A433" t="s">
        <v>4714</v>
      </c>
      <c r="B433" t="s">
        <v>5115</v>
      </c>
      <c r="C433" t="s">
        <v>5115</v>
      </c>
      <c r="D433" t="s">
        <v>5115</v>
      </c>
      <c r="E433">
        <v>0.88132587883398905</v>
      </c>
      <c r="F433">
        <v>3.96565306864195E-2</v>
      </c>
      <c r="G433">
        <v>7.1952731460345296E-2</v>
      </c>
      <c r="H433">
        <v>7.0648590192466804E-3</v>
      </c>
      <c r="I433" t="s">
        <v>4714</v>
      </c>
      <c r="J433" t="s">
        <v>5115</v>
      </c>
    </row>
    <row r="434" spans="1:11" x14ac:dyDescent="0.55000000000000004">
      <c r="A434" t="s">
        <v>4715</v>
      </c>
      <c r="B434" t="s">
        <v>5116</v>
      </c>
      <c r="C434" t="s">
        <v>5116</v>
      </c>
      <c r="D434" t="s">
        <v>5116</v>
      </c>
      <c r="E434">
        <v>2.2246163012414099E-3</v>
      </c>
      <c r="F434">
        <v>8.5241203517594805E-3</v>
      </c>
      <c r="G434">
        <v>0.98597949773883498</v>
      </c>
      <c r="H434">
        <v>3.2717656081645901E-3</v>
      </c>
      <c r="I434" t="s">
        <v>4715</v>
      </c>
      <c r="J434" t="s">
        <v>5116</v>
      </c>
    </row>
    <row r="435" spans="1:11" x14ac:dyDescent="0.55000000000000004">
      <c r="A435" t="s">
        <v>4716</v>
      </c>
      <c r="B435" t="s">
        <v>5116</v>
      </c>
      <c r="C435" t="s">
        <v>5116</v>
      </c>
      <c r="D435" t="s">
        <v>5116</v>
      </c>
      <c r="E435">
        <v>1.23355445371065E-2</v>
      </c>
      <c r="F435">
        <v>1.24259683748666E-2</v>
      </c>
      <c r="G435">
        <v>0.97105727949318199</v>
      </c>
      <c r="H435">
        <v>4.1812075948445696E-3</v>
      </c>
      <c r="I435" t="s">
        <v>4716</v>
      </c>
      <c r="J435" t="s">
        <v>5116</v>
      </c>
    </row>
    <row r="436" spans="1:11" x14ac:dyDescent="0.55000000000000004">
      <c r="A436" t="s">
        <v>4717</v>
      </c>
      <c r="B436" t="s">
        <v>5121</v>
      </c>
      <c r="C436" t="s">
        <v>5121</v>
      </c>
      <c r="D436" t="s">
        <v>5121</v>
      </c>
      <c r="E436">
        <v>5.3717839055274302E-2</v>
      </c>
      <c r="F436">
        <v>0.90155327792173201</v>
      </c>
      <c r="G436">
        <v>3.5650162970939397E-2</v>
      </c>
      <c r="H436">
        <v>9.0787200520546698E-3</v>
      </c>
      <c r="I436" t="s">
        <v>4717</v>
      </c>
      <c r="J436" t="s">
        <v>5121</v>
      </c>
    </row>
    <row r="437" spans="1:11" x14ac:dyDescent="0.55000000000000004">
      <c r="A437" t="s">
        <v>4718</v>
      </c>
      <c r="B437" t="s">
        <v>5116</v>
      </c>
      <c r="C437" t="s">
        <v>5116</v>
      </c>
      <c r="D437" t="s">
        <v>5116</v>
      </c>
      <c r="E437">
        <v>1.01401258337037E-2</v>
      </c>
      <c r="F437">
        <v>8.7339937316505203E-3</v>
      </c>
      <c r="G437">
        <v>0.97734718341783999</v>
      </c>
      <c r="H437">
        <v>3.7786970168054599E-3</v>
      </c>
      <c r="I437" t="s">
        <v>4718</v>
      </c>
      <c r="J437" t="s">
        <v>5116</v>
      </c>
    </row>
    <row r="438" spans="1:11" x14ac:dyDescent="0.55000000000000004">
      <c r="A438" t="s">
        <v>4719</v>
      </c>
      <c r="B438" t="s">
        <v>5116</v>
      </c>
      <c r="C438" t="s">
        <v>5116</v>
      </c>
      <c r="D438" t="s">
        <v>5116</v>
      </c>
      <c r="E438">
        <v>1.5665815693658301E-2</v>
      </c>
      <c r="F438">
        <v>1.42877272941489E-2</v>
      </c>
      <c r="G438">
        <v>0.96571869393696297</v>
      </c>
      <c r="H438">
        <v>4.3277630752295198E-3</v>
      </c>
      <c r="I438" t="s">
        <v>4719</v>
      </c>
      <c r="J438" t="s">
        <v>5116</v>
      </c>
    </row>
    <row r="439" spans="1:11" x14ac:dyDescent="0.55000000000000004">
      <c r="A439" t="s">
        <v>4720</v>
      </c>
      <c r="B439" t="s">
        <v>5116</v>
      </c>
      <c r="C439" t="s">
        <v>5116</v>
      </c>
      <c r="D439" t="s">
        <v>5116</v>
      </c>
      <c r="E439">
        <v>1.07858149215507E-2</v>
      </c>
      <c r="F439">
        <v>1.4473077403594501E-2</v>
      </c>
      <c r="G439">
        <v>0.97040592529744396</v>
      </c>
      <c r="H439">
        <v>4.33518237741115E-3</v>
      </c>
      <c r="I439" t="s">
        <v>4720</v>
      </c>
      <c r="J439" t="s">
        <v>5116</v>
      </c>
    </row>
    <row r="440" spans="1:11" x14ac:dyDescent="0.55000000000000004">
      <c r="A440" t="s">
        <v>4721</v>
      </c>
      <c r="B440" t="s">
        <v>5116</v>
      </c>
      <c r="C440" t="s">
        <v>5116</v>
      </c>
      <c r="D440" t="s">
        <v>5116</v>
      </c>
      <c r="E440">
        <v>6.7330566389915397E-3</v>
      </c>
      <c r="F440">
        <v>1.47267293877356E-2</v>
      </c>
      <c r="G440">
        <v>0.97520283215428605</v>
      </c>
      <c r="H440">
        <v>3.3373818189867898E-3</v>
      </c>
      <c r="I440" t="s">
        <v>4721</v>
      </c>
      <c r="J440" t="s">
        <v>5116</v>
      </c>
    </row>
    <row r="441" spans="1:11" x14ac:dyDescent="0.55000000000000004">
      <c r="A441" t="s">
        <v>4722</v>
      </c>
      <c r="B441" t="s">
        <v>5116</v>
      </c>
      <c r="C441" t="s">
        <v>5116</v>
      </c>
      <c r="D441" t="s">
        <v>5116</v>
      </c>
      <c r="E441">
        <v>2.3689728772233999E-2</v>
      </c>
      <c r="F441">
        <v>9.9251616425225508E-3</v>
      </c>
      <c r="G441">
        <v>0.96288718233602999</v>
      </c>
      <c r="H441">
        <v>3.4979272492137001E-3</v>
      </c>
      <c r="I441" t="s">
        <v>4722</v>
      </c>
      <c r="J441" t="s">
        <v>5116</v>
      </c>
    </row>
    <row r="442" spans="1:11" x14ac:dyDescent="0.55000000000000004">
      <c r="A442" t="s">
        <v>4868</v>
      </c>
      <c r="B442" t="s">
        <v>5116</v>
      </c>
      <c r="C442" t="s">
        <v>5116</v>
      </c>
      <c r="D442" t="s">
        <v>5116</v>
      </c>
      <c r="E442">
        <v>1.07610373962329E-2</v>
      </c>
      <c r="F442">
        <v>4.82709135212588E-3</v>
      </c>
      <c r="G442">
        <v>0.98111980894170903</v>
      </c>
      <c r="H442">
        <v>3.2920623099329002E-3</v>
      </c>
      <c r="I442" t="s">
        <v>4868</v>
      </c>
      <c r="J442" t="s">
        <v>5116</v>
      </c>
    </row>
    <row r="443" spans="1:11" x14ac:dyDescent="0.55000000000000004">
      <c r="A443" t="s">
        <v>5072</v>
      </c>
      <c r="B443" t="s">
        <v>5115</v>
      </c>
      <c r="C443" t="s">
        <v>5115</v>
      </c>
      <c r="D443" t="s">
        <v>5115</v>
      </c>
      <c r="E443">
        <v>0.76214704293199298</v>
      </c>
      <c r="F443">
        <v>0.12216422268096</v>
      </c>
      <c r="G443">
        <v>0.10805929289771</v>
      </c>
      <c r="H443">
        <v>7.6294414893368998E-3</v>
      </c>
      <c r="I443" t="s">
        <v>5072</v>
      </c>
      <c r="J443" t="s">
        <v>5115</v>
      </c>
    </row>
    <row r="444" spans="1:11" x14ac:dyDescent="0.55000000000000004">
      <c r="A444" t="s">
        <v>5073</v>
      </c>
      <c r="B444" t="s">
        <v>5116</v>
      </c>
      <c r="C444" t="s">
        <v>5116</v>
      </c>
      <c r="D444" t="s">
        <v>5116</v>
      </c>
      <c r="E444">
        <v>5.6329742899814397E-3</v>
      </c>
      <c r="F444">
        <v>7.9533198448621407E-3</v>
      </c>
      <c r="G444">
        <v>0.98324858354576194</v>
      </c>
      <c r="H444">
        <v>3.1651223193949101E-3</v>
      </c>
      <c r="I444" t="s">
        <v>5073</v>
      </c>
      <c r="J444" t="s">
        <v>5116</v>
      </c>
    </row>
    <row r="445" spans="1:11" x14ac:dyDescent="0.55000000000000004">
      <c r="A445" t="s">
        <v>4806</v>
      </c>
      <c r="B445" t="s">
        <v>5115</v>
      </c>
      <c r="C445" t="s">
        <v>5115</v>
      </c>
      <c r="D445" t="s">
        <v>5115</v>
      </c>
      <c r="E445">
        <v>0.93549907923868703</v>
      </c>
      <c r="F445">
        <v>2.1487835465793099E-2</v>
      </c>
      <c r="G445">
        <v>3.6392568181688303E-2</v>
      </c>
      <c r="H445">
        <v>6.6205171138317698E-3</v>
      </c>
      <c r="I445" t="s">
        <v>4806</v>
      </c>
      <c r="J445" t="s">
        <v>5115</v>
      </c>
    </row>
    <row r="446" spans="1:11" x14ac:dyDescent="0.55000000000000004">
      <c r="A446" t="s">
        <v>4807</v>
      </c>
      <c r="B446" t="s">
        <v>5121</v>
      </c>
      <c r="C446" t="s">
        <v>5121</v>
      </c>
      <c r="D446" t="s">
        <v>5121</v>
      </c>
      <c r="E446">
        <v>3.30700525793583E-2</v>
      </c>
      <c r="F446">
        <v>0.51919856933950104</v>
      </c>
      <c r="G446">
        <v>0.438892737600873</v>
      </c>
      <c r="H446">
        <v>8.8386404802678897E-3</v>
      </c>
      <c r="I446" t="s">
        <v>4807</v>
      </c>
      <c r="J446" t="s">
        <v>5117</v>
      </c>
      <c r="K446" t="s">
        <v>5166</v>
      </c>
    </row>
    <row r="447" spans="1:11" x14ac:dyDescent="0.55000000000000004">
      <c r="A447" t="s">
        <v>4808</v>
      </c>
      <c r="B447" t="s">
        <v>5116</v>
      </c>
      <c r="C447" t="s">
        <v>5116</v>
      </c>
      <c r="D447" t="s">
        <v>5116</v>
      </c>
      <c r="E447">
        <v>4.8430477570834702E-3</v>
      </c>
      <c r="F447">
        <v>5.83310526492903E-3</v>
      </c>
      <c r="G447">
        <v>0.98659710710238802</v>
      </c>
      <c r="H447">
        <v>2.7267398755994902E-3</v>
      </c>
      <c r="I447" t="s">
        <v>4808</v>
      </c>
      <c r="J447" t="s">
        <v>5116</v>
      </c>
    </row>
    <row r="448" spans="1:11" x14ac:dyDescent="0.55000000000000004">
      <c r="A448" t="s">
        <v>4809</v>
      </c>
      <c r="B448" t="s">
        <v>5115</v>
      </c>
      <c r="C448" t="s">
        <v>5115</v>
      </c>
      <c r="D448" t="s">
        <v>5115</v>
      </c>
      <c r="E448">
        <v>0.97938623516365997</v>
      </c>
      <c r="F448">
        <v>6.6741360516381302E-3</v>
      </c>
      <c r="G448">
        <v>8.7869883284155299E-3</v>
      </c>
      <c r="H448">
        <v>5.1526404562862796E-3</v>
      </c>
      <c r="I448" t="s">
        <v>4809</v>
      </c>
      <c r="J448" t="s">
        <v>5115</v>
      </c>
    </row>
    <row r="449" spans="1:11" x14ac:dyDescent="0.55000000000000004">
      <c r="A449" t="s">
        <v>4810</v>
      </c>
      <c r="B449" t="s">
        <v>5116</v>
      </c>
      <c r="C449" t="s">
        <v>5116</v>
      </c>
      <c r="D449" t="s">
        <v>5116</v>
      </c>
      <c r="E449">
        <v>5.0198878750935001E-3</v>
      </c>
      <c r="F449">
        <v>1.1210992216416501E-2</v>
      </c>
      <c r="G449">
        <v>0.97925753956212402</v>
      </c>
      <c r="H449">
        <v>4.5115803463660498E-3</v>
      </c>
      <c r="I449" t="s">
        <v>4810</v>
      </c>
      <c r="J449" t="s">
        <v>5116</v>
      </c>
    </row>
    <row r="450" spans="1:11" x14ac:dyDescent="0.55000000000000004">
      <c r="A450" t="s">
        <v>4811</v>
      </c>
      <c r="B450" t="s">
        <v>5116</v>
      </c>
      <c r="C450" t="s">
        <v>5116</v>
      </c>
      <c r="D450" t="s">
        <v>5116</v>
      </c>
      <c r="E450">
        <v>6.3844776953891104E-3</v>
      </c>
      <c r="F450">
        <v>9.1266148234991802E-3</v>
      </c>
      <c r="G450">
        <v>0.98083980422301498</v>
      </c>
      <c r="H450">
        <v>3.6491032580973299E-3</v>
      </c>
      <c r="I450" t="s">
        <v>4811</v>
      </c>
      <c r="J450" t="s">
        <v>5116</v>
      </c>
    </row>
    <row r="451" spans="1:11" x14ac:dyDescent="0.55000000000000004">
      <c r="A451" t="s">
        <v>4812</v>
      </c>
      <c r="B451" t="s">
        <v>5116</v>
      </c>
      <c r="C451" t="s">
        <v>5116</v>
      </c>
      <c r="D451" t="s">
        <v>5116</v>
      </c>
      <c r="E451">
        <v>1.5358978614560001E-2</v>
      </c>
      <c r="F451">
        <v>3.1323719048632001E-2</v>
      </c>
      <c r="G451">
        <v>0.94844900005758903</v>
      </c>
      <c r="H451">
        <v>4.8683022792193904E-3</v>
      </c>
      <c r="I451" t="s">
        <v>4812</v>
      </c>
      <c r="J451" t="s">
        <v>5116</v>
      </c>
    </row>
    <row r="452" spans="1:11" x14ac:dyDescent="0.55000000000000004">
      <c r="A452" t="s">
        <v>4813</v>
      </c>
      <c r="B452" t="s">
        <v>5115</v>
      </c>
      <c r="C452" t="s">
        <v>5115</v>
      </c>
      <c r="D452" t="s">
        <v>5115</v>
      </c>
      <c r="E452">
        <v>0.93669794054598599</v>
      </c>
      <c r="F452">
        <v>3.2563050901910397E-2</v>
      </c>
      <c r="G452">
        <v>2.3391381582130898E-2</v>
      </c>
      <c r="H452">
        <v>7.3476269699734699E-3</v>
      </c>
      <c r="I452" t="s">
        <v>4813</v>
      </c>
      <c r="J452" t="s">
        <v>5115</v>
      </c>
    </row>
    <row r="453" spans="1:11" x14ac:dyDescent="0.55000000000000004">
      <c r="A453" t="s">
        <v>4814</v>
      </c>
      <c r="B453" t="s">
        <v>5115</v>
      </c>
      <c r="C453" t="s">
        <v>5115</v>
      </c>
      <c r="D453" t="s">
        <v>5115</v>
      </c>
      <c r="E453">
        <v>0.970069620940606</v>
      </c>
      <c r="F453">
        <v>7.3849894884328304E-3</v>
      </c>
      <c r="G453">
        <v>1.7211405694300599E-2</v>
      </c>
      <c r="H453">
        <v>5.3339838766603203E-3</v>
      </c>
      <c r="I453" t="s">
        <v>4814</v>
      </c>
      <c r="J453" t="s">
        <v>5115</v>
      </c>
    </row>
    <row r="454" spans="1:11" x14ac:dyDescent="0.55000000000000004">
      <c r="A454" t="s">
        <v>4815</v>
      </c>
      <c r="B454" t="s">
        <v>5115</v>
      </c>
      <c r="C454" t="s">
        <v>5115</v>
      </c>
      <c r="D454" t="s">
        <v>5115</v>
      </c>
      <c r="E454">
        <v>0.97289630501136604</v>
      </c>
      <c r="F454">
        <v>8.6218695901911294E-3</v>
      </c>
      <c r="G454">
        <v>1.4404761192676601E-2</v>
      </c>
      <c r="H454">
        <v>4.0770642057663901E-3</v>
      </c>
      <c r="I454" t="s">
        <v>4815</v>
      </c>
      <c r="J454" t="s">
        <v>5115</v>
      </c>
    </row>
    <row r="455" spans="1:11" x14ac:dyDescent="0.55000000000000004">
      <c r="A455" t="s">
        <v>4816</v>
      </c>
      <c r="B455" t="s">
        <v>5116</v>
      </c>
      <c r="C455" t="s">
        <v>5116</v>
      </c>
      <c r="D455" t="s">
        <v>5116</v>
      </c>
      <c r="E455">
        <v>1.7655253019119601E-2</v>
      </c>
      <c r="F455">
        <v>1.8048835935209E-2</v>
      </c>
      <c r="G455">
        <v>0.95828674733580099</v>
      </c>
      <c r="H455">
        <v>6.0091637098700903E-3</v>
      </c>
      <c r="I455" t="s">
        <v>4816</v>
      </c>
      <c r="J455" t="s">
        <v>5116</v>
      </c>
    </row>
    <row r="456" spans="1:11" x14ac:dyDescent="0.55000000000000004">
      <c r="A456" t="s">
        <v>4817</v>
      </c>
      <c r="B456" t="s">
        <v>5116</v>
      </c>
      <c r="C456" t="s">
        <v>5116</v>
      </c>
      <c r="D456" t="s">
        <v>5116</v>
      </c>
      <c r="E456">
        <v>7.0756297170774503E-3</v>
      </c>
      <c r="F456">
        <v>5.35739260120796E-3</v>
      </c>
      <c r="G456">
        <v>0.98345042523941895</v>
      </c>
      <c r="H456">
        <v>4.1165524422960504E-3</v>
      </c>
      <c r="I456" t="s">
        <v>4817</v>
      </c>
      <c r="J456" t="s">
        <v>5116</v>
      </c>
    </row>
    <row r="457" spans="1:11" x14ac:dyDescent="0.55000000000000004">
      <c r="A457" t="s">
        <v>4958</v>
      </c>
      <c r="B457" t="s">
        <v>5115</v>
      </c>
      <c r="C457" t="s">
        <v>5115</v>
      </c>
      <c r="D457" t="s">
        <v>5116</v>
      </c>
      <c r="E457">
        <v>0.44820377775343501</v>
      </c>
      <c r="F457">
        <v>5.8191217125964201E-2</v>
      </c>
      <c r="G457">
        <v>0.48361018597797301</v>
      </c>
      <c r="H457">
        <v>9.9948191426280399E-3</v>
      </c>
      <c r="I457" t="s">
        <v>4958</v>
      </c>
      <c r="J457" t="s">
        <v>5117</v>
      </c>
      <c r="K457" t="s">
        <v>5119</v>
      </c>
    </row>
    <row r="458" spans="1:11" x14ac:dyDescent="0.55000000000000004">
      <c r="A458" t="s">
        <v>4959</v>
      </c>
      <c r="B458" t="s">
        <v>5167</v>
      </c>
      <c r="C458" t="s">
        <v>5116</v>
      </c>
      <c r="D458" t="s">
        <v>5116</v>
      </c>
      <c r="E458">
        <v>0.11674404394827199</v>
      </c>
      <c r="F458">
        <v>0.18744593341101201</v>
      </c>
      <c r="G458">
        <v>0.68869831710345797</v>
      </c>
      <c r="H458">
        <v>7.1117055372578002E-3</v>
      </c>
      <c r="I458" t="s">
        <v>4959</v>
      </c>
      <c r="J458" t="s">
        <v>5117</v>
      </c>
      <c r="K458" t="s">
        <v>5166</v>
      </c>
    </row>
    <row r="459" spans="1:11" x14ac:dyDescent="0.55000000000000004">
      <c r="A459" t="s">
        <v>4960</v>
      </c>
      <c r="B459" t="s">
        <v>5115</v>
      </c>
      <c r="C459" t="s">
        <v>5115</v>
      </c>
      <c r="D459" t="s">
        <v>5115</v>
      </c>
      <c r="E459">
        <v>0.96622823498031096</v>
      </c>
      <c r="F459">
        <v>9.6591630055068607E-3</v>
      </c>
      <c r="G459">
        <v>1.9544227032192399E-2</v>
      </c>
      <c r="H459">
        <v>4.5683749819899998E-3</v>
      </c>
      <c r="I459" t="s">
        <v>4960</v>
      </c>
      <c r="J459" t="s">
        <v>5115</v>
      </c>
    </row>
    <row r="460" spans="1:11" x14ac:dyDescent="0.55000000000000004">
      <c r="A460" t="s">
        <v>4961</v>
      </c>
      <c r="B460" t="s">
        <v>5115</v>
      </c>
      <c r="C460" t="s">
        <v>5115</v>
      </c>
      <c r="D460" t="s">
        <v>5115</v>
      </c>
      <c r="E460">
        <v>0.91700390401785603</v>
      </c>
      <c r="F460">
        <v>3.09132200474103E-2</v>
      </c>
      <c r="G460">
        <v>4.4329094781863497E-2</v>
      </c>
      <c r="H460">
        <v>7.75378115287E-3</v>
      </c>
      <c r="I460" t="s">
        <v>4961</v>
      </c>
      <c r="J460" t="s">
        <v>5115</v>
      </c>
    </row>
    <row r="461" spans="1:11" x14ac:dyDescent="0.55000000000000004">
      <c r="A461" t="s">
        <v>4962</v>
      </c>
      <c r="B461" t="s">
        <v>5116</v>
      </c>
      <c r="C461" t="s">
        <v>5116</v>
      </c>
      <c r="D461" t="s">
        <v>5116</v>
      </c>
      <c r="E461">
        <v>5.9184287741820604E-3</v>
      </c>
      <c r="F461">
        <v>2.3048503220359E-2</v>
      </c>
      <c r="G461">
        <v>0.967440451836864</v>
      </c>
      <c r="H461">
        <v>3.5926161685944E-3</v>
      </c>
      <c r="I461" t="s">
        <v>4962</v>
      </c>
      <c r="J461" t="s">
        <v>5116</v>
      </c>
    </row>
    <row r="462" spans="1:11" x14ac:dyDescent="0.55000000000000004">
      <c r="A462" t="s">
        <v>4964</v>
      </c>
      <c r="B462" t="s">
        <v>5115</v>
      </c>
      <c r="C462" t="s">
        <v>5115</v>
      </c>
      <c r="D462" t="s">
        <v>5115</v>
      </c>
      <c r="E462">
        <v>0.96614236511626195</v>
      </c>
      <c r="F462">
        <v>1.7582274295882501E-2</v>
      </c>
      <c r="G462">
        <v>9.1714016747598704E-3</v>
      </c>
      <c r="H462">
        <v>7.1039589130953698E-3</v>
      </c>
      <c r="I462" t="s">
        <v>4964</v>
      </c>
      <c r="J462" t="s">
        <v>5115</v>
      </c>
    </row>
    <row r="463" spans="1:11" x14ac:dyDescent="0.55000000000000004">
      <c r="A463" t="s">
        <v>4965</v>
      </c>
      <c r="B463" t="s">
        <v>5116</v>
      </c>
      <c r="C463" t="s">
        <v>5116</v>
      </c>
      <c r="D463" t="s">
        <v>5116</v>
      </c>
      <c r="E463">
        <v>7.66451087094788E-3</v>
      </c>
      <c r="F463">
        <v>1.53882196083302E-2</v>
      </c>
      <c r="G463">
        <v>0.97144604076527497</v>
      </c>
      <c r="H463">
        <v>5.5012287554469901E-3</v>
      </c>
      <c r="I463" t="s">
        <v>4965</v>
      </c>
      <c r="J463" t="s">
        <v>5116</v>
      </c>
    </row>
    <row r="464" spans="1:11" x14ac:dyDescent="0.55000000000000004">
      <c r="A464" t="s">
        <v>4966</v>
      </c>
      <c r="B464" t="s">
        <v>5115</v>
      </c>
      <c r="C464" t="s">
        <v>5115</v>
      </c>
      <c r="D464" t="s">
        <v>5115</v>
      </c>
      <c r="E464">
        <v>0.93751570898382197</v>
      </c>
      <c r="F464">
        <v>3.9919277249650803E-2</v>
      </c>
      <c r="G464">
        <v>1.5525308402117599E-2</v>
      </c>
      <c r="H464">
        <v>7.0397053644101204E-3</v>
      </c>
      <c r="I464" t="s">
        <v>4966</v>
      </c>
      <c r="J464" t="s">
        <v>5115</v>
      </c>
    </row>
    <row r="465" spans="1:10" x14ac:dyDescent="0.55000000000000004">
      <c r="A465" t="s">
        <v>4967</v>
      </c>
      <c r="B465" t="s">
        <v>5115</v>
      </c>
      <c r="C465" t="s">
        <v>5115</v>
      </c>
      <c r="D465" t="s">
        <v>5115</v>
      </c>
      <c r="E465">
        <v>0.987776241399281</v>
      </c>
      <c r="F465">
        <v>4.4577372866436097E-3</v>
      </c>
      <c r="G465">
        <v>3.89063195671279E-3</v>
      </c>
      <c r="H465">
        <v>3.87538935736206E-3</v>
      </c>
      <c r="I465" t="s">
        <v>4967</v>
      </c>
      <c r="J465" t="s">
        <v>5115</v>
      </c>
    </row>
    <row r="466" spans="1:10" x14ac:dyDescent="0.55000000000000004">
      <c r="A466" t="s">
        <v>4968</v>
      </c>
      <c r="B466" t="s">
        <v>5115</v>
      </c>
      <c r="C466" t="s">
        <v>5115</v>
      </c>
      <c r="D466" t="s">
        <v>5115</v>
      </c>
      <c r="E466">
        <v>0.94462514099761197</v>
      </c>
      <c r="F466">
        <v>1.8037518972121001E-2</v>
      </c>
      <c r="G466">
        <v>3.1001910603396601E-2</v>
      </c>
      <c r="H466">
        <v>6.3354294268702198E-3</v>
      </c>
      <c r="I466" t="s">
        <v>4968</v>
      </c>
      <c r="J466" t="s">
        <v>5115</v>
      </c>
    </row>
    <row r="467" spans="1:10" x14ac:dyDescent="0.55000000000000004">
      <c r="A467" t="s">
        <v>4969</v>
      </c>
      <c r="B467" t="s">
        <v>5115</v>
      </c>
      <c r="C467" t="s">
        <v>5115</v>
      </c>
      <c r="D467" t="s">
        <v>5115</v>
      </c>
      <c r="E467">
        <v>0.76238703210676995</v>
      </c>
      <c r="F467">
        <v>0.14745594331286299</v>
      </c>
      <c r="G467">
        <v>8.0471011113387794E-2</v>
      </c>
      <c r="H467">
        <v>9.6860134669787702E-3</v>
      </c>
      <c r="I467" t="s">
        <v>4969</v>
      </c>
      <c r="J467" t="s">
        <v>5115</v>
      </c>
    </row>
    <row r="468" spans="1:10" x14ac:dyDescent="0.55000000000000004">
      <c r="A468" t="s">
        <v>4894</v>
      </c>
      <c r="B468" t="s">
        <v>5115</v>
      </c>
      <c r="C468" t="s">
        <v>5115</v>
      </c>
      <c r="D468" t="s">
        <v>5115</v>
      </c>
      <c r="E468">
        <v>0.95910553336857296</v>
      </c>
      <c r="F468">
        <v>2.1534507531337E-2</v>
      </c>
      <c r="G468">
        <v>1.3788825046941599E-2</v>
      </c>
      <c r="H468">
        <v>5.5711340531485101E-3</v>
      </c>
      <c r="I468" t="s">
        <v>4894</v>
      </c>
      <c r="J468" t="s">
        <v>5115</v>
      </c>
    </row>
    <row r="469" spans="1:10" x14ac:dyDescent="0.55000000000000004">
      <c r="A469" t="s">
        <v>4895</v>
      </c>
      <c r="B469" t="s">
        <v>5115</v>
      </c>
      <c r="C469" t="s">
        <v>5115</v>
      </c>
      <c r="D469" t="s">
        <v>5115</v>
      </c>
      <c r="E469">
        <v>0.89472051265283103</v>
      </c>
      <c r="F469">
        <v>3.06853645499485E-2</v>
      </c>
      <c r="G469">
        <v>6.8426554527949393E-2</v>
      </c>
      <c r="H469">
        <v>6.1675682692707099E-3</v>
      </c>
      <c r="I469" t="s">
        <v>4895</v>
      </c>
      <c r="J469" t="s">
        <v>5115</v>
      </c>
    </row>
    <row r="470" spans="1:10" x14ac:dyDescent="0.55000000000000004">
      <c r="A470" t="s">
        <v>5075</v>
      </c>
      <c r="B470" t="s">
        <v>5115</v>
      </c>
      <c r="C470" t="s">
        <v>5115</v>
      </c>
      <c r="D470" t="s">
        <v>5115</v>
      </c>
      <c r="E470">
        <v>0.89705149572057497</v>
      </c>
      <c r="F470">
        <v>6.7350066948588694E-2</v>
      </c>
      <c r="G470">
        <v>2.7296489419034699E-2</v>
      </c>
      <c r="H470">
        <v>8.3019479118013606E-3</v>
      </c>
      <c r="I470" t="s">
        <v>5075</v>
      </c>
      <c r="J470" t="s">
        <v>5115</v>
      </c>
    </row>
    <row r="471" spans="1:10" x14ac:dyDescent="0.55000000000000004">
      <c r="A471" t="s">
        <v>5076</v>
      </c>
      <c r="B471" t="s">
        <v>5115</v>
      </c>
      <c r="C471" t="s">
        <v>5115</v>
      </c>
      <c r="D471" t="s">
        <v>5115</v>
      </c>
      <c r="E471">
        <v>0.835505712027098</v>
      </c>
      <c r="F471">
        <v>5.1334779280771299E-2</v>
      </c>
      <c r="G471">
        <v>0.104175683829192</v>
      </c>
      <c r="H471">
        <v>8.9838248629392301E-3</v>
      </c>
      <c r="I471" t="s">
        <v>5076</v>
      </c>
      <c r="J471" t="s">
        <v>5115</v>
      </c>
    </row>
    <row r="472" spans="1:10" x14ac:dyDescent="0.55000000000000004">
      <c r="A472" t="s">
        <v>5077</v>
      </c>
      <c r="B472" t="s">
        <v>5115</v>
      </c>
      <c r="C472" t="s">
        <v>5115</v>
      </c>
      <c r="D472" t="s">
        <v>5115</v>
      </c>
      <c r="E472">
        <v>0.76207764400584299</v>
      </c>
      <c r="F472">
        <v>0.16129923762305601</v>
      </c>
      <c r="G472">
        <v>6.8853055546569994E-2</v>
      </c>
      <c r="H472">
        <v>7.7700628245306698E-3</v>
      </c>
      <c r="I472" t="s">
        <v>5077</v>
      </c>
      <c r="J472" t="s">
        <v>5115</v>
      </c>
    </row>
    <row r="473" spans="1:10" x14ac:dyDescent="0.55000000000000004">
      <c r="A473" t="s">
        <v>5078</v>
      </c>
      <c r="B473" t="s">
        <v>5115</v>
      </c>
      <c r="C473" t="s">
        <v>5115</v>
      </c>
      <c r="D473" t="s">
        <v>5115</v>
      </c>
      <c r="E473">
        <v>0.91604666072218599</v>
      </c>
      <c r="F473">
        <v>4.1166555918455097E-2</v>
      </c>
      <c r="G473">
        <v>3.4843788288411399E-2</v>
      </c>
      <c r="H473">
        <v>7.9429950709476605E-3</v>
      </c>
      <c r="I473" t="s">
        <v>5078</v>
      </c>
      <c r="J473" t="s">
        <v>5115</v>
      </c>
    </row>
    <row r="474" spans="1:10" x14ac:dyDescent="0.55000000000000004">
      <c r="A474" t="s">
        <v>5079</v>
      </c>
      <c r="B474" t="s">
        <v>5116</v>
      </c>
      <c r="C474" t="s">
        <v>5116</v>
      </c>
      <c r="D474" t="s">
        <v>5116</v>
      </c>
      <c r="E474">
        <v>4.29304861310747E-3</v>
      </c>
      <c r="F474">
        <v>9.1783508580344699E-3</v>
      </c>
      <c r="G474">
        <v>0.98106608420737695</v>
      </c>
      <c r="H474">
        <v>5.4625163214810203E-3</v>
      </c>
      <c r="I474" t="s">
        <v>5079</v>
      </c>
      <c r="J474" t="s">
        <v>5116</v>
      </c>
    </row>
    <row r="475" spans="1:10" x14ac:dyDescent="0.55000000000000004">
      <c r="A475" t="s">
        <v>5080</v>
      </c>
      <c r="B475" t="s">
        <v>5116</v>
      </c>
      <c r="C475" t="s">
        <v>5116</v>
      </c>
      <c r="D475" t="s">
        <v>5116</v>
      </c>
      <c r="E475">
        <v>3.35615106766032E-3</v>
      </c>
      <c r="F475">
        <v>9.4569569730723006E-3</v>
      </c>
      <c r="G475">
        <v>0.98420042571283295</v>
      </c>
      <c r="H475">
        <v>2.9864662464345101E-3</v>
      </c>
      <c r="I475" t="s">
        <v>5080</v>
      </c>
      <c r="J475" t="s">
        <v>5116</v>
      </c>
    </row>
    <row r="476" spans="1:10" x14ac:dyDescent="0.55000000000000004">
      <c r="A476" t="s">
        <v>4938</v>
      </c>
      <c r="B476" t="s">
        <v>5116</v>
      </c>
      <c r="C476" t="s">
        <v>5116</v>
      </c>
      <c r="D476" t="s">
        <v>5116</v>
      </c>
      <c r="E476">
        <v>6.5654374864739101E-3</v>
      </c>
      <c r="F476">
        <v>9.3759267880689605E-3</v>
      </c>
      <c r="G476">
        <v>0.97995284244017899</v>
      </c>
      <c r="H476">
        <v>4.1057932852783096E-3</v>
      </c>
      <c r="I476" t="s">
        <v>4938</v>
      </c>
      <c r="J476" t="s">
        <v>5116</v>
      </c>
    </row>
    <row r="477" spans="1:10" x14ac:dyDescent="0.55000000000000004">
      <c r="A477" t="s">
        <v>4939</v>
      </c>
      <c r="B477" t="s">
        <v>5116</v>
      </c>
      <c r="C477" t="s">
        <v>5116</v>
      </c>
      <c r="D477" t="s">
        <v>5116</v>
      </c>
      <c r="E477">
        <v>7.5898696324767203E-3</v>
      </c>
      <c r="F477">
        <v>6.5747844128529603E-3</v>
      </c>
      <c r="G477">
        <v>0.98160052438133205</v>
      </c>
      <c r="H477">
        <v>4.2348215733382603E-3</v>
      </c>
      <c r="I477" t="s">
        <v>4939</v>
      </c>
      <c r="J477" t="s">
        <v>5116</v>
      </c>
    </row>
    <row r="478" spans="1:10" x14ac:dyDescent="0.55000000000000004">
      <c r="A478" t="s">
        <v>4940</v>
      </c>
      <c r="B478" t="s">
        <v>5116</v>
      </c>
      <c r="C478" t="s">
        <v>5116</v>
      </c>
      <c r="D478" t="s">
        <v>5116</v>
      </c>
      <c r="E478">
        <v>3.2527863747078998E-3</v>
      </c>
      <c r="F478">
        <v>5.55714940136166E-3</v>
      </c>
      <c r="G478">
        <v>0.98870360512922995</v>
      </c>
      <c r="H478">
        <v>2.4864590947002302E-3</v>
      </c>
      <c r="I478" t="s">
        <v>4940</v>
      </c>
      <c r="J478" t="s">
        <v>5116</v>
      </c>
    </row>
    <row r="479" spans="1:10" x14ac:dyDescent="0.55000000000000004">
      <c r="A479" t="s">
        <v>4941</v>
      </c>
      <c r="B479" t="s">
        <v>5116</v>
      </c>
      <c r="C479" t="s">
        <v>5116</v>
      </c>
      <c r="D479" t="s">
        <v>5116</v>
      </c>
      <c r="E479">
        <v>1.05326471048173E-2</v>
      </c>
      <c r="F479">
        <v>6.5474777361152004E-3</v>
      </c>
      <c r="G479">
        <v>0.97909835608289397</v>
      </c>
      <c r="H479">
        <v>3.8215190761730698E-3</v>
      </c>
      <c r="I479" t="s">
        <v>4941</v>
      </c>
      <c r="J479" t="s">
        <v>5116</v>
      </c>
    </row>
    <row r="480" spans="1:10" x14ac:dyDescent="0.55000000000000004">
      <c r="A480" t="s">
        <v>4942</v>
      </c>
      <c r="B480" t="s">
        <v>5115</v>
      </c>
      <c r="C480" t="s">
        <v>5115</v>
      </c>
      <c r="D480" t="s">
        <v>5115</v>
      </c>
      <c r="E480">
        <v>0.96488707339128199</v>
      </c>
      <c r="F480">
        <v>1.2138494583648201E-2</v>
      </c>
      <c r="G480">
        <v>1.8295377485484699E-2</v>
      </c>
      <c r="H480">
        <v>4.6790545395853202E-3</v>
      </c>
      <c r="I480" t="s">
        <v>4942</v>
      </c>
      <c r="J480" t="s">
        <v>5115</v>
      </c>
    </row>
    <row r="481" spans="1:10" x14ac:dyDescent="0.55000000000000004">
      <c r="A481" t="s">
        <v>4943</v>
      </c>
      <c r="B481" t="s">
        <v>5116</v>
      </c>
      <c r="C481" t="s">
        <v>5116</v>
      </c>
      <c r="D481" t="s">
        <v>5116</v>
      </c>
      <c r="E481">
        <v>6.2974231439645997E-3</v>
      </c>
      <c r="F481">
        <v>1.45287042846939E-2</v>
      </c>
      <c r="G481">
        <v>0.97411014530506501</v>
      </c>
      <c r="H481">
        <v>5.0637272662764901E-3</v>
      </c>
      <c r="I481" t="s">
        <v>4943</v>
      </c>
      <c r="J481" t="s">
        <v>5116</v>
      </c>
    </row>
    <row r="482" spans="1:10" x14ac:dyDescent="0.55000000000000004">
      <c r="A482" t="s">
        <v>4944</v>
      </c>
      <c r="B482" t="s">
        <v>5115</v>
      </c>
      <c r="C482" t="s">
        <v>5115</v>
      </c>
      <c r="D482" t="s">
        <v>5115</v>
      </c>
      <c r="E482">
        <v>0.87753132709153503</v>
      </c>
      <c r="F482">
        <v>5.1109860500786503E-2</v>
      </c>
      <c r="G482">
        <v>6.5658871656636197E-2</v>
      </c>
      <c r="H482">
        <v>5.6999407510420199E-3</v>
      </c>
      <c r="I482" t="s">
        <v>4944</v>
      </c>
      <c r="J482" t="s">
        <v>5115</v>
      </c>
    </row>
    <row r="483" spans="1:10" x14ac:dyDescent="0.55000000000000004">
      <c r="A483" t="s">
        <v>4945</v>
      </c>
      <c r="B483" t="s">
        <v>5116</v>
      </c>
      <c r="C483" t="s">
        <v>5116</v>
      </c>
      <c r="D483" t="s">
        <v>5116</v>
      </c>
      <c r="E483">
        <v>4.4090493984844902E-3</v>
      </c>
      <c r="F483">
        <v>1.24425825535444E-2</v>
      </c>
      <c r="G483">
        <v>0.97984814939467801</v>
      </c>
      <c r="H483">
        <v>3.3002186532931398E-3</v>
      </c>
      <c r="I483" t="s">
        <v>4945</v>
      </c>
      <c r="J483" t="s">
        <v>5116</v>
      </c>
    </row>
    <row r="484" spans="1:10" x14ac:dyDescent="0.55000000000000004">
      <c r="A484" t="s">
        <v>5054</v>
      </c>
      <c r="B484" t="s">
        <v>5115</v>
      </c>
      <c r="C484" t="s">
        <v>5115</v>
      </c>
      <c r="D484" t="s">
        <v>5115</v>
      </c>
      <c r="E484">
        <v>0.973049356899648</v>
      </c>
      <c r="F484">
        <v>7.9482696666415501E-3</v>
      </c>
      <c r="G484">
        <v>1.38613439096362E-2</v>
      </c>
      <c r="H484">
        <v>5.1410295240743196E-3</v>
      </c>
      <c r="I484" t="s">
        <v>5054</v>
      </c>
      <c r="J484" t="s">
        <v>5115</v>
      </c>
    </row>
    <row r="485" spans="1:10" x14ac:dyDescent="0.55000000000000004">
      <c r="A485" t="s">
        <v>5055</v>
      </c>
      <c r="B485" t="s">
        <v>5115</v>
      </c>
      <c r="C485" t="s">
        <v>5115</v>
      </c>
      <c r="D485" t="s">
        <v>5115</v>
      </c>
      <c r="E485">
        <v>0.96128525429054401</v>
      </c>
      <c r="F485">
        <v>2.13500953187588E-2</v>
      </c>
      <c r="G485">
        <v>1.05521528337882E-2</v>
      </c>
      <c r="H485">
        <v>6.8124975569087204E-3</v>
      </c>
      <c r="I485" t="s">
        <v>5055</v>
      </c>
      <c r="J485" t="s">
        <v>5115</v>
      </c>
    </row>
    <row r="486" spans="1:10" x14ac:dyDescent="0.55000000000000004">
      <c r="A486" t="s">
        <v>5056</v>
      </c>
      <c r="B486" t="s">
        <v>5116</v>
      </c>
      <c r="C486" t="s">
        <v>5116</v>
      </c>
      <c r="D486" t="s">
        <v>5116</v>
      </c>
      <c r="E486">
        <v>6.5723840589165501E-3</v>
      </c>
      <c r="F486">
        <v>8.2531311913333801E-3</v>
      </c>
      <c r="G486">
        <v>0.97992025992217802</v>
      </c>
      <c r="H486">
        <v>5.2542248275720804E-3</v>
      </c>
      <c r="I486" t="s">
        <v>5056</v>
      </c>
      <c r="J486" t="s">
        <v>5116</v>
      </c>
    </row>
    <row r="487" spans="1:10" x14ac:dyDescent="0.55000000000000004">
      <c r="A487" t="s">
        <v>5057</v>
      </c>
      <c r="B487" t="s">
        <v>5116</v>
      </c>
      <c r="C487" t="s">
        <v>5116</v>
      </c>
      <c r="D487" t="s">
        <v>5116</v>
      </c>
      <c r="E487">
        <v>1.2088111817772799E-2</v>
      </c>
      <c r="F487">
        <v>1.40739211613705E-2</v>
      </c>
      <c r="G487">
        <v>0.97044205068808498</v>
      </c>
      <c r="H487">
        <v>3.3959163327716602E-3</v>
      </c>
      <c r="I487" t="s">
        <v>5057</v>
      </c>
      <c r="J487" t="s">
        <v>5116</v>
      </c>
    </row>
    <row r="488" spans="1:10" x14ac:dyDescent="0.55000000000000004">
      <c r="A488" t="s">
        <v>4762</v>
      </c>
      <c r="B488" t="s">
        <v>5115</v>
      </c>
      <c r="C488" t="s">
        <v>5115</v>
      </c>
      <c r="D488" t="s">
        <v>5115</v>
      </c>
      <c r="E488">
        <v>0.91293242944275699</v>
      </c>
      <c r="F488">
        <v>5.1757198608726303E-2</v>
      </c>
      <c r="G488">
        <v>2.62053160380924E-2</v>
      </c>
      <c r="H488">
        <v>9.1050559104246497E-3</v>
      </c>
      <c r="I488" t="s">
        <v>4762</v>
      </c>
      <c r="J488" t="s">
        <v>5115</v>
      </c>
    </row>
    <row r="489" spans="1:10" x14ac:dyDescent="0.55000000000000004">
      <c r="A489" t="s">
        <v>4763</v>
      </c>
      <c r="B489" t="s">
        <v>5115</v>
      </c>
      <c r="C489" t="s">
        <v>5115</v>
      </c>
      <c r="D489" t="s">
        <v>5115</v>
      </c>
      <c r="E489">
        <v>0.950989000001216</v>
      </c>
      <c r="F489">
        <v>1.7408296230189298E-2</v>
      </c>
      <c r="G489">
        <v>2.4687358112023501E-2</v>
      </c>
      <c r="H489">
        <v>6.9153456565718098E-3</v>
      </c>
      <c r="I489" t="s">
        <v>4763</v>
      </c>
      <c r="J489" t="s">
        <v>5115</v>
      </c>
    </row>
    <row r="490" spans="1:10" x14ac:dyDescent="0.55000000000000004">
      <c r="A490" t="s">
        <v>4764</v>
      </c>
      <c r="B490" t="s">
        <v>5115</v>
      </c>
      <c r="C490" t="s">
        <v>5115</v>
      </c>
      <c r="D490" t="s">
        <v>5115</v>
      </c>
      <c r="E490">
        <v>0.92162968114409605</v>
      </c>
      <c r="F490">
        <v>3.5710844781648703E-2</v>
      </c>
      <c r="G490">
        <v>3.5262012199096901E-2</v>
      </c>
      <c r="H490">
        <v>7.3974618751587702E-3</v>
      </c>
      <c r="I490" t="s">
        <v>4764</v>
      </c>
      <c r="J490" t="s">
        <v>5115</v>
      </c>
    </row>
    <row r="491" spans="1:10" x14ac:dyDescent="0.55000000000000004">
      <c r="A491" t="s">
        <v>4765</v>
      </c>
      <c r="B491" t="s">
        <v>5115</v>
      </c>
      <c r="C491" t="s">
        <v>5115</v>
      </c>
      <c r="D491" t="s">
        <v>5115</v>
      </c>
      <c r="E491">
        <v>0.95830687074528698</v>
      </c>
      <c r="F491">
        <v>1.4909843462743501E-2</v>
      </c>
      <c r="G491">
        <v>2.18772642113449E-2</v>
      </c>
      <c r="H491">
        <v>4.9060215806249804E-3</v>
      </c>
      <c r="I491" t="s">
        <v>4765</v>
      </c>
      <c r="J491" t="s">
        <v>5115</v>
      </c>
    </row>
    <row r="492" spans="1:10" x14ac:dyDescent="0.55000000000000004">
      <c r="A492" t="s">
        <v>4766</v>
      </c>
      <c r="B492" t="s">
        <v>5115</v>
      </c>
      <c r="C492" t="s">
        <v>5115</v>
      </c>
      <c r="D492" t="s">
        <v>5115</v>
      </c>
      <c r="E492">
        <v>0.98566076445825102</v>
      </c>
      <c r="F492">
        <v>4.1764800543394997E-3</v>
      </c>
      <c r="G492">
        <v>6.7971923173768102E-3</v>
      </c>
      <c r="H492">
        <v>3.36556317003285E-3</v>
      </c>
      <c r="I492" t="s">
        <v>4766</v>
      </c>
      <c r="J492" t="s">
        <v>5115</v>
      </c>
    </row>
    <row r="493" spans="1:10" x14ac:dyDescent="0.55000000000000004">
      <c r="A493" t="s">
        <v>4767</v>
      </c>
      <c r="B493" t="s">
        <v>5115</v>
      </c>
      <c r="C493" t="s">
        <v>5115</v>
      </c>
      <c r="D493" t="s">
        <v>5115</v>
      </c>
      <c r="E493">
        <v>0.98795861928037698</v>
      </c>
      <c r="F493">
        <v>3.0116778089605101E-3</v>
      </c>
      <c r="G493">
        <v>3.5177084676540002E-3</v>
      </c>
      <c r="H493">
        <v>5.5119944430082196E-3</v>
      </c>
      <c r="I493" t="s">
        <v>4767</v>
      </c>
      <c r="J493" t="s">
        <v>5115</v>
      </c>
    </row>
    <row r="494" spans="1:10" x14ac:dyDescent="0.55000000000000004">
      <c r="A494" t="s">
        <v>4768</v>
      </c>
      <c r="B494" t="s">
        <v>5115</v>
      </c>
      <c r="C494" t="s">
        <v>5115</v>
      </c>
      <c r="D494" t="s">
        <v>5115</v>
      </c>
      <c r="E494">
        <v>0.93524950076620195</v>
      </c>
      <c r="F494">
        <v>1.4801984548025801E-2</v>
      </c>
      <c r="G494">
        <v>4.4345467104993097E-2</v>
      </c>
      <c r="H494">
        <v>5.6030475807789699E-3</v>
      </c>
      <c r="I494" t="s">
        <v>4768</v>
      </c>
      <c r="J494" t="s">
        <v>5115</v>
      </c>
    </row>
    <row r="495" spans="1:10" x14ac:dyDescent="0.55000000000000004">
      <c r="A495" t="s">
        <v>4769</v>
      </c>
      <c r="B495" t="s">
        <v>5115</v>
      </c>
      <c r="C495" t="s">
        <v>5115</v>
      </c>
      <c r="D495" t="s">
        <v>5115</v>
      </c>
      <c r="E495">
        <v>0.97715823248524403</v>
      </c>
      <c r="F495">
        <v>9.1066999135358904E-3</v>
      </c>
      <c r="G495">
        <v>9.4604267624771397E-3</v>
      </c>
      <c r="H495">
        <v>4.2746408387431102E-3</v>
      </c>
      <c r="I495" t="s">
        <v>4769</v>
      </c>
      <c r="J495" t="s">
        <v>5115</v>
      </c>
    </row>
    <row r="496" spans="1:10" x14ac:dyDescent="0.55000000000000004">
      <c r="A496" t="s">
        <v>4770</v>
      </c>
      <c r="B496" t="s">
        <v>5115</v>
      </c>
      <c r="C496" t="s">
        <v>5115</v>
      </c>
      <c r="D496" t="s">
        <v>5115</v>
      </c>
      <c r="E496">
        <v>0.96605227165919405</v>
      </c>
      <c r="F496">
        <v>1.3887733918266599E-2</v>
      </c>
      <c r="G496">
        <v>1.4949485499941E-2</v>
      </c>
      <c r="H496">
        <v>5.1105089225981903E-3</v>
      </c>
      <c r="I496" t="s">
        <v>4770</v>
      </c>
      <c r="J496" t="s">
        <v>5115</v>
      </c>
    </row>
    <row r="497" spans="1:10" x14ac:dyDescent="0.55000000000000004">
      <c r="A497" t="s">
        <v>4771</v>
      </c>
      <c r="B497" t="s">
        <v>5115</v>
      </c>
      <c r="C497" t="s">
        <v>5115</v>
      </c>
      <c r="D497" t="s">
        <v>5115</v>
      </c>
      <c r="E497">
        <v>0.98696416027114797</v>
      </c>
      <c r="F497">
        <v>4.9508703129843698E-3</v>
      </c>
      <c r="G497">
        <v>4.2374032698664996E-3</v>
      </c>
      <c r="H497">
        <v>3.8475661460011801E-3</v>
      </c>
      <c r="I497" t="s">
        <v>4771</v>
      </c>
      <c r="J497" t="s">
        <v>5115</v>
      </c>
    </row>
    <row r="498" spans="1:10" x14ac:dyDescent="0.55000000000000004">
      <c r="A498" t="s">
        <v>4772</v>
      </c>
      <c r="B498" t="s">
        <v>5115</v>
      </c>
      <c r="C498" t="s">
        <v>5115</v>
      </c>
      <c r="D498" t="s">
        <v>5115</v>
      </c>
      <c r="E498">
        <v>0.97637164687296096</v>
      </c>
      <c r="F498">
        <v>7.0110011318683602E-3</v>
      </c>
      <c r="G498">
        <v>1.31532450856491E-2</v>
      </c>
      <c r="H498">
        <v>3.4641069095215399E-3</v>
      </c>
      <c r="I498" t="s">
        <v>4772</v>
      </c>
      <c r="J498" t="s">
        <v>5115</v>
      </c>
    </row>
    <row r="499" spans="1:10" x14ac:dyDescent="0.55000000000000004">
      <c r="A499" t="s">
        <v>4773</v>
      </c>
      <c r="B499" t="s">
        <v>5115</v>
      </c>
      <c r="C499" t="s">
        <v>5115</v>
      </c>
      <c r="D499" t="s">
        <v>5115</v>
      </c>
      <c r="E499">
        <v>0.94586697285913501</v>
      </c>
      <c r="F499">
        <v>2.4803798410239601E-2</v>
      </c>
      <c r="G499">
        <v>2.1700081060534199E-2</v>
      </c>
      <c r="H499">
        <v>7.6291476700915796E-3</v>
      </c>
      <c r="I499" t="s">
        <v>4773</v>
      </c>
      <c r="J499" t="s">
        <v>5115</v>
      </c>
    </row>
    <row r="500" spans="1:10" x14ac:dyDescent="0.55000000000000004">
      <c r="A500" t="s">
        <v>4950</v>
      </c>
      <c r="B500" t="s">
        <v>5115</v>
      </c>
      <c r="C500" t="s">
        <v>5115</v>
      </c>
      <c r="D500" t="s">
        <v>5115</v>
      </c>
      <c r="E500">
        <v>0.83215773146572702</v>
      </c>
      <c r="F500">
        <v>9.46339970173741E-2</v>
      </c>
      <c r="G500">
        <v>6.4951805498114398E-2</v>
      </c>
      <c r="H500">
        <v>8.2564660187845404E-3</v>
      </c>
      <c r="I500" t="s">
        <v>4950</v>
      </c>
      <c r="J500" t="s">
        <v>5115</v>
      </c>
    </row>
    <row r="501" spans="1:10" x14ac:dyDescent="0.55000000000000004">
      <c r="A501" t="s">
        <v>4951</v>
      </c>
      <c r="B501" t="s">
        <v>5115</v>
      </c>
      <c r="C501" t="s">
        <v>5115</v>
      </c>
      <c r="D501" t="s">
        <v>5115</v>
      </c>
      <c r="E501">
        <v>0.88039037735432901</v>
      </c>
      <c r="F501">
        <v>6.5746233410975297E-2</v>
      </c>
      <c r="G501">
        <v>4.2552630511501502E-2</v>
      </c>
      <c r="H501">
        <v>1.1310758723194E-2</v>
      </c>
      <c r="I501" t="s">
        <v>4951</v>
      </c>
      <c r="J501" t="s">
        <v>5115</v>
      </c>
    </row>
    <row r="502" spans="1:10" x14ac:dyDescent="0.55000000000000004">
      <c r="A502" t="s">
        <v>4897</v>
      </c>
      <c r="B502" t="s">
        <v>5115</v>
      </c>
      <c r="C502" t="s">
        <v>5115</v>
      </c>
      <c r="D502" t="s">
        <v>5115</v>
      </c>
      <c r="E502">
        <v>0.917978624960051</v>
      </c>
      <c r="F502">
        <v>4.9030536736239902E-2</v>
      </c>
      <c r="G502">
        <v>2.7547229281183E-2</v>
      </c>
      <c r="H502">
        <v>5.4436090225264402E-3</v>
      </c>
      <c r="I502" t="s">
        <v>4897</v>
      </c>
      <c r="J502" t="s">
        <v>5115</v>
      </c>
    </row>
    <row r="503" spans="1:10" x14ac:dyDescent="0.55000000000000004">
      <c r="A503" t="s">
        <v>4898</v>
      </c>
      <c r="B503" t="s">
        <v>5116</v>
      </c>
      <c r="C503" t="s">
        <v>5116</v>
      </c>
      <c r="D503" t="s">
        <v>5116</v>
      </c>
      <c r="E503">
        <v>8.1240782362041204E-3</v>
      </c>
      <c r="F503">
        <v>1.25738607156814E-2</v>
      </c>
      <c r="G503">
        <v>0.97527596257342597</v>
      </c>
      <c r="H503">
        <v>4.0260984746883699E-3</v>
      </c>
      <c r="I503" t="s">
        <v>4898</v>
      </c>
      <c r="J503" t="s">
        <v>5116</v>
      </c>
    </row>
    <row r="504" spans="1:10" x14ac:dyDescent="0.55000000000000004">
      <c r="A504" t="s">
        <v>4899</v>
      </c>
      <c r="B504" t="s">
        <v>5116</v>
      </c>
      <c r="C504" t="s">
        <v>5116</v>
      </c>
      <c r="D504" t="s">
        <v>5116</v>
      </c>
      <c r="E504">
        <v>1.0534669132574699E-2</v>
      </c>
      <c r="F504">
        <v>1.4776383257292899E-2</v>
      </c>
      <c r="G504">
        <v>0.97017923114912197</v>
      </c>
      <c r="H504">
        <v>4.5097164610101098E-3</v>
      </c>
      <c r="I504" t="s">
        <v>4899</v>
      </c>
      <c r="J504" t="s">
        <v>5116</v>
      </c>
    </row>
    <row r="505" spans="1:10" x14ac:dyDescent="0.55000000000000004">
      <c r="A505" t="s">
        <v>4900</v>
      </c>
      <c r="B505" t="s">
        <v>5116</v>
      </c>
      <c r="C505" t="s">
        <v>5116</v>
      </c>
      <c r="D505" t="s">
        <v>5116</v>
      </c>
      <c r="E505">
        <v>1.1827336872474101E-2</v>
      </c>
      <c r="F505">
        <v>1.0426304680792101E-2</v>
      </c>
      <c r="G505">
        <v>0.97342546704509003</v>
      </c>
      <c r="H505">
        <v>4.3208914016436796E-3</v>
      </c>
      <c r="I505" t="s">
        <v>4900</v>
      </c>
      <c r="J505" t="s">
        <v>5116</v>
      </c>
    </row>
    <row r="506" spans="1:10" x14ac:dyDescent="0.55000000000000004">
      <c r="A506" t="s">
        <v>4901</v>
      </c>
      <c r="B506" t="s">
        <v>5116</v>
      </c>
      <c r="C506" t="s">
        <v>5116</v>
      </c>
      <c r="D506" t="s">
        <v>5116</v>
      </c>
      <c r="E506">
        <v>2.55842002919663E-3</v>
      </c>
      <c r="F506">
        <v>6.8193306519650698E-3</v>
      </c>
      <c r="G506">
        <v>0.98704749688969695</v>
      </c>
      <c r="H506">
        <v>3.5747524291411298E-3</v>
      </c>
      <c r="I506" t="s">
        <v>4901</v>
      </c>
      <c r="J506" t="s">
        <v>5116</v>
      </c>
    </row>
    <row r="507" spans="1:10" x14ac:dyDescent="0.55000000000000004">
      <c r="A507" t="s">
        <v>4902</v>
      </c>
      <c r="B507" t="s">
        <v>5115</v>
      </c>
      <c r="C507" t="s">
        <v>5115</v>
      </c>
      <c r="D507" t="s">
        <v>5115</v>
      </c>
      <c r="E507">
        <v>0.98018162539619902</v>
      </c>
      <c r="F507">
        <v>6.0316523371369297E-3</v>
      </c>
      <c r="G507">
        <v>8.5825464111504001E-3</v>
      </c>
      <c r="H507">
        <v>5.2041758555141501E-3</v>
      </c>
      <c r="I507" t="s">
        <v>4902</v>
      </c>
      <c r="J507" t="s">
        <v>5115</v>
      </c>
    </row>
    <row r="508" spans="1:10" x14ac:dyDescent="0.55000000000000004">
      <c r="A508" t="s">
        <v>4832</v>
      </c>
      <c r="B508" t="s">
        <v>5115</v>
      </c>
      <c r="C508" t="s">
        <v>5115</v>
      </c>
      <c r="D508" t="s">
        <v>5115</v>
      </c>
      <c r="E508">
        <v>0.97208564988433899</v>
      </c>
      <c r="F508">
        <v>9.5340438448603404E-3</v>
      </c>
      <c r="G508">
        <v>1.49787508124335E-2</v>
      </c>
      <c r="H508">
        <v>3.4015554583676599E-3</v>
      </c>
      <c r="I508" t="s">
        <v>4832</v>
      </c>
      <c r="J508" t="s">
        <v>5115</v>
      </c>
    </row>
    <row r="509" spans="1:10" x14ac:dyDescent="0.55000000000000004">
      <c r="A509" t="s">
        <v>4833</v>
      </c>
      <c r="B509" t="s">
        <v>5115</v>
      </c>
      <c r="C509" t="s">
        <v>5115</v>
      </c>
      <c r="D509" t="s">
        <v>5115</v>
      </c>
      <c r="E509">
        <v>0.98149768507758195</v>
      </c>
      <c r="F509">
        <v>6.2352621697740101E-3</v>
      </c>
      <c r="G509">
        <v>7.9314846543488606E-3</v>
      </c>
      <c r="H509">
        <v>4.3355680982949604E-3</v>
      </c>
      <c r="I509" t="s">
        <v>4833</v>
      </c>
      <c r="J509" t="s">
        <v>5115</v>
      </c>
    </row>
    <row r="510" spans="1:10" x14ac:dyDescent="0.55000000000000004">
      <c r="A510" t="s">
        <v>4834</v>
      </c>
      <c r="B510" t="s">
        <v>5116</v>
      </c>
      <c r="C510" t="s">
        <v>5116</v>
      </c>
      <c r="D510" t="s">
        <v>5116</v>
      </c>
      <c r="E510">
        <v>8.4415631536577992E-3</v>
      </c>
      <c r="F510">
        <v>7.8246958783128595E-3</v>
      </c>
      <c r="G510">
        <v>0.98088786092605496</v>
      </c>
      <c r="H510">
        <v>2.8458800419744702E-3</v>
      </c>
      <c r="I510" t="s">
        <v>4834</v>
      </c>
      <c r="J510" t="s">
        <v>5116</v>
      </c>
    </row>
    <row r="511" spans="1:10" x14ac:dyDescent="0.55000000000000004">
      <c r="A511" t="s">
        <v>4835</v>
      </c>
      <c r="B511" t="s">
        <v>5116</v>
      </c>
      <c r="C511" t="s">
        <v>5116</v>
      </c>
      <c r="D511" t="s">
        <v>5116</v>
      </c>
      <c r="E511">
        <v>1.12514318549508E-2</v>
      </c>
      <c r="F511">
        <v>1.59606479139381E-2</v>
      </c>
      <c r="G511">
        <v>0.96933900929889205</v>
      </c>
      <c r="H511">
        <v>3.4489109322191798E-3</v>
      </c>
      <c r="I511" t="s">
        <v>4835</v>
      </c>
      <c r="J511" t="s">
        <v>5116</v>
      </c>
    </row>
    <row r="512" spans="1:10" x14ac:dyDescent="0.55000000000000004">
      <c r="A512" t="s">
        <v>4836</v>
      </c>
      <c r="B512" t="s">
        <v>5115</v>
      </c>
      <c r="C512" t="s">
        <v>5115</v>
      </c>
      <c r="D512" t="s">
        <v>5115</v>
      </c>
      <c r="E512">
        <v>0.90798939362874898</v>
      </c>
      <c r="F512">
        <v>4.1685914682828597E-2</v>
      </c>
      <c r="G512">
        <v>3.7912220791907897E-2</v>
      </c>
      <c r="H512">
        <v>1.2412470896514601E-2</v>
      </c>
      <c r="I512" t="s">
        <v>4836</v>
      </c>
      <c r="J512" t="s">
        <v>5115</v>
      </c>
    </row>
    <row r="513" spans="1:11" x14ac:dyDescent="0.55000000000000004">
      <c r="A513" t="s">
        <v>4837</v>
      </c>
      <c r="B513" t="s">
        <v>5115</v>
      </c>
      <c r="C513" t="s">
        <v>5115</v>
      </c>
      <c r="D513" t="s">
        <v>5115</v>
      </c>
      <c r="E513">
        <v>0.97018742887265796</v>
      </c>
      <c r="F513">
        <v>1.26805768274984E-2</v>
      </c>
      <c r="G513">
        <v>1.25232166800767E-2</v>
      </c>
      <c r="H513">
        <v>4.60877761976646E-3</v>
      </c>
      <c r="I513" t="s">
        <v>4837</v>
      </c>
      <c r="J513" t="s">
        <v>5115</v>
      </c>
    </row>
    <row r="514" spans="1:11" x14ac:dyDescent="0.55000000000000004">
      <c r="A514" t="s">
        <v>4838</v>
      </c>
      <c r="B514" t="s">
        <v>5115</v>
      </c>
      <c r="C514" t="s">
        <v>5115</v>
      </c>
      <c r="D514" t="s">
        <v>5115</v>
      </c>
      <c r="E514">
        <v>0.95567037626389295</v>
      </c>
      <c r="F514">
        <v>1.10978953161381E-2</v>
      </c>
      <c r="G514">
        <v>2.6692250207873601E-2</v>
      </c>
      <c r="H514">
        <v>6.5394782120948899E-3</v>
      </c>
      <c r="I514" t="s">
        <v>4838</v>
      </c>
      <c r="J514" t="s">
        <v>5115</v>
      </c>
    </row>
    <row r="515" spans="1:11" x14ac:dyDescent="0.55000000000000004">
      <c r="A515" t="s">
        <v>4907</v>
      </c>
      <c r="B515" t="s">
        <v>5115</v>
      </c>
      <c r="C515" t="s">
        <v>5115</v>
      </c>
      <c r="D515" t="s">
        <v>5115</v>
      </c>
      <c r="E515">
        <v>0.971825496009874</v>
      </c>
      <c r="F515">
        <v>1.09885931763878E-2</v>
      </c>
      <c r="G515">
        <v>1.17227909348179E-2</v>
      </c>
      <c r="H515">
        <v>5.4631198789202003E-3</v>
      </c>
      <c r="I515" t="s">
        <v>4907</v>
      </c>
      <c r="J515" t="s">
        <v>5115</v>
      </c>
    </row>
    <row r="516" spans="1:11" x14ac:dyDescent="0.55000000000000004">
      <c r="A516" t="s">
        <v>4908</v>
      </c>
      <c r="B516" t="s">
        <v>5115</v>
      </c>
      <c r="C516" t="s">
        <v>5115</v>
      </c>
      <c r="D516" t="s">
        <v>5115</v>
      </c>
      <c r="E516">
        <v>0.93237202684278297</v>
      </c>
      <c r="F516">
        <v>4.1423254368073502E-2</v>
      </c>
      <c r="G516">
        <v>2.07445074729351E-2</v>
      </c>
      <c r="H516">
        <v>5.4602113162087402E-3</v>
      </c>
      <c r="I516" t="s">
        <v>4908</v>
      </c>
      <c r="J516" t="s">
        <v>5115</v>
      </c>
    </row>
    <row r="517" spans="1:11" x14ac:dyDescent="0.55000000000000004">
      <c r="A517" t="s">
        <v>4909</v>
      </c>
      <c r="B517" t="s">
        <v>5116</v>
      </c>
      <c r="C517" t="s">
        <v>5116</v>
      </c>
      <c r="D517" t="s">
        <v>5116</v>
      </c>
      <c r="E517">
        <v>6.69254955493783E-3</v>
      </c>
      <c r="F517">
        <v>1.3187653257241701E-2</v>
      </c>
      <c r="G517">
        <v>0.97685924802193802</v>
      </c>
      <c r="H517">
        <v>3.2605491658823402E-3</v>
      </c>
      <c r="I517" t="s">
        <v>4909</v>
      </c>
      <c r="J517" t="s">
        <v>5116</v>
      </c>
    </row>
    <row r="518" spans="1:11" x14ac:dyDescent="0.55000000000000004">
      <c r="A518" t="s">
        <v>4910</v>
      </c>
      <c r="B518" t="s">
        <v>5115</v>
      </c>
      <c r="C518" t="s">
        <v>5115</v>
      </c>
      <c r="D518" t="s">
        <v>5115</v>
      </c>
      <c r="E518">
        <v>0.41398196867402298</v>
      </c>
      <c r="F518">
        <v>0.19697314848932199</v>
      </c>
      <c r="G518">
        <v>0.31795097843320103</v>
      </c>
      <c r="H518">
        <v>7.1093904403454394E-2</v>
      </c>
      <c r="I518" t="s">
        <v>4910</v>
      </c>
      <c r="J518" t="s">
        <v>5117</v>
      </c>
      <c r="K518" t="s">
        <v>5119</v>
      </c>
    </row>
    <row r="519" spans="1:11" x14ac:dyDescent="0.55000000000000004">
      <c r="A519" t="s">
        <v>5026</v>
      </c>
      <c r="B519" t="s">
        <v>5115</v>
      </c>
      <c r="C519" t="s">
        <v>5115</v>
      </c>
      <c r="D519" t="s">
        <v>5115</v>
      </c>
      <c r="E519">
        <v>0.77755970760904602</v>
      </c>
      <c r="F519">
        <v>0.155338795365453</v>
      </c>
      <c r="G519">
        <v>5.9462867352521598E-2</v>
      </c>
      <c r="H519">
        <v>7.6386296729796599E-3</v>
      </c>
      <c r="I519" t="s">
        <v>5026</v>
      </c>
      <c r="J519" t="s">
        <v>5115</v>
      </c>
    </row>
    <row r="520" spans="1:11" x14ac:dyDescent="0.55000000000000004">
      <c r="A520" t="s">
        <v>5027</v>
      </c>
      <c r="B520" t="s">
        <v>5115</v>
      </c>
      <c r="C520" t="s">
        <v>5115</v>
      </c>
      <c r="D520" t="s">
        <v>5115</v>
      </c>
      <c r="E520">
        <v>0.880613692156481</v>
      </c>
      <c r="F520">
        <v>4.6813237718207501E-2</v>
      </c>
      <c r="G520">
        <v>6.4321178661395403E-2</v>
      </c>
      <c r="H520">
        <v>8.2518914639159897E-3</v>
      </c>
      <c r="I520" t="s">
        <v>5027</v>
      </c>
      <c r="J520" t="s">
        <v>5115</v>
      </c>
    </row>
    <row r="521" spans="1:11" x14ac:dyDescent="0.55000000000000004">
      <c r="A521" t="s">
        <v>5028</v>
      </c>
      <c r="B521" t="s">
        <v>5115</v>
      </c>
      <c r="C521" t="s">
        <v>5115</v>
      </c>
      <c r="D521" t="s">
        <v>5115</v>
      </c>
      <c r="E521">
        <v>0.94614882125500399</v>
      </c>
      <c r="F521">
        <v>2.4748238366171901E-2</v>
      </c>
      <c r="G521">
        <v>2.3205639039101899E-2</v>
      </c>
      <c r="H521">
        <v>5.8973013397218598E-3</v>
      </c>
      <c r="I521" t="s">
        <v>5028</v>
      </c>
      <c r="J521" t="s">
        <v>5115</v>
      </c>
    </row>
    <row r="522" spans="1:11" x14ac:dyDescent="0.55000000000000004">
      <c r="A522" t="s">
        <v>5029</v>
      </c>
      <c r="B522" t="s">
        <v>5115</v>
      </c>
      <c r="C522" t="s">
        <v>5115</v>
      </c>
      <c r="D522" t="s">
        <v>5115</v>
      </c>
      <c r="E522">
        <v>0.95858170705912205</v>
      </c>
      <c r="F522">
        <v>2.3244720197365499E-2</v>
      </c>
      <c r="G522">
        <v>1.4586839644608701E-2</v>
      </c>
      <c r="H522">
        <v>3.5867330989036899E-3</v>
      </c>
      <c r="I522" t="s">
        <v>5029</v>
      </c>
      <c r="J522" t="s">
        <v>5115</v>
      </c>
    </row>
    <row r="523" spans="1:11" x14ac:dyDescent="0.55000000000000004">
      <c r="A523" t="s">
        <v>5030</v>
      </c>
      <c r="B523" t="s">
        <v>5115</v>
      </c>
      <c r="C523" t="s">
        <v>5115</v>
      </c>
      <c r="D523" t="s">
        <v>5115</v>
      </c>
      <c r="E523">
        <v>0.97489967416936596</v>
      </c>
      <c r="F523">
        <v>6.5451274550357603E-3</v>
      </c>
      <c r="G523">
        <v>1.4066663959774401E-2</v>
      </c>
      <c r="H523">
        <v>4.4885344158235299E-3</v>
      </c>
      <c r="I523" t="s">
        <v>5030</v>
      </c>
      <c r="J523" t="s">
        <v>5115</v>
      </c>
    </row>
    <row r="524" spans="1:11" x14ac:dyDescent="0.55000000000000004">
      <c r="A524" t="s">
        <v>5031</v>
      </c>
      <c r="B524" t="s">
        <v>5115</v>
      </c>
      <c r="C524" t="s">
        <v>5115</v>
      </c>
      <c r="D524" t="s">
        <v>5115</v>
      </c>
      <c r="E524">
        <v>0.98649024089007498</v>
      </c>
      <c r="F524">
        <v>4.2550257961580396E-3</v>
      </c>
      <c r="G524">
        <v>5.8385645536091898E-3</v>
      </c>
      <c r="H524">
        <v>3.4161687601573102E-3</v>
      </c>
      <c r="I524" t="s">
        <v>5031</v>
      </c>
      <c r="J524" t="s">
        <v>5115</v>
      </c>
    </row>
    <row r="525" spans="1:11" x14ac:dyDescent="0.55000000000000004">
      <c r="A525" t="s">
        <v>5032</v>
      </c>
      <c r="B525" t="s">
        <v>5115</v>
      </c>
      <c r="C525" t="s">
        <v>5115</v>
      </c>
      <c r="D525" t="s">
        <v>5115</v>
      </c>
      <c r="E525">
        <v>0.96029619270965705</v>
      </c>
      <c r="F525">
        <v>1.85657291584242E-2</v>
      </c>
      <c r="G525">
        <v>1.6995312763664599E-2</v>
      </c>
      <c r="H525">
        <v>4.1427653682537596E-3</v>
      </c>
      <c r="I525" t="s">
        <v>5032</v>
      </c>
      <c r="J525" t="s">
        <v>5115</v>
      </c>
    </row>
    <row r="526" spans="1:11" x14ac:dyDescent="0.55000000000000004">
      <c r="A526" t="s">
        <v>5033</v>
      </c>
      <c r="B526" t="s">
        <v>5115</v>
      </c>
      <c r="C526" t="s">
        <v>5115</v>
      </c>
      <c r="D526" t="s">
        <v>5115</v>
      </c>
      <c r="E526">
        <v>0.67937240490020301</v>
      </c>
      <c r="F526">
        <v>0.13905744016874699</v>
      </c>
      <c r="G526">
        <v>0.15992403126701801</v>
      </c>
      <c r="H526">
        <v>2.16461236640315E-2</v>
      </c>
      <c r="I526" t="s">
        <v>5033</v>
      </c>
      <c r="J526" t="s">
        <v>5117</v>
      </c>
      <c r="K526" t="s">
        <v>5119</v>
      </c>
    </row>
    <row r="527" spans="1:11" x14ac:dyDescent="0.55000000000000004">
      <c r="A527" t="s">
        <v>5034</v>
      </c>
      <c r="B527" t="s">
        <v>5115</v>
      </c>
      <c r="C527" t="s">
        <v>5115</v>
      </c>
      <c r="D527" t="s">
        <v>5115</v>
      </c>
      <c r="E527">
        <v>0.90170250996843304</v>
      </c>
      <c r="F527">
        <v>7.0131130881087203E-2</v>
      </c>
      <c r="G527">
        <v>2.1066621157578701E-2</v>
      </c>
      <c r="H527">
        <v>7.0997379929011797E-3</v>
      </c>
      <c r="I527" t="s">
        <v>5034</v>
      </c>
      <c r="J527" t="s">
        <v>5115</v>
      </c>
    </row>
    <row r="528" spans="1:11" x14ac:dyDescent="0.55000000000000004">
      <c r="A528" t="s">
        <v>5035</v>
      </c>
      <c r="B528" t="s">
        <v>5116</v>
      </c>
      <c r="C528" t="s">
        <v>5116</v>
      </c>
      <c r="D528" t="s">
        <v>5116</v>
      </c>
      <c r="E528">
        <v>9.1586597464844207E-3</v>
      </c>
      <c r="F528">
        <v>1.3088348062499E-2</v>
      </c>
      <c r="G528">
        <v>0.97449805157206604</v>
      </c>
      <c r="H528">
        <v>3.2549406189505202E-3</v>
      </c>
      <c r="I528" t="s">
        <v>5035</v>
      </c>
      <c r="J528" t="s">
        <v>5116</v>
      </c>
    </row>
    <row r="529" spans="1:11" x14ac:dyDescent="0.55000000000000004">
      <c r="A529" t="s">
        <v>5036</v>
      </c>
      <c r="B529" t="s">
        <v>5115</v>
      </c>
      <c r="C529" t="s">
        <v>5115</v>
      </c>
      <c r="D529" t="s">
        <v>5115</v>
      </c>
      <c r="E529">
        <v>0.989876968334783</v>
      </c>
      <c r="F529">
        <v>2.14309418603322E-3</v>
      </c>
      <c r="G529">
        <v>4.2729293751651602E-3</v>
      </c>
      <c r="H529">
        <v>3.7070081040183698E-3</v>
      </c>
      <c r="I529" t="s">
        <v>5036</v>
      </c>
      <c r="J529" t="s">
        <v>5115</v>
      </c>
    </row>
    <row r="530" spans="1:11" x14ac:dyDescent="0.55000000000000004">
      <c r="A530" t="s">
        <v>5037</v>
      </c>
      <c r="B530" t="s">
        <v>5115</v>
      </c>
      <c r="C530" t="s">
        <v>5115</v>
      </c>
      <c r="D530" t="s">
        <v>5115</v>
      </c>
      <c r="E530">
        <v>0.46870447948067101</v>
      </c>
      <c r="F530">
        <v>0.24978056211584099</v>
      </c>
      <c r="G530">
        <v>0.23778781992647599</v>
      </c>
      <c r="H530">
        <v>4.3727138477011103E-2</v>
      </c>
      <c r="I530" t="s">
        <v>5037</v>
      </c>
      <c r="J530" t="s">
        <v>5117</v>
      </c>
      <c r="K530" t="s">
        <v>5118</v>
      </c>
    </row>
    <row r="531" spans="1:11" x14ac:dyDescent="0.55000000000000004">
      <c r="A531" t="s">
        <v>4904</v>
      </c>
      <c r="B531" t="s">
        <v>5115</v>
      </c>
      <c r="C531" t="s">
        <v>5115</v>
      </c>
      <c r="D531" t="s">
        <v>5115</v>
      </c>
      <c r="E531">
        <v>0.92885885203835294</v>
      </c>
      <c r="F531">
        <v>2.94103000539718E-2</v>
      </c>
      <c r="G531">
        <v>3.5732274395712499E-2</v>
      </c>
      <c r="H531">
        <v>5.9985735119619903E-3</v>
      </c>
      <c r="I531" t="s">
        <v>4904</v>
      </c>
      <c r="J531" t="s">
        <v>5115</v>
      </c>
    </row>
    <row r="532" spans="1:11" x14ac:dyDescent="0.55000000000000004">
      <c r="A532" t="s">
        <v>4905</v>
      </c>
      <c r="B532" t="s">
        <v>5115</v>
      </c>
      <c r="C532" t="s">
        <v>5115</v>
      </c>
      <c r="D532" t="s">
        <v>5115</v>
      </c>
      <c r="E532">
        <v>0.41043185685103101</v>
      </c>
      <c r="F532">
        <v>0.22440468685884801</v>
      </c>
      <c r="G532">
        <v>0.27927121256693299</v>
      </c>
      <c r="H532">
        <v>8.58922437231876E-2</v>
      </c>
      <c r="I532" t="s">
        <v>4905</v>
      </c>
      <c r="J532" t="s">
        <v>5117</v>
      </c>
      <c r="K532" t="s">
        <v>5119</v>
      </c>
    </row>
    <row r="533" spans="1:11" x14ac:dyDescent="0.55000000000000004">
      <c r="A533" t="s">
        <v>5084</v>
      </c>
      <c r="B533" t="s">
        <v>5115</v>
      </c>
      <c r="C533" t="s">
        <v>5115</v>
      </c>
      <c r="D533" t="s">
        <v>5115</v>
      </c>
      <c r="E533">
        <v>0.86608732745638495</v>
      </c>
      <c r="F533">
        <v>6.8678201410769801E-2</v>
      </c>
      <c r="G533">
        <v>5.8448216657400201E-2</v>
      </c>
      <c r="H533">
        <v>6.7862544754452398E-3</v>
      </c>
      <c r="I533" t="s">
        <v>5084</v>
      </c>
      <c r="J533" t="s">
        <v>5115</v>
      </c>
    </row>
    <row r="534" spans="1:11" x14ac:dyDescent="0.55000000000000004">
      <c r="A534" t="s">
        <v>5085</v>
      </c>
      <c r="B534" t="s">
        <v>5121</v>
      </c>
      <c r="C534" t="s">
        <v>5121</v>
      </c>
      <c r="D534" t="s">
        <v>5121</v>
      </c>
      <c r="E534">
        <v>0.45715493216962</v>
      </c>
      <c r="F534">
        <v>0.462833748975989</v>
      </c>
      <c r="G534">
        <v>7.1182889226426599E-2</v>
      </c>
      <c r="H534">
        <v>8.8284296279645402E-3</v>
      </c>
      <c r="I534" t="s">
        <v>5085</v>
      </c>
      <c r="J534" t="s">
        <v>5117</v>
      </c>
      <c r="K534" t="s">
        <v>5118</v>
      </c>
    </row>
    <row r="535" spans="1:11" x14ac:dyDescent="0.55000000000000004">
      <c r="A535" t="s">
        <v>5086</v>
      </c>
      <c r="B535" t="s">
        <v>5115</v>
      </c>
      <c r="C535" t="s">
        <v>5115</v>
      </c>
      <c r="D535" t="s">
        <v>5115</v>
      </c>
      <c r="E535">
        <v>0.84552241866400302</v>
      </c>
      <c r="F535">
        <v>9.9115217780172696E-2</v>
      </c>
      <c r="G535">
        <v>4.7321980690355099E-2</v>
      </c>
      <c r="H535">
        <v>8.0403828654686104E-3</v>
      </c>
      <c r="I535" t="s">
        <v>5086</v>
      </c>
      <c r="J535" t="s">
        <v>5115</v>
      </c>
    </row>
    <row r="536" spans="1:11" x14ac:dyDescent="0.55000000000000004">
      <c r="A536" t="s">
        <v>5087</v>
      </c>
      <c r="B536" t="s">
        <v>5116</v>
      </c>
      <c r="C536" t="s">
        <v>5116</v>
      </c>
      <c r="D536" t="s">
        <v>5116</v>
      </c>
      <c r="E536">
        <v>4.7052659928824301E-3</v>
      </c>
      <c r="F536">
        <v>8.7892698159086503E-3</v>
      </c>
      <c r="G536">
        <v>0.98254172793859296</v>
      </c>
      <c r="H536">
        <v>3.9637362526160199E-3</v>
      </c>
      <c r="I536" t="s">
        <v>5087</v>
      </c>
      <c r="J536" t="s">
        <v>5116</v>
      </c>
    </row>
    <row r="537" spans="1:11" x14ac:dyDescent="0.55000000000000004">
      <c r="A537" t="s">
        <v>5088</v>
      </c>
      <c r="B537" t="s">
        <v>5115</v>
      </c>
      <c r="C537" t="s">
        <v>5115</v>
      </c>
      <c r="D537" t="s">
        <v>5115</v>
      </c>
      <c r="E537">
        <v>0.87893214842389</v>
      </c>
      <c r="F537">
        <v>6.4258178252933201E-2</v>
      </c>
      <c r="G537">
        <v>4.9873610628149198E-2</v>
      </c>
      <c r="H537">
        <v>6.9360626950273402E-3</v>
      </c>
      <c r="I537" t="s">
        <v>5088</v>
      </c>
      <c r="J537" t="s">
        <v>5115</v>
      </c>
    </row>
    <row r="538" spans="1:11" x14ac:dyDescent="0.55000000000000004">
      <c r="A538" t="s">
        <v>5089</v>
      </c>
      <c r="B538" t="s">
        <v>5121</v>
      </c>
      <c r="C538" t="s">
        <v>5115</v>
      </c>
      <c r="D538" t="s">
        <v>5115</v>
      </c>
      <c r="E538">
        <v>0.47797635862933202</v>
      </c>
      <c r="F538">
        <v>0.37304307471182802</v>
      </c>
      <c r="G538">
        <v>0.13535153730003299</v>
      </c>
      <c r="H538">
        <v>1.36290293588074E-2</v>
      </c>
      <c r="I538" t="s">
        <v>5089</v>
      </c>
      <c r="J538" t="s">
        <v>5117</v>
      </c>
      <c r="K538" t="s">
        <v>5118</v>
      </c>
    </row>
    <row r="539" spans="1:11" x14ac:dyDescent="0.55000000000000004">
      <c r="A539" t="s">
        <v>4703</v>
      </c>
      <c r="B539" t="s">
        <v>5116</v>
      </c>
      <c r="C539" t="s">
        <v>5116</v>
      </c>
      <c r="D539" t="s">
        <v>5116</v>
      </c>
      <c r="E539">
        <v>8.8084191521747308E-3</v>
      </c>
      <c r="F539">
        <v>6.8361794211006096E-3</v>
      </c>
      <c r="G539">
        <v>0.979198888973554</v>
      </c>
      <c r="H539">
        <v>5.1565124531709403E-3</v>
      </c>
      <c r="I539" t="s">
        <v>4703</v>
      </c>
      <c r="J539" t="s">
        <v>5116</v>
      </c>
    </row>
    <row r="540" spans="1:11" x14ac:dyDescent="0.55000000000000004">
      <c r="A540" t="s">
        <v>4704</v>
      </c>
      <c r="B540" t="s">
        <v>5116</v>
      </c>
      <c r="C540" t="s">
        <v>5116</v>
      </c>
      <c r="D540" t="s">
        <v>5116</v>
      </c>
      <c r="E540">
        <v>5.3995063043725099E-3</v>
      </c>
      <c r="F540">
        <v>6.8145716831344797E-3</v>
      </c>
      <c r="G540">
        <v>0.98435706819977598</v>
      </c>
      <c r="H540">
        <v>3.4288538127175E-3</v>
      </c>
      <c r="I540" t="s">
        <v>4704</v>
      </c>
      <c r="J540" t="s">
        <v>5116</v>
      </c>
    </row>
    <row r="541" spans="1:11" x14ac:dyDescent="0.55000000000000004">
      <c r="A541" t="s">
        <v>4705</v>
      </c>
      <c r="B541" t="s">
        <v>5115</v>
      </c>
      <c r="C541" t="s">
        <v>5115</v>
      </c>
      <c r="D541" t="s">
        <v>5115</v>
      </c>
      <c r="E541">
        <v>0.98352320805987503</v>
      </c>
      <c r="F541">
        <v>3.7622658096468399E-3</v>
      </c>
      <c r="G541">
        <v>8.1042271301474504E-3</v>
      </c>
      <c r="H541">
        <v>4.6102990003301404E-3</v>
      </c>
      <c r="I541" t="s">
        <v>4705</v>
      </c>
      <c r="J541" t="s">
        <v>5115</v>
      </c>
    </row>
    <row r="542" spans="1:11" x14ac:dyDescent="0.55000000000000004">
      <c r="A542" t="s">
        <v>4706</v>
      </c>
      <c r="B542" t="s">
        <v>5116</v>
      </c>
      <c r="C542" t="s">
        <v>5116</v>
      </c>
      <c r="D542" t="s">
        <v>5116</v>
      </c>
      <c r="E542">
        <v>5.0718372784630096E-3</v>
      </c>
      <c r="F542">
        <v>1.33617816942357E-2</v>
      </c>
      <c r="G542">
        <v>0.97739437070645996</v>
      </c>
      <c r="H542">
        <v>4.1720103208417597E-3</v>
      </c>
      <c r="I542" t="s">
        <v>4706</v>
      </c>
      <c r="J542" t="s">
        <v>5116</v>
      </c>
    </row>
    <row r="543" spans="1:11" x14ac:dyDescent="0.55000000000000004">
      <c r="A543" t="s">
        <v>4707</v>
      </c>
      <c r="B543" t="s">
        <v>5121</v>
      </c>
      <c r="C543" t="s">
        <v>5121</v>
      </c>
      <c r="D543" t="s">
        <v>5121</v>
      </c>
      <c r="E543">
        <v>5.1724501882261797E-2</v>
      </c>
      <c r="F543">
        <v>0.89510810529961804</v>
      </c>
      <c r="G543">
        <v>4.455481883503E-2</v>
      </c>
      <c r="H543">
        <v>8.6125739830901892E-3</v>
      </c>
      <c r="I543" t="s">
        <v>4707</v>
      </c>
      <c r="J543" t="s">
        <v>5121</v>
      </c>
    </row>
    <row r="544" spans="1:11" x14ac:dyDescent="0.55000000000000004">
      <c r="A544" t="s">
        <v>4708</v>
      </c>
      <c r="B544" t="s">
        <v>5115</v>
      </c>
      <c r="C544" t="s">
        <v>5115</v>
      </c>
      <c r="D544" t="s">
        <v>5115</v>
      </c>
      <c r="E544">
        <v>0.39744163983675501</v>
      </c>
      <c r="F544">
        <v>0.34237418499429501</v>
      </c>
      <c r="G544">
        <v>0.20755061698430999</v>
      </c>
      <c r="H544">
        <v>5.2633558184640099E-2</v>
      </c>
      <c r="I544" t="s">
        <v>4708</v>
      </c>
      <c r="J544" t="s">
        <v>5117</v>
      </c>
      <c r="K544" t="s">
        <v>5118</v>
      </c>
    </row>
    <row r="545" spans="1:10" x14ac:dyDescent="0.55000000000000004">
      <c r="A545" t="s">
        <v>4709</v>
      </c>
      <c r="B545" t="s">
        <v>5121</v>
      </c>
      <c r="C545" t="s">
        <v>5121</v>
      </c>
      <c r="D545" t="s">
        <v>5121</v>
      </c>
      <c r="E545">
        <v>2.0600203047488198E-2</v>
      </c>
      <c r="F545">
        <v>0.95837745481397296</v>
      </c>
      <c r="G545">
        <v>1.3660581697616799E-2</v>
      </c>
      <c r="H545">
        <v>7.3617604409215998E-3</v>
      </c>
      <c r="I545" t="s">
        <v>4709</v>
      </c>
      <c r="J545" t="s">
        <v>5121</v>
      </c>
    </row>
    <row r="546" spans="1:10" x14ac:dyDescent="0.55000000000000004">
      <c r="A546" t="s">
        <v>5059</v>
      </c>
      <c r="B546" t="s">
        <v>5115</v>
      </c>
      <c r="C546" t="s">
        <v>5115</v>
      </c>
      <c r="D546" t="s">
        <v>5115</v>
      </c>
      <c r="E546">
        <v>0.94737061877376305</v>
      </c>
      <c r="F546">
        <v>2.9228394821938199E-2</v>
      </c>
      <c r="G546">
        <v>1.89805936488243E-2</v>
      </c>
      <c r="H546">
        <v>4.42039275547409E-3</v>
      </c>
      <c r="I546" t="s">
        <v>5059</v>
      </c>
      <c r="J546" t="s">
        <v>5115</v>
      </c>
    </row>
    <row r="547" spans="1:10" x14ac:dyDescent="0.55000000000000004">
      <c r="A547" t="s">
        <v>5060</v>
      </c>
      <c r="B547" t="s">
        <v>5115</v>
      </c>
      <c r="C547" t="s">
        <v>5115</v>
      </c>
      <c r="D547" t="s">
        <v>5115</v>
      </c>
      <c r="E547">
        <v>0.96170305895035801</v>
      </c>
      <c r="F547">
        <v>1.9141088060961198E-2</v>
      </c>
      <c r="G547">
        <v>1.5879407556410301E-2</v>
      </c>
      <c r="H547">
        <v>3.27644543227086E-3</v>
      </c>
      <c r="I547" t="s">
        <v>5060</v>
      </c>
      <c r="J547" t="s">
        <v>5115</v>
      </c>
    </row>
    <row r="548" spans="1:10" x14ac:dyDescent="0.55000000000000004">
      <c r="A548" t="s">
        <v>5061</v>
      </c>
      <c r="B548" t="s">
        <v>5115</v>
      </c>
      <c r="C548" t="s">
        <v>5115</v>
      </c>
      <c r="D548" t="s">
        <v>5115</v>
      </c>
      <c r="E548">
        <v>0.99137858187796102</v>
      </c>
      <c r="F548">
        <v>2.1106527830765599E-3</v>
      </c>
      <c r="G548">
        <v>3.25425641345342E-3</v>
      </c>
      <c r="H548">
        <v>3.25650892550922E-3</v>
      </c>
      <c r="I548" t="s">
        <v>5061</v>
      </c>
      <c r="J548" t="s">
        <v>5115</v>
      </c>
    </row>
    <row r="549" spans="1:10" x14ac:dyDescent="0.55000000000000004">
      <c r="A549" t="s">
        <v>5062</v>
      </c>
      <c r="B549" t="s">
        <v>5115</v>
      </c>
      <c r="C549" t="s">
        <v>5115</v>
      </c>
      <c r="D549" t="s">
        <v>5115</v>
      </c>
      <c r="E549">
        <v>0.97938368545334897</v>
      </c>
      <c r="F549">
        <v>6.5174267835035301E-3</v>
      </c>
      <c r="G549">
        <v>9.9811749359407596E-3</v>
      </c>
      <c r="H549">
        <v>4.1177128272059304E-3</v>
      </c>
      <c r="I549" t="s">
        <v>5062</v>
      </c>
      <c r="J549" t="s">
        <v>5115</v>
      </c>
    </row>
    <row r="550" spans="1:10" x14ac:dyDescent="0.55000000000000004">
      <c r="A550" t="s">
        <v>3499</v>
      </c>
      <c r="B550" t="s">
        <v>5115</v>
      </c>
      <c r="C550" t="s">
        <v>5115</v>
      </c>
      <c r="D550" t="s">
        <v>5115</v>
      </c>
      <c r="E550">
        <v>0.95099999738497598</v>
      </c>
      <c r="F550">
        <v>2.4325545194166302E-2</v>
      </c>
      <c r="G550">
        <v>1.97007802427464E-2</v>
      </c>
      <c r="H550">
        <v>4.97367717811119E-3</v>
      </c>
      <c r="I550" t="s">
        <v>3499</v>
      </c>
      <c r="J550" t="s">
        <v>5115</v>
      </c>
    </row>
    <row r="551" spans="1:10" x14ac:dyDescent="0.55000000000000004">
      <c r="A551" t="s">
        <v>3500</v>
      </c>
      <c r="B551" t="s">
        <v>5115</v>
      </c>
      <c r="C551" t="s">
        <v>5115</v>
      </c>
      <c r="D551" t="s">
        <v>5115</v>
      </c>
      <c r="E551">
        <v>0.85976629692371598</v>
      </c>
      <c r="F551">
        <v>6.45766731678762E-2</v>
      </c>
      <c r="G551">
        <v>6.8101059361036997E-2</v>
      </c>
      <c r="H551">
        <v>7.5559705473703101E-3</v>
      </c>
      <c r="I551" t="s">
        <v>3500</v>
      </c>
      <c r="J551" t="s">
        <v>5115</v>
      </c>
    </row>
    <row r="552" spans="1:10" x14ac:dyDescent="0.55000000000000004">
      <c r="A552" t="s">
        <v>3501</v>
      </c>
      <c r="B552" t="s">
        <v>5115</v>
      </c>
      <c r="C552" t="s">
        <v>5115</v>
      </c>
      <c r="D552" t="s">
        <v>5115</v>
      </c>
      <c r="E552">
        <v>0.95258275032829598</v>
      </c>
      <c r="F552">
        <v>9.1710097581706503E-3</v>
      </c>
      <c r="G552">
        <v>3.2756471994172899E-2</v>
      </c>
      <c r="H552">
        <v>5.4897679193605603E-3</v>
      </c>
      <c r="I552" t="s">
        <v>3501</v>
      </c>
      <c r="J552" t="s">
        <v>5115</v>
      </c>
    </row>
    <row r="553" spans="1:10" x14ac:dyDescent="0.55000000000000004">
      <c r="A553" t="s">
        <v>3502</v>
      </c>
      <c r="B553" t="s">
        <v>5115</v>
      </c>
      <c r="C553" t="s">
        <v>5115</v>
      </c>
      <c r="D553" t="s">
        <v>5115</v>
      </c>
      <c r="E553">
        <v>0.93543244107178003</v>
      </c>
      <c r="F553">
        <v>1.6522806040545301E-2</v>
      </c>
      <c r="G553">
        <v>4.1777195894344199E-2</v>
      </c>
      <c r="H553">
        <v>6.2675569933309198E-3</v>
      </c>
      <c r="I553" t="s">
        <v>3502</v>
      </c>
      <c r="J553" t="s">
        <v>5115</v>
      </c>
    </row>
    <row r="554" spans="1:10" x14ac:dyDescent="0.55000000000000004">
      <c r="A554" t="s">
        <v>3503</v>
      </c>
      <c r="B554" t="s">
        <v>5115</v>
      </c>
      <c r="C554" t="s">
        <v>5115</v>
      </c>
      <c r="D554" t="s">
        <v>5115</v>
      </c>
      <c r="E554">
        <v>0.94599017173523603</v>
      </c>
      <c r="F554">
        <v>2.24783462993722E-2</v>
      </c>
      <c r="G554">
        <v>2.4368569766221499E-2</v>
      </c>
      <c r="H554">
        <v>7.1629121991707298E-3</v>
      </c>
      <c r="I554" t="s">
        <v>3503</v>
      </c>
      <c r="J554" t="s">
        <v>5115</v>
      </c>
    </row>
    <row r="555" spans="1:10" x14ac:dyDescent="0.55000000000000004">
      <c r="A555" t="s">
        <v>3504</v>
      </c>
      <c r="B555" t="s">
        <v>5115</v>
      </c>
      <c r="C555" t="s">
        <v>5115</v>
      </c>
      <c r="D555" t="s">
        <v>5115</v>
      </c>
      <c r="E555">
        <v>0.98150139026528704</v>
      </c>
      <c r="F555">
        <v>8.2118285666126205E-3</v>
      </c>
      <c r="G555">
        <v>5.5790048339547102E-3</v>
      </c>
      <c r="H555">
        <v>4.7077763341453801E-3</v>
      </c>
      <c r="I555" t="s">
        <v>3504</v>
      </c>
      <c r="J555" t="s">
        <v>5115</v>
      </c>
    </row>
    <row r="556" spans="1:10" x14ac:dyDescent="0.55000000000000004">
      <c r="A556" t="s">
        <v>3505</v>
      </c>
      <c r="B556" t="s">
        <v>5116</v>
      </c>
      <c r="C556" t="s">
        <v>5116</v>
      </c>
      <c r="D556" t="s">
        <v>5116</v>
      </c>
      <c r="E556">
        <v>7.6177644153145804E-3</v>
      </c>
      <c r="F556">
        <v>9.6189347776575798E-3</v>
      </c>
      <c r="G556">
        <v>0.97953591129052697</v>
      </c>
      <c r="H556">
        <v>3.2273895165013198E-3</v>
      </c>
      <c r="I556" t="s">
        <v>3505</v>
      </c>
      <c r="J556" t="s">
        <v>5116</v>
      </c>
    </row>
    <row r="557" spans="1:10" x14ac:dyDescent="0.55000000000000004">
      <c r="A557" t="s">
        <v>3507</v>
      </c>
      <c r="B557" t="s">
        <v>5115</v>
      </c>
      <c r="C557" t="s">
        <v>5115</v>
      </c>
      <c r="D557" t="s">
        <v>5115</v>
      </c>
      <c r="E557">
        <v>0.80980848114569504</v>
      </c>
      <c r="F557">
        <v>7.9778742619423595E-2</v>
      </c>
      <c r="G557">
        <v>0.103179582031868</v>
      </c>
      <c r="H557">
        <v>7.23319420301307E-3</v>
      </c>
      <c r="I557" t="s">
        <v>3507</v>
      </c>
      <c r="J557" t="s">
        <v>5115</v>
      </c>
    </row>
    <row r="558" spans="1:10" x14ac:dyDescent="0.55000000000000004">
      <c r="A558" t="s">
        <v>3508</v>
      </c>
      <c r="B558" t="s">
        <v>5115</v>
      </c>
      <c r="C558" t="s">
        <v>5115</v>
      </c>
      <c r="D558" t="s">
        <v>5115</v>
      </c>
      <c r="E558">
        <v>0.97932593328844297</v>
      </c>
      <c r="F558">
        <v>5.9998579826474104E-3</v>
      </c>
      <c r="G558">
        <v>1.0302855806362501E-2</v>
      </c>
      <c r="H558">
        <v>4.3713529225473703E-3</v>
      </c>
      <c r="I558" t="s">
        <v>3508</v>
      </c>
      <c r="J558" t="s">
        <v>5115</v>
      </c>
    </row>
    <row r="559" spans="1:10" x14ac:dyDescent="0.55000000000000004">
      <c r="A559" t="s">
        <v>3509</v>
      </c>
      <c r="B559" t="s">
        <v>5115</v>
      </c>
      <c r="C559" t="s">
        <v>5115</v>
      </c>
      <c r="D559" t="s">
        <v>5115</v>
      </c>
      <c r="E559">
        <v>0.92337217648796399</v>
      </c>
      <c r="F559">
        <v>2.37790882945959E-2</v>
      </c>
      <c r="G559">
        <v>4.4132244857112299E-2</v>
      </c>
      <c r="H559">
        <v>8.7164903603275806E-3</v>
      </c>
      <c r="I559" t="s">
        <v>3509</v>
      </c>
      <c r="J559" t="s">
        <v>5115</v>
      </c>
    </row>
    <row r="560" spans="1:10" x14ac:dyDescent="0.55000000000000004">
      <c r="A560" t="s">
        <v>3510</v>
      </c>
      <c r="B560" t="s">
        <v>5115</v>
      </c>
      <c r="C560" t="s">
        <v>5115</v>
      </c>
      <c r="D560" t="s">
        <v>5115</v>
      </c>
      <c r="E560">
        <v>0.97558967614040704</v>
      </c>
      <c r="F560">
        <v>7.0426688387831499E-3</v>
      </c>
      <c r="G560">
        <v>1.3573050330942801E-2</v>
      </c>
      <c r="H560">
        <v>3.7946046898671899E-3</v>
      </c>
      <c r="I560" t="s">
        <v>3510</v>
      </c>
      <c r="J560" t="s">
        <v>5115</v>
      </c>
    </row>
    <row r="561" spans="1:10" x14ac:dyDescent="0.55000000000000004">
      <c r="A561" t="s">
        <v>3512</v>
      </c>
      <c r="B561" t="s">
        <v>5115</v>
      </c>
      <c r="C561" t="s">
        <v>5115</v>
      </c>
      <c r="D561" t="s">
        <v>5115</v>
      </c>
      <c r="E561">
        <v>0.95881691608611197</v>
      </c>
      <c r="F561">
        <v>1.86665787602429E-2</v>
      </c>
      <c r="G561">
        <v>1.61802767562725E-2</v>
      </c>
      <c r="H561">
        <v>6.3362283973726003E-3</v>
      </c>
      <c r="I561" t="s">
        <v>3512</v>
      </c>
      <c r="J561" t="s">
        <v>5115</v>
      </c>
    </row>
    <row r="562" spans="1:10" x14ac:dyDescent="0.55000000000000004">
      <c r="A562" t="s">
        <v>3727</v>
      </c>
      <c r="B562" t="s">
        <v>5115</v>
      </c>
      <c r="C562" t="s">
        <v>5115</v>
      </c>
      <c r="D562" t="s">
        <v>5115</v>
      </c>
      <c r="E562">
        <v>0.92680246400690502</v>
      </c>
      <c r="F562">
        <v>3.9457315465997199E-2</v>
      </c>
      <c r="G562">
        <v>2.7825747257409501E-2</v>
      </c>
      <c r="H562">
        <v>5.9144732696878701E-3</v>
      </c>
      <c r="I562" t="s">
        <v>3727</v>
      </c>
      <c r="J562" t="s">
        <v>5115</v>
      </c>
    </row>
    <row r="563" spans="1:10" x14ac:dyDescent="0.55000000000000004">
      <c r="A563" t="s">
        <v>3728</v>
      </c>
      <c r="B563" t="s">
        <v>5115</v>
      </c>
      <c r="C563" t="s">
        <v>5115</v>
      </c>
      <c r="D563" t="s">
        <v>5115</v>
      </c>
      <c r="E563">
        <v>0.94728063066657797</v>
      </c>
      <c r="F563">
        <v>3.0713558250975499E-2</v>
      </c>
      <c r="G563">
        <v>1.53915083736229E-2</v>
      </c>
      <c r="H563">
        <v>6.6143027088231502E-3</v>
      </c>
      <c r="I563" t="s">
        <v>3728</v>
      </c>
      <c r="J563" t="s">
        <v>5115</v>
      </c>
    </row>
    <row r="564" spans="1:10" x14ac:dyDescent="0.55000000000000004">
      <c r="A564" t="s">
        <v>3729</v>
      </c>
      <c r="B564" t="s">
        <v>5115</v>
      </c>
      <c r="C564" t="s">
        <v>5115</v>
      </c>
      <c r="D564" t="s">
        <v>5115</v>
      </c>
      <c r="E564">
        <v>0.96382096845920895</v>
      </c>
      <c r="F564">
        <v>1.2740250120268699E-2</v>
      </c>
      <c r="G564">
        <v>1.9269437426169399E-2</v>
      </c>
      <c r="H564">
        <v>4.1693439943530398E-3</v>
      </c>
      <c r="I564" t="s">
        <v>3729</v>
      </c>
      <c r="J564" t="s">
        <v>5115</v>
      </c>
    </row>
    <row r="565" spans="1:10" x14ac:dyDescent="0.55000000000000004">
      <c r="A565" t="s">
        <v>3730</v>
      </c>
      <c r="B565" t="s">
        <v>5115</v>
      </c>
      <c r="C565" t="s">
        <v>5115</v>
      </c>
      <c r="D565" t="s">
        <v>5115</v>
      </c>
      <c r="E565">
        <v>0.83845937001168902</v>
      </c>
      <c r="F565">
        <v>2.9648855386845099E-2</v>
      </c>
      <c r="G565">
        <v>0.126111126082317</v>
      </c>
      <c r="H565">
        <v>5.7806485191494198E-3</v>
      </c>
      <c r="I565" t="s">
        <v>3730</v>
      </c>
      <c r="J565" t="s">
        <v>5115</v>
      </c>
    </row>
    <row r="566" spans="1:10" x14ac:dyDescent="0.55000000000000004">
      <c r="A566" t="s">
        <v>3731</v>
      </c>
      <c r="B566" t="s">
        <v>5115</v>
      </c>
      <c r="C566" t="s">
        <v>5115</v>
      </c>
      <c r="D566" t="s">
        <v>5115</v>
      </c>
      <c r="E566">
        <v>0.95510906694402098</v>
      </c>
      <c r="F566">
        <v>1.1216491830913999E-2</v>
      </c>
      <c r="G566">
        <v>2.8507619740715001E-2</v>
      </c>
      <c r="H566">
        <v>5.1668214843500404E-3</v>
      </c>
      <c r="I566" t="s">
        <v>3731</v>
      </c>
      <c r="J566" t="s">
        <v>5115</v>
      </c>
    </row>
    <row r="567" spans="1:10" x14ac:dyDescent="0.55000000000000004">
      <c r="A567" t="s">
        <v>3732</v>
      </c>
      <c r="B567" t="s">
        <v>5115</v>
      </c>
      <c r="C567" t="s">
        <v>5115</v>
      </c>
      <c r="D567" t="s">
        <v>5115</v>
      </c>
      <c r="E567">
        <v>0.96993899513205994</v>
      </c>
      <c r="F567">
        <v>9.8783218188728903E-3</v>
      </c>
      <c r="G567">
        <v>1.39084993487208E-2</v>
      </c>
      <c r="H567">
        <v>6.2741837003464198E-3</v>
      </c>
      <c r="I567" t="s">
        <v>3732</v>
      </c>
      <c r="J567" t="s">
        <v>5115</v>
      </c>
    </row>
    <row r="568" spans="1:10" x14ac:dyDescent="0.55000000000000004">
      <c r="A568" t="s">
        <v>3733</v>
      </c>
      <c r="B568" t="s">
        <v>5115</v>
      </c>
      <c r="C568" t="s">
        <v>5115</v>
      </c>
      <c r="D568" t="s">
        <v>5115</v>
      </c>
      <c r="E568">
        <v>0.83056899332955403</v>
      </c>
      <c r="F568">
        <v>4.3655783329792502E-2</v>
      </c>
      <c r="G568">
        <v>0.11843903782477699</v>
      </c>
      <c r="H568">
        <v>7.33618551587591E-3</v>
      </c>
      <c r="I568" t="s">
        <v>3733</v>
      </c>
      <c r="J568" t="s">
        <v>5115</v>
      </c>
    </row>
    <row r="569" spans="1:10" x14ac:dyDescent="0.55000000000000004">
      <c r="A569" t="s">
        <v>3734</v>
      </c>
      <c r="B569" t="s">
        <v>5115</v>
      </c>
      <c r="C569" t="s">
        <v>5115</v>
      </c>
      <c r="D569" t="s">
        <v>5115</v>
      </c>
      <c r="E569">
        <v>0.93788726043981996</v>
      </c>
      <c r="F569">
        <v>3.2619803706410197E-2</v>
      </c>
      <c r="G569">
        <v>2.3704880148819499E-2</v>
      </c>
      <c r="H569">
        <v>5.7880557049507604E-3</v>
      </c>
      <c r="I569" t="s">
        <v>3734</v>
      </c>
      <c r="J569" t="s">
        <v>5115</v>
      </c>
    </row>
    <row r="570" spans="1:10" x14ac:dyDescent="0.55000000000000004">
      <c r="A570" t="s">
        <v>3735</v>
      </c>
      <c r="B570" t="s">
        <v>5115</v>
      </c>
      <c r="C570" t="s">
        <v>5115</v>
      </c>
      <c r="D570" t="s">
        <v>5115</v>
      </c>
      <c r="E570">
        <v>0.97822044946597098</v>
      </c>
      <c r="F570">
        <v>6.7174901201616797E-3</v>
      </c>
      <c r="G570">
        <v>1.0036700344029001E-2</v>
      </c>
      <c r="H570">
        <v>5.0253600698385503E-3</v>
      </c>
      <c r="I570" t="s">
        <v>3735</v>
      </c>
      <c r="J570" t="s">
        <v>5115</v>
      </c>
    </row>
    <row r="571" spans="1:10" x14ac:dyDescent="0.55000000000000004">
      <c r="A571" t="s">
        <v>3736</v>
      </c>
      <c r="B571" t="s">
        <v>5115</v>
      </c>
      <c r="C571" t="s">
        <v>5115</v>
      </c>
      <c r="D571" t="s">
        <v>5115</v>
      </c>
      <c r="E571">
        <v>0.96762685546070804</v>
      </c>
      <c r="F571">
        <v>9.9061276168517093E-3</v>
      </c>
      <c r="G571">
        <v>1.78777638174018E-2</v>
      </c>
      <c r="H571">
        <v>4.5892531050387604E-3</v>
      </c>
      <c r="I571" t="s">
        <v>3736</v>
      </c>
      <c r="J571" t="s">
        <v>5115</v>
      </c>
    </row>
    <row r="572" spans="1:10" x14ac:dyDescent="0.55000000000000004">
      <c r="A572" t="s">
        <v>3737</v>
      </c>
      <c r="B572" t="s">
        <v>5115</v>
      </c>
      <c r="C572" t="s">
        <v>5115</v>
      </c>
      <c r="D572" t="s">
        <v>5115</v>
      </c>
      <c r="E572">
        <v>0.82850702339460003</v>
      </c>
      <c r="F572">
        <v>7.9121488196890202E-2</v>
      </c>
      <c r="G572">
        <v>8.0215268147619007E-2</v>
      </c>
      <c r="H572">
        <v>1.2156220260890501E-2</v>
      </c>
      <c r="I572" t="s">
        <v>3737</v>
      </c>
      <c r="J572" t="s">
        <v>5115</v>
      </c>
    </row>
    <row r="573" spans="1:10" x14ac:dyDescent="0.55000000000000004">
      <c r="A573" t="s">
        <v>3738</v>
      </c>
      <c r="B573" t="s">
        <v>5115</v>
      </c>
      <c r="C573" t="s">
        <v>5115</v>
      </c>
      <c r="D573" t="s">
        <v>5115</v>
      </c>
      <c r="E573">
        <v>0.964416480091145</v>
      </c>
      <c r="F573">
        <v>1.45492178176359E-2</v>
      </c>
      <c r="G573">
        <v>1.56922768943514E-2</v>
      </c>
      <c r="H573">
        <v>5.3420251968678001E-3</v>
      </c>
      <c r="I573" t="s">
        <v>3738</v>
      </c>
      <c r="J573" t="s">
        <v>5115</v>
      </c>
    </row>
    <row r="574" spans="1:10" x14ac:dyDescent="0.55000000000000004">
      <c r="A574" t="s">
        <v>4637</v>
      </c>
      <c r="B574" t="s">
        <v>5115</v>
      </c>
      <c r="C574" t="s">
        <v>5115</v>
      </c>
      <c r="D574" t="s">
        <v>5115</v>
      </c>
      <c r="E574">
        <v>0.96711468729126704</v>
      </c>
      <c r="F574">
        <v>1.8182281059273199E-2</v>
      </c>
      <c r="G574">
        <v>9.8434035164256996E-3</v>
      </c>
      <c r="H574">
        <v>4.8596281330337398E-3</v>
      </c>
      <c r="I574" t="s">
        <v>4637</v>
      </c>
      <c r="J574" t="s">
        <v>5115</v>
      </c>
    </row>
    <row r="575" spans="1:10" x14ac:dyDescent="0.55000000000000004">
      <c r="A575" t="s">
        <v>4638</v>
      </c>
      <c r="B575" t="s">
        <v>5115</v>
      </c>
      <c r="C575" t="s">
        <v>5115</v>
      </c>
      <c r="D575" t="s">
        <v>5115</v>
      </c>
      <c r="E575">
        <v>0.94122822714898002</v>
      </c>
      <c r="F575">
        <v>4.1735104619641597E-2</v>
      </c>
      <c r="G575">
        <v>1.23300121656514E-2</v>
      </c>
      <c r="H575">
        <v>4.7066560657272596E-3</v>
      </c>
      <c r="I575" t="s">
        <v>4638</v>
      </c>
      <c r="J575" t="s">
        <v>5115</v>
      </c>
    </row>
    <row r="576" spans="1:10" x14ac:dyDescent="0.55000000000000004">
      <c r="A576" t="s">
        <v>4639</v>
      </c>
      <c r="B576" t="s">
        <v>5115</v>
      </c>
      <c r="C576" t="s">
        <v>5115</v>
      </c>
      <c r="D576" t="s">
        <v>5115</v>
      </c>
      <c r="E576">
        <v>0.97709719439659004</v>
      </c>
      <c r="F576">
        <v>1.16811466434528E-2</v>
      </c>
      <c r="G576">
        <v>5.7107980989190097E-3</v>
      </c>
      <c r="H576">
        <v>5.5108608610381403E-3</v>
      </c>
      <c r="I576" t="s">
        <v>4639</v>
      </c>
      <c r="J576" t="s">
        <v>5115</v>
      </c>
    </row>
    <row r="577" spans="1:10" x14ac:dyDescent="0.55000000000000004">
      <c r="A577" t="s">
        <v>4640</v>
      </c>
      <c r="B577" t="s">
        <v>5115</v>
      </c>
      <c r="C577" t="s">
        <v>5115</v>
      </c>
      <c r="D577" t="s">
        <v>5115</v>
      </c>
      <c r="E577">
        <v>0.825742486426572</v>
      </c>
      <c r="F577">
        <v>9.0619875335163497E-2</v>
      </c>
      <c r="G577">
        <v>7.7776230350111802E-2</v>
      </c>
      <c r="H577">
        <v>5.8614078881529703E-3</v>
      </c>
      <c r="I577" t="s">
        <v>4640</v>
      </c>
      <c r="J577" t="s">
        <v>5115</v>
      </c>
    </row>
    <row r="578" spans="1:10" x14ac:dyDescent="0.55000000000000004">
      <c r="A578" t="s">
        <v>4641</v>
      </c>
      <c r="B578" t="s">
        <v>5115</v>
      </c>
      <c r="C578" t="s">
        <v>5115</v>
      </c>
      <c r="D578" t="s">
        <v>5115</v>
      </c>
      <c r="E578">
        <v>0.96562502531500605</v>
      </c>
      <c r="F578">
        <v>1.2546220556135201E-2</v>
      </c>
      <c r="G578">
        <v>1.7534967905745401E-2</v>
      </c>
      <c r="H578">
        <v>4.2937862231131E-3</v>
      </c>
      <c r="I578" t="s">
        <v>4641</v>
      </c>
      <c r="J578" t="s">
        <v>5115</v>
      </c>
    </row>
    <row r="579" spans="1:10" x14ac:dyDescent="0.55000000000000004">
      <c r="A579" t="s">
        <v>4642</v>
      </c>
      <c r="B579" t="s">
        <v>5116</v>
      </c>
      <c r="C579" t="s">
        <v>5116</v>
      </c>
      <c r="D579" t="s">
        <v>5116</v>
      </c>
      <c r="E579">
        <v>6.9719953995902697E-3</v>
      </c>
      <c r="F579">
        <v>9.6420992175529196E-3</v>
      </c>
      <c r="G579">
        <v>0.97951467529877501</v>
      </c>
      <c r="H579">
        <v>3.8712300840818498E-3</v>
      </c>
      <c r="I579" t="s">
        <v>4642</v>
      </c>
      <c r="J579" t="s">
        <v>5116</v>
      </c>
    </row>
    <row r="580" spans="1:10" x14ac:dyDescent="0.55000000000000004">
      <c r="A580" t="s">
        <v>4643</v>
      </c>
      <c r="B580" t="s">
        <v>5116</v>
      </c>
      <c r="C580" t="s">
        <v>5116</v>
      </c>
      <c r="D580" t="s">
        <v>5116</v>
      </c>
      <c r="E580">
        <v>7.8298906039118901E-3</v>
      </c>
      <c r="F580">
        <v>1.36539027121732E-2</v>
      </c>
      <c r="G580">
        <v>0.975034439186522</v>
      </c>
      <c r="H580">
        <v>3.4817674973935098E-3</v>
      </c>
      <c r="I580" t="s">
        <v>4643</v>
      </c>
      <c r="J580" t="s">
        <v>5116</v>
      </c>
    </row>
    <row r="581" spans="1:10" x14ac:dyDescent="0.55000000000000004">
      <c r="A581" t="s">
        <v>4644</v>
      </c>
      <c r="B581" t="s">
        <v>5115</v>
      </c>
      <c r="C581" t="s">
        <v>5115</v>
      </c>
      <c r="D581" t="s">
        <v>5115</v>
      </c>
      <c r="E581">
        <v>0.98294725392207805</v>
      </c>
      <c r="F581">
        <v>6.9400232594979501E-3</v>
      </c>
      <c r="G581">
        <v>5.2630458933719797E-3</v>
      </c>
      <c r="H581">
        <v>4.84967692505187E-3</v>
      </c>
      <c r="I581" t="s">
        <v>4644</v>
      </c>
      <c r="J581" t="s">
        <v>5115</v>
      </c>
    </row>
    <row r="582" spans="1:10" x14ac:dyDescent="0.55000000000000004">
      <c r="A582" t="s">
        <v>4645</v>
      </c>
      <c r="B582" t="s">
        <v>5116</v>
      </c>
      <c r="C582" t="s">
        <v>5116</v>
      </c>
      <c r="D582" t="s">
        <v>5116</v>
      </c>
      <c r="E582">
        <v>1.17955263088415E-2</v>
      </c>
      <c r="F582">
        <v>1.7333526347344301E-2</v>
      </c>
      <c r="G582">
        <v>0.966916864748528</v>
      </c>
      <c r="H582">
        <v>3.9540825952861999E-3</v>
      </c>
      <c r="I582" t="s">
        <v>4645</v>
      </c>
      <c r="J582" t="s">
        <v>5116</v>
      </c>
    </row>
    <row r="583" spans="1:10" x14ac:dyDescent="0.55000000000000004">
      <c r="A583" t="s">
        <v>4646</v>
      </c>
      <c r="B583" t="s">
        <v>5115</v>
      </c>
      <c r="C583" t="s">
        <v>5115</v>
      </c>
      <c r="D583" t="s">
        <v>5115</v>
      </c>
      <c r="E583">
        <v>0.84743250504150902</v>
      </c>
      <c r="F583">
        <v>0.100740868497775</v>
      </c>
      <c r="G583">
        <v>3.91021805914794E-2</v>
      </c>
      <c r="H583">
        <v>1.2724445869235899E-2</v>
      </c>
      <c r="I583" t="s">
        <v>4646</v>
      </c>
      <c r="J583" t="s">
        <v>5115</v>
      </c>
    </row>
    <row r="584" spans="1:10" x14ac:dyDescent="0.55000000000000004">
      <c r="A584" t="s">
        <v>4647</v>
      </c>
      <c r="B584" t="s">
        <v>5115</v>
      </c>
      <c r="C584" t="s">
        <v>5115</v>
      </c>
      <c r="D584" t="s">
        <v>5115</v>
      </c>
      <c r="E584">
        <v>0.98462750520827602</v>
      </c>
      <c r="F584">
        <v>4.1378130022587199E-3</v>
      </c>
      <c r="G584">
        <v>5.3261186182258597E-3</v>
      </c>
      <c r="H584">
        <v>5.9085631712399497E-3</v>
      </c>
      <c r="I584" t="s">
        <v>4647</v>
      </c>
      <c r="J584" t="s">
        <v>5115</v>
      </c>
    </row>
    <row r="585" spans="1:10" x14ac:dyDescent="0.55000000000000004">
      <c r="A585" t="s">
        <v>4648</v>
      </c>
      <c r="B585" t="s">
        <v>5115</v>
      </c>
      <c r="C585" t="s">
        <v>5115</v>
      </c>
      <c r="D585" t="s">
        <v>5115</v>
      </c>
      <c r="E585">
        <v>0.963281819251674</v>
      </c>
      <c r="F585">
        <v>1.9563277081855599E-2</v>
      </c>
      <c r="G585">
        <v>1.00877122890651E-2</v>
      </c>
      <c r="H585">
        <v>7.0671913774055604E-3</v>
      </c>
      <c r="I585" t="s">
        <v>4648</v>
      </c>
      <c r="J585" t="s">
        <v>5115</v>
      </c>
    </row>
    <row r="586" spans="1:10" x14ac:dyDescent="0.55000000000000004">
      <c r="A586" t="s">
        <v>4533</v>
      </c>
      <c r="B586" t="s">
        <v>5116</v>
      </c>
      <c r="C586" t="s">
        <v>5116</v>
      </c>
      <c r="D586" t="s">
        <v>5116</v>
      </c>
      <c r="E586">
        <v>5.1257013871644002E-3</v>
      </c>
      <c r="F586">
        <v>7.21147663188076E-3</v>
      </c>
      <c r="G586">
        <v>0.983885844853715</v>
      </c>
      <c r="H586">
        <v>3.7769771272397599E-3</v>
      </c>
      <c r="I586" t="s">
        <v>4533</v>
      </c>
      <c r="J586" t="s">
        <v>5116</v>
      </c>
    </row>
    <row r="587" spans="1:10" x14ac:dyDescent="0.55000000000000004">
      <c r="A587" t="s">
        <v>4534</v>
      </c>
      <c r="B587" t="s">
        <v>5115</v>
      </c>
      <c r="C587" t="s">
        <v>5115</v>
      </c>
      <c r="D587" t="s">
        <v>5115</v>
      </c>
      <c r="E587">
        <v>0.98087305767918598</v>
      </c>
      <c r="F587">
        <v>6.0520570917221199E-3</v>
      </c>
      <c r="G587">
        <v>5.61684882997532E-3</v>
      </c>
      <c r="H587">
        <v>7.4580363991159099E-3</v>
      </c>
      <c r="I587" t="s">
        <v>4534</v>
      </c>
      <c r="J587" t="s">
        <v>5115</v>
      </c>
    </row>
    <row r="588" spans="1:10" x14ac:dyDescent="0.55000000000000004">
      <c r="A588" t="s">
        <v>4535</v>
      </c>
      <c r="B588" t="s">
        <v>5115</v>
      </c>
      <c r="C588" t="s">
        <v>5115</v>
      </c>
      <c r="D588" t="s">
        <v>5115</v>
      </c>
      <c r="E588">
        <v>0.981532736885806</v>
      </c>
      <c r="F588">
        <v>8.4723126520813204E-3</v>
      </c>
      <c r="G588">
        <v>4.9350029330155198E-3</v>
      </c>
      <c r="H588">
        <v>5.0599475290970704E-3</v>
      </c>
      <c r="I588" t="s">
        <v>4535</v>
      </c>
      <c r="J588" t="s">
        <v>5115</v>
      </c>
    </row>
    <row r="589" spans="1:10" x14ac:dyDescent="0.55000000000000004">
      <c r="A589" t="s">
        <v>4536</v>
      </c>
      <c r="B589" t="s">
        <v>5115</v>
      </c>
      <c r="C589" t="s">
        <v>5115</v>
      </c>
      <c r="D589" t="s">
        <v>5115</v>
      </c>
      <c r="E589">
        <v>0.76866151809406902</v>
      </c>
      <c r="F589">
        <v>7.8679217546918895E-2</v>
      </c>
      <c r="G589">
        <v>0.14269859101978</v>
      </c>
      <c r="H589">
        <v>9.9606733392310891E-3</v>
      </c>
      <c r="I589" t="s">
        <v>4536</v>
      </c>
      <c r="J589" t="s">
        <v>5115</v>
      </c>
    </row>
    <row r="590" spans="1:10" x14ac:dyDescent="0.55000000000000004">
      <c r="A590" t="s">
        <v>4537</v>
      </c>
      <c r="B590" t="s">
        <v>5115</v>
      </c>
      <c r="C590" t="s">
        <v>5115</v>
      </c>
      <c r="D590" t="s">
        <v>5115</v>
      </c>
      <c r="E590">
        <v>0.98880991861956102</v>
      </c>
      <c r="F590">
        <v>3.55122337162583E-3</v>
      </c>
      <c r="G590">
        <v>3.5534980975657198E-3</v>
      </c>
      <c r="H590">
        <v>4.0853599112481501E-3</v>
      </c>
      <c r="I590" t="s">
        <v>4537</v>
      </c>
      <c r="J590" t="s">
        <v>5115</v>
      </c>
    </row>
    <row r="591" spans="1:10" x14ac:dyDescent="0.55000000000000004">
      <c r="A591" t="s">
        <v>4538</v>
      </c>
      <c r="B591" t="s">
        <v>5115</v>
      </c>
      <c r="C591" t="s">
        <v>5115</v>
      </c>
      <c r="D591" t="s">
        <v>5115</v>
      </c>
      <c r="E591">
        <v>0.98413548913827398</v>
      </c>
      <c r="F591">
        <v>5.7508228667405197E-3</v>
      </c>
      <c r="G591">
        <v>3.39736968508769E-3</v>
      </c>
      <c r="H591">
        <v>6.7163183098983403E-3</v>
      </c>
      <c r="I591" t="s">
        <v>4538</v>
      </c>
      <c r="J591" t="s">
        <v>5115</v>
      </c>
    </row>
    <row r="592" spans="1:10" x14ac:dyDescent="0.55000000000000004">
      <c r="A592" t="s">
        <v>4539</v>
      </c>
      <c r="B592" t="s">
        <v>5115</v>
      </c>
      <c r="C592" t="s">
        <v>5115</v>
      </c>
      <c r="D592" t="s">
        <v>5115</v>
      </c>
      <c r="E592">
        <v>0.92648099671151596</v>
      </c>
      <c r="F592">
        <v>4.09266065333743E-2</v>
      </c>
      <c r="G592">
        <v>2.6864539069769901E-2</v>
      </c>
      <c r="H592">
        <v>5.7278576853402301E-3</v>
      </c>
      <c r="I592" t="s">
        <v>4539</v>
      </c>
      <c r="J592" t="s">
        <v>5115</v>
      </c>
    </row>
    <row r="593" spans="1:10" x14ac:dyDescent="0.55000000000000004">
      <c r="A593" t="s">
        <v>4540</v>
      </c>
      <c r="B593" t="s">
        <v>5115</v>
      </c>
      <c r="C593" t="s">
        <v>5115</v>
      </c>
      <c r="D593" t="s">
        <v>5115</v>
      </c>
      <c r="E593">
        <v>0.95090420495115802</v>
      </c>
      <c r="F593">
        <v>1.7716399718725798E-2</v>
      </c>
      <c r="G593">
        <v>2.1808909488324198E-2</v>
      </c>
      <c r="H593">
        <v>9.5704858417917996E-3</v>
      </c>
      <c r="I593" t="s">
        <v>4540</v>
      </c>
      <c r="J593" t="s">
        <v>5115</v>
      </c>
    </row>
    <row r="594" spans="1:10" x14ac:dyDescent="0.55000000000000004">
      <c r="A594" t="s">
        <v>4541</v>
      </c>
      <c r="B594" t="s">
        <v>5115</v>
      </c>
      <c r="C594" t="s">
        <v>5115</v>
      </c>
      <c r="D594" t="s">
        <v>5115</v>
      </c>
      <c r="E594">
        <v>0.97652944797819796</v>
      </c>
      <c r="F594">
        <v>5.8946123110513197E-3</v>
      </c>
      <c r="G594">
        <v>1.0732288397805E-2</v>
      </c>
      <c r="H594">
        <v>6.8436513129452297E-3</v>
      </c>
      <c r="I594" t="s">
        <v>4541</v>
      </c>
      <c r="J594" t="s">
        <v>5115</v>
      </c>
    </row>
    <row r="595" spans="1:10" x14ac:dyDescent="0.55000000000000004">
      <c r="A595" t="s">
        <v>4542</v>
      </c>
      <c r="B595" t="s">
        <v>5115</v>
      </c>
      <c r="C595" t="s">
        <v>5115</v>
      </c>
      <c r="D595" t="s">
        <v>5115</v>
      </c>
      <c r="E595">
        <v>0.97413663169728804</v>
      </c>
      <c r="F595">
        <v>9.6658122926642203E-3</v>
      </c>
      <c r="G595">
        <v>1.1796399695695001E-2</v>
      </c>
      <c r="H595">
        <v>4.4011563143524302E-3</v>
      </c>
      <c r="I595" t="s">
        <v>4542</v>
      </c>
      <c r="J595" t="s">
        <v>5115</v>
      </c>
    </row>
    <row r="596" spans="1:10" x14ac:dyDescent="0.55000000000000004">
      <c r="A596" t="s">
        <v>4543</v>
      </c>
      <c r="B596" t="s">
        <v>5115</v>
      </c>
      <c r="C596" t="s">
        <v>5115</v>
      </c>
      <c r="D596" t="s">
        <v>5115</v>
      </c>
      <c r="E596">
        <v>0.96592377657112405</v>
      </c>
      <c r="F596">
        <v>9.4649633662857204E-3</v>
      </c>
      <c r="G596">
        <v>1.8981800069647801E-2</v>
      </c>
      <c r="H596">
        <v>5.6294599929426004E-3</v>
      </c>
      <c r="I596" t="s">
        <v>4543</v>
      </c>
      <c r="J596" t="s">
        <v>5115</v>
      </c>
    </row>
    <row r="597" spans="1:10" x14ac:dyDescent="0.55000000000000004">
      <c r="A597" t="s">
        <v>4544</v>
      </c>
      <c r="B597" t="s">
        <v>5115</v>
      </c>
      <c r="C597" t="s">
        <v>5115</v>
      </c>
      <c r="D597" t="s">
        <v>5115</v>
      </c>
      <c r="E597">
        <v>0.87259016328544303</v>
      </c>
      <c r="F597">
        <v>5.4279334013612603E-2</v>
      </c>
      <c r="G597">
        <v>6.3996139443883202E-2</v>
      </c>
      <c r="H597">
        <v>9.1343632570613405E-3</v>
      </c>
      <c r="I597" t="s">
        <v>4544</v>
      </c>
      <c r="J597" t="s">
        <v>5115</v>
      </c>
    </row>
    <row r="598" spans="1:10" x14ac:dyDescent="0.55000000000000004">
      <c r="A598" t="s">
        <v>4559</v>
      </c>
      <c r="B598" t="s">
        <v>5115</v>
      </c>
      <c r="C598" t="s">
        <v>5115</v>
      </c>
      <c r="D598" t="s">
        <v>5115</v>
      </c>
      <c r="E598">
        <v>0.983710738733929</v>
      </c>
      <c r="F598">
        <v>2.93740027611859E-3</v>
      </c>
      <c r="G598">
        <v>7.6224370746192103E-3</v>
      </c>
      <c r="H598">
        <v>5.7294239153337298E-3</v>
      </c>
      <c r="I598" t="s">
        <v>4559</v>
      </c>
      <c r="J598" t="s">
        <v>5115</v>
      </c>
    </row>
    <row r="599" spans="1:10" x14ac:dyDescent="0.55000000000000004">
      <c r="A599" t="s">
        <v>4560</v>
      </c>
      <c r="B599" t="s">
        <v>5115</v>
      </c>
      <c r="C599" t="s">
        <v>5115</v>
      </c>
      <c r="D599" t="s">
        <v>5115</v>
      </c>
      <c r="E599">
        <v>0.97770357889104198</v>
      </c>
      <c r="F599">
        <v>9.0260454578429093E-3</v>
      </c>
      <c r="G599">
        <v>8.6017364738669097E-3</v>
      </c>
      <c r="H599">
        <v>4.6686391772479303E-3</v>
      </c>
      <c r="I599" t="s">
        <v>4560</v>
      </c>
      <c r="J599" t="s">
        <v>5115</v>
      </c>
    </row>
    <row r="600" spans="1:10" x14ac:dyDescent="0.55000000000000004">
      <c r="A600" t="s">
        <v>4561</v>
      </c>
      <c r="B600" t="s">
        <v>5115</v>
      </c>
      <c r="C600" t="s">
        <v>5115</v>
      </c>
      <c r="D600" t="s">
        <v>5115</v>
      </c>
      <c r="E600">
        <v>0.96771020035632405</v>
      </c>
      <c r="F600">
        <v>8.2284186691788004E-3</v>
      </c>
      <c r="G600">
        <v>2.0271964463748599E-2</v>
      </c>
      <c r="H600">
        <v>3.78941651074878E-3</v>
      </c>
      <c r="I600" t="s">
        <v>4561</v>
      </c>
      <c r="J600" t="s">
        <v>5115</v>
      </c>
    </row>
    <row r="601" spans="1:10" x14ac:dyDescent="0.55000000000000004">
      <c r="A601" t="s">
        <v>4562</v>
      </c>
      <c r="B601" t="s">
        <v>5115</v>
      </c>
      <c r="C601" t="s">
        <v>5115</v>
      </c>
      <c r="D601" t="s">
        <v>5115</v>
      </c>
      <c r="E601">
        <v>0.92172716322500903</v>
      </c>
      <c r="F601">
        <v>2.3367409621016001E-2</v>
      </c>
      <c r="G601">
        <v>4.6826644434772899E-2</v>
      </c>
      <c r="H601">
        <v>8.0787827192015504E-3</v>
      </c>
      <c r="I601" t="s">
        <v>4562</v>
      </c>
      <c r="J601" t="s">
        <v>5115</v>
      </c>
    </row>
    <row r="602" spans="1:10" x14ac:dyDescent="0.55000000000000004">
      <c r="A602" t="s">
        <v>4563</v>
      </c>
      <c r="B602" t="s">
        <v>5115</v>
      </c>
      <c r="C602" t="s">
        <v>5115</v>
      </c>
      <c r="D602" t="s">
        <v>5115</v>
      </c>
      <c r="E602">
        <v>0.97031046169700097</v>
      </c>
      <c r="F602">
        <v>1.44826353654084E-2</v>
      </c>
      <c r="G602">
        <v>1.0056638642170599E-2</v>
      </c>
      <c r="H602">
        <v>5.15026429542032E-3</v>
      </c>
      <c r="I602" t="s">
        <v>4563</v>
      </c>
      <c r="J602" t="s">
        <v>5115</v>
      </c>
    </row>
    <row r="603" spans="1:10" x14ac:dyDescent="0.55000000000000004">
      <c r="A603" t="s">
        <v>4564</v>
      </c>
      <c r="B603" t="s">
        <v>5115</v>
      </c>
      <c r="C603" t="s">
        <v>5115</v>
      </c>
      <c r="D603" t="s">
        <v>5115</v>
      </c>
      <c r="E603">
        <v>0.96672005226035795</v>
      </c>
      <c r="F603">
        <v>1.4888247724590501E-2</v>
      </c>
      <c r="G603">
        <v>1.45019792654897E-2</v>
      </c>
      <c r="H603">
        <v>3.88972074956227E-3</v>
      </c>
      <c r="I603" t="s">
        <v>4564</v>
      </c>
      <c r="J603" t="s">
        <v>5115</v>
      </c>
    </row>
    <row r="604" spans="1:10" x14ac:dyDescent="0.55000000000000004">
      <c r="A604" t="s">
        <v>4565</v>
      </c>
      <c r="B604" t="s">
        <v>5115</v>
      </c>
      <c r="C604" t="s">
        <v>5115</v>
      </c>
      <c r="D604" t="s">
        <v>5115</v>
      </c>
      <c r="E604">
        <v>0.95171176034540395</v>
      </c>
      <c r="F604">
        <v>1.84614595311107E-2</v>
      </c>
      <c r="G604">
        <v>2.5822046140168999E-2</v>
      </c>
      <c r="H604">
        <v>4.0047339833166598E-3</v>
      </c>
      <c r="I604" t="s">
        <v>4565</v>
      </c>
      <c r="J604" t="s">
        <v>5115</v>
      </c>
    </row>
    <row r="605" spans="1:10" x14ac:dyDescent="0.55000000000000004">
      <c r="A605" t="s">
        <v>4566</v>
      </c>
      <c r="B605" t="s">
        <v>5115</v>
      </c>
      <c r="C605" t="s">
        <v>5115</v>
      </c>
      <c r="D605" t="s">
        <v>5115</v>
      </c>
      <c r="E605">
        <v>0.97523543669311397</v>
      </c>
      <c r="F605">
        <v>1.16686510200895E-2</v>
      </c>
      <c r="G605">
        <v>9.0942151011671694E-3</v>
      </c>
      <c r="H605">
        <v>4.0016971856291998E-3</v>
      </c>
      <c r="I605" t="s">
        <v>4566</v>
      </c>
      <c r="J605" t="s">
        <v>5115</v>
      </c>
    </row>
    <row r="606" spans="1:10" x14ac:dyDescent="0.55000000000000004">
      <c r="A606" t="s">
        <v>4567</v>
      </c>
      <c r="B606" t="s">
        <v>5115</v>
      </c>
      <c r="C606" t="s">
        <v>5115</v>
      </c>
      <c r="D606" t="s">
        <v>5115</v>
      </c>
      <c r="E606">
        <v>0.98548363774831105</v>
      </c>
      <c r="F606">
        <v>6.1233460259606798E-3</v>
      </c>
      <c r="G606">
        <v>3.92414945039483E-3</v>
      </c>
      <c r="H606">
        <v>4.4688667753333099E-3</v>
      </c>
      <c r="I606" t="s">
        <v>4567</v>
      </c>
      <c r="J606" t="s">
        <v>5115</v>
      </c>
    </row>
    <row r="607" spans="1:10" x14ac:dyDescent="0.55000000000000004">
      <c r="A607" t="s">
        <v>4568</v>
      </c>
      <c r="B607" t="s">
        <v>5115</v>
      </c>
      <c r="C607" t="s">
        <v>5115</v>
      </c>
      <c r="D607" t="s">
        <v>5115</v>
      </c>
      <c r="E607">
        <v>0.96281676397913896</v>
      </c>
      <c r="F607">
        <v>1.3743001982036001E-2</v>
      </c>
      <c r="G607">
        <v>1.7434933553945701E-2</v>
      </c>
      <c r="H607">
        <v>6.0053004848795704E-3</v>
      </c>
      <c r="I607" t="s">
        <v>4568</v>
      </c>
      <c r="J607" t="s">
        <v>5115</v>
      </c>
    </row>
    <row r="608" spans="1:10" x14ac:dyDescent="0.55000000000000004">
      <c r="A608" t="s">
        <v>4569</v>
      </c>
      <c r="B608" t="s">
        <v>5115</v>
      </c>
      <c r="C608" t="s">
        <v>5115</v>
      </c>
      <c r="D608" t="s">
        <v>5115</v>
      </c>
      <c r="E608">
        <v>0.91567300289568199</v>
      </c>
      <c r="F608">
        <v>4.0019428104866098E-2</v>
      </c>
      <c r="G608">
        <v>3.8255411815654498E-2</v>
      </c>
      <c r="H608">
        <v>6.0521571837977199E-3</v>
      </c>
      <c r="I608" t="s">
        <v>4569</v>
      </c>
      <c r="J608" t="s">
        <v>5115</v>
      </c>
    </row>
    <row r="609" spans="1:11" x14ac:dyDescent="0.55000000000000004">
      <c r="A609" t="s">
        <v>4570</v>
      </c>
      <c r="B609" t="s">
        <v>5115</v>
      </c>
      <c r="C609" t="s">
        <v>5115</v>
      </c>
      <c r="D609" t="s">
        <v>5115</v>
      </c>
      <c r="E609">
        <v>0.86431097907499899</v>
      </c>
      <c r="F609">
        <v>7.8121163885976397E-2</v>
      </c>
      <c r="G609">
        <v>5.1436708566407301E-2</v>
      </c>
      <c r="H609">
        <v>6.1311484726170803E-3</v>
      </c>
      <c r="I609" t="s">
        <v>4570</v>
      </c>
      <c r="J609" t="s">
        <v>5115</v>
      </c>
    </row>
    <row r="610" spans="1:11" x14ac:dyDescent="0.55000000000000004">
      <c r="A610" t="s">
        <v>4611</v>
      </c>
      <c r="B610" t="s">
        <v>5115</v>
      </c>
      <c r="C610" t="s">
        <v>5115</v>
      </c>
      <c r="D610" t="s">
        <v>5115</v>
      </c>
      <c r="E610">
        <v>0.95588662843531402</v>
      </c>
      <c r="F610">
        <v>2.2323383925817099E-2</v>
      </c>
      <c r="G610">
        <v>1.53836259923603E-2</v>
      </c>
      <c r="H610">
        <v>6.4063616465093202E-3</v>
      </c>
      <c r="I610" t="s">
        <v>4611</v>
      </c>
      <c r="J610" t="s">
        <v>5115</v>
      </c>
    </row>
    <row r="611" spans="1:11" x14ac:dyDescent="0.55000000000000004">
      <c r="A611" t="s">
        <v>4612</v>
      </c>
      <c r="B611" t="s">
        <v>5116</v>
      </c>
      <c r="C611" t="s">
        <v>5116</v>
      </c>
      <c r="D611" t="s">
        <v>5116</v>
      </c>
      <c r="E611">
        <v>1.2563426547242899E-2</v>
      </c>
      <c r="F611">
        <v>9.5012166697249593E-3</v>
      </c>
      <c r="G611">
        <v>0.97245511693308095</v>
      </c>
      <c r="H611">
        <v>5.4802398499511004E-3</v>
      </c>
      <c r="I611" t="s">
        <v>4612</v>
      </c>
      <c r="J611" t="s">
        <v>5116</v>
      </c>
    </row>
    <row r="612" spans="1:11" x14ac:dyDescent="0.55000000000000004">
      <c r="A612" t="s">
        <v>4613</v>
      </c>
      <c r="B612" t="s">
        <v>5115</v>
      </c>
      <c r="C612" t="s">
        <v>5115</v>
      </c>
      <c r="D612" t="s">
        <v>5115</v>
      </c>
      <c r="E612">
        <v>0.74801351978086905</v>
      </c>
      <c r="F612">
        <v>0.16354146998498201</v>
      </c>
      <c r="G612">
        <v>7.9490491811513797E-2</v>
      </c>
      <c r="H612">
        <v>8.9545184226346008E-3</v>
      </c>
      <c r="I612" t="s">
        <v>4613</v>
      </c>
      <c r="J612" t="s">
        <v>5115</v>
      </c>
    </row>
    <row r="613" spans="1:11" x14ac:dyDescent="0.55000000000000004">
      <c r="A613" t="s">
        <v>4614</v>
      </c>
      <c r="B613" t="s">
        <v>5115</v>
      </c>
      <c r="C613" t="s">
        <v>5115</v>
      </c>
      <c r="D613" t="s">
        <v>5115</v>
      </c>
      <c r="E613">
        <v>0.984111055424432</v>
      </c>
      <c r="F613">
        <v>7.6422736055448102E-3</v>
      </c>
      <c r="G613">
        <v>4.81671384064844E-3</v>
      </c>
      <c r="H613">
        <v>3.4299571293748298E-3</v>
      </c>
      <c r="I613" t="s">
        <v>4614</v>
      </c>
      <c r="J613" t="s">
        <v>5115</v>
      </c>
    </row>
    <row r="614" spans="1:11" x14ac:dyDescent="0.55000000000000004">
      <c r="A614" t="s">
        <v>4615</v>
      </c>
      <c r="B614" t="s">
        <v>5115</v>
      </c>
      <c r="C614" t="s">
        <v>5115</v>
      </c>
      <c r="D614" t="s">
        <v>5115</v>
      </c>
      <c r="E614">
        <v>0.98726337718016299</v>
      </c>
      <c r="F614">
        <v>4.5417102651383696E-3</v>
      </c>
      <c r="G614">
        <v>3.44972392139354E-3</v>
      </c>
      <c r="H614">
        <v>4.7451886333046596E-3</v>
      </c>
      <c r="I614" t="s">
        <v>4615</v>
      </c>
      <c r="J614" t="s">
        <v>5115</v>
      </c>
    </row>
    <row r="615" spans="1:11" x14ac:dyDescent="0.55000000000000004">
      <c r="A615" t="s">
        <v>4616</v>
      </c>
      <c r="B615" t="s">
        <v>5115</v>
      </c>
      <c r="C615" t="s">
        <v>5115</v>
      </c>
      <c r="D615" t="s">
        <v>5115</v>
      </c>
      <c r="E615">
        <v>0.97922207982763398</v>
      </c>
      <c r="F615">
        <v>8.8787776816184397E-3</v>
      </c>
      <c r="G615">
        <v>7.4218573643351701E-3</v>
      </c>
      <c r="H615">
        <v>4.4772851264125498E-3</v>
      </c>
      <c r="I615" t="s">
        <v>4616</v>
      </c>
      <c r="J615" t="s">
        <v>5115</v>
      </c>
    </row>
    <row r="616" spans="1:11" x14ac:dyDescent="0.55000000000000004">
      <c r="A616" t="s">
        <v>4617</v>
      </c>
      <c r="B616" t="s">
        <v>5115</v>
      </c>
      <c r="C616" t="s">
        <v>5115</v>
      </c>
      <c r="D616" t="s">
        <v>5115</v>
      </c>
      <c r="E616">
        <v>0.69515191785358199</v>
      </c>
      <c r="F616">
        <v>0.17944713212291999</v>
      </c>
      <c r="G616">
        <v>0.11611916244507001</v>
      </c>
      <c r="H616">
        <v>9.2817875784276804E-3</v>
      </c>
      <c r="I616" t="s">
        <v>4617</v>
      </c>
      <c r="J616" t="s">
        <v>5117</v>
      </c>
      <c r="K616" t="s">
        <v>5118</v>
      </c>
    </row>
    <row r="617" spans="1:11" x14ac:dyDescent="0.55000000000000004">
      <c r="A617" t="s">
        <v>4618</v>
      </c>
      <c r="B617" t="s">
        <v>5115</v>
      </c>
      <c r="C617" t="s">
        <v>5115</v>
      </c>
      <c r="D617" t="s">
        <v>5115</v>
      </c>
      <c r="E617">
        <v>0.89134495056186303</v>
      </c>
      <c r="F617">
        <v>4.2703936697994598E-2</v>
      </c>
      <c r="G617">
        <v>5.7972184831658599E-2</v>
      </c>
      <c r="H617">
        <v>7.9789279084840296E-3</v>
      </c>
      <c r="I617" t="s">
        <v>4618</v>
      </c>
      <c r="J617" t="s">
        <v>5115</v>
      </c>
    </row>
    <row r="618" spans="1:11" x14ac:dyDescent="0.55000000000000004">
      <c r="A618" t="s">
        <v>4619</v>
      </c>
      <c r="B618" t="s">
        <v>5115</v>
      </c>
      <c r="C618" t="s">
        <v>5115</v>
      </c>
      <c r="D618" t="s">
        <v>5115</v>
      </c>
      <c r="E618">
        <v>0.98730387640523298</v>
      </c>
      <c r="F618">
        <v>4.54660685664144E-3</v>
      </c>
      <c r="G618">
        <v>3.86385281989399E-3</v>
      </c>
      <c r="H618">
        <v>4.2856639182316204E-3</v>
      </c>
      <c r="I618" t="s">
        <v>4619</v>
      </c>
      <c r="J618" t="s">
        <v>5115</v>
      </c>
    </row>
    <row r="619" spans="1:11" x14ac:dyDescent="0.55000000000000004">
      <c r="A619" t="s">
        <v>4620</v>
      </c>
      <c r="B619" t="s">
        <v>5115</v>
      </c>
      <c r="C619" t="s">
        <v>5115</v>
      </c>
      <c r="D619" t="s">
        <v>5115</v>
      </c>
      <c r="E619">
        <v>0.74586967644898905</v>
      </c>
      <c r="F619">
        <v>0.12163552207848501</v>
      </c>
      <c r="G619">
        <v>0.123714273343752</v>
      </c>
      <c r="H619">
        <v>8.7805281287725093E-3</v>
      </c>
      <c r="I619" t="s">
        <v>4620</v>
      </c>
      <c r="J619" t="s">
        <v>5115</v>
      </c>
    </row>
    <row r="620" spans="1:11" x14ac:dyDescent="0.55000000000000004">
      <c r="A620" t="s">
        <v>4621</v>
      </c>
      <c r="B620" t="s">
        <v>5115</v>
      </c>
      <c r="C620" t="s">
        <v>5115</v>
      </c>
      <c r="D620" t="s">
        <v>5115</v>
      </c>
      <c r="E620">
        <v>0.97501336770497005</v>
      </c>
      <c r="F620">
        <v>9.3234077034790308E-3</v>
      </c>
      <c r="G620">
        <v>8.9730385972658193E-3</v>
      </c>
      <c r="H620">
        <v>6.6901859942851598E-3</v>
      </c>
      <c r="I620" t="s">
        <v>4621</v>
      </c>
      <c r="J620" t="s">
        <v>5115</v>
      </c>
    </row>
    <row r="621" spans="1:11" x14ac:dyDescent="0.55000000000000004">
      <c r="A621" t="s">
        <v>4622</v>
      </c>
      <c r="B621" t="s">
        <v>5115</v>
      </c>
      <c r="C621" t="s">
        <v>5115</v>
      </c>
      <c r="D621" t="s">
        <v>5115</v>
      </c>
      <c r="E621">
        <v>0.96203111414295905</v>
      </c>
      <c r="F621">
        <v>1.10860468034967E-2</v>
      </c>
      <c r="G621">
        <v>2.3179463539560002E-2</v>
      </c>
      <c r="H621">
        <v>3.70337551398483E-3</v>
      </c>
      <c r="I621" t="s">
        <v>4622</v>
      </c>
      <c r="J621" t="s">
        <v>5115</v>
      </c>
    </row>
    <row r="622" spans="1:11" x14ac:dyDescent="0.55000000000000004">
      <c r="A622" t="s">
        <v>4585</v>
      </c>
      <c r="B622" t="s">
        <v>5115</v>
      </c>
      <c r="C622" t="s">
        <v>5115</v>
      </c>
      <c r="D622" t="s">
        <v>5115</v>
      </c>
      <c r="E622">
        <v>0.93178086478394695</v>
      </c>
      <c r="F622">
        <v>2.28639177436568E-2</v>
      </c>
      <c r="G622">
        <v>3.9981212140305401E-2</v>
      </c>
      <c r="H622">
        <v>5.3740053320908299E-3</v>
      </c>
      <c r="I622" t="s">
        <v>4585</v>
      </c>
      <c r="J622" t="s">
        <v>5115</v>
      </c>
    </row>
    <row r="623" spans="1:11" x14ac:dyDescent="0.55000000000000004">
      <c r="A623" t="s">
        <v>4586</v>
      </c>
      <c r="B623" t="s">
        <v>5115</v>
      </c>
      <c r="C623" t="s">
        <v>5115</v>
      </c>
      <c r="D623" t="s">
        <v>5115</v>
      </c>
      <c r="E623">
        <v>0.91235334006574098</v>
      </c>
      <c r="F623">
        <v>3.3097933690709597E-2</v>
      </c>
      <c r="G623">
        <v>4.7016478367674697E-2</v>
      </c>
      <c r="H623">
        <v>7.5322478758746902E-3</v>
      </c>
      <c r="I623" t="s">
        <v>4586</v>
      </c>
      <c r="J623" t="s">
        <v>5115</v>
      </c>
    </row>
    <row r="624" spans="1:11" x14ac:dyDescent="0.55000000000000004">
      <c r="A624" t="s">
        <v>4587</v>
      </c>
      <c r="B624" t="s">
        <v>5115</v>
      </c>
      <c r="C624" t="s">
        <v>5115</v>
      </c>
      <c r="D624" t="s">
        <v>5115</v>
      </c>
      <c r="E624">
        <v>0.90309392472951</v>
      </c>
      <c r="F624">
        <v>5.5635163792895202E-2</v>
      </c>
      <c r="G624">
        <v>3.3439565618466401E-2</v>
      </c>
      <c r="H624">
        <v>7.83134585912835E-3</v>
      </c>
      <c r="I624" t="s">
        <v>4587</v>
      </c>
      <c r="J624" t="s">
        <v>5115</v>
      </c>
    </row>
    <row r="625" spans="1:11" x14ac:dyDescent="0.55000000000000004">
      <c r="A625" t="s">
        <v>4588</v>
      </c>
      <c r="B625" t="s">
        <v>5115</v>
      </c>
      <c r="C625" t="s">
        <v>5115</v>
      </c>
      <c r="D625" t="s">
        <v>5115</v>
      </c>
      <c r="E625">
        <v>0.74648779564905798</v>
      </c>
      <c r="F625">
        <v>9.4712918720755199E-2</v>
      </c>
      <c r="G625">
        <v>0.14981151647052299</v>
      </c>
      <c r="H625">
        <v>8.9877691596642294E-3</v>
      </c>
      <c r="I625" t="s">
        <v>4588</v>
      </c>
      <c r="J625" t="s">
        <v>5115</v>
      </c>
    </row>
    <row r="626" spans="1:11" x14ac:dyDescent="0.55000000000000004">
      <c r="A626" t="s">
        <v>4589</v>
      </c>
      <c r="B626" t="s">
        <v>5115</v>
      </c>
      <c r="C626" t="s">
        <v>5115</v>
      </c>
      <c r="D626" t="s">
        <v>5115</v>
      </c>
      <c r="E626">
        <v>0.93633761355096901</v>
      </c>
      <c r="F626">
        <v>1.5372925405383099E-2</v>
      </c>
      <c r="G626">
        <v>4.3611092115318197E-2</v>
      </c>
      <c r="H626">
        <v>4.6783689283301398E-3</v>
      </c>
      <c r="I626" t="s">
        <v>4589</v>
      </c>
      <c r="J626" t="s">
        <v>5115</v>
      </c>
    </row>
    <row r="627" spans="1:11" x14ac:dyDescent="0.55000000000000004">
      <c r="A627" t="s">
        <v>4590</v>
      </c>
      <c r="B627" t="s">
        <v>5116</v>
      </c>
      <c r="C627" t="s">
        <v>5116</v>
      </c>
      <c r="D627" t="s">
        <v>5116</v>
      </c>
      <c r="E627">
        <v>1.8762418974693301E-2</v>
      </c>
      <c r="F627">
        <v>2.0285770265251302E-2</v>
      </c>
      <c r="G627">
        <v>0.95605063694228398</v>
      </c>
      <c r="H627">
        <v>4.90117381777161E-3</v>
      </c>
      <c r="I627" t="s">
        <v>4590</v>
      </c>
      <c r="J627" t="s">
        <v>5116</v>
      </c>
    </row>
    <row r="628" spans="1:11" x14ac:dyDescent="0.55000000000000004">
      <c r="A628" t="s">
        <v>4591</v>
      </c>
      <c r="B628" t="s">
        <v>5115</v>
      </c>
      <c r="C628" t="s">
        <v>5115</v>
      </c>
      <c r="D628" t="s">
        <v>5115</v>
      </c>
      <c r="E628">
        <v>0.88891923641948301</v>
      </c>
      <c r="F628">
        <v>5.7091535530881803E-2</v>
      </c>
      <c r="G628">
        <v>4.21754144522399E-2</v>
      </c>
      <c r="H628">
        <v>1.1813813597395501E-2</v>
      </c>
      <c r="I628" t="s">
        <v>4591</v>
      </c>
      <c r="J628" t="s">
        <v>5115</v>
      </c>
    </row>
    <row r="629" spans="1:11" x14ac:dyDescent="0.55000000000000004">
      <c r="A629" t="s">
        <v>4592</v>
      </c>
      <c r="B629" t="s">
        <v>5115</v>
      </c>
      <c r="C629" t="s">
        <v>5115</v>
      </c>
      <c r="D629" t="s">
        <v>5115</v>
      </c>
      <c r="E629">
        <v>0.89521747765431903</v>
      </c>
      <c r="F629">
        <v>3.6799253224958799E-2</v>
      </c>
      <c r="G629">
        <v>6.0546236202376202E-2</v>
      </c>
      <c r="H629">
        <v>7.4370329183455104E-3</v>
      </c>
      <c r="I629" t="s">
        <v>4592</v>
      </c>
      <c r="J629" t="s">
        <v>5115</v>
      </c>
    </row>
    <row r="630" spans="1:11" x14ac:dyDescent="0.55000000000000004">
      <c r="A630" t="s">
        <v>4593</v>
      </c>
      <c r="B630" t="s">
        <v>5115</v>
      </c>
      <c r="C630" t="s">
        <v>5115</v>
      </c>
      <c r="D630" t="s">
        <v>5115</v>
      </c>
      <c r="E630">
        <v>0.85492731216479401</v>
      </c>
      <c r="F630">
        <v>6.3570641900574001E-2</v>
      </c>
      <c r="G630">
        <v>7.5120889965018298E-2</v>
      </c>
      <c r="H630">
        <v>6.3811559696132902E-3</v>
      </c>
      <c r="I630" t="s">
        <v>4593</v>
      </c>
      <c r="J630" t="s">
        <v>5115</v>
      </c>
    </row>
    <row r="631" spans="1:11" x14ac:dyDescent="0.55000000000000004">
      <c r="A631" t="s">
        <v>4594</v>
      </c>
      <c r="B631" t="s">
        <v>5115</v>
      </c>
      <c r="C631" t="s">
        <v>5115</v>
      </c>
      <c r="D631" t="s">
        <v>5115</v>
      </c>
      <c r="E631">
        <v>0.89319668557185705</v>
      </c>
      <c r="F631">
        <v>4.0896172774980498E-2</v>
      </c>
      <c r="G631">
        <v>5.6016529261483997E-2</v>
      </c>
      <c r="H631">
        <v>9.8906123916778898E-3</v>
      </c>
      <c r="I631" t="s">
        <v>4594</v>
      </c>
      <c r="J631" t="s">
        <v>5115</v>
      </c>
    </row>
    <row r="632" spans="1:11" x14ac:dyDescent="0.55000000000000004">
      <c r="A632" t="s">
        <v>4595</v>
      </c>
      <c r="B632" t="s">
        <v>5115</v>
      </c>
      <c r="C632" t="s">
        <v>5115</v>
      </c>
      <c r="D632" t="s">
        <v>5115</v>
      </c>
      <c r="E632">
        <v>0.91658541835572105</v>
      </c>
      <c r="F632">
        <v>2.5941121550796701E-2</v>
      </c>
      <c r="G632">
        <v>5.2755163705502102E-2</v>
      </c>
      <c r="H632">
        <v>4.7182963879800598E-3</v>
      </c>
      <c r="I632" t="s">
        <v>4595</v>
      </c>
      <c r="J632" t="s">
        <v>5115</v>
      </c>
    </row>
    <row r="633" spans="1:11" x14ac:dyDescent="0.55000000000000004">
      <c r="A633" t="s">
        <v>4596</v>
      </c>
      <c r="B633" t="s">
        <v>5115</v>
      </c>
      <c r="C633" t="s">
        <v>5115</v>
      </c>
      <c r="D633" t="s">
        <v>5115</v>
      </c>
      <c r="E633">
        <v>0.96426812884686797</v>
      </c>
      <c r="F633">
        <v>9.0189541329574897E-3</v>
      </c>
      <c r="G633">
        <v>2.3298415866187701E-2</v>
      </c>
      <c r="H633">
        <v>3.4145011539871602E-3</v>
      </c>
      <c r="I633" t="s">
        <v>4596</v>
      </c>
      <c r="J633" t="s">
        <v>5115</v>
      </c>
    </row>
    <row r="634" spans="1:11" x14ac:dyDescent="0.55000000000000004">
      <c r="A634" t="s">
        <v>4528</v>
      </c>
      <c r="B634" t="s">
        <v>5116</v>
      </c>
      <c r="C634" t="s">
        <v>5116</v>
      </c>
      <c r="D634" t="s">
        <v>5116</v>
      </c>
      <c r="E634">
        <v>1.7165007405572599E-2</v>
      </c>
      <c r="F634">
        <v>1.58254641730473E-2</v>
      </c>
      <c r="G634">
        <v>0.963319800579859</v>
      </c>
      <c r="H634">
        <v>3.6897278415205601E-3</v>
      </c>
      <c r="I634" t="s">
        <v>4528</v>
      </c>
      <c r="J634" t="s">
        <v>5116</v>
      </c>
    </row>
    <row r="635" spans="1:11" x14ac:dyDescent="0.55000000000000004">
      <c r="A635" t="s">
        <v>4529</v>
      </c>
      <c r="B635" t="s">
        <v>5115</v>
      </c>
      <c r="C635" t="s">
        <v>5115</v>
      </c>
      <c r="D635" t="s">
        <v>5115</v>
      </c>
      <c r="E635">
        <v>0.61191665114612503</v>
      </c>
      <c r="F635">
        <v>0.30334219682397601</v>
      </c>
      <c r="G635">
        <v>7.5578610249706302E-2</v>
      </c>
      <c r="H635">
        <v>9.1625417801933506E-3</v>
      </c>
      <c r="I635" t="s">
        <v>4529</v>
      </c>
      <c r="J635" t="s">
        <v>5117</v>
      </c>
      <c r="K635" t="s">
        <v>5118</v>
      </c>
    </row>
    <row r="636" spans="1:11" x14ac:dyDescent="0.55000000000000004">
      <c r="A636" t="s">
        <v>4530</v>
      </c>
      <c r="B636" t="s">
        <v>5115</v>
      </c>
      <c r="C636" t="s">
        <v>5115</v>
      </c>
      <c r="D636" t="s">
        <v>5115</v>
      </c>
      <c r="E636">
        <v>0.956643674320516</v>
      </c>
      <c r="F636">
        <v>1.6176203294807501E-2</v>
      </c>
      <c r="G636">
        <v>2.1838262110952002E-2</v>
      </c>
      <c r="H636">
        <v>5.3418602737242103E-3</v>
      </c>
      <c r="I636" t="s">
        <v>4530</v>
      </c>
      <c r="J636" t="s">
        <v>5115</v>
      </c>
    </row>
    <row r="637" spans="1:11" x14ac:dyDescent="0.55000000000000004">
      <c r="A637" t="s">
        <v>4531</v>
      </c>
      <c r="B637" t="s">
        <v>5115</v>
      </c>
      <c r="C637" t="s">
        <v>5115</v>
      </c>
      <c r="D637" t="s">
        <v>5115</v>
      </c>
      <c r="E637">
        <v>0.98964012203780005</v>
      </c>
      <c r="F637">
        <v>4.5256955577547197E-3</v>
      </c>
      <c r="G637">
        <v>1.8528211427515E-3</v>
      </c>
      <c r="H637">
        <v>3.9813612616936703E-3</v>
      </c>
      <c r="I637" t="s">
        <v>4531</v>
      </c>
      <c r="J637" t="s">
        <v>5115</v>
      </c>
    </row>
    <row r="638" spans="1:11" x14ac:dyDescent="0.55000000000000004">
      <c r="A638" t="s">
        <v>4526</v>
      </c>
      <c r="B638" t="s">
        <v>5121</v>
      </c>
      <c r="C638" t="s">
        <v>5115</v>
      </c>
      <c r="D638" t="s">
        <v>5115</v>
      </c>
      <c r="E638">
        <v>0.52168278677672497</v>
      </c>
      <c r="F638">
        <v>0.40268373387692202</v>
      </c>
      <c r="G638">
        <v>6.18280631745017E-2</v>
      </c>
      <c r="H638">
        <v>1.3805416171851201E-2</v>
      </c>
      <c r="I638" t="s">
        <v>4526</v>
      </c>
      <c r="J638" t="s">
        <v>5117</v>
      </c>
      <c r="K638" t="s">
        <v>5118</v>
      </c>
    </row>
    <row r="639" spans="1:11" x14ac:dyDescent="0.55000000000000004">
      <c r="A639" t="s">
        <v>4500</v>
      </c>
      <c r="B639" t="s">
        <v>5115</v>
      </c>
      <c r="C639" t="s">
        <v>5115</v>
      </c>
      <c r="D639" t="s">
        <v>5115</v>
      </c>
      <c r="E639">
        <v>0.98814355040190505</v>
      </c>
      <c r="F639">
        <v>3.2399741720251199E-3</v>
      </c>
      <c r="G639">
        <v>3.0859571407906702E-3</v>
      </c>
      <c r="H639">
        <v>5.5305182852786704E-3</v>
      </c>
      <c r="I639" t="s">
        <v>4500</v>
      </c>
      <c r="J639" t="s">
        <v>5115</v>
      </c>
    </row>
    <row r="640" spans="1:11" x14ac:dyDescent="0.55000000000000004">
      <c r="A640" t="s">
        <v>4501</v>
      </c>
      <c r="B640" t="s">
        <v>5115</v>
      </c>
      <c r="C640" t="s">
        <v>5115</v>
      </c>
      <c r="D640" t="s">
        <v>5115</v>
      </c>
      <c r="E640">
        <v>0.50658237367847703</v>
      </c>
      <c r="F640">
        <v>0.229320384598935</v>
      </c>
      <c r="G640">
        <v>0.19457843139504799</v>
      </c>
      <c r="H640">
        <v>6.95188103275408E-2</v>
      </c>
      <c r="I640" t="s">
        <v>4501</v>
      </c>
      <c r="J640" t="s">
        <v>5117</v>
      </c>
      <c r="K640" t="s">
        <v>5118</v>
      </c>
    </row>
    <row r="641" spans="1:11" x14ac:dyDescent="0.55000000000000004">
      <c r="A641" t="s">
        <v>4502</v>
      </c>
      <c r="B641" t="s">
        <v>5115</v>
      </c>
      <c r="C641" t="s">
        <v>5115</v>
      </c>
      <c r="D641" t="s">
        <v>5115</v>
      </c>
      <c r="E641">
        <v>0.66597797420792904</v>
      </c>
      <c r="F641">
        <v>0.15117647434780401</v>
      </c>
      <c r="G641">
        <v>0.15576059889293301</v>
      </c>
      <c r="H641">
        <v>2.7084952551335102E-2</v>
      </c>
      <c r="I641" t="s">
        <v>4502</v>
      </c>
      <c r="J641" t="s">
        <v>5117</v>
      </c>
      <c r="K641" t="s">
        <v>5119</v>
      </c>
    </row>
    <row r="642" spans="1:11" x14ac:dyDescent="0.55000000000000004">
      <c r="A642" t="s">
        <v>4503</v>
      </c>
      <c r="B642" t="s">
        <v>5116</v>
      </c>
      <c r="C642" t="s">
        <v>5116</v>
      </c>
      <c r="D642" t="s">
        <v>5116</v>
      </c>
      <c r="E642">
        <v>9.1586821567588694E-3</v>
      </c>
      <c r="F642">
        <v>4.4875210697488104E-3</v>
      </c>
      <c r="G642">
        <v>0.98376245704439202</v>
      </c>
      <c r="H642">
        <v>2.59133972910062E-3</v>
      </c>
      <c r="I642" t="s">
        <v>4503</v>
      </c>
      <c r="J642" t="s">
        <v>5116</v>
      </c>
    </row>
    <row r="643" spans="1:11" x14ac:dyDescent="0.55000000000000004">
      <c r="A643" t="s">
        <v>4504</v>
      </c>
      <c r="B643" t="s">
        <v>5115</v>
      </c>
      <c r="C643" t="s">
        <v>5115</v>
      </c>
      <c r="D643" t="s">
        <v>5115</v>
      </c>
      <c r="E643">
        <v>0.81061747338119805</v>
      </c>
      <c r="F643">
        <v>0.130443790192041</v>
      </c>
      <c r="G643">
        <v>5.1705499693867403E-2</v>
      </c>
      <c r="H643">
        <v>7.2332367328935996E-3</v>
      </c>
      <c r="I643" t="s">
        <v>4504</v>
      </c>
      <c r="J643" t="s">
        <v>5115</v>
      </c>
    </row>
    <row r="644" spans="1:11" x14ac:dyDescent="0.55000000000000004">
      <c r="A644" t="s">
        <v>4505</v>
      </c>
      <c r="B644" t="s">
        <v>5115</v>
      </c>
      <c r="C644" t="s">
        <v>5115</v>
      </c>
      <c r="D644" t="s">
        <v>5115</v>
      </c>
      <c r="E644">
        <v>0.53177846698606102</v>
      </c>
      <c r="F644">
        <v>0.176734646658326</v>
      </c>
      <c r="G644">
        <v>0.24500446811620899</v>
      </c>
      <c r="H644">
        <v>4.6482418239404397E-2</v>
      </c>
      <c r="I644" t="s">
        <v>4505</v>
      </c>
      <c r="J644" t="s">
        <v>5117</v>
      </c>
      <c r="K644" t="s">
        <v>5119</v>
      </c>
    </row>
    <row r="645" spans="1:11" x14ac:dyDescent="0.55000000000000004">
      <c r="A645" t="s">
        <v>4506</v>
      </c>
      <c r="B645" t="s">
        <v>5115</v>
      </c>
      <c r="C645" t="s">
        <v>5115</v>
      </c>
      <c r="D645" t="s">
        <v>5115</v>
      </c>
      <c r="E645">
        <v>0.45791181982707702</v>
      </c>
      <c r="F645">
        <v>0.251669840354383</v>
      </c>
      <c r="G645">
        <v>0.24470928495264499</v>
      </c>
      <c r="H645">
        <v>4.5709054865895098E-2</v>
      </c>
      <c r="I645" t="s">
        <v>4506</v>
      </c>
      <c r="J645" t="s">
        <v>5117</v>
      </c>
      <c r="K645" t="s">
        <v>5118</v>
      </c>
    </row>
    <row r="646" spans="1:11" x14ac:dyDescent="0.55000000000000004">
      <c r="A646" t="s">
        <v>4507</v>
      </c>
      <c r="B646" t="s">
        <v>5115</v>
      </c>
      <c r="C646" t="s">
        <v>5115</v>
      </c>
      <c r="D646" t="s">
        <v>5116</v>
      </c>
      <c r="E646">
        <v>0.34826714917735702</v>
      </c>
      <c r="F646">
        <v>0.29165233533569102</v>
      </c>
      <c r="G646">
        <v>0.35098942248206999</v>
      </c>
      <c r="H646">
        <v>9.0910930048825108E-3</v>
      </c>
      <c r="I646" t="s">
        <v>4507</v>
      </c>
      <c r="J646" t="s">
        <v>5117</v>
      </c>
      <c r="K646" t="s">
        <v>5119</v>
      </c>
    </row>
    <row r="647" spans="1:11" x14ac:dyDescent="0.55000000000000004">
      <c r="A647" t="s">
        <v>4508</v>
      </c>
      <c r="B647" t="s">
        <v>5115</v>
      </c>
      <c r="C647" t="s">
        <v>5115</v>
      </c>
      <c r="D647" t="s">
        <v>5115</v>
      </c>
      <c r="E647">
        <v>0.96860310594952004</v>
      </c>
      <c r="F647">
        <v>1.41410946826107E-2</v>
      </c>
      <c r="G647">
        <v>7.1079176281458002E-3</v>
      </c>
      <c r="H647">
        <v>1.01478817397229E-2</v>
      </c>
      <c r="I647" t="s">
        <v>4508</v>
      </c>
      <c r="J647" t="s">
        <v>5115</v>
      </c>
    </row>
    <row r="648" spans="1:11" x14ac:dyDescent="0.55000000000000004">
      <c r="A648" t="s">
        <v>4509</v>
      </c>
      <c r="B648" t="s">
        <v>5115</v>
      </c>
      <c r="C648" t="s">
        <v>5115</v>
      </c>
      <c r="D648" t="s">
        <v>5115</v>
      </c>
      <c r="E648">
        <v>0.92931649428769203</v>
      </c>
      <c r="F648">
        <v>2.66029846967154E-2</v>
      </c>
      <c r="G648">
        <v>3.6626842813523103E-2</v>
      </c>
      <c r="H648">
        <v>7.4536782020694298E-3</v>
      </c>
      <c r="I648" t="s">
        <v>4509</v>
      </c>
      <c r="J648" t="s">
        <v>5115</v>
      </c>
    </row>
    <row r="649" spans="1:11" x14ac:dyDescent="0.55000000000000004">
      <c r="A649" t="s">
        <v>4510</v>
      </c>
      <c r="B649" t="s">
        <v>5115</v>
      </c>
      <c r="C649" t="s">
        <v>5115</v>
      </c>
      <c r="D649" t="s">
        <v>5115</v>
      </c>
      <c r="E649">
        <v>0.44208496561070598</v>
      </c>
      <c r="F649">
        <v>0.21447421303035999</v>
      </c>
      <c r="G649">
        <v>0.28300418522124998</v>
      </c>
      <c r="H649">
        <v>6.0436636137684997E-2</v>
      </c>
      <c r="I649" t="s">
        <v>4510</v>
      </c>
      <c r="J649" t="s">
        <v>5117</v>
      </c>
      <c r="K649" t="s">
        <v>5119</v>
      </c>
    </row>
    <row r="650" spans="1:11" x14ac:dyDescent="0.55000000000000004">
      <c r="A650" t="s">
        <v>4511</v>
      </c>
      <c r="B650" t="s">
        <v>5167</v>
      </c>
      <c r="C650" t="s">
        <v>5116</v>
      </c>
      <c r="D650" t="s">
        <v>5116</v>
      </c>
      <c r="E650">
        <v>0.28517685973038798</v>
      </c>
      <c r="F650">
        <v>7.1899314742278203E-2</v>
      </c>
      <c r="G650">
        <v>0.63579177138044196</v>
      </c>
      <c r="H650">
        <v>7.1320541468930503E-3</v>
      </c>
      <c r="I650" t="s">
        <v>4511</v>
      </c>
      <c r="J650" t="s">
        <v>5117</v>
      </c>
      <c r="K650" t="s">
        <v>5119</v>
      </c>
    </row>
    <row r="651" spans="1:11" x14ac:dyDescent="0.55000000000000004">
      <c r="A651" t="s">
        <v>4474</v>
      </c>
      <c r="B651" t="s">
        <v>5115</v>
      </c>
      <c r="C651" t="s">
        <v>5115</v>
      </c>
      <c r="D651" t="s">
        <v>5115</v>
      </c>
      <c r="E651">
        <v>0.94287028311493304</v>
      </c>
      <c r="F651">
        <v>2.5531844296984699E-2</v>
      </c>
      <c r="G651">
        <v>2.2688790513783998E-2</v>
      </c>
      <c r="H651">
        <v>8.9090820742979693E-3</v>
      </c>
      <c r="I651" t="s">
        <v>4474</v>
      </c>
      <c r="J651" t="s">
        <v>5115</v>
      </c>
    </row>
    <row r="652" spans="1:11" x14ac:dyDescent="0.55000000000000004">
      <c r="A652" t="s">
        <v>4475</v>
      </c>
      <c r="B652" t="s">
        <v>5115</v>
      </c>
      <c r="C652" t="s">
        <v>5115</v>
      </c>
      <c r="D652" t="s">
        <v>5115</v>
      </c>
      <c r="E652">
        <v>0.91186699996720399</v>
      </c>
      <c r="F652">
        <v>3.3235906728654903E-2</v>
      </c>
      <c r="G652">
        <v>4.9825885426801497E-2</v>
      </c>
      <c r="H652">
        <v>5.0712078773394696E-3</v>
      </c>
      <c r="I652" t="s">
        <v>4475</v>
      </c>
      <c r="J652" t="s">
        <v>5115</v>
      </c>
    </row>
    <row r="653" spans="1:11" x14ac:dyDescent="0.55000000000000004">
      <c r="A653" t="s">
        <v>4476</v>
      </c>
      <c r="B653" t="s">
        <v>5115</v>
      </c>
      <c r="C653" t="s">
        <v>5115</v>
      </c>
      <c r="D653" t="s">
        <v>5115</v>
      </c>
      <c r="E653">
        <v>0.92200721523686802</v>
      </c>
      <c r="F653">
        <v>3.23860065752598E-2</v>
      </c>
      <c r="G653">
        <v>3.8167498670019499E-2</v>
      </c>
      <c r="H653">
        <v>7.4392795178530998E-3</v>
      </c>
      <c r="I653" t="s">
        <v>4476</v>
      </c>
      <c r="J653" t="s">
        <v>5115</v>
      </c>
    </row>
    <row r="654" spans="1:11" x14ac:dyDescent="0.55000000000000004">
      <c r="A654" t="s">
        <v>4477</v>
      </c>
      <c r="B654" t="s">
        <v>5116</v>
      </c>
      <c r="C654" t="s">
        <v>5116</v>
      </c>
      <c r="D654" t="s">
        <v>5116</v>
      </c>
      <c r="E654">
        <v>2.6236348277665501E-2</v>
      </c>
      <c r="F654">
        <v>3.7276648879452097E-2</v>
      </c>
      <c r="G654">
        <v>0.93248454388318502</v>
      </c>
      <c r="H654">
        <v>4.0024589596973801E-3</v>
      </c>
      <c r="I654" t="s">
        <v>4477</v>
      </c>
      <c r="J654" t="s">
        <v>5116</v>
      </c>
    </row>
    <row r="655" spans="1:11" x14ac:dyDescent="0.55000000000000004">
      <c r="A655" t="s">
        <v>4478</v>
      </c>
      <c r="B655" t="s">
        <v>5115</v>
      </c>
      <c r="C655" t="s">
        <v>5115</v>
      </c>
      <c r="D655" t="s">
        <v>5115</v>
      </c>
      <c r="E655">
        <v>0.92975925826380301</v>
      </c>
      <c r="F655">
        <v>2.62564958807858E-2</v>
      </c>
      <c r="G655">
        <v>3.7887194150121803E-2</v>
      </c>
      <c r="H655">
        <v>6.0970517052892498E-3</v>
      </c>
      <c r="I655" t="s">
        <v>4478</v>
      </c>
      <c r="J655" t="s">
        <v>5115</v>
      </c>
    </row>
    <row r="656" spans="1:11" x14ac:dyDescent="0.55000000000000004">
      <c r="A656" t="s">
        <v>4479</v>
      </c>
      <c r="B656" t="s">
        <v>5115</v>
      </c>
      <c r="C656" t="s">
        <v>5115</v>
      </c>
      <c r="D656" t="s">
        <v>5115</v>
      </c>
      <c r="E656">
        <v>0.51695352036762299</v>
      </c>
      <c r="F656">
        <v>0.37995444640645398</v>
      </c>
      <c r="G656">
        <v>9.12125821102754E-2</v>
      </c>
      <c r="H656">
        <v>1.18794511156478E-2</v>
      </c>
      <c r="I656" t="s">
        <v>4479</v>
      </c>
      <c r="J656" t="s">
        <v>5117</v>
      </c>
      <c r="K656" t="s">
        <v>5118</v>
      </c>
    </row>
    <row r="657" spans="1:11" x14ac:dyDescent="0.55000000000000004">
      <c r="A657" t="s">
        <v>4480</v>
      </c>
      <c r="B657" t="s">
        <v>5115</v>
      </c>
      <c r="C657" t="s">
        <v>5115</v>
      </c>
      <c r="D657" t="s">
        <v>5115</v>
      </c>
      <c r="E657">
        <v>0.47839696468592602</v>
      </c>
      <c r="F657">
        <v>0.18787754647436899</v>
      </c>
      <c r="G657">
        <v>0.267863170212012</v>
      </c>
      <c r="H657">
        <v>6.5862318627693206E-2</v>
      </c>
      <c r="I657" t="s">
        <v>4480</v>
      </c>
      <c r="J657" t="s">
        <v>5117</v>
      </c>
      <c r="K657" t="s">
        <v>5119</v>
      </c>
    </row>
    <row r="658" spans="1:11" x14ac:dyDescent="0.55000000000000004">
      <c r="A658" t="s">
        <v>4481</v>
      </c>
      <c r="B658" t="s">
        <v>5115</v>
      </c>
      <c r="C658" t="s">
        <v>5115</v>
      </c>
      <c r="D658" t="s">
        <v>5115</v>
      </c>
      <c r="E658">
        <v>0.44537309389227903</v>
      </c>
      <c r="F658">
        <v>0.20446322083301399</v>
      </c>
      <c r="G658">
        <v>0.27152432193266202</v>
      </c>
      <c r="H658">
        <v>7.8639363342044299E-2</v>
      </c>
      <c r="I658" t="s">
        <v>4481</v>
      </c>
      <c r="J658" t="s">
        <v>5117</v>
      </c>
      <c r="K658" t="s">
        <v>5119</v>
      </c>
    </row>
    <row r="659" spans="1:11" x14ac:dyDescent="0.55000000000000004">
      <c r="A659" t="s">
        <v>4482</v>
      </c>
      <c r="B659" t="s">
        <v>5115</v>
      </c>
      <c r="C659" t="s">
        <v>5115</v>
      </c>
      <c r="D659" t="s">
        <v>5115</v>
      </c>
      <c r="E659">
        <v>0.52090415157995695</v>
      </c>
      <c r="F659">
        <v>0.21083648493655599</v>
      </c>
      <c r="G659">
        <v>0.211368672185833</v>
      </c>
      <c r="H659">
        <v>5.6890691297654797E-2</v>
      </c>
      <c r="I659" t="s">
        <v>4482</v>
      </c>
      <c r="J659" t="s">
        <v>5117</v>
      </c>
      <c r="K659" t="s">
        <v>5119</v>
      </c>
    </row>
    <row r="660" spans="1:11" x14ac:dyDescent="0.55000000000000004">
      <c r="A660" t="s">
        <v>4483</v>
      </c>
      <c r="B660" t="s">
        <v>5115</v>
      </c>
      <c r="C660" t="s">
        <v>5115</v>
      </c>
      <c r="D660" t="s">
        <v>5115</v>
      </c>
      <c r="E660">
        <v>0.74895138938220396</v>
      </c>
      <c r="F660">
        <v>0.176520598491756</v>
      </c>
      <c r="G660">
        <v>6.1536488092024999E-2</v>
      </c>
      <c r="H660">
        <v>1.2991524034015999E-2</v>
      </c>
      <c r="I660" t="s">
        <v>4483</v>
      </c>
      <c r="J660" t="s">
        <v>5115</v>
      </c>
    </row>
    <row r="661" spans="1:11" x14ac:dyDescent="0.55000000000000004">
      <c r="A661" t="s">
        <v>4484</v>
      </c>
      <c r="B661" t="s">
        <v>5115</v>
      </c>
      <c r="C661" t="s">
        <v>5115</v>
      </c>
      <c r="D661" t="s">
        <v>5115</v>
      </c>
      <c r="E661">
        <v>0.54220521938375399</v>
      </c>
      <c r="F661">
        <v>0.14943358341672799</v>
      </c>
      <c r="G661">
        <v>0.238767231826162</v>
      </c>
      <c r="H661">
        <v>6.9593965373356603E-2</v>
      </c>
      <c r="I661" t="s">
        <v>4484</v>
      </c>
      <c r="J661" t="s">
        <v>5117</v>
      </c>
      <c r="K661" t="s">
        <v>5119</v>
      </c>
    </row>
    <row r="662" spans="1:11" x14ac:dyDescent="0.55000000000000004">
      <c r="A662" t="s">
        <v>4485</v>
      </c>
      <c r="B662" t="s">
        <v>5121</v>
      </c>
      <c r="C662" t="s">
        <v>5121</v>
      </c>
      <c r="D662" t="s">
        <v>5121</v>
      </c>
      <c r="E662">
        <v>4.8171799738933402E-2</v>
      </c>
      <c r="F662">
        <v>0.82329300167033403</v>
      </c>
      <c r="G662">
        <v>0.119348676507811</v>
      </c>
      <c r="H662">
        <v>9.1865220829214101E-3</v>
      </c>
      <c r="I662" t="s">
        <v>4485</v>
      </c>
      <c r="J662" t="s">
        <v>5121</v>
      </c>
    </row>
    <row r="663" spans="1:11" x14ac:dyDescent="0.55000000000000004">
      <c r="A663" t="s">
        <v>4462</v>
      </c>
      <c r="B663" t="s">
        <v>5115</v>
      </c>
      <c r="C663" t="s">
        <v>5115</v>
      </c>
      <c r="D663" t="s">
        <v>5115</v>
      </c>
      <c r="E663">
        <v>0.99162964490091199</v>
      </c>
      <c r="F663">
        <v>1.6642723689177001E-3</v>
      </c>
      <c r="G663">
        <v>2.4739309681586401E-3</v>
      </c>
      <c r="H663">
        <v>4.2321517620119899E-3</v>
      </c>
      <c r="I663" t="s">
        <v>4462</v>
      </c>
      <c r="J663" t="s">
        <v>5115</v>
      </c>
    </row>
    <row r="664" spans="1:11" x14ac:dyDescent="0.55000000000000004">
      <c r="A664" t="s">
        <v>4463</v>
      </c>
      <c r="B664" t="s">
        <v>5115</v>
      </c>
      <c r="C664" t="s">
        <v>5115</v>
      </c>
      <c r="D664" t="s">
        <v>5115</v>
      </c>
      <c r="E664">
        <v>0.911443139449715</v>
      </c>
      <c r="F664">
        <v>3.7206722105625201E-2</v>
      </c>
      <c r="G664">
        <v>4.6087539128701699E-2</v>
      </c>
      <c r="H664">
        <v>5.26259931595849E-3</v>
      </c>
      <c r="I664" t="s">
        <v>4463</v>
      </c>
      <c r="J664" t="s">
        <v>5115</v>
      </c>
    </row>
    <row r="665" spans="1:11" x14ac:dyDescent="0.55000000000000004">
      <c r="A665" t="s">
        <v>4464</v>
      </c>
      <c r="B665" t="s">
        <v>5115</v>
      </c>
      <c r="C665" t="s">
        <v>5115</v>
      </c>
      <c r="D665" t="s">
        <v>5115</v>
      </c>
      <c r="E665">
        <v>0.93051963177861696</v>
      </c>
      <c r="F665">
        <v>2.7167875073874501E-2</v>
      </c>
      <c r="G665">
        <v>3.6728513003183701E-2</v>
      </c>
      <c r="H665">
        <v>5.5839801443245103E-3</v>
      </c>
      <c r="I665" t="s">
        <v>4464</v>
      </c>
      <c r="J665" t="s">
        <v>5115</v>
      </c>
    </row>
    <row r="666" spans="1:11" x14ac:dyDescent="0.55000000000000004">
      <c r="A666" t="s">
        <v>4465</v>
      </c>
      <c r="B666" t="s">
        <v>5115</v>
      </c>
      <c r="C666" t="s">
        <v>5115</v>
      </c>
      <c r="D666" t="s">
        <v>5115</v>
      </c>
      <c r="E666">
        <v>0.90656401895931704</v>
      </c>
      <c r="F666">
        <v>4.5848261000714499E-2</v>
      </c>
      <c r="G666">
        <v>3.92651888680636E-2</v>
      </c>
      <c r="H666">
        <v>8.3225311719049202E-3</v>
      </c>
      <c r="I666" t="s">
        <v>4465</v>
      </c>
      <c r="J666" t="s">
        <v>5115</v>
      </c>
    </row>
    <row r="667" spans="1:11" x14ac:dyDescent="0.55000000000000004">
      <c r="A667" t="s">
        <v>4466</v>
      </c>
      <c r="B667" t="s">
        <v>5167</v>
      </c>
      <c r="C667" t="s">
        <v>5116</v>
      </c>
      <c r="D667" t="s">
        <v>5116</v>
      </c>
      <c r="E667">
        <v>0.14803347340432399</v>
      </c>
      <c r="F667">
        <v>0.100044841315183</v>
      </c>
      <c r="G667">
        <v>0.74451368165549603</v>
      </c>
      <c r="H667">
        <v>7.4080036249971901E-3</v>
      </c>
      <c r="I667" t="s">
        <v>4466</v>
      </c>
      <c r="J667" t="s">
        <v>5116</v>
      </c>
    </row>
    <row r="668" spans="1:11" x14ac:dyDescent="0.55000000000000004">
      <c r="A668" t="s">
        <v>4467</v>
      </c>
      <c r="B668" t="s">
        <v>5115</v>
      </c>
      <c r="C668" t="s">
        <v>5115</v>
      </c>
      <c r="D668" t="s">
        <v>5115</v>
      </c>
      <c r="E668">
        <v>0.98715662649793201</v>
      </c>
      <c r="F668">
        <v>4.4904697755273303E-3</v>
      </c>
      <c r="G668">
        <v>2.16026791591007E-3</v>
      </c>
      <c r="H668">
        <v>6.1926358106307597E-3</v>
      </c>
      <c r="I668" t="s">
        <v>4467</v>
      </c>
      <c r="J668" t="s">
        <v>5115</v>
      </c>
    </row>
    <row r="669" spans="1:11" x14ac:dyDescent="0.55000000000000004">
      <c r="A669" t="s">
        <v>4468</v>
      </c>
      <c r="B669" t="s">
        <v>5115</v>
      </c>
      <c r="C669" t="s">
        <v>5115</v>
      </c>
      <c r="D669" t="s">
        <v>5115</v>
      </c>
      <c r="E669">
        <v>0.99168665732752503</v>
      </c>
      <c r="F669">
        <v>1.4368732293246699E-3</v>
      </c>
      <c r="G669">
        <v>3.7599840583984602E-3</v>
      </c>
      <c r="H669">
        <v>3.1164853847521E-3</v>
      </c>
      <c r="I669" t="s">
        <v>4468</v>
      </c>
      <c r="J669" t="s">
        <v>5115</v>
      </c>
    </row>
    <row r="670" spans="1:11" x14ac:dyDescent="0.55000000000000004">
      <c r="A670" t="s">
        <v>4469</v>
      </c>
      <c r="B670" t="s">
        <v>5115</v>
      </c>
      <c r="C670" t="s">
        <v>5115</v>
      </c>
      <c r="D670" t="s">
        <v>5115</v>
      </c>
      <c r="E670">
        <v>0.96273017585529097</v>
      </c>
      <c r="F670">
        <v>1.5222767231317699E-2</v>
      </c>
      <c r="G670">
        <v>1.5945072472969099E-2</v>
      </c>
      <c r="H670">
        <v>6.1019844404217498E-3</v>
      </c>
      <c r="I670" t="s">
        <v>4469</v>
      </c>
      <c r="J670" t="s">
        <v>5115</v>
      </c>
    </row>
    <row r="671" spans="1:11" x14ac:dyDescent="0.55000000000000004">
      <c r="A671" t="s">
        <v>4470</v>
      </c>
      <c r="B671" t="s">
        <v>5115</v>
      </c>
      <c r="C671" t="s">
        <v>5115</v>
      </c>
      <c r="D671" t="s">
        <v>5115</v>
      </c>
      <c r="E671">
        <v>0.98292750300766596</v>
      </c>
      <c r="F671">
        <v>6.1162651316969902E-3</v>
      </c>
      <c r="G671">
        <v>5.91190971621926E-3</v>
      </c>
      <c r="H671">
        <v>5.0443221444180899E-3</v>
      </c>
      <c r="I671" t="s">
        <v>4470</v>
      </c>
      <c r="J671" t="s">
        <v>5115</v>
      </c>
    </row>
    <row r="672" spans="1:11" x14ac:dyDescent="0.55000000000000004">
      <c r="A672" t="s">
        <v>4471</v>
      </c>
      <c r="B672" t="s">
        <v>5115</v>
      </c>
      <c r="C672" t="s">
        <v>5115</v>
      </c>
      <c r="D672" t="s">
        <v>5115</v>
      </c>
      <c r="E672">
        <v>0.96309986356371102</v>
      </c>
      <c r="F672">
        <v>1.4668963230336601E-2</v>
      </c>
      <c r="G672">
        <v>1.7377796965164002E-2</v>
      </c>
      <c r="H672">
        <v>4.8533762407886299E-3</v>
      </c>
      <c r="I672" t="s">
        <v>4471</v>
      </c>
      <c r="J672" t="s">
        <v>5115</v>
      </c>
    </row>
    <row r="673" spans="1:10" x14ac:dyDescent="0.55000000000000004">
      <c r="A673" t="s">
        <v>4472</v>
      </c>
      <c r="B673" t="s">
        <v>5115</v>
      </c>
      <c r="C673" t="s">
        <v>5115</v>
      </c>
      <c r="D673" t="s">
        <v>5115</v>
      </c>
      <c r="E673">
        <v>0.76211397275619497</v>
      </c>
      <c r="F673">
        <v>9.0965371062025194E-2</v>
      </c>
      <c r="G673">
        <v>0.13906168298654101</v>
      </c>
      <c r="H673">
        <v>7.8589731952392397E-3</v>
      </c>
      <c r="I673" t="s">
        <v>4472</v>
      </c>
      <c r="J673" t="s">
        <v>5115</v>
      </c>
    </row>
    <row r="674" spans="1:10" x14ac:dyDescent="0.55000000000000004">
      <c r="A674" t="s">
        <v>4436</v>
      </c>
      <c r="B674" t="s">
        <v>5115</v>
      </c>
      <c r="C674" t="s">
        <v>5115</v>
      </c>
      <c r="D674" t="s">
        <v>5115</v>
      </c>
      <c r="E674">
        <v>0.98431994215563501</v>
      </c>
      <c r="F674">
        <v>4.4939428110797397E-3</v>
      </c>
      <c r="G674">
        <v>7.1096239225027103E-3</v>
      </c>
      <c r="H674">
        <v>4.0764911107823796E-3</v>
      </c>
      <c r="I674" t="s">
        <v>4436</v>
      </c>
      <c r="J674" t="s">
        <v>5115</v>
      </c>
    </row>
    <row r="675" spans="1:10" x14ac:dyDescent="0.55000000000000004">
      <c r="A675" t="s">
        <v>4437</v>
      </c>
      <c r="B675" t="s">
        <v>5167</v>
      </c>
      <c r="C675" t="s">
        <v>5167</v>
      </c>
      <c r="D675" t="s">
        <v>5167</v>
      </c>
      <c r="E675">
        <v>1.31702567845045E-2</v>
      </c>
      <c r="F675">
        <v>2.0184580008836502E-2</v>
      </c>
      <c r="G675">
        <v>8.8463145868772804E-3</v>
      </c>
      <c r="H675">
        <v>0.95779884861978204</v>
      </c>
      <c r="I675" t="s">
        <v>4437</v>
      </c>
      <c r="J675" t="s">
        <v>5167</v>
      </c>
    </row>
    <row r="676" spans="1:10" x14ac:dyDescent="0.55000000000000004">
      <c r="A676" t="s">
        <v>4438</v>
      </c>
      <c r="B676" t="s">
        <v>5115</v>
      </c>
      <c r="C676" t="s">
        <v>5115</v>
      </c>
      <c r="D676" t="s">
        <v>5115</v>
      </c>
      <c r="E676">
        <v>0.90540338696882605</v>
      </c>
      <c r="F676">
        <v>4.0162949611040298E-2</v>
      </c>
      <c r="G676">
        <v>4.7742021737783497E-2</v>
      </c>
      <c r="H676">
        <v>6.6916416823501797E-3</v>
      </c>
      <c r="I676" t="s">
        <v>4438</v>
      </c>
      <c r="J676" t="s">
        <v>5115</v>
      </c>
    </row>
    <row r="677" spans="1:10" x14ac:dyDescent="0.55000000000000004">
      <c r="A677" t="s">
        <v>4439</v>
      </c>
      <c r="B677" t="s">
        <v>5167</v>
      </c>
      <c r="C677" t="s">
        <v>5167</v>
      </c>
      <c r="D677" t="s">
        <v>5167</v>
      </c>
      <c r="E677">
        <v>1.03793381958459E-2</v>
      </c>
      <c r="F677">
        <v>1.48262706650511E-2</v>
      </c>
      <c r="G677">
        <v>7.0932363037593199E-3</v>
      </c>
      <c r="H677">
        <v>0.96770115483534402</v>
      </c>
      <c r="I677" t="s">
        <v>4439</v>
      </c>
      <c r="J677" t="s">
        <v>5167</v>
      </c>
    </row>
    <row r="678" spans="1:10" x14ac:dyDescent="0.55000000000000004">
      <c r="A678" t="s">
        <v>4440</v>
      </c>
      <c r="B678" t="s">
        <v>5115</v>
      </c>
      <c r="C678" t="s">
        <v>5115</v>
      </c>
      <c r="D678" t="s">
        <v>5115</v>
      </c>
      <c r="E678">
        <v>0.98954478995746797</v>
      </c>
      <c r="F678">
        <v>3.2544059599617899E-3</v>
      </c>
      <c r="G678">
        <v>3.1318175281295499E-3</v>
      </c>
      <c r="H678">
        <v>4.0689865544408102E-3</v>
      </c>
      <c r="I678" t="s">
        <v>4440</v>
      </c>
      <c r="J678" t="s">
        <v>5115</v>
      </c>
    </row>
    <row r="679" spans="1:10" x14ac:dyDescent="0.55000000000000004">
      <c r="A679" t="s">
        <v>4441</v>
      </c>
      <c r="B679" t="s">
        <v>5167</v>
      </c>
      <c r="C679" t="s">
        <v>5167</v>
      </c>
      <c r="D679" t="s">
        <v>5167</v>
      </c>
      <c r="E679">
        <v>1.00126760796997E-2</v>
      </c>
      <c r="F679">
        <v>1.4853649462181999E-2</v>
      </c>
      <c r="G679">
        <v>6.4222036561868198E-3</v>
      </c>
      <c r="H679">
        <v>0.96871147080193198</v>
      </c>
      <c r="I679" t="s">
        <v>4441</v>
      </c>
      <c r="J679" t="s">
        <v>5167</v>
      </c>
    </row>
    <row r="680" spans="1:10" x14ac:dyDescent="0.55000000000000004">
      <c r="A680" t="s">
        <v>4442</v>
      </c>
      <c r="B680" t="s">
        <v>5167</v>
      </c>
      <c r="C680" t="s">
        <v>5167</v>
      </c>
      <c r="D680" t="s">
        <v>5167</v>
      </c>
      <c r="E680">
        <v>1.1510049525339201E-2</v>
      </c>
      <c r="F680">
        <v>1.44716330458299E-2</v>
      </c>
      <c r="G680">
        <v>6.7527296454976101E-3</v>
      </c>
      <c r="H680">
        <v>0.96726558778333305</v>
      </c>
      <c r="I680" t="s">
        <v>4442</v>
      </c>
      <c r="J680" t="s">
        <v>5167</v>
      </c>
    </row>
    <row r="681" spans="1:10" x14ac:dyDescent="0.55000000000000004">
      <c r="A681" t="s">
        <v>4443</v>
      </c>
      <c r="B681" t="s">
        <v>5115</v>
      </c>
      <c r="C681" t="s">
        <v>5115</v>
      </c>
      <c r="D681" t="s">
        <v>5115</v>
      </c>
      <c r="E681">
        <v>0.94929687591758305</v>
      </c>
      <c r="F681">
        <v>2.6847095326204499E-2</v>
      </c>
      <c r="G681">
        <v>1.8506690589765801E-2</v>
      </c>
      <c r="H681">
        <v>5.3493381664464403E-3</v>
      </c>
      <c r="I681" t="s">
        <v>4443</v>
      </c>
      <c r="J681" t="s">
        <v>5115</v>
      </c>
    </row>
    <row r="682" spans="1:10" x14ac:dyDescent="0.55000000000000004">
      <c r="A682" t="s">
        <v>4444</v>
      </c>
      <c r="B682" t="s">
        <v>5167</v>
      </c>
      <c r="C682" t="s">
        <v>5167</v>
      </c>
      <c r="D682" t="s">
        <v>5167</v>
      </c>
      <c r="E682">
        <v>1.21616397657611E-2</v>
      </c>
      <c r="F682">
        <v>1.5935891249508598E-2</v>
      </c>
      <c r="G682">
        <v>6.7456408914518201E-3</v>
      </c>
      <c r="H682">
        <v>0.96515682809327896</v>
      </c>
      <c r="I682" t="s">
        <v>4444</v>
      </c>
      <c r="J682" t="s">
        <v>5167</v>
      </c>
    </row>
    <row r="683" spans="1:10" x14ac:dyDescent="0.55000000000000004">
      <c r="A683" t="s">
        <v>4445</v>
      </c>
      <c r="B683" t="s">
        <v>5115</v>
      </c>
      <c r="C683" t="s">
        <v>5115</v>
      </c>
      <c r="D683" t="s">
        <v>5115</v>
      </c>
      <c r="E683">
        <v>0.980893712058302</v>
      </c>
      <c r="F683">
        <v>7.72661237017787E-3</v>
      </c>
      <c r="G683">
        <v>5.5222817223242E-3</v>
      </c>
      <c r="H683">
        <v>5.8573938491955002E-3</v>
      </c>
      <c r="I683" t="s">
        <v>4445</v>
      </c>
      <c r="J683" t="s">
        <v>5115</v>
      </c>
    </row>
    <row r="684" spans="1:10" x14ac:dyDescent="0.55000000000000004">
      <c r="A684" t="s">
        <v>4446</v>
      </c>
      <c r="B684" t="s">
        <v>5167</v>
      </c>
      <c r="C684" t="s">
        <v>5167</v>
      </c>
      <c r="D684" t="s">
        <v>5167</v>
      </c>
      <c r="E684">
        <v>1.0984074076794E-2</v>
      </c>
      <c r="F684">
        <v>1.83288178448032E-2</v>
      </c>
      <c r="G684">
        <v>7.8588644416055509E-3</v>
      </c>
      <c r="H684">
        <v>0.96282824363679698</v>
      </c>
      <c r="I684" t="s">
        <v>4446</v>
      </c>
      <c r="J684" t="s">
        <v>5167</v>
      </c>
    </row>
    <row r="685" spans="1:10" x14ac:dyDescent="0.55000000000000004">
      <c r="A685" t="s">
        <v>4447</v>
      </c>
      <c r="B685" t="s">
        <v>5167</v>
      </c>
      <c r="C685" t="s">
        <v>5167</v>
      </c>
      <c r="D685" t="s">
        <v>5167</v>
      </c>
      <c r="E685">
        <v>1.1439004445154E-2</v>
      </c>
      <c r="F685">
        <v>1.50684765068358E-2</v>
      </c>
      <c r="G685">
        <v>6.0139655508467896E-3</v>
      </c>
      <c r="H685">
        <v>0.96747855349716305</v>
      </c>
      <c r="I685" t="s">
        <v>4447</v>
      </c>
      <c r="J685" t="s">
        <v>5167</v>
      </c>
    </row>
    <row r="686" spans="1:10" x14ac:dyDescent="0.55000000000000004">
      <c r="A686" t="s">
        <v>4410</v>
      </c>
      <c r="B686" t="s">
        <v>5115</v>
      </c>
      <c r="C686" t="s">
        <v>5115</v>
      </c>
      <c r="D686" t="s">
        <v>5115</v>
      </c>
      <c r="E686">
        <v>0.90815189240423699</v>
      </c>
      <c r="F686">
        <v>6.5119799184812796E-2</v>
      </c>
      <c r="G686">
        <v>2.17183613166015E-2</v>
      </c>
      <c r="H686">
        <v>5.0099470943483302E-3</v>
      </c>
      <c r="I686" t="s">
        <v>4410</v>
      </c>
      <c r="J686" t="s">
        <v>5115</v>
      </c>
    </row>
    <row r="687" spans="1:10" x14ac:dyDescent="0.55000000000000004">
      <c r="A687" t="s">
        <v>4411</v>
      </c>
      <c r="B687" t="s">
        <v>5115</v>
      </c>
      <c r="C687" t="s">
        <v>5115</v>
      </c>
      <c r="D687" t="s">
        <v>5115</v>
      </c>
      <c r="E687">
        <v>0.84415808050011099</v>
      </c>
      <c r="F687">
        <v>8.2804489073443802E-2</v>
      </c>
      <c r="G687">
        <v>6.3541538062621694E-2</v>
      </c>
      <c r="H687">
        <v>9.4958923638237703E-3</v>
      </c>
      <c r="I687" t="s">
        <v>4411</v>
      </c>
      <c r="J687" t="s">
        <v>5115</v>
      </c>
    </row>
    <row r="688" spans="1:10" x14ac:dyDescent="0.55000000000000004">
      <c r="A688" t="s">
        <v>4412</v>
      </c>
      <c r="B688" t="s">
        <v>5115</v>
      </c>
      <c r="C688" t="s">
        <v>5115</v>
      </c>
      <c r="D688" t="s">
        <v>5115</v>
      </c>
      <c r="E688">
        <v>0.94343003192335695</v>
      </c>
      <c r="F688">
        <v>3.0428101791575301E-2</v>
      </c>
      <c r="G688">
        <v>2.0392930875247899E-2</v>
      </c>
      <c r="H688">
        <v>5.74893540981953E-3</v>
      </c>
      <c r="I688" t="s">
        <v>4412</v>
      </c>
      <c r="J688" t="s">
        <v>5115</v>
      </c>
    </row>
    <row r="689" spans="1:11" x14ac:dyDescent="0.55000000000000004">
      <c r="A689" t="s">
        <v>4413</v>
      </c>
      <c r="B689" t="s">
        <v>5116</v>
      </c>
      <c r="C689" t="s">
        <v>5116</v>
      </c>
      <c r="D689" t="s">
        <v>5116</v>
      </c>
      <c r="E689">
        <v>4.1960527536815603E-2</v>
      </c>
      <c r="F689">
        <v>0.38964226984142097</v>
      </c>
      <c r="G689">
        <v>0.560023573437188</v>
      </c>
      <c r="H689">
        <v>8.37362918457445E-3</v>
      </c>
      <c r="I689" t="s">
        <v>4413</v>
      </c>
      <c r="J689" t="s">
        <v>5117</v>
      </c>
      <c r="K689" t="s">
        <v>5166</v>
      </c>
    </row>
    <row r="690" spans="1:11" x14ac:dyDescent="0.55000000000000004">
      <c r="A690" t="s">
        <v>4414</v>
      </c>
      <c r="B690" t="s">
        <v>5115</v>
      </c>
      <c r="C690" t="s">
        <v>5115</v>
      </c>
      <c r="D690" t="s">
        <v>5115</v>
      </c>
      <c r="E690">
        <v>0.98792037865390103</v>
      </c>
      <c r="F690">
        <v>3.84691990554668E-3</v>
      </c>
      <c r="G690">
        <v>4.7496015731615599E-3</v>
      </c>
      <c r="H690">
        <v>3.4830998673902498E-3</v>
      </c>
      <c r="I690" t="s">
        <v>4414</v>
      </c>
      <c r="J690" t="s">
        <v>5115</v>
      </c>
    </row>
    <row r="691" spans="1:11" x14ac:dyDescent="0.55000000000000004">
      <c r="A691" t="s">
        <v>4415</v>
      </c>
      <c r="B691" t="s">
        <v>5115</v>
      </c>
      <c r="C691" t="s">
        <v>5115</v>
      </c>
      <c r="D691" t="s">
        <v>5115</v>
      </c>
      <c r="E691">
        <v>0.94035346033795297</v>
      </c>
      <c r="F691">
        <v>3.35186022518792E-2</v>
      </c>
      <c r="G691">
        <v>1.8672747790807499E-2</v>
      </c>
      <c r="H691">
        <v>7.4551896193599297E-3</v>
      </c>
      <c r="I691" t="s">
        <v>4415</v>
      </c>
      <c r="J691" t="s">
        <v>5115</v>
      </c>
    </row>
    <row r="692" spans="1:11" x14ac:dyDescent="0.55000000000000004">
      <c r="A692" t="s">
        <v>4416</v>
      </c>
      <c r="B692" t="s">
        <v>5116</v>
      </c>
      <c r="C692" t="s">
        <v>5116</v>
      </c>
      <c r="D692" t="s">
        <v>5116</v>
      </c>
      <c r="E692">
        <v>6.50396501683808E-2</v>
      </c>
      <c r="F692">
        <v>3.8960641111810003E-2</v>
      </c>
      <c r="G692">
        <v>0.88818389963206701</v>
      </c>
      <c r="H692">
        <v>7.8158090877419994E-3</v>
      </c>
      <c r="I692" t="s">
        <v>4416</v>
      </c>
      <c r="J692" t="s">
        <v>5116</v>
      </c>
    </row>
    <row r="693" spans="1:11" x14ac:dyDescent="0.55000000000000004">
      <c r="A693" t="s">
        <v>4417</v>
      </c>
      <c r="B693" t="s">
        <v>5115</v>
      </c>
      <c r="C693" t="s">
        <v>5115</v>
      </c>
      <c r="D693" t="s">
        <v>5115</v>
      </c>
      <c r="E693">
        <v>0.9708945683272</v>
      </c>
      <c r="F693">
        <v>8.9766413749348302E-3</v>
      </c>
      <c r="G693">
        <v>1.6456150379956899E-2</v>
      </c>
      <c r="H693">
        <v>3.6726399179080201E-3</v>
      </c>
      <c r="I693" t="s">
        <v>4417</v>
      </c>
      <c r="J693" t="s">
        <v>5115</v>
      </c>
    </row>
    <row r="694" spans="1:11" x14ac:dyDescent="0.55000000000000004">
      <c r="A694" t="s">
        <v>4418</v>
      </c>
      <c r="B694" t="s">
        <v>5115</v>
      </c>
      <c r="C694" t="s">
        <v>5115</v>
      </c>
      <c r="D694" t="s">
        <v>5115</v>
      </c>
      <c r="E694">
        <v>0.97356560484811205</v>
      </c>
      <c r="F694">
        <v>1.5907227545081001E-2</v>
      </c>
      <c r="G694">
        <v>4.9121592972038797E-3</v>
      </c>
      <c r="H694">
        <v>5.6150083096028801E-3</v>
      </c>
      <c r="I694" t="s">
        <v>4418</v>
      </c>
      <c r="J694" t="s">
        <v>5115</v>
      </c>
    </row>
    <row r="695" spans="1:11" x14ac:dyDescent="0.55000000000000004">
      <c r="A695" t="s">
        <v>4419</v>
      </c>
      <c r="B695" t="s">
        <v>5115</v>
      </c>
      <c r="C695" t="s">
        <v>5115</v>
      </c>
      <c r="D695" t="s">
        <v>5115</v>
      </c>
      <c r="E695">
        <v>0.97296048398374602</v>
      </c>
      <c r="F695">
        <v>1.41514197254767E-2</v>
      </c>
      <c r="G695">
        <v>6.8491202120644296E-3</v>
      </c>
      <c r="H695">
        <v>6.0389760787126004E-3</v>
      </c>
      <c r="I695" t="s">
        <v>4419</v>
      </c>
      <c r="J695" t="s">
        <v>5115</v>
      </c>
    </row>
    <row r="696" spans="1:11" x14ac:dyDescent="0.55000000000000004">
      <c r="A696" t="s">
        <v>4420</v>
      </c>
      <c r="B696" t="s">
        <v>5115</v>
      </c>
      <c r="C696" t="s">
        <v>5115</v>
      </c>
      <c r="D696" t="s">
        <v>5115</v>
      </c>
      <c r="E696">
        <v>0.90047407320293804</v>
      </c>
      <c r="F696">
        <v>3.7856786478921003E-2</v>
      </c>
      <c r="G696">
        <v>5.4753748589222398E-2</v>
      </c>
      <c r="H696">
        <v>6.91539172891854E-3</v>
      </c>
      <c r="I696" t="s">
        <v>4420</v>
      </c>
      <c r="J696" t="s">
        <v>5115</v>
      </c>
    </row>
    <row r="697" spans="1:11" x14ac:dyDescent="0.55000000000000004">
      <c r="A697" t="s">
        <v>4421</v>
      </c>
      <c r="B697" t="s">
        <v>5115</v>
      </c>
      <c r="C697" t="s">
        <v>5115</v>
      </c>
      <c r="D697" t="s">
        <v>5115</v>
      </c>
      <c r="E697">
        <v>0.92893940598133995</v>
      </c>
      <c r="F697">
        <v>4.3993239459008897E-2</v>
      </c>
      <c r="G697">
        <v>2.1395471196951399E-2</v>
      </c>
      <c r="H697">
        <v>5.6718833627003602E-3</v>
      </c>
      <c r="I697" t="s">
        <v>4421</v>
      </c>
      <c r="J697" t="s">
        <v>5115</v>
      </c>
    </row>
    <row r="698" spans="1:11" x14ac:dyDescent="0.55000000000000004">
      <c r="A698" t="s">
        <v>4384</v>
      </c>
      <c r="B698" t="s">
        <v>5115</v>
      </c>
      <c r="C698" t="s">
        <v>5115</v>
      </c>
      <c r="D698" t="s">
        <v>5115</v>
      </c>
      <c r="E698">
        <v>0.93623919750698703</v>
      </c>
      <c r="F698">
        <v>3.0195749831982501E-2</v>
      </c>
      <c r="G698">
        <v>2.80575073597004E-2</v>
      </c>
      <c r="H698">
        <v>5.5075453013299497E-3</v>
      </c>
      <c r="I698" t="s">
        <v>4384</v>
      </c>
      <c r="J698" t="s">
        <v>5115</v>
      </c>
    </row>
    <row r="699" spans="1:11" x14ac:dyDescent="0.55000000000000004">
      <c r="A699" t="s">
        <v>4385</v>
      </c>
      <c r="B699" t="s">
        <v>5167</v>
      </c>
      <c r="C699" t="s">
        <v>5115</v>
      </c>
      <c r="D699" t="s">
        <v>5116</v>
      </c>
      <c r="E699">
        <v>0.38386819906077801</v>
      </c>
      <c r="F699">
        <v>9.7177797793660606E-2</v>
      </c>
      <c r="G699">
        <v>0.51278183789311005</v>
      </c>
      <c r="H699">
        <v>6.1721652524513804E-3</v>
      </c>
      <c r="I699" t="s">
        <v>4385</v>
      </c>
      <c r="J699" t="s">
        <v>5117</v>
      </c>
      <c r="K699" t="s">
        <v>5119</v>
      </c>
    </row>
    <row r="700" spans="1:11" x14ac:dyDescent="0.55000000000000004">
      <c r="A700" t="s">
        <v>4386</v>
      </c>
      <c r="B700" t="s">
        <v>5167</v>
      </c>
      <c r="C700" t="s">
        <v>5116</v>
      </c>
      <c r="D700" t="s">
        <v>5116</v>
      </c>
      <c r="E700">
        <v>0.26012801564056598</v>
      </c>
      <c r="F700">
        <v>5.0837188295513203E-2</v>
      </c>
      <c r="G700">
        <v>0.68158771713622701</v>
      </c>
      <c r="H700">
        <v>7.4470789276936504E-3</v>
      </c>
      <c r="I700" t="s">
        <v>4386</v>
      </c>
      <c r="J700" t="s">
        <v>5117</v>
      </c>
      <c r="K700" t="s">
        <v>5119</v>
      </c>
    </row>
    <row r="701" spans="1:11" x14ac:dyDescent="0.55000000000000004">
      <c r="A701" t="s">
        <v>4387</v>
      </c>
      <c r="B701" t="s">
        <v>5167</v>
      </c>
      <c r="C701" t="s">
        <v>5116</v>
      </c>
      <c r="D701" t="s">
        <v>5116</v>
      </c>
      <c r="E701">
        <v>0.20441063807899701</v>
      </c>
      <c r="F701">
        <v>4.2138591931309401E-2</v>
      </c>
      <c r="G701">
        <v>0.74789005585132995</v>
      </c>
      <c r="H701">
        <v>5.5607141383645503E-3</v>
      </c>
      <c r="I701" t="s">
        <v>4387</v>
      </c>
      <c r="J701" t="s">
        <v>5116</v>
      </c>
    </row>
    <row r="702" spans="1:11" x14ac:dyDescent="0.55000000000000004">
      <c r="A702" t="s">
        <v>4388</v>
      </c>
      <c r="B702" t="s">
        <v>5115</v>
      </c>
      <c r="C702" t="s">
        <v>5115</v>
      </c>
      <c r="D702" t="s">
        <v>5115</v>
      </c>
      <c r="E702">
        <v>0.96997721584306296</v>
      </c>
      <c r="F702">
        <v>1.22575460127194E-2</v>
      </c>
      <c r="G702">
        <v>1.2497351230045899E-2</v>
      </c>
      <c r="H702">
        <v>5.2678869141714497E-3</v>
      </c>
      <c r="I702" t="s">
        <v>4388</v>
      </c>
      <c r="J702" t="s">
        <v>5115</v>
      </c>
    </row>
    <row r="703" spans="1:11" x14ac:dyDescent="0.55000000000000004">
      <c r="A703" t="s">
        <v>4389</v>
      </c>
      <c r="B703" t="s">
        <v>5115</v>
      </c>
      <c r="C703" t="s">
        <v>5115</v>
      </c>
      <c r="D703" t="s">
        <v>5115</v>
      </c>
      <c r="E703">
        <v>0.978080060863738</v>
      </c>
      <c r="F703">
        <v>6.3009731796210503E-3</v>
      </c>
      <c r="G703">
        <v>1.2303399270760899E-2</v>
      </c>
      <c r="H703">
        <v>3.3155666858798501E-3</v>
      </c>
      <c r="I703" t="s">
        <v>4389</v>
      </c>
      <c r="J703" t="s">
        <v>5115</v>
      </c>
    </row>
    <row r="704" spans="1:11" x14ac:dyDescent="0.55000000000000004">
      <c r="A704" t="s">
        <v>4390</v>
      </c>
      <c r="B704" t="s">
        <v>5115</v>
      </c>
      <c r="C704" t="s">
        <v>5116</v>
      </c>
      <c r="D704" t="s">
        <v>5116</v>
      </c>
      <c r="E704">
        <v>0.355097877304691</v>
      </c>
      <c r="F704">
        <v>4.7198037607690702E-2</v>
      </c>
      <c r="G704">
        <v>0.58685304039637298</v>
      </c>
      <c r="H704">
        <v>1.0851044691244699E-2</v>
      </c>
      <c r="I704" t="s">
        <v>4390</v>
      </c>
      <c r="J704" t="s">
        <v>5117</v>
      </c>
      <c r="K704" t="s">
        <v>5119</v>
      </c>
    </row>
    <row r="705" spans="1:11" x14ac:dyDescent="0.55000000000000004">
      <c r="A705" t="s">
        <v>4391</v>
      </c>
      <c r="B705" t="s">
        <v>5115</v>
      </c>
      <c r="C705" t="s">
        <v>5115</v>
      </c>
      <c r="D705" t="s">
        <v>5115</v>
      </c>
      <c r="E705">
        <v>0.98625882961516098</v>
      </c>
      <c r="F705">
        <v>3.6815086489357099E-3</v>
      </c>
      <c r="G705">
        <v>5.4567766531686598E-3</v>
      </c>
      <c r="H705">
        <v>4.6028850827344097E-3</v>
      </c>
      <c r="I705" t="s">
        <v>4391</v>
      </c>
      <c r="J705" t="s">
        <v>5115</v>
      </c>
    </row>
    <row r="706" spans="1:11" x14ac:dyDescent="0.55000000000000004">
      <c r="A706" t="s">
        <v>4392</v>
      </c>
      <c r="B706" t="s">
        <v>5115</v>
      </c>
      <c r="C706" t="s">
        <v>5115</v>
      </c>
      <c r="D706" t="s">
        <v>5115</v>
      </c>
      <c r="E706">
        <v>0.97265772345067603</v>
      </c>
      <c r="F706">
        <v>1.08392142183547E-2</v>
      </c>
      <c r="G706">
        <v>9.9303605115296095E-3</v>
      </c>
      <c r="H706">
        <v>6.5727018194402104E-3</v>
      </c>
      <c r="I706" t="s">
        <v>4392</v>
      </c>
      <c r="J706" t="s">
        <v>5115</v>
      </c>
    </row>
    <row r="707" spans="1:11" x14ac:dyDescent="0.55000000000000004">
      <c r="A707" t="s">
        <v>4393</v>
      </c>
      <c r="B707" t="s">
        <v>5115</v>
      </c>
      <c r="C707" t="s">
        <v>5115</v>
      </c>
      <c r="D707" t="s">
        <v>5115</v>
      </c>
      <c r="E707">
        <v>0.97103795114120794</v>
      </c>
      <c r="F707">
        <v>1.48198528057106E-2</v>
      </c>
      <c r="G707">
        <v>7.2739151719923203E-3</v>
      </c>
      <c r="H707">
        <v>6.8682808810885303E-3</v>
      </c>
      <c r="I707" t="s">
        <v>4393</v>
      </c>
      <c r="J707" t="s">
        <v>5115</v>
      </c>
    </row>
    <row r="708" spans="1:11" x14ac:dyDescent="0.55000000000000004">
      <c r="A708" t="s">
        <v>4394</v>
      </c>
      <c r="B708" t="s">
        <v>5115</v>
      </c>
      <c r="C708" t="s">
        <v>5115</v>
      </c>
      <c r="D708" t="s">
        <v>5115</v>
      </c>
      <c r="E708">
        <v>0.98058576934953601</v>
      </c>
      <c r="F708">
        <v>7.4902010590278496E-3</v>
      </c>
      <c r="G708">
        <v>7.6327191434119998E-3</v>
      </c>
      <c r="H708">
        <v>4.2913104480238502E-3</v>
      </c>
      <c r="I708" t="s">
        <v>4394</v>
      </c>
      <c r="J708" t="s">
        <v>5115</v>
      </c>
    </row>
    <row r="709" spans="1:11" x14ac:dyDescent="0.55000000000000004">
      <c r="A709" t="s">
        <v>4395</v>
      </c>
      <c r="B709" t="s">
        <v>5115</v>
      </c>
      <c r="C709" t="s">
        <v>5115</v>
      </c>
      <c r="D709" t="s">
        <v>5115</v>
      </c>
      <c r="E709">
        <v>0.98662691472006103</v>
      </c>
      <c r="F709">
        <v>3.4702219721276998E-3</v>
      </c>
      <c r="G709">
        <v>5.5816532748096696E-3</v>
      </c>
      <c r="H709">
        <v>4.3212100330020297E-3</v>
      </c>
      <c r="I709" t="s">
        <v>4395</v>
      </c>
      <c r="J709" t="s">
        <v>5115</v>
      </c>
    </row>
    <row r="710" spans="1:11" x14ac:dyDescent="0.55000000000000004">
      <c r="A710" t="s">
        <v>4358</v>
      </c>
      <c r="B710" t="s">
        <v>5116</v>
      </c>
      <c r="C710" t="s">
        <v>5116</v>
      </c>
      <c r="D710" t="s">
        <v>5116</v>
      </c>
      <c r="E710">
        <v>0.27006288947338802</v>
      </c>
      <c r="F710">
        <v>6.9305559232523795E-2</v>
      </c>
      <c r="G710">
        <v>0.65426565594413899</v>
      </c>
      <c r="H710">
        <v>6.3658953499493602E-3</v>
      </c>
      <c r="I710" t="s">
        <v>4358</v>
      </c>
      <c r="J710" t="s">
        <v>5117</v>
      </c>
      <c r="K710" t="s">
        <v>5119</v>
      </c>
    </row>
    <row r="711" spans="1:11" x14ac:dyDescent="0.55000000000000004">
      <c r="A711" t="s">
        <v>4359</v>
      </c>
      <c r="B711" t="s">
        <v>5115</v>
      </c>
      <c r="C711" t="s">
        <v>5115</v>
      </c>
      <c r="D711" t="s">
        <v>5115</v>
      </c>
      <c r="E711">
        <v>0.98977639332968903</v>
      </c>
      <c r="F711">
        <v>1.37481964234009E-3</v>
      </c>
      <c r="G711">
        <v>2.9341272716603799E-3</v>
      </c>
      <c r="H711">
        <v>5.9146597563108898E-3</v>
      </c>
      <c r="I711" t="s">
        <v>4359</v>
      </c>
      <c r="J711" t="s">
        <v>5115</v>
      </c>
    </row>
    <row r="712" spans="1:11" x14ac:dyDescent="0.55000000000000004">
      <c r="A712" t="s">
        <v>4360</v>
      </c>
      <c r="B712" t="s">
        <v>5115</v>
      </c>
      <c r="C712" t="s">
        <v>5115</v>
      </c>
      <c r="D712" t="s">
        <v>5115</v>
      </c>
      <c r="E712">
        <v>0.90759409875601604</v>
      </c>
      <c r="F712">
        <v>5.2288314552393703E-2</v>
      </c>
      <c r="G712">
        <v>2.9620510894723399E-2</v>
      </c>
      <c r="H712">
        <v>1.04970757968674E-2</v>
      </c>
      <c r="I712" t="s">
        <v>4360</v>
      </c>
      <c r="J712" t="s">
        <v>5115</v>
      </c>
    </row>
    <row r="713" spans="1:11" x14ac:dyDescent="0.55000000000000004">
      <c r="A713" t="s">
        <v>4361</v>
      </c>
      <c r="B713" t="s">
        <v>5115</v>
      </c>
      <c r="C713" t="s">
        <v>5115</v>
      </c>
      <c r="D713" t="s">
        <v>5115</v>
      </c>
      <c r="E713">
        <v>0.928236599147505</v>
      </c>
      <c r="F713">
        <v>3.0605742687178999E-2</v>
      </c>
      <c r="G713">
        <v>3.5818187326673502E-2</v>
      </c>
      <c r="H713">
        <v>5.33947083864244E-3</v>
      </c>
      <c r="I713" t="s">
        <v>4361</v>
      </c>
      <c r="J713" t="s">
        <v>5115</v>
      </c>
    </row>
    <row r="714" spans="1:11" x14ac:dyDescent="0.55000000000000004">
      <c r="A714" t="s">
        <v>4362</v>
      </c>
      <c r="B714" t="s">
        <v>5167</v>
      </c>
      <c r="C714" t="s">
        <v>5167</v>
      </c>
      <c r="D714" t="s">
        <v>5167</v>
      </c>
      <c r="E714">
        <v>1.23935261051215E-2</v>
      </c>
      <c r="F714">
        <v>1.55849955163215E-2</v>
      </c>
      <c r="G714">
        <v>8.5956119142885003E-3</v>
      </c>
      <c r="H714">
        <v>0.96342586646426798</v>
      </c>
      <c r="I714" t="s">
        <v>4362</v>
      </c>
      <c r="J714" t="s">
        <v>5167</v>
      </c>
    </row>
    <row r="715" spans="1:11" x14ac:dyDescent="0.55000000000000004">
      <c r="A715" t="s">
        <v>4363</v>
      </c>
      <c r="B715" t="s">
        <v>5115</v>
      </c>
      <c r="C715" t="s">
        <v>5115</v>
      </c>
      <c r="D715" t="s">
        <v>5115</v>
      </c>
      <c r="E715">
        <v>0.83747840962626297</v>
      </c>
      <c r="F715">
        <v>9.6704359345529303E-2</v>
      </c>
      <c r="G715">
        <v>5.4830284384820897E-2</v>
      </c>
      <c r="H715">
        <v>1.09869466433866E-2</v>
      </c>
      <c r="I715" t="s">
        <v>4363</v>
      </c>
      <c r="J715" t="s">
        <v>5115</v>
      </c>
    </row>
    <row r="716" spans="1:11" x14ac:dyDescent="0.55000000000000004">
      <c r="A716" t="s">
        <v>4364</v>
      </c>
      <c r="B716" t="s">
        <v>5167</v>
      </c>
      <c r="C716" t="s">
        <v>5167</v>
      </c>
      <c r="D716" t="s">
        <v>5167</v>
      </c>
      <c r="E716">
        <v>9.4027856697384699E-3</v>
      </c>
      <c r="F716">
        <v>1.5645724559365599E-2</v>
      </c>
      <c r="G716">
        <v>8.2662498462626396E-3</v>
      </c>
      <c r="H716">
        <v>0.96668523992463296</v>
      </c>
      <c r="I716" t="s">
        <v>4364</v>
      </c>
      <c r="J716" t="s">
        <v>5167</v>
      </c>
    </row>
    <row r="717" spans="1:11" x14ac:dyDescent="0.55000000000000004">
      <c r="A717" t="s">
        <v>4365</v>
      </c>
      <c r="B717" t="s">
        <v>5115</v>
      </c>
      <c r="C717" t="s">
        <v>5115</v>
      </c>
      <c r="D717" t="s">
        <v>5115</v>
      </c>
      <c r="E717">
        <v>0.90725762806856902</v>
      </c>
      <c r="F717">
        <v>3.2260148549143899E-2</v>
      </c>
      <c r="G717">
        <v>5.5184156910006103E-2</v>
      </c>
      <c r="H717">
        <v>5.2980664722811002E-3</v>
      </c>
      <c r="I717" t="s">
        <v>4365</v>
      </c>
      <c r="J717" t="s">
        <v>5115</v>
      </c>
    </row>
    <row r="718" spans="1:11" x14ac:dyDescent="0.55000000000000004">
      <c r="A718" t="s">
        <v>4366</v>
      </c>
      <c r="B718" t="s">
        <v>5116</v>
      </c>
      <c r="C718" t="s">
        <v>5116</v>
      </c>
      <c r="D718" t="s">
        <v>5116</v>
      </c>
      <c r="E718">
        <v>4.79398925157613E-2</v>
      </c>
      <c r="F718">
        <v>0.14552683136632399</v>
      </c>
      <c r="G718">
        <v>0.80017337249384701</v>
      </c>
      <c r="H718">
        <v>6.3599036240672303E-3</v>
      </c>
      <c r="I718" t="s">
        <v>4366</v>
      </c>
      <c r="J718" t="s">
        <v>5116</v>
      </c>
    </row>
    <row r="719" spans="1:11" x14ac:dyDescent="0.55000000000000004">
      <c r="A719" t="s">
        <v>4367</v>
      </c>
      <c r="B719" t="s">
        <v>5115</v>
      </c>
      <c r="C719" t="s">
        <v>5115</v>
      </c>
      <c r="D719" t="s">
        <v>5115</v>
      </c>
      <c r="E719">
        <v>0.94013316102131606</v>
      </c>
      <c r="F719">
        <v>1.1345907127065701E-2</v>
      </c>
      <c r="G719">
        <v>4.4371491395518499E-2</v>
      </c>
      <c r="H719">
        <v>4.14944045609918E-3</v>
      </c>
      <c r="I719" t="s">
        <v>4367</v>
      </c>
      <c r="J719" t="s">
        <v>5115</v>
      </c>
    </row>
    <row r="720" spans="1:11" x14ac:dyDescent="0.55000000000000004">
      <c r="A720" t="s">
        <v>4368</v>
      </c>
      <c r="B720" t="s">
        <v>5115</v>
      </c>
      <c r="C720" t="s">
        <v>5115</v>
      </c>
      <c r="D720" t="s">
        <v>5115</v>
      </c>
      <c r="E720">
        <v>0.97900468169255495</v>
      </c>
      <c r="F720">
        <v>6.9901013696110599E-3</v>
      </c>
      <c r="G720">
        <v>8.7563800806809994E-3</v>
      </c>
      <c r="H720">
        <v>5.2488368571528303E-3</v>
      </c>
      <c r="I720" t="s">
        <v>4368</v>
      </c>
      <c r="J720" t="s">
        <v>5115</v>
      </c>
    </row>
    <row r="721" spans="1:11" x14ac:dyDescent="0.55000000000000004">
      <c r="A721" t="s">
        <v>4369</v>
      </c>
      <c r="B721" t="s">
        <v>5115</v>
      </c>
      <c r="C721" t="s">
        <v>5121</v>
      </c>
      <c r="D721" t="s">
        <v>5115</v>
      </c>
      <c r="E721">
        <v>0.35134639233419102</v>
      </c>
      <c r="F721">
        <v>0.33021018779960698</v>
      </c>
      <c r="G721">
        <v>0.24608965839417199</v>
      </c>
      <c r="H721">
        <v>7.2353761472028905E-2</v>
      </c>
      <c r="I721" t="s">
        <v>4369</v>
      </c>
      <c r="J721" t="s">
        <v>5117</v>
      </c>
      <c r="K721" t="s">
        <v>5118</v>
      </c>
    </row>
    <row r="722" spans="1:11" x14ac:dyDescent="0.55000000000000004">
      <c r="A722" t="s">
        <v>3554</v>
      </c>
      <c r="B722" t="s">
        <v>5167</v>
      </c>
      <c r="C722" t="s">
        <v>5115</v>
      </c>
      <c r="D722" t="s">
        <v>5115</v>
      </c>
      <c r="E722">
        <v>0.98922822998112303</v>
      </c>
      <c r="F722">
        <v>2.1666306143287698E-3</v>
      </c>
      <c r="G722">
        <v>5.3711826630818797E-3</v>
      </c>
      <c r="H722">
        <v>3.2339567414666598E-3</v>
      </c>
      <c r="I722" t="s">
        <v>3554</v>
      </c>
      <c r="J722" t="s">
        <v>5115</v>
      </c>
    </row>
    <row r="723" spans="1:11" x14ac:dyDescent="0.55000000000000004">
      <c r="A723" t="s">
        <v>3555</v>
      </c>
      <c r="B723" t="s">
        <v>5115</v>
      </c>
      <c r="C723" t="s">
        <v>5115</v>
      </c>
      <c r="D723" t="s">
        <v>5115</v>
      </c>
      <c r="E723">
        <v>0.95169138894095195</v>
      </c>
      <c r="F723">
        <v>1.4784451223070399E-2</v>
      </c>
      <c r="G723">
        <v>2.74451670973067E-2</v>
      </c>
      <c r="H723">
        <v>6.0789927386707601E-3</v>
      </c>
      <c r="I723" t="s">
        <v>3555</v>
      </c>
      <c r="J723" t="s">
        <v>5115</v>
      </c>
    </row>
    <row r="724" spans="1:11" x14ac:dyDescent="0.55000000000000004">
      <c r="A724" t="s">
        <v>3556</v>
      </c>
      <c r="B724" t="s">
        <v>5115</v>
      </c>
      <c r="C724" t="s">
        <v>5115</v>
      </c>
      <c r="D724" t="s">
        <v>5115</v>
      </c>
      <c r="E724">
        <v>0.98878771181036296</v>
      </c>
      <c r="F724">
        <v>2.7130626128300602E-3</v>
      </c>
      <c r="G724">
        <v>3.1676744251081901E-3</v>
      </c>
      <c r="H724">
        <v>5.33155115169851E-3</v>
      </c>
      <c r="I724" t="s">
        <v>3556</v>
      </c>
      <c r="J724" t="s">
        <v>5115</v>
      </c>
    </row>
    <row r="725" spans="1:11" x14ac:dyDescent="0.55000000000000004">
      <c r="A725" t="s">
        <v>3557</v>
      </c>
      <c r="B725" t="s">
        <v>5115</v>
      </c>
      <c r="C725" t="s">
        <v>5115</v>
      </c>
      <c r="D725" t="s">
        <v>5115</v>
      </c>
      <c r="E725">
        <v>0.92366341085743897</v>
      </c>
      <c r="F725">
        <v>3.1702069056256797E-2</v>
      </c>
      <c r="G725">
        <v>3.8783564547903299E-2</v>
      </c>
      <c r="H725">
        <v>5.8509555384011003E-3</v>
      </c>
      <c r="I725" t="s">
        <v>3557</v>
      </c>
      <c r="J725" t="s">
        <v>5115</v>
      </c>
    </row>
    <row r="726" spans="1:11" x14ac:dyDescent="0.55000000000000004">
      <c r="A726" t="s">
        <v>3558</v>
      </c>
      <c r="B726" t="s">
        <v>5115</v>
      </c>
      <c r="C726" t="s">
        <v>5115</v>
      </c>
      <c r="D726" t="s">
        <v>5115</v>
      </c>
      <c r="E726">
        <v>0.98898728794560797</v>
      </c>
      <c r="F726">
        <v>2.76257973698489E-3</v>
      </c>
      <c r="G726">
        <v>4.0457025891160302E-3</v>
      </c>
      <c r="H726">
        <v>4.2044297282909596E-3</v>
      </c>
      <c r="I726" t="s">
        <v>3558</v>
      </c>
      <c r="J726" t="s">
        <v>5115</v>
      </c>
    </row>
    <row r="727" spans="1:11" x14ac:dyDescent="0.55000000000000004">
      <c r="A727" t="s">
        <v>3559</v>
      </c>
      <c r="B727" t="s">
        <v>5115</v>
      </c>
      <c r="C727" t="s">
        <v>5115</v>
      </c>
      <c r="D727" t="s">
        <v>5115</v>
      </c>
      <c r="E727">
        <v>0.99220584837522896</v>
      </c>
      <c r="F727">
        <v>1.9095339125821799E-3</v>
      </c>
      <c r="G727">
        <v>2.0952033020744001E-3</v>
      </c>
      <c r="H727">
        <v>3.78941441011457E-3</v>
      </c>
      <c r="I727" t="s">
        <v>3559</v>
      </c>
      <c r="J727" t="s">
        <v>5115</v>
      </c>
    </row>
    <row r="728" spans="1:11" x14ac:dyDescent="0.55000000000000004">
      <c r="A728" t="s">
        <v>3560</v>
      </c>
      <c r="B728" t="s">
        <v>5115</v>
      </c>
      <c r="C728" t="s">
        <v>5115</v>
      </c>
      <c r="D728" t="s">
        <v>5115</v>
      </c>
      <c r="E728">
        <v>0.97940655137445998</v>
      </c>
      <c r="F728">
        <v>5.5794617350744102E-3</v>
      </c>
      <c r="G728">
        <v>1.09270129041931E-2</v>
      </c>
      <c r="H728">
        <v>4.0869739862722703E-3</v>
      </c>
      <c r="I728" t="s">
        <v>3560</v>
      </c>
      <c r="J728" t="s">
        <v>5115</v>
      </c>
    </row>
    <row r="729" spans="1:11" x14ac:dyDescent="0.55000000000000004">
      <c r="A729" t="s">
        <v>3561</v>
      </c>
      <c r="B729" t="s">
        <v>5115</v>
      </c>
      <c r="C729" t="s">
        <v>5115</v>
      </c>
      <c r="D729" t="s">
        <v>5115</v>
      </c>
      <c r="E729">
        <v>0.94670207948943697</v>
      </c>
      <c r="F729">
        <v>1.6509286462680899E-2</v>
      </c>
      <c r="G729">
        <v>3.10855794696203E-2</v>
      </c>
      <c r="H729">
        <v>5.7030545782622202E-3</v>
      </c>
      <c r="I729" t="s">
        <v>3561</v>
      </c>
      <c r="J729" t="s">
        <v>5115</v>
      </c>
    </row>
    <row r="730" spans="1:11" x14ac:dyDescent="0.55000000000000004">
      <c r="A730" t="s">
        <v>3562</v>
      </c>
      <c r="B730" t="s">
        <v>5115</v>
      </c>
      <c r="C730" t="s">
        <v>5115</v>
      </c>
      <c r="D730" t="s">
        <v>5115</v>
      </c>
      <c r="E730">
        <v>0.99201009707059196</v>
      </c>
      <c r="F730">
        <v>1.3065563619654799E-3</v>
      </c>
      <c r="G730">
        <v>2.37346544627311E-3</v>
      </c>
      <c r="H730">
        <v>4.3098811211694701E-3</v>
      </c>
      <c r="I730" t="s">
        <v>3562</v>
      </c>
      <c r="J730" t="s">
        <v>5115</v>
      </c>
    </row>
    <row r="731" spans="1:11" x14ac:dyDescent="0.55000000000000004">
      <c r="A731" t="s">
        <v>3563</v>
      </c>
      <c r="B731" t="s">
        <v>5115</v>
      </c>
      <c r="C731" t="s">
        <v>5115</v>
      </c>
      <c r="D731" t="s">
        <v>5115</v>
      </c>
      <c r="E731">
        <v>0.99002561965513003</v>
      </c>
      <c r="F731">
        <v>3.1253790376158399E-3</v>
      </c>
      <c r="G731">
        <v>2.5880795216104901E-3</v>
      </c>
      <c r="H731">
        <v>4.2609217856435103E-3</v>
      </c>
      <c r="I731" t="s">
        <v>3563</v>
      </c>
      <c r="J731" t="s">
        <v>5115</v>
      </c>
    </row>
    <row r="732" spans="1:11" x14ac:dyDescent="0.55000000000000004">
      <c r="A732" t="s">
        <v>3564</v>
      </c>
      <c r="B732" t="s">
        <v>5115</v>
      </c>
      <c r="C732" t="s">
        <v>5115</v>
      </c>
      <c r="D732" t="s">
        <v>5115</v>
      </c>
      <c r="E732">
        <v>0.99097747007416603</v>
      </c>
      <c r="F732">
        <v>1.66626499303798E-3</v>
      </c>
      <c r="G732">
        <v>3.1299935014163899E-3</v>
      </c>
      <c r="H732">
        <v>4.2262714313792199E-3</v>
      </c>
      <c r="I732" t="s">
        <v>3564</v>
      </c>
      <c r="J732" t="s">
        <v>5115</v>
      </c>
    </row>
    <row r="733" spans="1:11" x14ac:dyDescent="0.55000000000000004">
      <c r="A733" t="s">
        <v>3565</v>
      </c>
      <c r="B733" t="s">
        <v>5115</v>
      </c>
      <c r="C733" t="s">
        <v>5115</v>
      </c>
      <c r="D733" t="s">
        <v>5115</v>
      </c>
      <c r="E733">
        <v>0.91809906212329295</v>
      </c>
      <c r="F733">
        <v>4.5486655735634499E-2</v>
      </c>
      <c r="G733">
        <v>2.88458045674388E-2</v>
      </c>
      <c r="H733">
        <v>7.5684775736340202E-3</v>
      </c>
      <c r="I733" t="s">
        <v>3565</v>
      </c>
      <c r="J733" t="s">
        <v>5115</v>
      </c>
    </row>
    <row r="734" spans="1:11" x14ac:dyDescent="0.55000000000000004">
      <c r="A734" t="s">
        <v>3581</v>
      </c>
      <c r="B734" t="s">
        <v>5115</v>
      </c>
      <c r="C734" t="s">
        <v>5115</v>
      </c>
      <c r="D734" t="s">
        <v>5115</v>
      </c>
      <c r="E734">
        <v>0.98276135588801605</v>
      </c>
      <c r="F734">
        <v>3.9635228098650801E-3</v>
      </c>
      <c r="G734">
        <v>8.2089231130724194E-3</v>
      </c>
      <c r="H734">
        <v>5.0661981890463099E-3</v>
      </c>
      <c r="I734" t="s">
        <v>3581</v>
      </c>
      <c r="J734" t="s">
        <v>5115</v>
      </c>
    </row>
    <row r="735" spans="1:11" x14ac:dyDescent="0.55000000000000004">
      <c r="A735" t="s">
        <v>3582</v>
      </c>
      <c r="B735" t="s">
        <v>5115</v>
      </c>
      <c r="C735" t="s">
        <v>5115</v>
      </c>
      <c r="D735" t="s">
        <v>5115</v>
      </c>
      <c r="E735">
        <v>0.89396410993046305</v>
      </c>
      <c r="F735">
        <v>4.78156812461683E-2</v>
      </c>
      <c r="G735">
        <v>4.9808176692322403E-2</v>
      </c>
      <c r="H735">
        <v>8.4120321310460905E-3</v>
      </c>
      <c r="I735" t="s">
        <v>3582</v>
      </c>
      <c r="J735" t="s">
        <v>5115</v>
      </c>
    </row>
    <row r="736" spans="1:11" x14ac:dyDescent="0.55000000000000004">
      <c r="A736" t="s">
        <v>3583</v>
      </c>
      <c r="B736" t="s">
        <v>5115</v>
      </c>
      <c r="C736" t="s">
        <v>5115</v>
      </c>
      <c r="D736" t="s">
        <v>5115</v>
      </c>
      <c r="E736">
        <v>0.88079897628774795</v>
      </c>
      <c r="F736">
        <v>7.0368713520435E-2</v>
      </c>
      <c r="G736">
        <v>3.7700359869409998E-2</v>
      </c>
      <c r="H736">
        <v>1.11319503224067E-2</v>
      </c>
      <c r="I736" t="s">
        <v>3583</v>
      </c>
      <c r="J736" t="s">
        <v>5115</v>
      </c>
    </row>
    <row r="737" spans="1:11" x14ac:dyDescent="0.55000000000000004">
      <c r="A737" t="s">
        <v>3584</v>
      </c>
      <c r="B737" t="s">
        <v>5115</v>
      </c>
      <c r="C737" t="s">
        <v>5115</v>
      </c>
      <c r="D737" t="s">
        <v>5115</v>
      </c>
      <c r="E737">
        <v>0.89761389281680604</v>
      </c>
      <c r="F737">
        <v>6.0560124115174599E-2</v>
      </c>
      <c r="G737">
        <v>3.3831349635034001E-2</v>
      </c>
      <c r="H737">
        <v>7.9946334329853604E-3</v>
      </c>
      <c r="I737" t="s">
        <v>3584</v>
      </c>
      <c r="J737" t="s">
        <v>5115</v>
      </c>
    </row>
    <row r="738" spans="1:11" x14ac:dyDescent="0.55000000000000004">
      <c r="A738" t="s">
        <v>3585</v>
      </c>
      <c r="B738" t="s">
        <v>5115</v>
      </c>
      <c r="C738" t="s">
        <v>5115</v>
      </c>
      <c r="D738" t="s">
        <v>5115</v>
      </c>
      <c r="E738">
        <v>0.95834277820344604</v>
      </c>
      <c r="F738">
        <v>1.7222501845421501E-2</v>
      </c>
      <c r="G738">
        <v>1.8860257693108499E-2</v>
      </c>
      <c r="H738">
        <v>5.5744622580241503E-3</v>
      </c>
      <c r="I738" t="s">
        <v>3585</v>
      </c>
      <c r="J738" t="s">
        <v>5115</v>
      </c>
    </row>
    <row r="739" spans="1:11" x14ac:dyDescent="0.55000000000000004">
      <c r="A739" t="s">
        <v>3586</v>
      </c>
      <c r="B739" t="s">
        <v>5115</v>
      </c>
      <c r="C739" t="s">
        <v>5115</v>
      </c>
      <c r="D739" t="s">
        <v>5115</v>
      </c>
      <c r="E739">
        <v>0.97476246736241401</v>
      </c>
      <c r="F739">
        <v>5.8696202622135997E-3</v>
      </c>
      <c r="G739">
        <v>1.4283482950128599E-2</v>
      </c>
      <c r="H739">
        <v>5.0844294252435501E-3</v>
      </c>
      <c r="I739" t="s">
        <v>3586</v>
      </c>
      <c r="J739" t="s">
        <v>5115</v>
      </c>
    </row>
    <row r="740" spans="1:11" x14ac:dyDescent="0.55000000000000004">
      <c r="A740" t="s">
        <v>3587</v>
      </c>
      <c r="B740" t="s">
        <v>5116</v>
      </c>
      <c r="C740" t="s">
        <v>5116</v>
      </c>
      <c r="D740" t="s">
        <v>5116</v>
      </c>
      <c r="E740">
        <v>5.1601775749093503E-3</v>
      </c>
      <c r="F740">
        <v>1.4730697597687499E-2</v>
      </c>
      <c r="G740">
        <v>0.97611810944472199</v>
      </c>
      <c r="H740">
        <v>3.9910153826807097E-3</v>
      </c>
      <c r="I740" t="s">
        <v>3587</v>
      </c>
      <c r="J740" t="s">
        <v>5116</v>
      </c>
    </row>
    <row r="741" spans="1:11" x14ac:dyDescent="0.55000000000000004">
      <c r="A741" t="s">
        <v>3588</v>
      </c>
      <c r="B741" t="s">
        <v>5115</v>
      </c>
      <c r="C741" t="s">
        <v>5115</v>
      </c>
      <c r="D741" t="s">
        <v>5115</v>
      </c>
      <c r="E741">
        <v>0.94856914412094495</v>
      </c>
      <c r="F741">
        <v>2.09638637106286E-2</v>
      </c>
      <c r="G741">
        <v>2.5000637331167998E-2</v>
      </c>
      <c r="H741">
        <v>5.4663548372588496E-3</v>
      </c>
      <c r="I741" t="s">
        <v>3588</v>
      </c>
      <c r="J741" t="s">
        <v>5115</v>
      </c>
    </row>
    <row r="742" spans="1:11" x14ac:dyDescent="0.55000000000000004">
      <c r="A742" t="s">
        <v>3589</v>
      </c>
      <c r="B742" t="s">
        <v>5115</v>
      </c>
      <c r="C742" t="s">
        <v>5115</v>
      </c>
      <c r="D742" t="s">
        <v>5115</v>
      </c>
      <c r="E742">
        <v>0.96931496705856801</v>
      </c>
      <c r="F742">
        <v>9.6334152768945795E-3</v>
      </c>
      <c r="G742">
        <v>1.6443175337441999E-2</v>
      </c>
      <c r="H742">
        <v>4.6084423270947496E-3</v>
      </c>
      <c r="I742" t="s">
        <v>3589</v>
      </c>
      <c r="J742" t="s">
        <v>5115</v>
      </c>
    </row>
    <row r="743" spans="1:11" x14ac:dyDescent="0.55000000000000004">
      <c r="A743" t="s">
        <v>3590</v>
      </c>
      <c r="B743" t="s">
        <v>5116</v>
      </c>
      <c r="C743" t="s">
        <v>5116</v>
      </c>
      <c r="D743" t="s">
        <v>5116</v>
      </c>
      <c r="E743">
        <v>7.6426723215588096E-3</v>
      </c>
      <c r="F743">
        <v>1.2225663718750401E-2</v>
      </c>
      <c r="G743">
        <v>0.97500811724880398</v>
      </c>
      <c r="H743">
        <v>5.1235467108864301E-3</v>
      </c>
      <c r="I743" t="s">
        <v>3590</v>
      </c>
      <c r="J743" t="s">
        <v>5116</v>
      </c>
    </row>
    <row r="744" spans="1:11" x14ac:dyDescent="0.55000000000000004">
      <c r="A744" t="s">
        <v>3591</v>
      </c>
      <c r="B744" t="s">
        <v>5115</v>
      </c>
      <c r="C744" t="s">
        <v>5115</v>
      </c>
      <c r="D744" t="s">
        <v>5115</v>
      </c>
      <c r="E744">
        <v>0.98896965584726904</v>
      </c>
      <c r="F744">
        <v>1.6296451879816199E-3</v>
      </c>
      <c r="G744">
        <v>5.2120897056801702E-3</v>
      </c>
      <c r="H744">
        <v>4.1886092590687797E-3</v>
      </c>
      <c r="I744" t="s">
        <v>3591</v>
      </c>
      <c r="J744" t="s">
        <v>5115</v>
      </c>
    </row>
    <row r="745" spans="1:11" x14ac:dyDescent="0.55000000000000004">
      <c r="A745" t="s">
        <v>3592</v>
      </c>
      <c r="B745" t="s">
        <v>5115</v>
      </c>
      <c r="C745" t="s">
        <v>5115</v>
      </c>
      <c r="D745" t="s">
        <v>5115</v>
      </c>
      <c r="E745">
        <v>0.89545240587961705</v>
      </c>
      <c r="F745">
        <v>3.5387359192352301E-2</v>
      </c>
      <c r="G745">
        <v>6.0632184961414003E-2</v>
      </c>
      <c r="H745">
        <v>8.5280499666161892E-3</v>
      </c>
      <c r="I745" t="s">
        <v>3592</v>
      </c>
      <c r="J745" t="s">
        <v>5115</v>
      </c>
    </row>
    <row r="746" spans="1:11" x14ac:dyDescent="0.55000000000000004">
      <c r="A746" t="s">
        <v>4331</v>
      </c>
      <c r="B746" t="s">
        <v>5115</v>
      </c>
      <c r="C746" t="s">
        <v>5115</v>
      </c>
      <c r="D746" t="s">
        <v>5115</v>
      </c>
      <c r="E746">
        <v>0.90102386119267397</v>
      </c>
      <c r="F746">
        <v>3.6294821260269103E-2</v>
      </c>
      <c r="G746">
        <v>5.35651129787693E-2</v>
      </c>
      <c r="H746">
        <v>9.1162045682873505E-3</v>
      </c>
      <c r="I746" t="s">
        <v>4331</v>
      </c>
      <c r="J746" t="s">
        <v>5115</v>
      </c>
    </row>
    <row r="747" spans="1:11" x14ac:dyDescent="0.55000000000000004">
      <c r="A747" t="s">
        <v>4332</v>
      </c>
      <c r="B747" t="s">
        <v>5115</v>
      </c>
      <c r="C747" t="s">
        <v>5116</v>
      </c>
      <c r="D747" t="s">
        <v>5116</v>
      </c>
      <c r="E747">
        <v>0.31363864980048101</v>
      </c>
      <c r="F747">
        <v>8.5296454160340304E-2</v>
      </c>
      <c r="G747">
        <v>0.59511034849566802</v>
      </c>
      <c r="H747">
        <v>5.95454754351042E-3</v>
      </c>
      <c r="I747" t="s">
        <v>4332</v>
      </c>
      <c r="J747" t="s">
        <v>5117</v>
      </c>
      <c r="K747" t="s">
        <v>5119</v>
      </c>
    </row>
    <row r="748" spans="1:11" x14ac:dyDescent="0.55000000000000004">
      <c r="A748" t="s">
        <v>4333</v>
      </c>
      <c r="B748" t="s">
        <v>5115</v>
      </c>
      <c r="C748" t="s">
        <v>5115</v>
      </c>
      <c r="D748" t="s">
        <v>5115</v>
      </c>
      <c r="E748">
        <v>0.65819545177187799</v>
      </c>
      <c r="F748">
        <v>0.101384951936262</v>
      </c>
      <c r="G748">
        <v>0.23057596005307601</v>
      </c>
      <c r="H748">
        <v>9.84363623878373E-3</v>
      </c>
      <c r="I748" t="s">
        <v>4333</v>
      </c>
      <c r="J748" t="s">
        <v>5117</v>
      </c>
      <c r="K748" t="s">
        <v>5119</v>
      </c>
    </row>
    <row r="749" spans="1:11" x14ac:dyDescent="0.55000000000000004">
      <c r="A749" t="s">
        <v>4334</v>
      </c>
      <c r="B749" t="s">
        <v>5116</v>
      </c>
      <c r="C749" t="s">
        <v>5116</v>
      </c>
      <c r="D749" t="s">
        <v>5116</v>
      </c>
      <c r="E749">
        <v>5.7461445299656104E-3</v>
      </c>
      <c r="F749">
        <v>2.09253392973715E-2</v>
      </c>
      <c r="G749">
        <v>0.96999660311626101</v>
      </c>
      <c r="H749">
        <v>3.33191305640166E-3</v>
      </c>
      <c r="I749" t="s">
        <v>4334</v>
      </c>
      <c r="J749" t="s">
        <v>5116</v>
      </c>
    </row>
    <row r="750" spans="1:11" x14ac:dyDescent="0.55000000000000004">
      <c r="A750" t="s">
        <v>4335</v>
      </c>
      <c r="B750" t="s">
        <v>5115</v>
      </c>
      <c r="C750" t="s">
        <v>5115</v>
      </c>
      <c r="D750" t="s">
        <v>5115</v>
      </c>
      <c r="E750">
        <v>0.88871556558887399</v>
      </c>
      <c r="F750">
        <v>4.0494819767731102E-2</v>
      </c>
      <c r="G750">
        <v>6.3770177743228101E-2</v>
      </c>
      <c r="H750">
        <v>7.0194369001670299E-3</v>
      </c>
      <c r="I750" t="s">
        <v>4335</v>
      </c>
      <c r="J750" t="s">
        <v>5115</v>
      </c>
    </row>
    <row r="751" spans="1:11" x14ac:dyDescent="0.55000000000000004">
      <c r="A751" t="s">
        <v>4336</v>
      </c>
      <c r="B751" t="s">
        <v>5115</v>
      </c>
      <c r="C751" t="s">
        <v>5115</v>
      </c>
      <c r="D751" t="s">
        <v>5115</v>
      </c>
      <c r="E751">
        <v>0.96528606789419003</v>
      </c>
      <c r="F751">
        <v>5.2054495883866901E-3</v>
      </c>
      <c r="G751">
        <v>2.47681701963763E-2</v>
      </c>
      <c r="H751">
        <v>4.7403123210468497E-3</v>
      </c>
      <c r="I751" t="s">
        <v>4336</v>
      </c>
      <c r="J751" t="s">
        <v>5115</v>
      </c>
    </row>
    <row r="752" spans="1:11" x14ac:dyDescent="0.55000000000000004">
      <c r="A752" t="s">
        <v>4337</v>
      </c>
      <c r="B752" t="s">
        <v>5115</v>
      </c>
      <c r="C752" t="s">
        <v>5115</v>
      </c>
      <c r="D752" t="s">
        <v>5115</v>
      </c>
      <c r="E752">
        <v>0.94148527546892102</v>
      </c>
      <c r="F752">
        <v>3.0924580931770699E-2</v>
      </c>
      <c r="G752">
        <v>2.1999453913865201E-2</v>
      </c>
      <c r="H752">
        <v>5.5906896854434202E-3</v>
      </c>
      <c r="I752" t="s">
        <v>4337</v>
      </c>
      <c r="J752" t="s">
        <v>5115</v>
      </c>
    </row>
    <row r="753" spans="1:10" x14ac:dyDescent="0.55000000000000004">
      <c r="A753" t="s">
        <v>4338</v>
      </c>
      <c r="B753" t="s">
        <v>5115</v>
      </c>
      <c r="C753" t="s">
        <v>5115</v>
      </c>
      <c r="D753" t="s">
        <v>5115</v>
      </c>
      <c r="E753">
        <v>0.94148869074262898</v>
      </c>
      <c r="F753">
        <v>3.4160351522394702E-2</v>
      </c>
      <c r="G753">
        <v>1.7398632960521802E-2</v>
      </c>
      <c r="H753">
        <v>6.9523247744543099E-3</v>
      </c>
      <c r="I753" t="s">
        <v>4338</v>
      </c>
      <c r="J753" t="s">
        <v>5115</v>
      </c>
    </row>
    <row r="754" spans="1:10" x14ac:dyDescent="0.55000000000000004">
      <c r="A754" t="s">
        <v>4339</v>
      </c>
      <c r="B754" t="s">
        <v>5115</v>
      </c>
      <c r="C754" t="s">
        <v>5115</v>
      </c>
      <c r="D754" t="s">
        <v>5115</v>
      </c>
      <c r="E754">
        <v>0.87206890392640202</v>
      </c>
      <c r="F754">
        <v>5.2992832226597897E-2</v>
      </c>
      <c r="G754">
        <v>6.67914501288107E-2</v>
      </c>
      <c r="H754">
        <v>8.1468137181888792E-3</v>
      </c>
      <c r="I754" t="s">
        <v>4339</v>
      </c>
      <c r="J754" t="s">
        <v>5115</v>
      </c>
    </row>
    <row r="755" spans="1:10" x14ac:dyDescent="0.55000000000000004">
      <c r="A755" t="s">
        <v>4305</v>
      </c>
      <c r="B755" t="s">
        <v>5115</v>
      </c>
      <c r="C755" t="s">
        <v>5115</v>
      </c>
      <c r="D755" t="s">
        <v>5115</v>
      </c>
      <c r="E755">
        <v>0.99021837169552296</v>
      </c>
      <c r="F755">
        <v>1.31858041637344E-3</v>
      </c>
      <c r="G755">
        <v>4.2177932988059696E-3</v>
      </c>
      <c r="H755">
        <v>4.2452545892976701E-3</v>
      </c>
      <c r="I755" t="s">
        <v>4305</v>
      </c>
      <c r="J755" t="s">
        <v>5115</v>
      </c>
    </row>
    <row r="756" spans="1:10" x14ac:dyDescent="0.55000000000000004">
      <c r="A756" t="s">
        <v>4306</v>
      </c>
      <c r="B756" t="s">
        <v>5115</v>
      </c>
      <c r="C756" t="s">
        <v>5115</v>
      </c>
      <c r="D756" t="s">
        <v>5115</v>
      </c>
      <c r="E756">
        <v>0.98970686293209298</v>
      </c>
      <c r="F756">
        <v>1.4659512246935999E-3</v>
      </c>
      <c r="G756">
        <v>4.3837048744838503E-3</v>
      </c>
      <c r="H756">
        <v>4.44348096872963E-3</v>
      </c>
      <c r="I756" t="s">
        <v>4306</v>
      </c>
      <c r="J756" t="s">
        <v>5115</v>
      </c>
    </row>
    <row r="757" spans="1:10" x14ac:dyDescent="0.55000000000000004">
      <c r="A757" t="s">
        <v>4307</v>
      </c>
      <c r="B757" t="s">
        <v>5115</v>
      </c>
      <c r="C757" t="s">
        <v>5115</v>
      </c>
      <c r="D757" t="s">
        <v>5115</v>
      </c>
      <c r="E757">
        <v>0.98918307356603397</v>
      </c>
      <c r="F757">
        <v>1.8860540910875499E-3</v>
      </c>
      <c r="G757">
        <v>4.7776836540033996E-3</v>
      </c>
      <c r="H757">
        <v>4.1531886888750104E-3</v>
      </c>
      <c r="I757" t="s">
        <v>4307</v>
      </c>
      <c r="J757" t="s">
        <v>5115</v>
      </c>
    </row>
    <row r="758" spans="1:10" x14ac:dyDescent="0.55000000000000004">
      <c r="A758" t="s">
        <v>4308</v>
      </c>
      <c r="B758" t="s">
        <v>5115</v>
      </c>
      <c r="C758" t="s">
        <v>5115</v>
      </c>
      <c r="D758" t="s">
        <v>5115</v>
      </c>
      <c r="E758">
        <v>0.984210911131012</v>
      </c>
      <c r="F758">
        <v>5.4320269227386003E-3</v>
      </c>
      <c r="G758">
        <v>6.14601619391234E-3</v>
      </c>
      <c r="H758">
        <v>4.21104575233738E-3</v>
      </c>
      <c r="I758" t="s">
        <v>4308</v>
      </c>
      <c r="J758" t="s">
        <v>5115</v>
      </c>
    </row>
    <row r="759" spans="1:10" x14ac:dyDescent="0.55000000000000004">
      <c r="A759" t="s">
        <v>4309</v>
      </c>
      <c r="B759" t="s">
        <v>5115</v>
      </c>
      <c r="C759" t="s">
        <v>5115</v>
      </c>
      <c r="D759" t="s">
        <v>5115</v>
      </c>
      <c r="E759">
        <v>0.98619962814096496</v>
      </c>
      <c r="F759">
        <v>2.78013089290788E-3</v>
      </c>
      <c r="G759">
        <v>6.1803317292619701E-3</v>
      </c>
      <c r="H759">
        <v>4.83990923686558E-3</v>
      </c>
      <c r="I759" t="s">
        <v>4309</v>
      </c>
      <c r="J759" t="s">
        <v>5115</v>
      </c>
    </row>
    <row r="760" spans="1:10" x14ac:dyDescent="0.55000000000000004">
      <c r="A760" t="s">
        <v>4310</v>
      </c>
      <c r="B760" t="s">
        <v>5115</v>
      </c>
      <c r="C760" t="s">
        <v>5115</v>
      </c>
      <c r="D760" t="s">
        <v>5115</v>
      </c>
      <c r="E760">
        <v>0.97944258541558404</v>
      </c>
      <c r="F760">
        <v>3.5692471890712701E-3</v>
      </c>
      <c r="G760">
        <v>1.2072345036505E-2</v>
      </c>
      <c r="H760">
        <v>4.9158223588399502E-3</v>
      </c>
      <c r="I760" t="s">
        <v>4310</v>
      </c>
      <c r="J760" t="s">
        <v>5115</v>
      </c>
    </row>
    <row r="761" spans="1:10" x14ac:dyDescent="0.55000000000000004">
      <c r="A761" t="s">
        <v>4311</v>
      </c>
      <c r="B761" t="s">
        <v>5115</v>
      </c>
      <c r="C761" t="s">
        <v>5115</v>
      </c>
      <c r="D761" t="s">
        <v>5115</v>
      </c>
      <c r="E761">
        <v>0.98058930939316602</v>
      </c>
      <c r="F761">
        <v>4.8368012243620601E-3</v>
      </c>
      <c r="G761">
        <v>9.3998700790887593E-3</v>
      </c>
      <c r="H761">
        <v>5.1740193033835702E-3</v>
      </c>
      <c r="I761" t="s">
        <v>4311</v>
      </c>
      <c r="J761" t="s">
        <v>5115</v>
      </c>
    </row>
    <row r="762" spans="1:10" x14ac:dyDescent="0.55000000000000004">
      <c r="A762" t="s">
        <v>4312</v>
      </c>
      <c r="B762" t="s">
        <v>5115</v>
      </c>
      <c r="C762" t="s">
        <v>5115</v>
      </c>
      <c r="D762" t="s">
        <v>5115</v>
      </c>
      <c r="E762">
        <v>0.99095522363433197</v>
      </c>
      <c r="F762">
        <v>1.0533277709516399E-3</v>
      </c>
      <c r="G762">
        <v>3.22911565668692E-3</v>
      </c>
      <c r="H762">
        <v>4.7623329380291398E-3</v>
      </c>
      <c r="I762" t="s">
        <v>4312</v>
      </c>
      <c r="J762" t="s">
        <v>5115</v>
      </c>
    </row>
    <row r="763" spans="1:10" x14ac:dyDescent="0.55000000000000004">
      <c r="A763" t="s">
        <v>4313</v>
      </c>
      <c r="B763" t="s">
        <v>5115</v>
      </c>
      <c r="C763" t="s">
        <v>5115</v>
      </c>
      <c r="D763" t="s">
        <v>5115</v>
      </c>
      <c r="E763">
        <v>0.98552120220944694</v>
      </c>
      <c r="F763">
        <v>4.4790905489299404E-3</v>
      </c>
      <c r="G763">
        <v>5.7178380213046796E-3</v>
      </c>
      <c r="H763">
        <v>4.2818692203184898E-3</v>
      </c>
      <c r="I763" t="s">
        <v>4313</v>
      </c>
      <c r="J763" t="s">
        <v>5115</v>
      </c>
    </row>
    <row r="764" spans="1:10" x14ac:dyDescent="0.55000000000000004">
      <c r="A764" t="s">
        <v>4314</v>
      </c>
      <c r="B764" t="s">
        <v>5115</v>
      </c>
      <c r="C764" t="s">
        <v>5115</v>
      </c>
      <c r="D764" t="s">
        <v>5115</v>
      </c>
      <c r="E764">
        <v>0.98280186268161196</v>
      </c>
      <c r="F764">
        <v>2.0516698605678699E-3</v>
      </c>
      <c r="G764">
        <v>9.1160943219944102E-3</v>
      </c>
      <c r="H764">
        <v>6.0303731358262603E-3</v>
      </c>
      <c r="I764" t="s">
        <v>4314</v>
      </c>
      <c r="J764" t="s">
        <v>5115</v>
      </c>
    </row>
    <row r="765" spans="1:10" x14ac:dyDescent="0.55000000000000004">
      <c r="A765" t="s">
        <v>4315</v>
      </c>
      <c r="B765" t="s">
        <v>5115</v>
      </c>
      <c r="C765" t="s">
        <v>5115</v>
      </c>
      <c r="D765" t="s">
        <v>5115</v>
      </c>
      <c r="E765">
        <v>0.97101709016840199</v>
      </c>
      <c r="F765">
        <v>7.29490021356615E-3</v>
      </c>
      <c r="G765">
        <v>1.5257920862675099E-2</v>
      </c>
      <c r="H765">
        <v>6.43008875535669E-3</v>
      </c>
      <c r="I765" t="s">
        <v>4315</v>
      </c>
      <c r="J765" t="s">
        <v>5115</v>
      </c>
    </row>
    <row r="766" spans="1:10" x14ac:dyDescent="0.55000000000000004">
      <c r="A766" t="s">
        <v>4316</v>
      </c>
      <c r="B766" t="s">
        <v>5115</v>
      </c>
      <c r="C766" t="s">
        <v>5115</v>
      </c>
      <c r="D766" t="s">
        <v>5115</v>
      </c>
      <c r="E766">
        <v>0.97754810622573796</v>
      </c>
      <c r="F766">
        <v>7.7621450897754803E-3</v>
      </c>
      <c r="G766">
        <v>1.02003016738553E-2</v>
      </c>
      <c r="H766">
        <v>4.4894470106316402E-3</v>
      </c>
      <c r="I766" t="s">
        <v>4316</v>
      </c>
      <c r="J766" t="s">
        <v>5115</v>
      </c>
    </row>
    <row r="767" spans="1:10" x14ac:dyDescent="0.55000000000000004">
      <c r="A767" t="s">
        <v>4296</v>
      </c>
      <c r="B767" t="s">
        <v>5115</v>
      </c>
      <c r="C767" t="s">
        <v>5115</v>
      </c>
      <c r="D767" t="s">
        <v>5115</v>
      </c>
      <c r="E767">
        <v>0.97587942534307304</v>
      </c>
      <c r="F767">
        <v>6.8526299088080599E-3</v>
      </c>
      <c r="G767">
        <v>1.22807329929597E-2</v>
      </c>
      <c r="H767">
        <v>4.9872117551597603E-3</v>
      </c>
      <c r="I767" t="s">
        <v>4296</v>
      </c>
      <c r="J767" t="s">
        <v>5115</v>
      </c>
    </row>
    <row r="768" spans="1:10" x14ac:dyDescent="0.55000000000000004">
      <c r="A768" t="s">
        <v>4297</v>
      </c>
      <c r="B768" t="s">
        <v>5115</v>
      </c>
      <c r="C768" t="s">
        <v>5115</v>
      </c>
      <c r="D768" t="s">
        <v>5115</v>
      </c>
      <c r="E768">
        <v>0.985629339604008</v>
      </c>
      <c r="F768">
        <v>4.0112498241577799E-3</v>
      </c>
      <c r="G768">
        <v>6.8589137447183299E-3</v>
      </c>
      <c r="H768">
        <v>3.5004968271163E-3</v>
      </c>
      <c r="I768" t="s">
        <v>4297</v>
      </c>
      <c r="J768" t="s">
        <v>5115</v>
      </c>
    </row>
    <row r="769" spans="1:11" x14ac:dyDescent="0.55000000000000004">
      <c r="A769" t="s">
        <v>4298</v>
      </c>
      <c r="B769" t="s">
        <v>5115</v>
      </c>
      <c r="C769" t="s">
        <v>5115</v>
      </c>
      <c r="D769" t="s">
        <v>5115</v>
      </c>
      <c r="E769">
        <v>0.97964319612943196</v>
      </c>
      <c r="F769">
        <v>3.1596749712223698E-3</v>
      </c>
      <c r="G769">
        <v>1.2998178063086001E-2</v>
      </c>
      <c r="H769">
        <v>4.19895083625946E-3</v>
      </c>
      <c r="I769" t="s">
        <v>4298</v>
      </c>
      <c r="J769" t="s">
        <v>5115</v>
      </c>
    </row>
    <row r="770" spans="1:11" x14ac:dyDescent="0.55000000000000004">
      <c r="A770" t="s">
        <v>4300</v>
      </c>
      <c r="B770" t="s">
        <v>5115</v>
      </c>
      <c r="C770" t="s">
        <v>5115</v>
      </c>
      <c r="D770" t="s">
        <v>5115</v>
      </c>
      <c r="E770">
        <v>0.98546995839755103</v>
      </c>
      <c r="F770">
        <v>4.7335841452366498E-3</v>
      </c>
      <c r="G770">
        <v>5.4175488607658097E-3</v>
      </c>
      <c r="H770">
        <v>4.3789085964464503E-3</v>
      </c>
      <c r="I770" t="s">
        <v>4300</v>
      </c>
      <c r="J770" t="s">
        <v>5115</v>
      </c>
    </row>
    <row r="771" spans="1:11" x14ac:dyDescent="0.55000000000000004">
      <c r="A771" t="s">
        <v>4301</v>
      </c>
      <c r="B771" t="s">
        <v>5115</v>
      </c>
      <c r="C771" t="s">
        <v>5115</v>
      </c>
      <c r="D771" t="s">
        <v>5115</v>
      </c>
      <c r="E771">
        <v>0.99257996770321399</v>
      </c>
      <c r="F771">
        <v>1.0590997010189701E-3</v>
      </c>
      <c r="G771">
        <v>3.0960768228294501E-3</v>
      </c>
      <c r="H771">
        <v>3.2648557729372E-3</v>
      </c>
      <c r="I771" t="s">
        <v>4301</v>
      </c>
      <c r="J771" t="s">
        <v>5115</v>
      </c>
    </row>
    <row r="772" spans="1:11" x14ac:dyDescent="0.55000000000000004">
      <c r="A772" t="s">
        <v>4302</v>
      </c>
      <c r="B772" t="s">
        <v>5115</v>
      </c>
      <c r="C772" t="s">
        <v>5115</v>
      </c>
      <c r="D772" t="s">
        <v>5115</v>
      </c>
      <c r="E772">
        <v>0.97972963680535796</v>
      </c>
      <c r="F772">
        <v>3.8971062479763899E-3</v>
      </c>
      <c r="G772">
        <v>1.18184336006624E-2</v>
      </c>
      <c r="H772">
        <v>4.5548233460028101E-3</v>
      </c>
      <c r="I772" t="s">
        <v>4302</v>
      </c>
      <c r="J772" t="s">
        <v>5115</v>
      </c>
    </row>
    <row r="773" spans="1:11" x14ac:dyDescent="0.55000000000000004">
      <c r="A773" t="s">
        <v>4303</v>
      </c>
      <c r="B773" t="s">
        <v>5115</v>
      </c>
      <c r="C773" t="s">
        <v>5115</v>
      </c>
      <c r="D773" t="s">
        <v>5115</v>
      </c>
      <c r="E773">
        <v>0.97892128751574303</v>
      </c>
      <c r="F773">
        <v>1.02704123088581E-2</v>
      </c>
      <c r="G773">
        <v>7.3330910367412697E-3</v>
      </c>
      <c r="H773">
        <v>3.4752091386580099E-3</v>
      </c>
      <c r="I773" t="s">
        <v>4303</v>
      </c>
      <c r="J773" t="s">
        <v>5115</v>
      </c>
    </row>
    <row r="774" spans="1:11" x14ac:dyDescent="0.55000000000000004">
      <c r="A774" t="s">
        <v>4271</v>
      </c>
      <c r="B774" t="s">
        <v>5115</v>
      </c>
      <c r="C774" t="s">
        <v>5115</v>
      </c>
      <c r="D774" t="s">
        <v>5115</v>
      </c>
      <c r="E774">
        <v>0.97097769370949505</v>
      </c>
      <c r="F774">
        <v>1.0191935281981E-2</v>
      </c>
      <c r="G774">
        <v>1.4301546106924299E-2</v>
      </c>
      <c r="H774">
        <v>4.5288249016000098E-3</v>
      </c>
      <c r="I774" t="s">
        <v>4271</v>
      </c>
      <c r="J774" t="s">
        <v>5115</v>
      </c>
    </row>
    <row r="775" spans="1:11" x14ac:dyDescent="0.55000000000000004">
      <c r="A775" t="s">
        <v>4272</v>
      </c>
      <c r="B775" t="s">
        <v>5167</v>
      </c>
      <c r="C775" t="s">
        <v>5115</v>
      </c>
      <c r="D775" t="s">
        <v>5115</v>
      </c>
      <c r="E775">
        <v>0.99078169572062502</v>
      </c>
      <c r="F775">
        <v>2.8009905188816501E-3</v>
      </c>
      <c r="G775">
        <v>3.1996138900107201E-3</v>
      </c>
      <c r="H775">
        <v>3.21769987048249E-3</v>
      </c>
      <c r="I775" t="s">
        <v>4272</v>
      </c>
      <c r="J775" t="s">
        <v>5115</v>
      </c>
    </row>
    <row r="776" spans="1:11" x14ac:dyDescent="0.55000000000000004">
      <c r="A776" t="s">
        <v>4273</v>
      </c>
      <c r="B776" t="s">
        <v>5115</v>
      </c>
      <c r="C776" t="s">
        <v>5115</v>
      </c>
      <c r="D776" t="s">
        <v>5115</v>
      </c>
      <c r="E776">
        <v>0.90647498543044902</v>
      </c>
      <c r="F776">
        <v>6.8150197961174594E-2</v>
      </c>
      <c r="G776">
        <v>1.8218089398121699E-2</v>
      </c>
      <c r="H776">
        <v>7.1567272102542002E-3</v>
      </c>
      <c r="I776" t="s">
        <v>4273</v>
      </c>
      <c r="J776" t="s">
        <v>5115</v>
      </c>
    </row>
    <row r="777" spans="1:11" x14ac:dyDescent="0.55000000000000004">
      <c r="A777" t="s">
        <v>4274</v>
      </c>
      <c r="B777" t="s">
        <v>5115</v>
      </c>
      <c r="C777" t="s">
        <v>5115</v>
      </c>
      <c r="D777" t="s">
        <v>5115</v>
      </c>
      <c r="E777">
        <v>0.93963828538789096</v>
      </c>
      <c r="F777">
        <v>2.7723514039594801E-2</v>
      </c>
      <c r="G777">
        <v>2.70095011211045E-2</v>
      </c>
      <c r="H777">
        <v>5.62869945141005E-3</v>
      </c>
      <c r="I777" t="s">
        <v>4274</v>
      </c>
      <c r="J777" t="s">
        <v>5115</v>
      </c>
    </row>
    <row r="778" spans="1:11" x14ac:dyDescent="0.55000000000000004">
      <c r="A778" t="s">
        <v>4275</v>
      </c>
      <c r="B778" t="s">
        <v>5115</v>
      </c>
      <c r="C778" t="s">
        <v>5121</v>
      </c>
      <c r="D778" t="s">
        <v>5115</v>
      </c>
      <c r="E778">
        <v>0.47417346253502402</v>
      </c>
      <c r="F778">
        <v>0.39683851678346199</v>
      </c>
      <c r="G778">
        <v>0.12132029477822</v>
      </c>
      <c r="H778">
        <v>7.6677259032941099E-3</v>
      </c>
      <c r="I778" t="s">
        <v>4275</v>
      </c>
      <c r="J778" t="s">
        <v>5117</v>
      </c>
      <c r="K778" t="s">
        <v>5118</v>
      </c>
    </row>
    <row r="779" spans="1:11" x14ac:dyDescent="0.55000000000000004">
      <c r="A779" t="s">
        <v>4276</v>
      </c>
      <c r="B779" t="s">
        <v>5115</v>
      </c>
      <c r="C779" t="s">
        <v>5115</v>
      </c>
      <c r="D779" t="s">
        <v>5115</v>
      </c>
      <c r="E779">
        <v>0.98207167164938403</v>
      </c>
      <c r="F779">
        <v>4.9656464900268002E-3</v>
      </c>
      <c r="G779">
        <v>8.3941854148798199E-3</v>
      </c>
      <c r="H779">
        <v>4.5684964457095197E-3</v>
      </c>
      <c r="I779" t="s">
        <v>4276</v>
      </c>
      <c r="J779" t="s">
        <v>5115</v>
      </c>
    </row>
    <row r="780" spans="1:11" x14ac:dyDescent="0.55000000000000004">
      <c r="A780" t="s">
        <v>4255</v>
      </c>
      <c r="B780" t="s">
        <v>5115</v>
      </c>
      <c r="C780" t="s">
        <v>5115</v>
      </c>
      <c r="D780" t="s">
        <v>5115</v>
      </c>
      <c r="E780">
        <v>0.97888384512633397</v>
      </c>
      <c r="F780">
        <v>5.9711066743753302E-3</v>
      </c>
      <c r="G780">
        <v>9.8755435846899896E-3</v>
      </c>
      <c r="H780">
        <v>5.2695046146009599E-3</v>
      </c>
      <c r="I780" t="s">
        <v>4255</v>
      </c>
      <c r="J780" t="s">
        <v>5115</v>
      </c>
    </row>
    <row r="781" spans="1:11" x14ac:dyDescent="0.55000000000000004">
      <c r="A781" t="s">
        <v>4256</v>
      </c>
      <c r="B781" t="s">
        <v>5167</v>
      </c>
      <c r="C781" t="s">
        <v>5115</v>
      </c>
      <c r="D781" t="s">
        <v>5115</v>
      </c>
      <c r="E781">
        <v>0.98566557934033605</v>
      </c>
      <c r="F781">
        <v>4.1959115614459801E-3</v>
      </c>
      <c r="G781">
        <v>6.20302784663713E-3</v>
      </c>
      <c r="H781">
        <v>3.9354812515807998E-3</v>
      </c>
      <c r="I781" t="s">
        <v>4256</v>
      </c>
      <c r="J781" t="s">
        <v>5115</v>
      </c>
    </row>
    <row r="782" spans="1:11" x14ac:dyDescent="0.55000000000000004">
      <c r="A782" t="s">
        <v>4257</v>
      </c>
      <c r="B782" t="s">
        <v>5115</v>
      </c>
      <c r="C782" t="s">
        <v>5115</v>
      </c>
      <c r="D782" t="s">
        <v>5115</v>
      </c>
      <c r="E782">
        <v>0.986905366220726</v>
      </c>
      <c r="F782">
        <v>1.5856501609352799E-3</v>
      </c>
      <c r="G782">
        <v>7.8707259531554802E-3</v>
      </c>
      <c r="H782">
        <v>3.63825766518301E-3</v>
      </c>
      <c r="I782" t="s">
        <v>4257</v>
      </c>
      <c r="J782" t="s">
        <v>5115</v>
      </c>
    </row>
    <row r="783" spans="1:11" x14ac:dyDescent="0.55000000000000004">
      <c r="A783" t="s">
        <v>4258</v>
      </c>
      <c r="B783" t="s">
        <v>5115</v>
      </c>
      <c r="C783" t="s">
        <v>5115</v>
      </c>
      <c r="D783" t="s">
        <v>5115</v>
      </c>
      <c r="E783">
        <v>0.94227624977475</v>
      </c>
      <c r="F783">
        <v>3.7370130403991099E-2</v>
      </c>
      <c r="G783">
        <v>1.55713566866986E-2</v>
      </c>
      <c r="H783">
        <v>4.7822631345602303E-3</v>
      </c>
      <c r="I783" t="s">
        <v>4258</v>
      </c>
      <c r="J783" t="s">
        <v>5115</v>
      </c>
    </row>
    <row r="784" spans="1:11" x14ac:dyDescent="0.55000000000000004">
      <c r="A784" t="s">
        <v>4259</v>
      </c>
      <c r="B784" t="s">
        <v>5115</v>
      </c>
      <c r="C784" t="s">
        <v>5115</v>
      </c>
      <c r="D784" t="s">
        <v>5115</v>
      </c>
      <c r="E784">
        <v>0.92019459153562699</v>
      </c>
      <c r="F784">
        <v>5.4178883284328697E-2</v>
      </c>
      <c r="G784">
        <v>1.8769179282009101E-2</v>
      </c>
      <c r="H784">
        <v>6.8573458980352104E-3</v>
      </c>
      <c r="I784" t="s">
        <v>4259</v>
      </c>
      <c r="J784" t="s">
        <v>5115</v>
      </c>
    </row>
    <row r="785" spans="1:11" x14ac:dyDescent="0.55000000000000004">
      <c r="A785" t="s">
        <v>4260</v>
      </c>
      <c r="B785" t="s">
        <v>5115</v>
      </c>
      <c r="C785" t="s">
        <v>5115</v>
      </c>
      <c r="D785" t="s">
        <v>5115</v>
      </c>
      <c r="E785">
        <v>0.990124769773986</v>
      </c>
      <c r="F785">
        <v>1.3057776254390501E-3</v>
      </c>
      <c r="G785">
        <v>3.7551554965031702E-3</v>
      </c>
      <c r="H785">
        <v>4.8142971040721896E-3</v>
      </c>
      <c r="I785" t="s">
        <v>4260</v>
      </c>
      <c r="J785" t="s">
        <v>5115</v>
      </c>
    </row>
    <row r="786" spans="1:11" x14ac:dyDescent="0.55000000000000004">
      <c r="A786" t="s">
        <v>4261</v>
      </c>
      <c r="B786" t="s">
        <v>5115</v>
      </c>
      <c r="C786" t="s">
        <v>5115</v>
      </c>
      <c r="D786" t="s">
        <v>5115</v>
      </c>
      <c r="E786">
        <v>0.98966865548556404</v>
      </c>
      <c r="F786">
        <v>2.8149648499809902E-3</v>
      </c>
      <c r="G786">
        <v>3.9060562244831198E-3</v>
      </c>
      <c r="H786">
        <v>3.61032343997189E-3</v>
      </c>
      <c r="I786" t="s">
        <v>4261</v>
      </c>
      <c r="J786" t="s">
        <v>5115</v>
      </c>
    </row>
    <row r="787" spans="1:11" x14ac:dyDescent="0.55000000000000004">
      <c r="A787" t="s">
        <v>4262</v>
      </c>
      <c r="B787" t="s">
        <v>5115</v>
      </c>
      <c r="C787" t="s">
        <v>5115</v>
      </c>
      <c r="D787" t="s">
        <v>5115</v>
      </c>
      <c r="E787">
        <v>0.94886756728607202</v>
      </c>
      <c r="F787">
        <v>2.7355490443893401E-2</v>
      </c>
      <c r="G787">
        <v>1.8963938555315099E-2</v>
      </c>
      <c r="H787">
        <v>4.8130037147193E-3</v>
      </c>
      <c r="I787" t="s">
        <v>4262</v>
      </c>
      <c r="J787" t="s">
        <v>5115</v>
      </c>
    </row>
    <row r="788" spans="1:11" x14ac:dyDescent="0.55000000000000004">
      <c r="A788" t="s">
        <v>4263</v>
      </c>
      <c r="B788" t="s">
        <v>5115</v>
      </c>
      <c r="C788" t="s">
        <v>5115</v>
      </c>
      <c r="D788" t="s">
        <v>5115</v>
      </c>
      <c r="E788">
        <v>0.99055664837209301</v>
      </c>
      <c r="F788">
        <v>1.3776793437997399E-3</v>
      </c>
      <c r="G788">
        <v>2.4926892458621498E-3</v>
      </c>
      <c r="H788">
        <v>5.5729830382449603E-3</v>
      </c>
      <c r="I788" t="s">
        <v>4263</v>
      </c>
      <c r="J788" t="s">
        <v>5115</v>
      </c>
    </row>
    <row r="789" spans="1:11" x14ac:dyDescent="0.55000000000000004">
      <c r="A789" t="s">
        <v>4264</v>
      </c>
      <c r="B789" t="s">
        <v>5115</v>
      </c>
      <c r="C789" t="s">
        <v>5115</v>
      </c>
      <c r="D789" t="s">
        <v>5115</v>
      </c>
      <c r="E789">
        <v>0.81729721350669104</v>
      </c>
      <c r="F789">
        <v>0.115399620784186</v>
      </c>
      <c r="G789">
        <v>5.6226837323455202E-2</v>
      </c>
      <c r="H789">
        <v>1.10763283856676E-2</v>
      </c>
      <c r="I789" t="s">
        <v>4264</v>
      </c>
      <c r="J789" t="s">
        <v>5115</v>
      </c>
    </row>
    <row r="790" spans="1:11" x14ac:dyDescent="0.55000000000000004">
      <c r="A790" t="s">
        <v>4265</v>
      </c>
      <c r="B790" t="s">
        <v>5121</v>
      </c>
      <c r="C790" t="s">
        <v>5121</v>
      </c>
      <c r="D790" t="s">
        <v>5121</v>
      </c>
      <c r="E790">
        <v>0.41505104225661599</v>
      </c>
      <c r="F790">
        <v>0.47597918486076002</v>
      </c>
      <c r="G790">
        <v>9.8611121655700407E-2</v>
      </c>
      <c r="H790">
        <v>1.03586512269242E-2</v>
      </c>
      <c r="I790" t="s">
        <v>4265</v>
      </c>
      <c r="J790" t="s">
        <v>5117</v>
      </c>
      <c r="K790" t="s">
        <v>5118</v>
      </c>
    </row>
    <row r="791" spans="1:11" x14ac:dyDescent="0.55000000000000004">
      <c r="A791" t="s">
        <v>4266</v>
      </c>
      <c r="B791" t="s">
        <v>5115</v>
      </c>
      <c r="C791" t="s">
        <v>5115</v>
      </c>
      <c r="D791" t="s">
        <v>5115</v>
      </c>
      <c r="E791">
        <v>0.99133171820549804</v>
      </c>
      <c r="F791">
        <v>1.5606385937481199E-3</v>
      </c>
      <c r="G791">
        <v>3.1574947651338801E-3</v>
      </c>
      <c r="H791">
        <v>3.9501484356201802E-3</v>
      </c>
      <c r="I791" t="s">
        <v>4266</v>
      </c>
      <c r="J791" t="s">
        <v>5115</v>
      </c>
    </row>
    <row r="792" spans="1:11" x14ac:dyDescent="0.55000000000000004">
      <c r="A792" t="s">
        <v>4278</v>
      </c>
      <c r="B792" t="s">
        <v>5115</v>
      </c>
      <c r="C792" t="s">
        <v>5115</v>
      </c>
      <c r="D792" t="s">
        <v>5115</v>
      </c>
      <c r="E792">
        <v>0.95528060968209805</v>
      </c>
      <c r="F792">
        <v>1.41206163008906E-2</v>
      </c>
      <c r="G792">
        <v>2.6129973646267301E-2</v>
      </c>
      <c r="H792">
        <v>4.4688003707439002E-3</v>
      </c>
      <c r="I792" t="s">
        <v>4278</v>
      </c>
      <c r="J792" t="s">
        <v>5115</v>
      </c>
    </row>
    <row r="793" spans="1:11" x14ac:dyDescent="0.55000000000000004">
      <c r="A793" t="s">
        <v>4279</v>
      </c>
      <c r="B793" t="s">
        <v>5115</v>
      </c>
      <c r="C793" t="s">
        <v>5115</v>
      </c>
      <c r="D793" t="s">
        <v>5115</v>
      </c>
      <c r="E793">
        <v>0.92021387165477797</v>
      </c>
      <c r="F793">
        <v>1.98992113960412E-2</v>
      </c>
      <c r="G793">
        <v>5.4344366379824101E-2</v>
      </c>
      <c r="H793">
        <v>5.5425505693568397E-3</v>
      </c>
      <c r="I793" t="s">
        <v>4279</v>
      </c>
      <c r="J793" t="s">
        <v>5115</v>
      </c>
    </row>
    <row r="794" spans="1:11" x14ac:dyDescent="0.55000000000000004">
      <c r="A794" t="s">
        <v>4280</v>
      </c>
      <c r="B794" t="s">
        <v>5115</v>
      </c>
      <c r="C794" t="s">
        <v>5115</v>
      </c>
      <c r="D794" t="s">
        <v>5115</v>
      </c>
      <c r="E794">
        <v>0.91303914509798501</v>
      </c>
      <c r="F794">
        <v>4.8995496207990201E-2</v>
      </c>
      <c r="G794">
        <v>2.9338663922466101E-2</v>
      </c>
      <c r="H794">
        <v>8.6266947715582208E-3</v>
      </c>
      <c r="I794" t="s">
        <v>4280</v>
      </c>
      <c r="J794" t="s">
        <v>5115</v>
      </c>
    </row>
    <row r="795" spans="1:11" x14ac:dyDescent="0.55000000000000004">
      <c r="A795" t="s">
        <v>4281</v>
      </c>
      <c r="B795" t="s">
        <v>5115</v>
      </c>
      <c r="C795" t="s">
        <v>5115</v>
      </c>
      <c r="D795" t="s">
        <v>5115</v>
      </c>
      <c r="E795">
        <v>0.94625006098037301</v>
      </c>
      <c r="F795">
        <v>2.3408828168390201E-2</v>
      </c>
      <c r="G795">
        <v>2.4620498390539401E-2</v>
      </c>
      <c r="H795">
        <v>5.7206124606973196E-3</v>
      </c>
      <c r="I795" t="s">
        <v>4281</v>
      </c>
      <c r="J795" t="s">
        <v>5115</v>
      </c>
    </row>
    <row r="796" spans="1:11" x14ac:dyDescent="0.55000000000000004">
      <c r="A796" t="s">
        <v>4282</v>
      </c>
      <c r="B796" t="s">
        <v>5115</v>
      </c>
      <c r="C796" t="s">
        <v>5115</v>
      </c>
      <c r="D796" t="s">
        <v>5115</v>
      </c>
      <c r="E796">
        <v>0.89108081353233404</v>
      </c>
      <c r="F796">
        <v>6.7050827525353199E-2</v>
      </c>
      <c r="G796">
        <v>3.5061441919061902E-2</v>
      </c>
      <c r="H796">
        <v>6.8069170232502602E-3</v>
      </c>
      <c r="I796" t="s">
        <v>4282</v>
      </c>
      <c r="J796" t="s">
        <v>5115</v>
      </c>
    </row>
    <row r="797" spans="1:11" x14ac:dyDescent="0.55000000000000004">
      <c r="A797" t="s">
        <v>4283</v>
      </c>
      <c r="B797" t="s">
        <v>5115</v>
      </c>
      <c r="C797" t="s">
        <v>5115</v>
      </c>
      <c r="D797" t="s">
        <v>5115</v>
      </c>
      <c r="E797">
        <v>0.86306643314545295</v>
      </c>
      <c r="F797">
        <v>5.0943937951899498E-2</v>
      </c>
      <c r="G797">
        <v>7.7507144227305494E-2</v>
      </c>
      <c r="H797">
        <v>8.4824846753418105E-3</v>
      </c>
      <c r="I797" t="s">
        <v>4283</v>
      </c>
      <c r="J797" t="s">
        <v>5115</v>
      </c>
    </row>
    <row r="798" spans="1:11" x14ac:dyDescent="0.55000000000000004">
      <c r="A798" t="s">
        <v>4284</v>
      </c>
      <c r="B798" t="s">
        <v>5115</v>
      </c>
      <c r="C798" t="s">
        <v>5115</v>
      </c>
      <c r="D798" t="s">
        <v>5115</v>
      </c>
      <c r="E798">
        <v>0.84496075694079698</v>
      </c>
      <c r="F798">
        <v>9.5800827213820994E-2</v>
      </c>
      <c r="G798">
        <v>5.2364414650640997E-2</v>
      </c>
      <c r="H798">
        <v>6.8740011947410898E-3</v>
      </c>
      <c r="I798" t="s">
        <v>4284</v>
      </c>
      <c r="J798" t="s">
        <v>5115</v>
      </c>
    </row>
    <row r="799" spans="1:11" x14ac:dyDescent="0.55000000000000004">
      <c r="A799" t="s">
        <v>4285</v>
      </c>
      <c r="B799" t="s">
        <v>5115</v>
      </c>
      <c r="C799" t="s">
        <v>5115</v>
      </c>
      <c r="D799" t="s">
        <v>5115</v>
      </c>
      <c r="E799">
        <v>0.91785280452699103</v>
      </c>
      <c r="F799">
        <v>3.9546073279960903E-2</v>
      </c>
      <c r="G799">
        <v>3.4888107180481402E-2</v>
      </c>
      <c r="H799">
        <v>7.7130150125663101E-3</v>
      </c>
      <c r="I799" t="s">
        <v>4285</v>
      </c>
      <c r="J799" t="s">
        <v>5115</v>
      </c>
    </row>
    <row r="800" spans="1:11" x14ac:dyDescent="0.55000000000000004">
      <c r="A800" t="s">
        <v>4286</v>
      </c>
      <c r="B800" t="s">
        <v>5115</v>
      </c>
      <c r="C800" t="s">
        <v>5115</v>
      </c>
      <c r="D800" t="s">
        <v>5115</v>
      </c>
      <c r="E800">
        <v>0.95018532246198195</v>
      </c>
      <c r="F800">
        <v>2.13309053659404E-2</v>
      </c>
      <c r="G800">
        <v>2.19958510767225E-2</v>
      </c>
      <c r="H800">
        <v>6.48792109535471E-3</v>
      </c>
      <c r="I800" t="s">
        <v>4286</v>
      </c>
      <c r="J800" t="s">
        <v>5115</v>
      </c>
    </row>
    <row r="801" spans="1:11" x14ac:dyDescent="0.55000000000000004">
      <c r="A801" t="s">
        <v>4287</v>
      </c>
      <c r="B801" t="s">
        <v>5115</v>
      </c>
      <c r="C801" t="s">
        <v>5115</v>
      </c>
      <c r="D801" t="s">
        <v>5115</v>
      </c>
      <c r="E801">
        <v>0.99075449804505999</v>
      </c>
      <c r="F801">
        <v>1.64161942983066E-3</v>
      </c>
      <c r="G801">
        <v>4.5753679392639898E-3</v>
      </c>
      <c r="H801">
        <v>3.0285145858450699E-3</v>
      </c>
      <c r="I801" t="s">
        <v>4287</v>
      </c>
      <c r="J801" t="s">
        <v>5115</v>
      </c>
    </row>
    <row r="802" spans="1:11" x14ac:dyDescent="0.55000000000000004">
      <c r="A802" t="s">
        <v>4288</v>
      </c>
      <c r="B802" t="s">
        <v>5115</v>
      </c>
      <c r="C802" t="s">
        <v>5115</v>
      </c>
      <c r="D802" t="s">
        <v>5115</v>
      </c>
      <c r="E802">
        <v>0.98013198306569305</v>
      </c>
      <c r="F802">
        <v>9.48569618139679E-3</v>
      </c>
      <c r="G802">
        <v>6.0605913165560797E-3</v>
      </c>
      <c r="H802">
        <v>4.3217294363545999E-3</v>
      </c>
      <c r="I802" t="s">
        <v>4288</v>
      </c>
      <c r="J802" t="s">
        <v>5115</v>
      </c>
    </row>
    <row r="803" spans="1:11" x14ac:dyDescent="0.55000000000000004">
      <c r="A803" t="s">
        <v>4289</v>
      </c>
      <c r="B803" t="s">
        <v>5116</v>
      </c>
      <c r="C803" t="s">
        <v>5116</v>
      </c>
      <c r="D803" t="s">
        <v>5116</v>
      </c>
      <c r="E803">
        <v>4.1754307423560698E-2</v>
      </c>
      <c r="F803">
        <v>0.26385913552460599</v>
      </c>
      <c r="G803">
        <v>0.68697375842267205</v>
      </c>
      <c r="H803">
        <v>7.4127986291620696E-3</v>
      </c>
      <c r="I803" t="s">
        <v>4289</v>
      </c>
      <c r="J803" t="s">
        <v>5117</v>
      </c>
      <c r="K803" t="s">
        <v>5166</v>
      </c>
    </row>
    <row r="804" spans="1:11" x14ac:dyDescent="0.55000000000000004">
      <c r="A804" t="s">
        <v>4341</v>
      </c>
      <c r="B804" t="s">
        <v>5115</v>
      </c>
      <c r="C804" t="s">
        <v>5115</v>
      </c>
      <c r="D804" t="s">
        <v>5115</v>
      </c>
      <c r="E804">
        <v>0.86614781462338197</v>
      </c>
      <c r="F804">
        <v>7.4422277046453905E-2</v>
      </c>
      <c r="G804">
        <v>5.1996334664387599E-2</v>
      </c>
      <c r="H804">
        <v>7.4335736657762698E-3</v>
      </c>
      <c r="I804" t="s">
        <v>4341</v>
      </c>
      <c r="J804" t="s">
        <v>5115</v>
      </c>
    </row>
    <row r="805" spans="1:11" x14ac:dyDescent="0.55000000000000004">
      <c r="A805" t="s">
        <v>4342</v>
      </c>
      <c r="B805" t="s">
        <v>5115</v>
      </c>
      <c r="C805" t="s">
        <v>5115</v>
      </c>
      <c r="D805" t="s">
        <v>5115</v>
      </c>
      <c r="E805">
        <v>0.88814179567257301</v>
      </c>
      <c r="F805">
        <v>8.0231690070156306E-2</v>
      </c>
      <c r="G805">
        <v>2.2397124764011098E-2</v>
      </c>
      <c r="H805">
        <v>9.2293894932592505E-3</v>
      </c>
      <c r="I805" t="s">
        <v>4342</v>
      </c>
      <c r="J805" t="s">
        <v>5115</v>
      </c>
    </row>
    <row r="806" spans="1:11" x14ac:dyDescent="0.55000000000000004">
      <c r="A806" t="s">
        <v>4343</v>
      </c>
      <c r="B806" t="s">
        <v>5115</v>
      </c>
      <c r="C806" t="s">
        <v>5115</v>
      </c>
      <c r="D806" t="s">
        <v>5115</v>
      </c>
      <c r="E806">
        <v>0.87171172155814303</v>
      </c>
      <c r="F806">
        <v>5.1472599721904301E-2</v>
      </c>
      <c r="G806">
        <v>6.8587544078923895E-2</v>
      </c>
      <c r="H806">
        <v>8.2281346410288895E-3</v>
      </c>
      <c r="I806" t="s">
        <v>4343</v>
      </c>
      <c r="J806" t="s">
        <v>5115</v>
      </c>
    </row>
    <row r="807" spans="1:11" x14ac:dyDescent="0.55000000000000004">
      <c r="A807" t="s">
        <v>4345</v>
      </c>
      <c r="B807" t="s">
        <v>5115</v>
      </c>
      <c r="C807" t="s">
        <v>5115</v>
      </c>
      <c r="D807" t="s">
        <v>5115</v>
      </c>
      <c r="E807">
        <v>0.985242273900786</v>
      </c>
      <c r="F807">
        <v>6.0737256266622701E-3</v>
      </c>
      <c r="G807">
        <v>4.8947191421998696E-3</v>
      </c>
      <c r="H807">
        <v>3.78928133035229E-3</v>
      </c>
      <c r="I807" t="s">
        <v>4345</v>
      </c>
      <c r="J807" t="s">
        <v>5115</v>
      </c>
    </row>
    <row r="808" spans="1:11" x14ac:dyDescent="0.55000000000000004">
      <c r="A808" t="s">
        <v>4346</v>
      </c>
      <c r="B808" t="s">
        <v>5115</v>
      </c>
      <c r="C808" t="s">
        <v>5115</v>
      </c>
      <c r="D808" t="s">
        <v>5115</v>
      </c>
      <c r="E808">
        <v>0.61277498211164105</v>
      </c>
      <c r="F808">
        <v>0.26128952816689599</v>
      </c>
      <c r="G808">
        <v>0.113058092642687</v>
      </c>
      <c r="H808">
        <v>1.28773970787766E-2</v>
      </c>
      <c r="I808" t="s">
        <v>4346</v>
      </c>
      <c r="J808" t="s">
        <v>5117</v>
      </c>
      <c r="K808" t="s">
        <v>5118</v>
      </c>
    </row>
    <row r="809" spans="1:11" x14ac:dyDescent="0.55000000000000004">
      <c r="A809" t="s">
        <v>4348</v>
      </c>
      <c r="B809" t="s">
        <v>5115</v>
      </c>
      <c r="C809" t="s">
        <v>5115</v>
      </c>
      <c r="D809" t="s">
        <v>5115</v>
      </c>
      <c r="E809">
        <v>0.98629249224807503</v>
      </c>
      <c r="F809">
        <v>5.7067446009582698E-3</v>
      </c>
      <c r="G809">
        <v>2.9697738006202001E-3</v>
      </c>
      <c r="H809">
        <v>5.03098935034604E-3</v>
      </c>
      <c r="I809" t="s">
        <v>4348</v>
      </c>
      <c r="J809" t="s">
        <v>5115</v>
      </c>
    </row>
    <row r="810" spans="1:11" x14ac:dyDescent="0.55000000000000004">
      <c r="A810" t="s">
        <v>4349</v>
      </c>
      <c r="B810" t="s">
        <v>5115</v>
      </c>
      <c r="C810" t="s">
        <v>5115</v>
      </c>
      <c r="D810" t="s">
        <v>5115</v>
      </c>
      <c r="E810">
        <v>0.65714641669276397</v>
      </c>
      <c r="F810">
        <v>0.15657655855514899</v>
      </c>
      <c r="G810">
        <v>0.13927534958844701</v>
      </c>
      <c r="H810">
        <v>4.70016751636404E-2</v>
      </c>
      <c r="I810" t="s">
        <v>4349</v>
      </c>
      <c r="J810" t="s">
        <v>5117</v>
      </c>
      <c r="K810" t="s">
        <v>5118</v>
      </c>
    </row>
    <row r="811" spans="1:11" x14ac:dyDescent="0.55000000000000004">
      <c r="A811" t="s">
        <v>4350</v>
      </c>
      <c r="B811" t="s">
        <v>5115</v>
      </c>
      <c r="C811" t="s">
        <v>5115</v>
      </c>
      <c r="D811" t="s">
        <v>5115</v>
      </c>
      <c r="E811">
        <v>0.98233296918581903</v>
      </c>
      <c r="F811">
        <v>6.0702456434549197E-3</v>
      </c>
      <c r="G811">
        <v>7.6940262299852596E-3</v>
      </c>
      <c r="H811">
        <v>3.9027589407405702E-3</v>
      </c>
      <c r="I811" t="s">
        <v>4350</v>
      </c>
      <c r="J811" t="s">
        <v>5115</v>
      </c>
    </row>
    <row r="812" spans="1:11" x14ac:dyDescent="0.55000000000000004">
      <c r="A812" t="s">
        <v>4351</v>
      </c>
      <c r="B812" t="s">
        <v>5115</v>
      </c>
      <c r="C812" t="s">
        <v>5115</v>
      </c>
      <c r="D812" t="s">
        <v>5115</v>
      </c>
      <c r="E812">
        <v>0.97304690513929804</v>
      </c>
      <c r="F812">
        <v>9.0625104413797307E-3</v>
      </c>
      <c r="G812">
        <v>1.21613438947557E-2</v>
      </c>
      <c r="H812">
        <v>5.7292405245665699E-3</v>
      </c>
      <c r="I812" t="s">
        <v>4351</v>
      </c>
      <c r="J812" t="s">
        <v>5115</v>
      </c>
    </row>
    <row r="813" spans="1:11" x14ac:dyDescent="0.55000000000000004">
      <c r="A813" t="s">
        <v>4352</v>
      </c>
      <c r="B813" t="s">
        <v>5115</v>
      </c>
      <c r="C813" t="s">
        <v>5115</v>
      </c>
      <c r="D813" t="s">
        <v>5115</v>
      </c>
      <c r="E813">
        <v>0.70696051288495498</v>
      </c>
      <c r="F813">
        <v>0.15170009835288101</v>
      </c>
      <c r="G813">
        <v>0.133006565014894</v>
      </c>
      <c r="H813">
        <v>8.3328237472708403E-3</v>
      </c>
      <c r="I813" t="s">
        <v>4352</v>
      </c>
      <c r="J813" t="s">
        <v>5115</v>
      </c>
    </row>
    <row r="814" spans="1:11" x14ac:dyDescent="0.55000000000000004">
      <c r="A814" t="s">
        <v>4353</v>
      </c>
      <c r="B814" t="s">
        <v>5115</v>
      </c>
      <c r="C814" t="s">
        <v>5115</v>
      </c>
      <c r="D814" t="s">
        <v>5115</v>
      </c>
      <c r="E814">
        <v>0.93517423575579695</v>
      </c>
      <c r="F814">
        <v>2.18824090876137E-2</v>
      </c>
      <c r="G814">
        <v>3.7068226873814197E-2</v>
      </c>
      <c r="H814">
        <v>5.8751282827750597E-3</v>
      </c>
      <c r="I814" t="s">
        <v>4353</v>
      </c>
      <c r="J814" t="s">
        <v>5115</v>
      </c>
    </row>
    <row r="815" spans="1:11" x14ac:dyDescent="0.55000000000000004">
      <c r="A815" t="s">
        <v>4355</v>
      </c>
      <c r="B815" t="s">
        <v>5115</v>
      </c>
      <c r="C815" t="s">
        <v>5115</v>
      </c>
      <c r="D815" t="s">
        <v>5115</v>
      </c>
      <c r="E815">
        <v>0.92564410950165799</v>
      </c>
      <c r="F815">
        <v>2.6722894483622001E-2</v>
      </c>
      <c r="G815">
        <v>3.9333196780933298E-2</v>
      </c>
      <c r="H815">
        <v>8.2997992337864902E-3</v>
      </c>
      <c r="I815" t="s">
        <v>4355</v>
      </c>
      <c r="J815" t="s">
        <v>5115</v>
      </c>
    </row>
    <row r="816" spans="1:11" x14ac:dyDescent="0.55000000000000004">
      <c r="A816" t="s">
        <v>4356</v>
      </c>
      <c r="B816" t="s">
        <v>5115</v>
      </c>
      <c r="C816" t="s">
        <v>5115</v>
      </c>
      <c r="D816" t="s">
        <v>5115</v>
      </c>
      <c r="E816">
        <v>0.53605406529696398</v>
      </c>
      <c r="F816">
        <v>0.18251849496247999</v>
      </c>
      <c r="G816">
        <v>0.219952382522622</v>
      </c>
      <c r="H816">
        <v>6.1475057217932803E-2</v>
      </c>
      <c r="I816" t="s">
        <v>4356</v>
      </c>
      <c r="J816" t="s">
        <v>5117</v>
      </c>
      <c r="K816" t="s">
        <v>5119</v>
      </c>
    </row>
    <row r="817" spans="1:10" x14ac:dyDescent="0.55000000000000004">
      <c r="A817" t="s">
        <v>3528</v>
      </c>
      <c r="B817" t="s">
        <v>5115</v>
      </c>
      <c r="C817" t="s">
        <v>5115</v>
      </c>
      <c r="D817" t="s">
        <v>5115</v>
      </c>
      <c r="E817">
        <v>0.96658464371347996</v>
      </c>
      <c r="F817">
        <v>1.9462213902644802E-2</v>
      </c>
      <c r="G817">
        <v>9.7730872529689199E-3</v>
      </c>
      <c r="H817">
        <v>4.1800551309071196E-3</v>
      </c>
      <c r="I817" t="s">
        <v>3528</v>
      </c>
      <c r="J817" t="s">
        <v>5115</v>
      </c>
    </row>
    <row r="818" spans="1:10" x14ac:dyDescent="0.55000000000000004">
      <c r="A818" t="s">
        <v>3529</v>
      </c>
      <c r="B818" t="s">
        <v>5115</v>
      </c>
      <c r="C818" t="s">
        <v>5115</v>
      </c>
      <c r="D818" t="s">
        <v>5115</v>
      </c>
      <c r="E818">
        <v>0.79224171425908396</v>
      </c>
      <c r="F818">
        <v>0.105498018406147</v>
      </c>
      <c r="G818">
        <v>9.5040084651095105E-2</v>
      </c>
      <c r="H818">
        <v>7.2201826836739303E-3</v>
      </c>
      <c r="I818" t="s">
        <v>3529</v>
      </c>
      <c r="J818" t="s">
        <v>5115</v>
      </c>
    </row>
    <row r="819" spans="1:10" x14ac:dyDescent="0.55000000000000004">
      <c r="A819" t="s">
        <v>3530</v>
      </c>
      <c r="B819" t="s">
        <v>5115</v>
      </c>
      <c r="C819" t="s">
        <v>5115</v>
      </c>
      <c r="D819" t="s">
        <v>5115</v>
      </c>
      <c r="E819">
        <v>0.94475850321417099</v>
      </c>
      <c r="F819">
        <v>3.14158503062806E-2</v>
      </c>
      <c r="G819">
        <v>1.77572774709223E-2</v>
      </c>
      <c r="H819">
        <v>6.0683690086257899E-3</v>
      </c>
      <c r="I819" t="s">
        <v>3530</v>
      </c>
      <c r="J819" t="s">
        <v>5115</v>
      </c>
    </row>
    <row r="820" spans="1:10" x14ac:dyDescent="0.55000000000000004">
      <c r="A820" t="s">
        <v>3531</v>
      </c>
      <c r="B820" t="s">
        <v>5115</v>
      </c>
      <c r="C820" t="s">
        <v>5115</v>
      </c>
      <c r="D820" t="s">
        <v>5115</v>
      </c>
      <c r="E820">
        <v>0.85295624919452195</v>
      </c>
      <c r="F820">
        <v>6.8592466180251402E-2</v>
      </c>
      <c r="G820">
        <v>6.9087180390031297E-2</v>
      </c>
      <c r="H820">
        <v>9.3641042351949103E-3</v>
      </c>
      <c r="I820" t="s">
        <v>3531</v>
      </c>
      <c r="J820" t="s">
        <v>5115</v>
      </c>
    </row>
    <row r="821" spans="1:10" x14ac:dyDescent="0.55000000000000004">
      <c r="A821" t="s">
        <v>3532</v>
      </c>
      <c r="B821" t="s">
        <v>5115</v>
      </c>
      <c r="C821" t="s">
        <v>5115</v>
      </c>
      <c r="D821" t="s">
        <v>5115</v>
      </c>
      <c r="E821">
        <v>0.85359519909699</v>
      </c>
      <c r="F821">
        <v>0.100822173383111</v>
      </c>
      <c r="G821">
        <v>3.7335666564102199E-2</v>
      </c>
      <c r="H821">
        <v>8.2469609557973E-3</v>
      </c>
      <c r="I821" t="s">
        <v>3532</v>
      </c>
      <c r="J821" t="s">
        <v>5115</v>
      </c>
    </row>
    <row r="822" spans="1:10" x14ac:dyDescent="0.55000000000000004">
      <c r="A822" t="s">
        <v>3533</v>
      </c>
      <c r="B822" t="s">
        <v>5115</v>
      </c>
      <c r="C822" t="s">
        <v>5115</v>
      </c>
      <c r="D822" t="s">
        <v>5115</v>
      </c>
      <c r="E822">
        <v>0.96724685876483296</v>
      </c>
      <c r="F822">
        <v>1.5099816487727199E-2</v>
      </c>
      <c r="G822">
        <v>1.20418649889612E-2</v>
      </c>
      <c r="H822">
        <v>5.6114597584791303E-3</v>
      </c>
      <c r="I822" t="s">
        <v>3533</v>
      </c>
      <c r="J822" t="s">
        <v>5115</v>
      </c>
    </row>
    <row r="823" spans="1:10" x14ac:dyDescent="0.55000000000000004">
      <c r="A823" t="s">
        <v>3534</v>
      </c>
      <c r="B823" t="s">
        <v>5115</v>
      </c>
      <c r="C823" t="s">
        <v>5115</v>
      </c>
      <c r="D823" t="s">
        <v>5115</v>
      </c>
      <c r="E823">
        <v>0.98225750044397198</v>
      </c>
      <c r="F823">
        <v>5.4933374526230996E-3</v>
      </c>
      <c r="G823">
        <v>7.5970981483201496E-3</v>
      </c>
      <c r="H823">
        <v>4.6520639550845597E-3</v>
      </c>
      <c r="I823" t="s">
        <v>3534</v>
      </c>
      <c r="J823" t="s">
        <v>5115</v>
      </c>
    </row>
    <row r="824" spans="1:10" x14ac:dyDescent="0.55000000000000004">
      <c r="A824" t="s">
        <v>3535</v>
      </c>
      <c r="B824" t="s">
        <v>5115</v>
      </c>
      <c r="C824" t="s">
        <v>5115</v>
      </c>
      <c r="D824" t="s">
        <v>5115</v>
      </c>
      <c r="E824">
        <v>0.941938509128326</v>
      </c>
      <c r="F824">
        <v>2.2622788460395799E-2</v>
      </c>
      <c r="G824">
        <v>2.9743630537491701E-2</v>
      </c>
      <c r="H824">
        <v>5.6950718737868097E-3</v>
      </c>
      <c r="I824" t="s">
        <v>3535</v>
      </c>
      <c r="J824" t="s">
        <v>5115</v>
      </c>
    </row>
    <row r="825" spans="1:10" x14ac:dyDescent="0.55000000000000004">
      <c r="A825" t="s">
        <v>3537</v>
      </c>
      <c r="B825" t="s">
        <v>5115</v>
      </c>
      <c r="C825" t="s">
        <v>5115</v>
      </c>
      <c r="D825" t="s">
        <v>5115</v>
      </c>
      <c r="E825">
        <v>0.94522502216614901</v>
      </c>
      <c r="F825">
        <v>1.6720919559652402E-2</v>
      </c>
      <c r="G825">
        <v>3.1456837882318497E-2</v>
      </c>
      <c r="H825">
        <v>6.5972203918798896E-3</v>
      </c>
      <c r="I825" t="s">
        <v>3537</v>
      </c>
      <c r="J825" t="s">
        <v>5115</v>
      </c>
    </row>
    <row r="826" spans="1:10" x14ac:dyDescent="0.55000000000000004">
      <c r="A826" t="s">
        <v>3538</v>
      </c>
      <c r="B826" t="s">
        <v>5115</v>
      </c>
      <c r="C826" t="s">
        <v>5115</v>
      </c>
      <c r="D826" t="s">
        <v>5115</v>
      </c>
      <c r="E826">
        <v>0.89940800319109804</v>
      </c>
      <c r="F826">
        <v>5.7707101835894697E-2</v>
      </c>
      <c r="G826">
        <v>3.5570745791659503E-2</v>
      </c>
      <c r="H826">
        <v>7.3141491813479799E-3</v>
      </c>
      <c r="I826" t="s">
        <v>3538</v>
      </c>
      <c r="J826" t="s">
        <v>5115</v>
      </c>
    </row>
    <row r="827" spans="1:10" x14ac:dyDescent="0.55000000000000004">
      <c r="A827" t="s">
        <v>3539</v>
      </c>
      <c r="B827" t="s">
        <v>5115</v>
      </c>
      <c r="C827" t="s">
        <v>5115</v>
      </c>
      <c r="D827" t="s">
        <v>5115</v>
      </c>
      <c r="E827">
        <v>0.90740077711598599</v>
      </c>
      <c r="F827">
        <v>3.6897477715161199E-2</v>
      </c>
      <c r="G827">
        <v>5.03770655425912E-2</v>
      </c>
      <c r="H827">
        <v>5.3246796262618598E-3</v>
      </c>
      <c r="I827" t="s">
        <v>3539</v>
      </c>
      <c r="J827" t="s">
        <v>5115</v>
      </c>
    </row>
    <row r="828" spans="1:10" x14ac:dyDescent="0.55000000000000004">
      <c r="A828" t="s">
        <v>3540</v>
      </c>
      <c r="B828" t="s">
        <v>5115</v>
      </c>
      <c r="C828" t="s">
        <v>5115</v>
      </c>
      <c r="D828" t="s">
        <v>5115</v>
      </c>
      <c r="E828">
        <v>0.977401320866219</v>
      </c>
      <c r="F828">
        <v>8.5815016304139295E-3</v>
      </c>
      <c r="G828">
        <v>9.2603977947630402E-3</v>
      </c>
      <c r="H828">
        <v>4.7567797086043298E-3</v>
      </c>
      <c r="I828" t="s">
        <v>3540</v>
      </c>
      <c r="J828" t="s">
        <v>5115</v>
      </c>
    </row>
    <row r="829" spans="1:10" x14ac:dyDescent="0.55000000000000004">
      <c r="A829" t="s">
        <v>3975</v>
      </c>
      <c r="B829" t="s">
        <v>5115</v>
      </c>
      <c r="C829" t="s">
        <v>5115</v>
      </c>
      <c r="D829" t="s">
        <v>5115</v>
      </c>
      <c r="E829">
        <v>0.977842271255559</v>
      </c>
      <c r="F829">
        <v>4.86338606677616E-3</v>
      </c>
      <c r="G829">
        <v>1.32347785591326E-2</v>
      </c>
      <c r="H829">
        <v>4.0595641185318197E-3</v>
      </c>
      <c r="I829" t="s">
        <v>3975</v>
      </c>
      <c r="J829" t="s">
        <v>5115</v>
      </c>
    </row>
    <row r="830" spans="1:10" x14ac:dyDescent="0.55000000000000004">
      <c r="A830" t="s">
        <v>3976</v>
      </c>
      <c r="B830" t="s">
        <v>5115</v>
      </c>
      <c r="C830" t="s">
        <v>5115</v>
      </c>
      <c r="D830" t="s">
        <v>5115</v>
      </c>
      <c r="E830">
        <v>0.97660129380082705</v>
      </c>
      <c r="F830">
        <v>8.2504774556549903E-3</v>
      </c>
      <c r="G830">
        <v>1.08752860651554E-2</v>
      </c>
      <c r="H830">
        <v>4.2729426783623802E-3</v>
      </c>
      <c r="I830" t="s">
        <v>3976</v>
      </c>
      <c r="J830" t="s">
        <v>5115</v>
      </c>
    </row>
    <row r="831" spans="1:10" x14ac:dyDescent="0.55000000000000004">
      <c r="A831" t="s">
        <v>3977</v>
      </c>
      <c r="B831" t="s">
        <v>5116</v>
      </c>
      <c r="C831" t="s">
        <v>5116</v>
      </c>
      <c r="D831" t="s">
        <v>5116</v>
      </c>
      <c r="E831">
        <v>3.5012904000119999E-3</v>
      </c>
      <c r="F831">
        <v>9.7383084032593506E-3</v>
      </c>
      <c r="G831">
        <v>0.98341371364443597</v>
      </c>
      <c r="H831">
        <v>3.3466875522930799E-3</v>
      </c>
      <c r="I831" t="s">
        <v>3977</v>
      </c>
      <c r="J831" t="s">
        <v>5116</v>
      </c>
    </row>
    <row r="832" spans="1:10" x14ac:dyDescent="0.55000000000000004">
      <c r="A832" t="s">
        <v>3978</v>
      </c>
      <c r="B832" t="s">
        <v>5115</v>
      </c>
      <c r="C832" t="s">
        <v>5115</v>
      </c>
      <c r="D832" t="s">
        <v>5115</v>
      </c>
      <c r="E832">
        <v>0.92877244210932497</v>
      </c>
      <c r="F832">
        <v>2.6345388732044998E-2</v>
      </c>
      <c r="G832">
        <v>3.8294412178109999E-2</v>
      </c>
      <c r="H832">
        <v>6.58775698051948E-3</v>
      </c>
      <c r="I832" t="s">
        <v>3978</v>
      </c>
      <c r="J832" t="s">
        <v>5115</v>
      </c>
    </row>
    <row r="833" spans="1:10" x14ac:dyDescent="0.55000000000000004">
      <c r="A833" t="s">
        <v>3979</v>
      </c>
      <c r="B833" t="s">
        <v>5115</v>
      </c>
      <c r="C833" t="s">
        <v>5115</v>
      </c>
      <c r="D833" t="s">
        <v>5115</v>
      </c>
      <c r="E833">
        <v>0.903328110571603</v>
      </c>
      <c r="F833">
        <v>6.6486714332885805E-2</v>
      </c>
      <c r="G833">
        <v>2.2355002974147099E-2</v>
      </c>
      <c r="H833">
        <v>7.8301721213643299E-3</v>
      </c>
      <c r="I833" t="s">
        <v>3979</v>
      </c>
      <c r="J833" t="s">
        <v>5115</v>
      </c>
    </row>
    <row r="834" spans="1:10" x14ac:dyDescent="0.55000000000000004">
      <c r="A834" t="s">
        <v>3980</v>
      </c>
      <c r="B834" t="s">
        <v>5115</v>
      </c>
      <c r="C834" t="s">
        <v>5115</v>
      </c>
      <c r="D834" t="s">
        <v>5115</v>
      </c>
      <c r="E834">
        <v>0.95968808598670896</v>
      </c>
      <c r="F834">
        <v>1.36908378345094E-2</v>
      </c>
      <c r="G834">
        <v>2.0673235675526699E-2</v>
      </c>
      <c r="H834">
        <v>5.9478405032550004E-3</v>
      </c>
      <c r="I834" t="s">
        <v>3980</v>
      </c>
      <c r="J834" t="s">
        <v>5115</v>
      </c>
    </row>
    <row r="835" spans="1:10" x14ac:dyDescent="0.55000000000000004">
      <c r="A835" t="s">
        <v>3981</v>
      </c>
      <c r="B835" t="s">
        <v>5115</v>
      </c>
      <c r="C835" t="s">
        <v>5115</v>
      </c>
      <c r="D835" t="s">
        <v>5115</v>
      </c>
      <c r="E835">
        <v>0.97850014953555298</v>
      </c>
      <c r="F835">
        <v>9.9195916043378594E-3</v>
      </c>
      <c r="G835">
        <v>7.9873297594287695E-3</v>
      </c>
      <c r="H835">
        <v>3.59292910068079E-3</v>
      </c>
      <c r="I835" t="s">
        <v>3981</v>
      </c>
      <c r="J835" t="s">
        <v>5115</v>
      </c>
    </row>
    <row r="836" spans="1:10" x14ac:dyDescent="0.55000000000000004">
      <c r="A836" t="s">
        <v>3982</v>
      </c>
      <c r="B836" t="s">
        <v>5115</v>
      </c>
      <c r="C836" t="s">
        <v>5115</v>
      </c>
      <c r="D836" t="s">
        <v>5115</v>
      </c>
      <c r="E836">
        <v>0.99226903882312101</v>
      </c>
      <c r="F836">
        <v>2.0292354880103599E-3</v>
      </c>
      <c r="G836">
        <v>2.1524619076181699E-3</v>
      </c>
      <c r="H836">
        <v>3.5492637812508201E-3</v>
      </c>
      <c r="I836" t="s">
        <v>3982</v>
      </c>
      <c r="J836" t="s">
        <v>5115</v>
      </c>
    </row>
    <row r="837" spans="1:10" x14ac:dyDescent="0.55000000000000004">
      <c r="A837" t="s">
        <v>3983</v>
      </c>
      <c r="B837" t="s">
        <v>5115</v>
      </c>
      <c r="C837" t="s">
        <v>5115</v>
      </c>
      <c r="D837" t="s">
        <v>5115</v>
      </c>
      <c r="E837">
        <v>0.84091115101101299</v>
      </c>
      <c r="F837">
        <v>3.9372058240732102E-2</v>
      </c>
      <c r="G837">
        <v>0.112848393964875</v>
      </c>
      <c r="H837">
        <v>6.86839678337978E-3</v>
      </c>
      <c r="I837" t="s">
        <v>3983</v>
      </c>
      <c r="J837" t="s">
        <v>5115</v>
      </c>
    </row>
    <row r="838" spans="1:10" x14ac:dyDescent="0.55000000000000004">
      <c r="A838" t="s">
        <v>3984</v>
      </c>
      <c r="B838" t="s">
        <v>5115</v>
      </c>
      <c r="C838" t="s">
        <v>5115</v>
      </c>
      <c r="D838" t="s">
        <v>5115</v>
      </c>
      <c r="E838">
        <v>0.96580470883152703</v>
      </c>
      <c r="F838">
        <v>1.0464283775626399E-2</v>
      </c>
      <c r="G838">
        <v>1.8823537368997698E-2</v>
      </c>
      <c r="H838">
        <v>4.9074700238482599E-3</v>
      </c>
      <c r="I838" t="s">
        <v>3984</v>
      </c>
      <c r="J838" t="s">
        <v>5115</v>
      </c>
    </row>
    <row r="839" spans="1:10" x14ac:dyDescent="0.55000000000000004">
      <c r="A839" t="s">
        <v>3985</v>
      </c>
      <c r="B839" t="s">
        <v>5115</v>
      </c>
      <c r="C839" t="s">
        <v>5115</v>
      </c>
      <c r="D839" t="s">
        <v>5115</v>
      </c>
      <c r="E839">
        <v>0.72335909547005095</v>
      </c>
      <c r="F839">
        <v>6.3798803824317393E-2</v>
      </c>
      <c r="G839">
        <v>0.1934356455846</v>
      </c>
      <c r="H839">
        <v>1.9406455121031899E-2</v>
      </c>
      <c r="I839" t="s">
        <v>3985</v>
      </c>
      <c r="J839" t="s">
        <v>5115</v>
      </c>
    </row>
    <row r="840" spans="1:10" x14ac:dyDescent="0.55000000000000004">
      <c r="A840" t="s">
        <v>3986</v>
      </c>
      <c r="B840" t="s">
        <v>5115</v>
      </c>
      <c r="C840" t="s">
        <v>5115</v>
      </c>
      <c r="D840" t="s">
        <v>5115</v>
      </c>
      <c r="E840">
        <v>0.87209709342588904</v>
      </c>
      <c r="F840">
        <v>8.0025345782681695E-2</v>
      </c>
      <c r="G840">
        <v>3.97597054165627E-2</v>
      </c>
      <c r="H840">
        <v>8.1178553748667004E-3</v>
      </c>
      <c r="I840" t="s">
        <v>3986</v>
      </c>
      <c r="J840" t="s">
        <v>5115</v>
      </c>
    </row>
    <row r="841" spans="1:10" x14ac:dyDescent="0.55000000000000004">
      <c r="A841" t="s">
        <v>3649</v>
      </c>
      <c r="B841" t="s">
        <v>5116</v>
      </c>
      <c r="C841" t="s">
        <v>5116</v>
      </c>
      <c r="D841" t="s">
        <v>5116</v>
      </c>
      <c r="E841">
        <v>3.5373012352434802E-3</v>
      </c>
      <c r="F841">
        <v>3.12785630218764E-3</v>
      </c>
      <c r="G841">
        <v>0.98994354669511397</v>
      </c>
      <c r="H841">
        <v>3.3912957674552802E-3</v>
      </c>
      <c r="I841" t="s">
        <v>3649</v>
      </c>
      <c r="J841" t="s">
        <v>5116</v>
      </c>
    </row>
    <row r="842" spans="1:10" x14ac:dyDescent="0.55000000000000004">
      <c r="A842" t="s">
        <v>3650</v>
      </c>
      <c r="B842" t="s">
        <v>5116</v>
      </c>
      <c r="C842" t="s">
        <v>5116</v>
      </c>
      <c r="D842" t="s">
        <v>5116</v>
      </c>
      <c r="E842">
        <v>1.33228349883077E-2</v>
      </c>
      <c r="F842">
        <v>8.9159311900953598E-3</v>
      </c>
      <c r="G842">
        <v>0.973438256780077</v>
      </c>
      <c r="H842">
        <v>4.3229770415195001E-3</v>
      </c>
      <c r="I842" t="s">
        <v>3650</v>
      </c>
      <c r="J842" t="s">
        <v>5116</v>
      </c>
    </row>
    <row r="843" spans="1:10" x14ac:dyDescent="0.55000000000000004">
      <c r="A843" t="s">
        <v>3651</v>
      </c>
      <c r="B843" t="s">
        <v>5115</v>
      </c>
      <c r="C843" t="s">
        <v>5115</v>
      </c>
      <c r="D843" t="s">
        <v>5115</v>
      </c>
      <c r="E843">
        <v>0.97332730572382498</v>
      </c>
      <c r="F843">
        <v>1.0401278100778301E-2</v>
      </c>
      <c r="G843">
        <v>1.0503226819915199E-2</v>
      </c>
      <c r="H843">
        <v>5.7681893554811497E-3</v>
      </c>
      <c r="I843" t="s">
        <v>3651</v>
      </c>
      <c r="J843" t="s">
        <v>5115</v>
      </c>
    </row>
    <row r="844" spans="1:10" x14ac:dyDescent="0.55000000000000004">
      <c r="A844" t="s">
        <v>3652</v>
      </c>
      <c r="B844" t="s">
        <v>5116</v>
      </c>
      <c r="C844" t="s">
        <v>5116</v>
      </c>
      <c r="D844" t="s">
        <v>5116</v>
      </c>
      <c r="E844">
        <v>4.2522383117896698E-3</v>
      </c>
      <c r="F844">
        <v>7.62891112961673E-3</v>
      </c>
      <c r="G844">
        <v>0.98507351888690298</v>
      </c>
      <c r="H844">
        <v>3.04533167169058E-3</v>
      </c>
      <c r="I844" t="s">
        <v>3652</v>
      </c>
      <c r="J844" t="s">
        <v>5116</v>
      </c>
    </row>
    <row r="845" spans="1:10" x14ac:dyDescent="0.55000000000000004">
      <c r="A845" t="s">
        <v>3653</v>
      </c>
      <c r="B845" t="s">
        <v>5115</v>
      </c>
      <c r="C845" t="s">
        <v>5115</v>
      </c>
      <c r="D845" t="s">
        <v>5115</v>
      </c>
      <c r="E845">
        <v>0.96686295772965702</v>
      </c>
      <c r="F845">
        <v>1.1587627112917401E-2</v>
      </c>
      <c r="G845">
        <v>1.7285136233336901E-2</v>
      </c>
      <c r="H845">
        <v>4.2642789240886101E-3</v>
      </c>
      <c r="I845" t="s">
        <v>3653</v>
      </c>
      <c r="J845" t="s">
        <v>5115</v>
      </c>
    </row>
    <row r="846" spans="1:10" x14ac:dyDescent="0.55000000000000004">
      <c r="A846" t="s">
        <v>3654</v>
      </c>
      <c r="B846" t="s">
        <v>5116</v>
      </c>
      <c r="C846" t="s">
        <v>5116</v>
      </c>
      <c r="D846" t="s">
        <v>5116</v>
      </c>
      <c r="E846">
        <v>1.1631401277771999E-2</v>
      </c>
      <c r="F846">
        <v>1.7350958730482698E-2</v>
      </c>
      <c r="G846">
        <v>0.96757923716109795</v>
      </c>
      <c r="H846">
        <v>3.4384028306471198E-3</v>
      </c>
      <c r="I846" t="s">
        <v>3654</v>
      </c>
      <c r="J846" t="s">
        <v>5116</v>
      </c>
    </row>
    <row r="847" spans="1:10" x14ac:dyDescent="0.55000000000000004">
      <c r="A847" t="s">
        <v>3655</v>
      </c>
      <c r="B847" t="s">
        <v>5116</v>
      </c>
      <c r="C847" t="s">
        <v>5116</v>
      </c>
      <c r="D847" t="s">
        <v>5116</v>
      </c>
      <c r="E847">
        <v>6.0644035181270303E-3</v>
      </c>
      <c r="F847">
        <v>1.0668686592289801E-2</v>
      </c>
      <c r="G847">
        <v>0.98019626324282105</v>
      </c>
      <c r="H847">
        <v>3.0706466467623301E-3</v>
      </c>
      <c r="I847" t="s">
        <v>3655</v>
      </c>
      <c r="J847" t="s">
        <v>5116</v>
      </c>
    </row>
    <row r="848" spans="1:10" x14ac:dyDescent="0.55000000000000004">
      <c r="A848" t="s">
        <v>3656</v>
      </c>
      <c r="B848" t="s">
        <v>5116</v>
      </c>
      <c r="C848" t="s">
        <v>5116</v>
      </c>
      <c r="D848" t="s">
        <v>5116</v>
      </c>
      <c r="E848">
        <v>4.7556411189428301E-3</v>
      </c>
      <c r="F848">
        <v>6.2611787760847998E-3</v>
      </c>
      <c r="G848">
        <v>0.986018613601372</v>
      </c>
      <c r="H848">
        <v>2.9645665035998498E-3</v>
      </c>
      <c r="I848" t="s">
        <v>3656</v>
      </c>
      <c r="J848" t="s">
        <v>5116</v>
      </c>
    </row>
    <row r="849" spans="1:11" x14ac:dyDescent="0.55000000000000004">
      <c r="A849" t="s">
        <v>3657</v>
      </c>
      <c r="B849" t="s">
        <v>5116</v>
      </c>
      <c r="C849" t="s">
        <v>5116</v>
      </c>
      <c r="D849" t="s">
        <v>5116</v>
      </c>
      <c r="E849">
        <v>4.6321393056564398E-3</v>
      </c>
      <c r="F849">
        <v>9.1156635844864605E-3</v>
      </c>
      <c r="G849">
        <v>0.98331879165232605</v>
      </c>
      <c r="H849">
        <v>2.9334054575310999E-3</v>
      </c>
      <c r="I849" t="s">
        <v>3657</v>
      </c>
      <c r="J849" t="s">
        <v>5116</v>
      </c>
    </row>
    <row r="850" spans="1:11" x14ac:dyDescent="0.55000000000000004">
      <c r="A850" t="s">
        <v>3658</v>
      </c>
      <c r="B850" t="s">
        <v>5115</v>
      </c>
      <c r="C850" t="s">
        <v>5115</v>
      </c>
      <c r="D850" t="s">
        <v>5115</v>
      </c>
      <c r="E850">
        <v>0.97201748393909904</v>
      </c>
      <c r="F850">
        <v>1.0731798283977601E-2</v>
      </c>
      <c r="G850">
        <v>1.2934861826149601E-2</v>
      </c>
      <c r="H850">
        <v>4.31585595077377E-3</v>
      </c>
      <c r="I850" t="s">
        <v>3658</v>
      </c>
      <c r="J850" t="s">
        <v>5115</v>
      </c>
    </row>
    <row r="851" spans="1:11" x14ac:dyDescent="0.55000000000000004">
      <c r="A851" t="s">
        <v>3659</v>
      </c>
      <c r="B851" t="s">
        <v>5115</v>
      </c>
      <c r="C851" t="s">
        <v>5115</v>
      </c>
      <c r="D851" t="s">
        <v>5115</v>
      </c>
      <c r="E851">
        <v>0.922167767354512</v>
      </c>
      <c r="F851">
        <v>4.1027076931694599E-2</v>
      </c>
      <c r="G851">
        <v>2.95857964016282E-2</v>
      </c>
      <c r="H851">
        <v>7.21935931216512E-3</v>
      </c>
      <c r="I851" t="s">
        <v>3659</v>
      </c>
      <c r="J851" t="s">
        <v>5115</v>
      </c>
    </row>
    <row r="852" spans="1:11" x14ac:dyDescent="0.55000000000000004">
      <c r="A852" t="s">
        <v>3660</v>
      </c>
      <c r="B852" t="s">
        <v>5116</v>
      </c>
      <c r="C852" t="s">
        <v>5116</v>
      </c>
      <c r="D852" t="s">
        <v>5116</v>
      </c>
      <c r="E852">
        <v>7.3278808362071401E-3</v>
      </c>
      <c r="F852">
        <v>6.61003204249424E-3</v>
      </c>
      <c r="G852">
        <v>0.98165555260638904</v>
      </c>
      <c r="H852">
        <v>4.4065345149097096E-3</v>
      </c>
      <c r="I852" t="s">
        <v>3660</v>
      </c>
      <c r="J852" t="s">
        <v>5116</v>
      </c>
    </row>
    <row r="853" spans="1:11" x14ac:dyDescent="0.55000000000000004">
      <c r="A853" t="s">
        <v>3367</v>
      </c>
      <c r="B853" t="s">
        <v>5115</v>
      </c>
      <c r="C853" t="s">
        <v>5115</v>
      </c>
      <c r="D853" t="s">
        <v>5115</v>
      </c>
      <c r="E853">
        <v>0.95450082265386804</v>
      </c>
      <c r="F853">
        <v>2.2650711793459299E-2</v>
      </c>
      <c r="G853">
        <v>1.6266963573898199E-2</v>
      </c>
      <c r="H853">
        <v>6.5815019787749604E-3</v>
      </c>
      <c r="I853" t="s">
        <v>3367</v>
      </c>
      <c r="J853" t="s">
        <v>5115</v>
      </c>
    </row>
    <row r="854" spans="1:11" x14ac:dyDescent="0.55000000000000004">
      <c r="A854" t="s">
        <v>3368</v>
      </c>
      <c r="B854" t="s">
        <v>5115</v>
      </c>
      <c r="C854" t="s">
        <v>5115</v>
      </c>
      <c r="D854" t="s">
        <v>5115</v>
      </c>
      <c r="E854">
        <v>0.949501807381674</v>
      </c>
      <c r="F854">
        <v>2.1862359426307799E-2</v>
      </c>
      <c r="G854">
        <v>2.3557728716478699E-2</v>
      </c>
      <c r="H854">
        <v>5.0781044755401896E-3</v>
      </c>
      <c r="I854" t="s">
        <v>3368</v>
      </c>
      <c r="J854" t="s">
        <v>5115</v>
      </c>
    </row>
    <row r="855" spans="1:11" x14ac:dyDescent="0.55000000000000004">
      <c r="A855" t="s">
        <v>3369</v>
      </c>
      <c r="B855" t="s">
        <v>5115</v>
      </c>
      <c r="C855" t="s">
        <v>5115</v>
      </c>
      <c r="D855" t="s">
        <v>5115</v>
      </c>
      <c r="E855">
        <v>0.97304273436988198</v>
      </c>
      <c r="F855">
        <v>1.0295172239146199E-2</v>
      </c>
      <c r="G855">
        <v>1.2835904425687199E-2</v>
      </c>
      <c r="H855">
        <v>3.8261889652846E-3</v>
      </c>
      <c r="I855" t="s">
        <v>3369</v>
      </c>
      <c r="J855" t="s">
        <v>5115</v>
      </c>
    </row>
    <row r="856" spans="1:11" x14ac:dyDescent="0.55000000000000004">
      <c r="A856" t="s">
        <v>3370</v>
      </c>
      <c r="B856" t="s">
        <v>5115</v>
      </c>
      <c r="C856" t="s">
        <v>5115</v>
      </c>
      <c r="D856" t="s">
        <v>5115</v>
      </c>
      <c r="E856">
        <v>0.92662875091407004</v>
      </c>
      <c r="F856">
        <v>4.1268409888496199E-2</v>
      </c>
      <c r="G856">
        <v>2.6436341749310401E-2</v>
      </c>
      <c r="H856">
        <v>5.6664974481227901E-3</v>
      </c>
      <c r="I856" t="s">
        <v>3370</v>
      </c>
      <c r="J856" t="s">
        <v>5115</v>
      </c>
    </row>
    <row r="857" spans="1:11" x14ac:dyDescent="0.55000000000000004">
      <c r="A857" t="s">
        <v>3371</v>
      </c>
      <c r="B857" t="s">
        <v>5115</v>
      </c>
      <c r="C857" t="s">
        <v>5115</v>
      </c>
      <c r="D857" t="s">
        <v>5115</v>
      </c>
      <c r="E857">
        <v>0.74037211035061301</v>
      </c>
      <c r="F857">
        <v>0.18629824484135299</v>
      </c>
      <c r="G857">
        <v>6.1955373288515102E-2</v>
      </c>
      <c r="H857">
        <v>1.13742715195195E-2</v>
      </c>
      <c r="I857" t="s">
        <v>3371</v>
      </c>
      <c r="J857" t="s">
        <v>5115</v>
      </c>
    </row>
    <row r="858" spans="1:11" x14ac:dyDescent="0.55000000000000004">
      <c r="A858" t="s">
        <v>3372</v>
      </c>
      <c r="B858" t="s">
        <v>5115</v>
      </c>
      <c r="C858" t="s">
        <v>5115</v>
      </c>
      <c r="D858" t="s">
        <v>5115</v>
      </c>
      <c r="E858">
        <v>0.78111412235393496</v>
      </c>
      <c r="F858">
        <v>0.11145081579053</v>
      </c>
      <c r="G858">
        <v>9.8123392590342806E-2</v>
      </c>
      <c r="H858">
        <v>9.3116692651915908E-3</v>
      </c>
      <c r="I858" t="s">
        <v>3372</v>
      </c>
      <c r="J858" t="s">
        <v>5115</v>
      </c>
    </row>
    <row r="859" spans="1:11" x14ac:dyDescent="0.55000000000000004">
      <c r="A859" t="s">
        <v>3373</v>
      </c>
      <c r="B859" t="s">
        <v>5115</v>
      </c>
      <c r="C859" t="s">
        <v>5115</v>
      </c>
      <c r="D859" t="s">
        <v>5115</v>
      </c>
      <c r="E859">
        <v>0.80888791875342003</v>
      </c>
      <c r="F859">
        <v>7.8385884580025905E-2</v>
      </c>
      <c r="G859">
        <v>0.105043734736968</v>
      </c>
      <c r="H859">
        <v>7.6824619295863799E-3</v>
      </c>
      <c r="I859" t="s">
        <v>3373</v>
      </c>
      <c r="J859" t="s">
        <v>5115</v>
      </c>
    </row>
    <row r="860" spans="1:11" x14ac:dyDescent="0.55000000000000004">
      <c r="A860" t="s">
        <v>3374</v>
      </c>
      <c r="B860" t="s">
        <v>5115</v>
      </c>
      <c r="C860" t="s">
        <v>5115</v>
      </c>
      <c r="D860" t="s">
        <v>5115</v>
      </c>
      <c r="E860">
        <v>0.850931668902559</v>
      </c>
      <c r="F860">
        <v>0.111285093814392</v>
      </c>
      <c r="G860">
        <v>2.87979907414521E-2</v>
      </c>
      <c r="H860">
        <v>8.9852465415975399E-3</v>
      </c>
      <c r="I860" t="s">
        <v>3374</v>
      </c>
      <c r="J860" t="s">
        <v>5115</v>
      </c>
    </row>
    <row r="861" spans="1:11" x14ac:dyDescent="0.55000000000000004">
      <c r="A861" t="s">
        <v>3375</v>
      </c>
      <c r="B861" t="s">
        <v>5115</v>
      </c>
      <c r="C861" t="s">
        <v>5115</v>
      </c>
      <c r="D861" t="s">
        <v>5115</v>
      </c>
      <c r="E861">
        <v>0.54317554374696697</v>
      </c>
      <c r="F861">
        <v>0.216122930259874</v>
      </c>
      <c r="G861">
        <v>0.181078239661006</v>
      </c>
      <c r="H861">
        <v>5.9623286332153497E-2</v>
      </c>
      <c r="I861" t="s">
        <v>3375</v>
      </c>
      <c r="J861" t="s">
        <v>5117</v>
      </c>
      <c r="K861" t="s">
        <v>5118</v>
      </c>
    </row>
    <row r="862" spans="1:11" x14ac:dyDescent="0.55000000000000004">
      <c r="A862" t="s">
        <v>3376</v>
      </c>
      <c r="B862" t="s">
        <v>5115</v>
      </c>
      <c r="C862" t="s">
        <v>5115</v>
      </c>
      <c r="D862" t="s">
        <v>5115</v>
      </c>
      <c r="E862">
        <v>0.97259422164973497</v>
      </c>
      <c r="F862">
        <v>7.8038915855926198E-3</v>
      </c>
      <c r="G862">
        <v>1.44107806903437E-2</v>
      </c>
      <c r="H862">
        <v>5.1911060743284904E-3</v>
      </c>
      <c r="I862" t="s">
        <v>3376</v>
      </c>
      <c r="J862" t="s">
        <v>5115</v>
      </c>
    </row>
    <row r="863" spans="1:11" x14ac:dyDescent="0.55000000000000004">
      <c r="A863" t="s">
        <v>3377</v>
      </c>
      <c r="B863" t="s">
        <v>5115</v>
      </c>
      <c r="C863" t="s">
        <v>5115</v>
      </c>
      <c r="D863" t="s">
        <v>5115</v>
      </c>
      <c r="E863">
        <v>0.85147055863580301</v>
      </c>
      <c r="F863">
        <v>9.5615077921968106E-2</v>
      </c>
      <c r="G863">
        <v>4.2703910812392103E-2</v>
      </c>
      <c r="H863">
        <v>1.02104526298367E-2</v>
      </c>
      <c r="I863" t="s">
        <v>3377</v>
      </c>
      <c r="J863" t="s">
        <v>5115</v>
      </c>
    </row>
    <row r="864" spans="1:11" x14ac:dyDescent="0.55000000000000004">
      <c r="A864" t="s">
        <v>3378</v>
      </c>
      <c r="B864" t="s">
        <v>5115</v>
      </c>
      <c r="C864" t="s">
        <v>5115</v>
      </c>
      <c r="D864" t="s">
        <v>5115</v>
      </c>
      <c r="E864">
        <v>0.93124068729305198</v>
      </c>
      <c r="F864">
        <v>2.6108407280431099E-2</v>
      </c>
      <c r="G864">
        <v>3.7962711694792303E-2</v>
      </c>
      <c r="H864">
        <v>4.6881937317248502E-3</v>
      </c>
      <c r="I864" t="s">
        <v>3378</v>
      </c>
      <c r="J864" t="s">
        <v>5115</v>
      </c>
    </row>
    <row r="865" spans="1:11" x14ac:dyDescent="0.55000000000000004">
      <c r="A865" t="s">
        <v>3393</v>
      </c>
      <c r="B865" t="s">
        <v>5115</v>
      </c>
      <c r="C865" t="s">
        <v>5115</v>
      </c>
      <c r="D865" t="s">
        <v>5115</v>
      </c>
      <c r="E865">
        <v>0.92993695162108303</v>
      </c>
      <c r="F865">
        <v>3.6614816574249399E-2</v>
      </c>
      <c r="G865">
        <v>2.78299000261789E-2</v>
      </c>
      <c r="H865">
        <v>5.6183317784883604E-3</v>
      </c>
      <c r="I865" t="s">
        <v>3393</v>
      </c>
      <c r="J865" t="s">
        <v>5115</v>
      </c>
    </row>
    <row r="866" spans="1:11" x14ac:dyDescent="0.55000000000000004">
      <c r="A866" t="s">
        <v>3394</v>
      </c>
      <c r="B866" t="s">
        <v>5115</v>
      </c>
      <c r="C866" t="s">
        <v>5115</v>
      </c>
      <c r="D866" t="s">
        <v>5115</v>
      </c>
      <c r="E866">
        <v>0.92239347728476695</v>
      </c>
      <c r="F866">
        <v>3.4165395505919002E-2</v>
      </c>
      <c r="G866">
        <v>3.6959078614194299E-2</v>
      </c>
      <c r="H866">
        <v>6.4820485951205204E-3</v>
      </c>
      <c r="I866" t="s">
        <v>3394</v>
      </c>
      <c r="J866" t="s">
        <v>5115</v>
      </c>
    </row>
    <row r="867" spans="1:11" x14ac:dyDescent="0.55000000000000004">
      <c r="A867" t="s">
        <v>3395</v>
      </c>
      <c r="B867" t="s">
        <v>5115</v>
      </c>
      <c r="C867" t="s">
        <v>5115</v>
      </c>
      <c r="D867" t="s">
        <v>5115</v>
      </c>
      <c r="E867">
        <v>0.93478772594198201</v>
      </c>
      <c r="F867">
        <v>3.6923865854117E-2</v>
      </c>
      <c r="G867">
        <v>2.29492085695122E-2</v>
      </c>
      <c r="H867">
        <v>5.3391996343888498E-3</v>
      </c>
      <c r="I867" t="s">
        <v>3395</v>
      </c>
      <c r="J867" t="s">
        <v>5115</v>
      </c>
    </row>
    <row r="868" spans="1:11" x14ac:dyDescent="0.55000000000000004">
      <c r="A868" t="s">
        <v>3396</v>
      </c>
      <c r="B868" t="s">
        <v>5115</v>
      </c>
      <c r="C868" t="s">
        <v>5115</v>
      </c>
      <c r="D868" t="s">
        <v>5115</v>
      </c>
      <c r="E868">
        <v>0.93975955762631802</v>
      </c>
      <c r="F868">
        <v>2.9862528052751299E-2</v>
      </c>
      <c r="G868">
        <v>2.5826873048408899E-2</v>
      </c>
      <c r="H868">
        <v>4.5510412725218103E-3</v>
      </c>
      <c r="I868" t="s">
        <v>3396</v>
      </c>
      <c r="J868" t="s">
        <v>5115</v>
      </c>
    </row>
    <row r="869" spans="1:11" x14ac:dyDescent="0.55000000000000004">
      <c r="A869" t="s">
        <v>3397</v>
      </c>
      <c r="B869" t="s">
        <v>5115</v>
      </c>
      <c r="C869" t="s">
        <v>5115</v>
      </c>
      <c r="D869" t="s">
        <v>5115</v>
      </c>
      <c r="E869">
        <v>0.93720538469324299</v>
      </c>
      <c r="F869">
        <v>3.9872607209269703E-2</v>
      </c>
      <c r="G869">
        <v>1.6469346392811699E-2</v>
      </c>
      <c r="H869">
        <v>6.4526617046754397E-3</v>
      </c>
      <c r="I869" t="s">
        <v>3397</v>
      </c>
      <c r="J869" t="s">
        <v>5115</v>
      </c>
    </row>
    <row r="870" spans="1:11" x14ac:dyDescent="0.55000000000000004">
      <c r="A870" t="s">
        <v>3398</v>
      </c>
      <c r="B870" t="s">
        <v>5115</v>
      </c>
      <c r="C870" t="s">
        <v>5115</v>
      </c>
      <c r="D870" t="s">
        <v>5115</v>
      </c>
      <c r="E870">
        <v>0.97528021569214896</v>
      </c>
      <c r="F870">
        <v>9.7342305298288804E-3</v>
      </c>
      <c r="G870">
        <v>1.13273854221718E-2</v>
      </c>
      <c r="H870">
        <v>3.6581683558502701E-3</v>
      </c>
      <c r="I870" t="s">
        <v>3398</v>
      </c>
      <c r="J870" t="s">
        <v>5115</v>
      </c>
    </row>
    <row r="871" spans="1:11" x14ac:dyDescent="0.55000000000000004">
      <c r="A871" t="s">
        <v>3399</v>
      </c>
      <c r="B871" t="s">
        <v>5115</v>
      </c>
      <c r="C871" t="s">
        <v>5115</v>
      </c>
      <c r="D871" t="s">
        <v>5115</v>
      </c>
      <c r="E871">
        <v>0.96729621667229404</v>
      </c>
      <c r="F871">
        <v>1.1467317661262201E-2</v>
      </c>
      <c r="G871">
        <v>1.6016043877866398E-2</v>
      </c>
      <c r="H871">
        <v>5.2204217885777702E-3</v>
      </c>
      <c r="I871" t="s">
        <v>3399</v>
      </c>
      <c r="J871" t="s">
        <v>5115</v>
      </c>
    </row>
    <row r="872" spans="1:11" x14ac:dyDescent="0.55000000000000004">
      <c r="A872" t="s">
        <v>3400</v>
      </c>
      <c r="B872" t="s">
        <v>5115</v>
      </c>
      <c r="C872" t="s">
        <v>5115</v>
      </c>
      <c r="D872" t="s">
        <v>5115</v>
      </c>
      <c r="E872">
        <v>0.93169384093489205</v>
      </c>
      <c r="F872">
        <v>3.7438113759979699E-2</v>
      </c>
      <c r="G872">
        <v>2.51769000213313E-2</v>
      </c>
      <c r="H872">
        <v>5.6911452837970699E-3</v>
      </c>
      <c r="I872" t="s">
        <v>3400</v>
      </c>
      <c r="J872" t="s">
        <v>5115</v>
      </c>
    </row>
    <row r="873" spans="1:11" x14ac:dyDescent="0.55000000000000004">
      <c r="A873" t="s">
        <v>3401</v>
      </c>
      <c r="B873" t="s">
        <v>5115</v>
      </c>
      <c r="C873" t="s">
        <v>5115</v>
      </c>
      <c r="D873" t="s">
        <v>5115</v>
      </c>
      <c r="E873">
        <v>0.91453050521008505</v>
      </c>
      <c r="F873">
        <v>3.0259521860597501E-2</v>
      </c>
      <c r="G873">
        <v>4.7116553520246102E-2</v>
      </c>
      <c r="H873">
        <v>8.0934194090713403E-3</v>
      </c>
      <c r="I873" t="s">
        <v>3401</v>
      </c>
      <c r="J873" t="s">
        <v>5115</v>
      </c>
    </row>
    <row r="874" spans="1:11" x14ac:dyDescent="0.55000000000000004">
      <c r="A874" t="s">
        <v>3402</v>
      </c>
      <c r="B874" t="s">
        <v>5115</v>
      </c>
      <c r="C874" t="s">
        <v>5115</v>
      </c>
      <c r="D874" t="s">
        <v>5115</v>
      </c>
      <c r="E874">
        <v>0.96277987131917597</v>
      </c>
      <c r="F874">
        <v>1.79284806480383E-2</v>
      </c>
      <c r="G874">
        <v>1.2028622460086199E-2</v>
      </c>
      <c r="H874">
        <v>7.2630255726997099E-3</v>
      </c>
      <c r="I874" t="s">
        <v>3402</v>
      </c>
      <c r="J874" t="s">
        <v>5115</v>
      </c>
    </row>
    <row r="875" spans="1:11" x14ac:dyDescent="0.55000000000000004">
      <c r="A875" t="s">
        <v>3403</v>
      </c>
      <c r="B875" t="s">
        <v>5115</v>
      </c>
      <c r="C875" t="s">
        <v>5115</v>
      </c>
      <c r="D875" t="s">
        <v>5115</v>
      </c>
      <c r="E875">
        <v>0.96276629113659795</v>
      </c>
      <c r="F875">
        <v>1.8713030512508302E-2</v>
      </c>
      <c r="G875">
        <v>1.4519309473409001E-2</v>
      </c>
      <c r="H875">
        <v>4.0013688774850099E-3</v>
      </c>
      <c r="I875" t="s">
        <v>3403</v>
      </c>
      <c r="J875" t="s">
        <v>5115</v>
      </c>
    </row>
    <row r="876" spans="1:11" x14ac:dyDescent="0.55000000000000004">
      <c r="A876" t="s">
        <v>3404</v>
      </c>
      <c r="B876" t="s">
        <v>5115</v>
      </c>
      <c r="C876" t="s">
        <v>5115</v>
      </c>
      <c r="D876" t="s">
        <v>5115</v>
      </c>
      <c r="E876">
        <v>0.94583294555315001</v>
      </c>
      <c r="F876">
        <v>2.0941320794086699E-2</v>
      </c>
      <c r="G876">
        <v>2.7173583274772602E-2</v>
      </c>
      <c r="H876">
        <v>6.0521503779903197E-3</v>
      </c>
      <c r="I876" t="s">
        <v>3404</v>
      </c>
      <c r="J876" t="s">
        <v>5115</v>
      </c>
    </row>
    <row r="877" spans="1:11" x14ac:dyDescent="0.55000000000000004">
      <c r="A877" t="s">
        <v>5082</v>
      </c>
      <c r="B877" t="s">
        <v>5167</v>
      </c>
      <c r="C877" t="s">
        <v>5116</v>
      </c>
      <c r="D877" t="s">
        <v>5116</v>
      </c>
      <c r="E877">
        <v>0.14753198993445699</v>
      </c>
      <c r="F877">
        <v>0.176666452515855</v>
      </c>
      <c r="G877">
        <v>0.66557788495813897</v>
      </c>
      <c r="H877">
        <v>1.02236725915489E-2</v>
      </c>
      <c r="I877" t="s">
        <v>5082</v>
      </c>
      <c r="J877" t="s">
        <v>5117</v>
      </c>
      <c r="K877" t="s">
        <v>5166</v>
      </c>
    </row>
    <row r="878" spans="1:11" x14ac:dyDescent="0.55000000000000004">
      <c r="A878" t="s">
        <v>3868</v>
      </c>
      <c r="B878" t="s">
        <v>5115</v>
      </c>
      <c r="C878" t="s">
        <v>5115</v>
      </c>
      <c r="D878" t="s">
        <v>5115</v>
      </c>
      <c r="E878">
        <v>0.82381076699451306</v>
      </c>
      <c r="F878">
        <v>0.138059009869586</v>
      </c>
      <c r="G878">
        <v>3.0891143984444699E-2</v>
      </c>
      <c r="H878">
        <v>7.2390791514560801E-3</v>
      </c>
      <c r="I878" t="s">
        <v>3868</v>
      </c>
      <c r="J878" t="s">
        <v>5115</v>
      </c>
    </row>
    <row r="879" spans="1:11" x14ac:dyDescent="0.55000000000000004">
      <c r="A879" t="s">
        <v>3869</v>
      </c>
      <c r="B879" t="s">
        <v>5115</v>
      </c>
      <c r="C879" t="s">
        <v>5115</v>
      </c>
      <c r="D879" t="s">
        <v>5115</v>
      </c>
      <c r="E879">
        <v>0.98151418968870696</v>
      </c>
      <c r="F879">
        <v>6.0148617472540501E-3</v>
      </c>
      <c r="G879">
        <v>8.8050581543714593E-3</v>
      </c>
      <c r="H879">
        <v>3.6658904096671299E-3</v>
      </c>
      <c r="I879" t="s">
        <v>3869</v>
      </c>
      <c r="J879" t="s">
        <v>5115</v>
      </c>
    </row>
    <row r="880" spans="1:11" x14ac:dyDescent="0.55000000000000004">
      <c r="A880" t="s">
        <v>3871</v>
      </c>
      <c r="B880" t="s">
        <v>5115</v>
      </c>
      <c r="C880" t="s">
        <v>5115</v>
      </c>
      <c r="D880" t="s">
        <v>5115</v>
      </c>
      <c r="E880">
        <v>0.94036113088777395</v>
      </c>
      <c r="F880">
        <v>2.1605151197751301E-2</v>
      </c>
      <c r="G880">
        <v>3.2615076404883703E-2</v>
      </c>
      <c r="H880">
        <v>5.4186415095915296E-3</v>
      </c>
      <c r="I880" t="s">
        <v>3871</v>
      </c>
      <c r="J880" t="s">
        <v>5115</v>
      </c>
    </row>
    <row r="881" spans="1:10" x14ac:dyDescent="0.55000000000000004">
      <c r="A881" t="s">
        <v>3872</v>
      </c>
      <c r="B881" t="s">
        <v>5115</v>
      </c>
      <c r="C881" t="s">
        <v>5115</v>
      </c>
      <c r="D881" t="s">
        <v>5115</v>
      </c>
      <c r="E881">
        <v>0.98920085939536795</v>
      </c>
      <c r="F881">
        <v>2.5660898211234801E-3</v>
      </c>
      <c r="G881">
        <v>4.0983811376708998E-3</v>
      </c>
      <c r="H881">
        <v>4.1346696458373503E-3</v>
      </c>
      <c r="I881" t="s">
        <v>3872</v>
      </c>
      <c r="J881" t="s">
        <v>5115</v>
      </c>
    </row>
    <row r="882" spans="1:10" x14ac:dyDescent="0.55000000000000004">
      <c r="A882" t="s">
        <v>3873</v>
      </c>
      <c r="B882" t="s">
        <v>5115</v>
      </c>
      <c r="C882" t="s">
        <v>5115</v>
      </c>
      <c r="D882" t="s">
        <v>5115</v>
      </c>
      <c r="E882">
        <v>0.92557155620190301</v>
      </c>
      <c r="F882">
        <v>2.7746058566864001E-2</v>
      </c>
      <c r="G882">
        <v>3.93013664104849E-2</v>
      </c>
      <c r="H882">
        <v>7.3810188207477298E-3</v>
      </c>
      <c r="I882" t="s">
        <v>3873</v>
      </c>
      <c r="J882" t="s">
        <v>5115</v>
      </c>
    </row>
    <row r="883" spans="1:10" x14ac:dyDescent="0.55000000000000004">
      <c r="A883" t="s">
        <v>3874</v>
      </c>
      <c r="B883" t="s">
        <v>5115</v>
      </c>
      <c r="C883" t="s">
        <v>5115</v>
      </c>
      <c r="D883" t="s">
        <v>5115</v>
      </c>
      <c r="E883">
        <v>0.96832966295206602</v>
      </c>
      <c r="F883">
        <v>1.12720724653403E-2</v>
      </c>
      <c r="G883">
        <v>1.65776883219633E-2</v>
      </c>
      <c r="H883">
        <v>3.8205762606301498E-3</v>
      </c>
      <c r="I883" t="s">
        <v>3874</v>
      </c>
      <c r="J883" t="s">
        <v>5115</v>
      </c>
    </row>
    <row r="884" spans="1:10" x14ac:dyDescent="0.55000000000000004">
      <c r="A884" t="s">
        <v>3875</v>
      </c>
      <c r="B884" t="s">
        <v>5115</v>
      </c>
      <c r="C884" t="s">
        <v>5115</v>
      </c>
      <c r="D884" t="s">
        <v>5115</v>
      </c>
      <c r="E884">
        <v>0.95854893081093895</v>
      </c>
      <c r="F884">
        <v>8.7318957236556492E-3</v>
      </c>
      <c r="G884">
        <v>2.88850742038088E-2</v>
      </c>
      <c r="H884">
        <v>3.8340992615967001E-3</v>
      </c>
      <c r="I884" t="s">
        <v>3875</v>
      </c>
      <c r="J884" t="s">
        <v>5115</v>
      </c>
    </row>
    <row r="885" spans="1:10" x14ac:dyDescent="0.55000000000000004">
      <c r="A885" t="s">
        <v>3876</v>
      </c>
      <c r="B885" t="s">
        <v>5115</v>
      </c>
      <c r="C885" t="s">
        <v>5115</v>
      </c>
      <c r="D885" t="s">
        <v>5115</v>
      </c>
      <c r="E885">
        <v>0.95061871085002903</v>
      </c>
      <c r="F885">
        <v>2.5434250522229002E-2</v>
      </c>
      <c r="G885">
        <v>1.83977993881312E-2</v>
      </c>
      <c r="H885">
        <v>5.5492392396107601E-3</v>
      </c>
      <c r="I885" t="s">
        <v>3876</v>
      </c>
      <c r="J885" t="s">
        <v>5115</v>
      </c>
    </row>
    <row r="886" spans="1:10" x14ac:dyDescent="0.55000000000000004">
      <c r="A886" t="s">
        <v>3877</v>
      </c>
      <c r="B886" t="s">
        <v>5115</v>
      </c>
      <c r="C886" t="s">
        <v>5115</v>
      </c>
      <c r="D886" t="s">
        <v>5115</v>
      </c>
      <c r="E886">
        <v>0.97208740608100197</v>
      </c>
      <c r="F886">
        <v>8.8580809679472995E-3</v>
      </c>
      <c r="G886">
        <v>1.2634889964843601E-2</v>
      </c>
      <c r="H886">
        <v>6.4196229862069501E-3</v>
      </c>
      <c r="I886" t="s">
        <v>3877</v>
      </c>
      <c r="J886" t="s">
        <v>5115</v>
      </c>
    </row>
    <row r="887" spans="1:10" x14ac:dyDescent="0.55000000000000004">
      <c r="A887" t="s">
        <v>3878</v>
      </c>
      <c r="B887" t="s">
        <v>5115</v>
      </c>
      <c r="C887" t="s">
        <v>5115</v>
      </c>
      <c r="D887" t="s">
        <v>5115</v>
      </c>
      <c r="E887">
        <v>0.97097531197571396</v>
      </c>
      <c r="F887">
        <v>9.53784838743677E-3</v>
      </c>
      <c r="G887">
        <v>1.53757420772998E-2</v>
      </c>
      <c r="H887">
        <v>4.11109755954959E-3</v>
      </c>
      <c r="I887" t="s">
        <v>3878</v>
      </c>
      <c r="J887" t="s">
        <v>5115</v>
      </c>
    </row>
    <row r="888" spans="1:10" x14ac:dyDescent="0.55000000000000004">
      <c r="A888" t="s">
        <v>3879</v>
      </c>
      <c r="B888" t="s">
        <v>5115</v>
      </c>
      <c r="C888" t="s">
        <v>5115</v>
      </c>
      <c r="D888" t="s">
        <v>5115</v>
      </c>
      <c r="E888">
        <v>0.92516405899945597</v>
      </c>
      <c r="F888">
        <v>3.8589560047826897E-2</v>
      </c>
      <c r="G888">
        <v>2.91159842988577E-2</v>
      </c>
      <c r="H888">
        <v>7.1303966538593198E-3</v>
      </c>
      <c r="I888" t="s">
        <v>3879</v>
      </c>
      <c r="J888" t="s">
        <v>5115</v>
      </c>
    </row>
    <row r="889" spans="1:10" x14ac:dyDescent="0.55000000000000004">
      <c r="A889" t="s">
        <v>4034</v>
      </c>
      <c r="B889" t="s">
        <v>5115</v>
      </c>
      <c r="C889" t="s">
        <v>5115</v>
      </c>
      <c r="D889" t="s">
        <v>5115</v>
      </c>
      <c r="E889">
        <v>0.95302024938317298</v>
      </c>
      <c r="F889">
        <v>1.5529246399640199E-2</v>
      </c>
      <c r="G889">
        <v>2.55966664854489E-2</v>
      </c>
      <c r="H889">
        <v>5.8538377317377899E-3</v>
      </c>
      <c r="I889" t="s">
        <v>4034</v>
      </c>
      <c r="J889" t="s">
        <v>5115</v>
      </c>
    </row>
    <row r="890" spans="1:10" x14ac:dyDescent="0.55000000000000004">
      <c r="A890" t="s">
        <v>4035</v>
      </c>
      <c r="B890" t="s">
        <v>5115</v>
      </c>
      <c r="C890" t="s">
        <v>5115</v>
      </c>
      <c r="D890" t="s">
        <v>5115</v>
      </c>
      <c r="E890">
        <v>0.97806552019251503</v>
      </c>
      <c r="F890">
        <v>7.2938539004900804E-3</v>
      </c>
      <c r="G890">
        <v>9.72436553003681E-3</v>
      </c>
      <c r="H890">
        <v>4.9162603769582697E-3</v>
      </c>
      <c r="I890" t="s">
        <v>4035</v>
      </c>
      <c r="J890" t="s">
        <v>5115</v>
      </c>
    </row>
    <row r="891" spans="1:10" x14ac:dyDescent="0.55000000000000004">
      <c r="A891" t="s">
        <v>4036</v>
      </c>
      <c r="B891" t="s">
        <v>5115</v>
      </c>
      <c r="C891" t="s">
        <v>5115</v>
      </c>
      <c r="D891" t="s">
        <v>5115</v>
      </c>
      <c r="E891">
        <v>0.92752800971400096</v>
      </c>
      <c r="F891">
        <v>1.75165960109985E-2</v>
      </c>
      <c r="G891">
        <v>4.9692498358768301E-2</v>
      </c>
      <c r="H891">
        <v>5.2628959162325196E-3</v>
      </c>
      <c r="I891" t="s">
        <v>4036</v>
      </c>
      <c r="J891" t="s">
        <v>5115</v>
      </c>
    </row>
    <row r="892" spans="1:10" x14ac:dyDescent="0.55000000000000004">
      <c r="A892" t="s">
        <v>4037</v>
      </c>
      <c r="B892" t="s">
        <v>5115</v>
      </c>
      <c r="C892" t="s">
        <v>5115</v>
      </c>
      <c r="D892" t="s">
        <v>5115</v>
      </c>
      <c r="E892">
        <v>0.95344646227399099</v>
      </c>
      <c r="F892">
        <v>1.8729726117619399E-2</v>
      </c>
      <c r="G892">
        <v>2.29502784467145E-2</v>
      </c>
      <c r="H892">
        <v>4.8735331616747996E-3</v>
      </c>
      <c r="I892" t="s">
        <v>4037</v>
      </c>
      <c r="J892" t="s">
        <v>5115</v>
      </c>
    </row>
    <row r="893" spans="1:10" x14ac:dyDescent="0.55000000000000004">
      <c r="A893" t="s">
        <v>4038</v>
      </c>
      <c r="B893" t="s">
        <v>5115</v>
      </c>
      <c r="C893" t="s">
        <v>5115</v>
      </c>
      <c r="D893" t="s">
        <v>5115</v>
      </c>
      <c r="E893">
        <v>0.88846545497288698</v>
      </c>
      <c r="F893">
        <v>2.6152751865890601E-2</v>
      </c>
      <c r="G893">
        <v>7.8442149827596799E-2</v>
      </c>
      <c r="H893">
        <v>6.9396433336256303E-3</v>
      </c>
      <c r="I893" t="s">
        <v>4038</v>
      </c>
      <c r="J893" t="s">
        <v>5115</v>
      </c>
    </row>
    <row r="894" spans="1:10" x14ac:dyDescent="0.55000000000000004">
      <c r="A894" t="s">
        <v>4039</v>
      </c>
      <c r="B894" t="s">
        <v>5115</v>
      </c>
      <c r="C894" t="s">
        <v>5115</v>
      </c>
      <c r="D894" t="s">
        <v>5115</v>
      </c>
      <c r="E894">
        <v>0.80499333644557702</v>
      </c>
      <c r="F894">
        <v>0.106274744207177</v>
      </c>
      <c r="G894">
        <v>8.0370273132721895E-2</v>
      </c>
      <c r="H894">
        <v>8.3616462145241904E-3</v>
      </c>
      <c r="I894" t="s">
        <v>4039</v>
      </c>
      <c r="J894" t="s">
        <v>5115</v>
      </c>
    </row>
    <row r="895" spans="1:10" x14ac:dyDescent="0.55000000000000004">
      <c r="A895" t="s">
        <v>4040</v>
      </c>
      <c r="B895" t="s">
        <v>5115</v>
      </c>
      <c r="C895" t="s">
        <v>5115</v>
      </c>
      <c r="D895" t="s">
        <v>5115</v>
      </c>
      <c r="E895">
        <v>0.95423219536993098</v>
      </c>
      <c r="F895">
        <v>9.7187691654466602E-3</v>
      </c>
      <c r="G895">
        <v>2.9963254339013898E-2</v>
      </c>
      <c r="H895">
        <v>6.0857811256082297E-3</v>
      </c>
      <c r="I895" t="s">
        <v>4040</v>
      </c>
      <c r="J895" t="s">
        <v>5115</v>
      </c>
    </row>
    <row r="896" spans="1:10" x14ac:dyDescent="0.55000000000000004">
      <c r="A896" t="s">
        <v>4041</v>
      </c>
      <c r="B896" t="s">
        <v>5115</v>
      </c>
      <c r="C896" t="s">
        <v>5115</v>
      </c>
      <c r="D896" t="s">
        <v>5115</v>
      </c>
      <c r="E896">
        <v>0.99019742697757696</v>
      </c>
      <c r="F896">
        <v>1.42832984016968E-3</v>
      </c>
      <c r="G896">
        <v>3.3535403263518899E-3</v>
      </c>
      <c r="H896">
        <v>5.0207028559018096E-3</v>
      </c>
      <c r="I896" t="s">
        <v>4041</v>
      </c>
      <c r="J896" t="s">
        <v>5115</v>
      </c>
    </row>
    <row r="897" spans="1:10" x14ac:dyDescent="0.55000000000000004">
      <c r="A897" t="s">
        <v>4042</v>
      </c>
      <c r="B897" t="s">
        <v>5115</v>
      </c>
      <c r="C897" t="s">
        <v>5115</v>
      </c>
      <c r="D897" t="s">
        <v>5115</v>
      </c>
      <c r="E897">
        <v>0.95183995292851997</v>
      </c>
      <c r="F897">
        <v>2.2089386526204999E-2</v>
      </c>
      <c r="G897">
        <v>2.1283936183656E-2</v>
      </c>
      <c r="H897">
        <v>4.7867243616186803E-3</v>
      </c>
      <c r="I897" t="s">
        <v>4042</v>
      </c>
      <c r="J897" t="s">
        <v>5115</v>
      </c>
    </row>
    <row r="898" spans="1:10" x14ac:dyDescent="0.55000000000000004">
      <c r="A898" t="s">
        <v>4043</v>
      </c>
      <c r="B898" t="s">
        <v>5115</v>
      </c>
      <c r="C898" t="s">
        <v>5115</v>
      </c>
      <c r="D898" t="s">
        <v>5115</v>
      </c>
      <c r="E898">
        <v>0.89669190906787799</v>
      </c>
      <c r="F898">
        <v>3.8181955982411503E-2</v>
      </c>
      <c r="G898">
        <v>5.9538308393434998E-2</v>
      </c>
      <c r="H898">
        <v>5.5878265562752799E-3</v>
      </c>
      <c r="I898" t="s">
        <v>4043</v>
      </c>
      <c r="J898" t="s">
        <v>5115</v>
      </c>
    </row>
    <row r="899" spans="1:10" x14ac:dyDescent="0.55000000000000004">
      <c r="A899" t="s">
        <v>4044</v>
      </c>
      <c r="B899" t="s">
        <v>5115</v>
      </c>
      <c r="C899" t="s">
        <v>5115</v>
      </c>
      <c r="D899" t="s">
        <v>5115</v>
      </c>
      <c r="E899">
        <v>0.95602039851614196</v>
      </c>
      <c r="F899">
        <v>1.9731696099528601E-2</v>
      </c>
      <c r="G899">
        <v>1.9632596483131998E-2</v>
      </c>
      <c r="H899">
        <v>4.6153089011970504E-3</v>
      </c>
      <c r="I899" t="s">
        <v>4044</v>
      </c>
      <c r="J899" t="s">
        <v>5115</v>
      </c>
    </row>
    <row r="900" spans="1:10" x14ac:dyDescent="0.55000000000000004">
      <c r="A900" t="s">
        <v>4045</v>
      </c>
      <c r="B900" t="s">
        <v>5115</v>
      </c>
      <c r="C900" t="s">
        <v>5115</v>
      </c>
      <c r="D900" t="s">
        <v>5115</v>
      </c>
      <c r="E900">
        <v>0.96027302429037498</v>
      </c>
      <c r="F900">
        <v>1.6909642344795799E-2</v>
      </c>
      <c r="G900">
        <v>1.75798278957747E-2</v>
      </c>
      <c r="H900">
        <v>5.2375054690546596E-3</v>
      </c>
      <c r="I900" t="s">
        <v>4045</v>
      </c>
      <c r="J900" t="s">
        <v>5115</v>
      </c>
    </row>
    <row r="901" spans="1:10" x14ac:dyDescent="0.55000000000000004">
      <c r="A901" t="s">
        <v>4061</v>
      </c>
      <c r="B901" t="s">
        <v>5115</v>
      </c>
      <c r="C901" t="s">
        <v>5115</v>
      </c>
      <c r="D901" t="s">
        <v>5115</v>
      </c>
      <c r="E901">
        <v>0.93070173612363805</v>
      </c>
      <c r="F901">
        <v>2.1244705207109499E-2</v>
      </c>
      <c r="G901">
        <v>4.2280276427940799E-2</v>
      </c>
      <c r="H901">
        <v>5.7732822413115196E-3</v>
      </c>
      <c r="I901" t="s">
        <v>4061</v>
      </c>
      <c r="J901" t="s">
        <v>5115</v>
      </c>
    </row>
    <row r="902" spans="1:10" x14ac:dyDescent="0.55000000000000004">
      <c r="A902" t="s">
        <v>4062</v>
      </c>
      <c r="B902" t="s">
        <v>5115</v>
      </c>
      <c r="C902" t="s">
        <v>5115</v>
      </c>
      <c r="D902" t="s">
        <v>5115</v>
      </c>
      <c r="E902">
        <v>0.94883010888754504</v>
      </c>
      <c r="F902">
        <v>2.0698140865065901E-2</v>
      </c>
      <c r="G902">
        <v>2.4726582397935501E-2</v>
      </c>
      <c r="H902">
        <v>5.7451678494539497E-3</v>
      </c>
      <c r="I902" t="s">
        <v>4062</v>
      </c>
      <c r="J902" t="s">
        <v>5115</v>
      </c>
    </row>
    <row r="903" spans="1:10" x14ac:dyDescent="0.55000000000000004">
      <c r="A903" t="s">
        <v>4063</v>
      </c>
      <c r="B903" t="s">
        <v>5115</v>
      </c>
      <c r="C903" t="s">
        <v>5115</v>
      </c>
      <c r="D903" t="s">
        <v>5115</v>
      </c>
      <c r="E903">
        <v>0.96426557992508499</v>
      </c>
      <c r="F903">
        <v>9.8906986215424198E-3</v>
      </c>
      <c r="G903">
        <v>2.1394952077198801E-2</v>
      </c>
      <c r="H903">
        <v>4.4487693761735402E-3</v>
      </c>
      <c r="I903" t="s">
        <v>4063</v>
      </c>
      <c r="J903" t="s">
        <v>5115</v>
      </c>
    </row>
    <row r="904" spans="1:10" x14ac:dyDescent="0.55000000000000004">
      <c r="A904" t="s">
        <v>4064</v>
      </c>
      <c r="B904" t="s">
        <v>5115</v>
      </c>
      <c r="C904" t="s">
        <v>5115</v>
      </c>
      <c r="D904" t="s">
        <v>5115</v>
      </c>
      <c r="E904">
        <v>0.93120144897697799</v>
      </c>
      <c r="F904">
        <v>3.8557459353260999E-2</v>
      </c>
      <c r="G904">
        <v>2.4317428848884999E-2</v>
      </c>
      <c r="H904">
        <v>5.9236628208760699E-3</v>
      </c>
      <c r="I904" t="s">
        <v>4064</v>
      </c>
      <c r="J904" t="s">
        <v>5115</v>
      </c>
    </row>
    <row r="905" spans="1:10" x14ac:dyDescent="0.55000000000000004">
      <c r="A905" t="s">
        <v>4065</v>
      </c>
      <c r="B905" t="s">
        <v>5115</v>
      </c>
      <c r="C905" t="s">
        <v>5115</v>
      </c>
      <c r="D905" t="s">
        <v>5115</v>
      </c>
      <c r="E905">
        <v>0.94235542224911595</v>
      </c>
      <c r="F905">
        <v>3.8909962613772602E-2</v>
      </c>
      <c r="G905">
        <v>1.32385721080904E-2</v>
      </c>
      <c r="H905">
        <v>5.4960430290205003E-3</v>
      </c>
      <c r="I905" t="s">
        <v>4065</v>
      </c>
      <c r="J905" t="s">
        <v>5115</v>
      </c>
    </row>
    <row r="906" spans="1:10" x14ac:dyDescent="0.55000000000000004">
      <c r="A906" t="s">
        <v>4067</v>
      </c>
      <c r="B906" t="s">
        <v>5115</v>
      </c>
      <c r="C906" t="s">
        <v>5115</v>
      </c>
      <c r="D906" t="s">
        <v>5115</v>
      </c>
      <c r="E906">
        <v>0.95257499057636197</v>
      </c>
      <c r="F906">
        <v>2.08178352120784E-2</v>
      </c>
      <c r="G906">
        <v>1.9059701011141201E-2</v>
      </c>
      <c r="H906">
        <v>7.5474732004179599E-3</v>
      </c>
      <c r="I906" t="s">
        <v>4067</v>
      </c>
      <c r="J906" t="s">
        <v>5115</v>
      </c>
    </row>
    <row r="907" spans="1:10" x14ac:dyDescent="0.55000000000000004">
      <c r="A907" t="s">
        <v>4068</v>
      </c>
      <c r="B907" t="s">
        <v>5115</v>
      </c>
      <c r="C907" t="s">
        <v>5115</v>
      </c>
      <c r="D907" t="s">
        <v>5115</v>
      </c>
      <c r="E907">
        <v>0.93533421751993195</v>
      </c>
      <c r="F907">
        <v>2.46379426349898E-2</v>
      </c>
      <c r="G907">
        <v>3.4180289582023501E-2</v>
      </c>
      <c r="H907">
        <v>5.8475502630551696E-3</v>
      </c>
      <c r="I907" t="s">
        <v>4068</v>
      </c>
      <c r="J907" t="s">
        <v>5115</v>
      </c>
    </row>
    <row r="908" spans="1:10" x14ac:dyDescent="0.55000000000000004">
      <c r="A908" t="s">
        <v>4069</v>
      </c>
      <c r="B908" t="s">
        <v>5115</v>
      </c>
      <c r="C908" t="s">
        <v>5115</v>
      </c>
      <c r="D908" t="s">
        <v>5115</v>
      </c>
      <c r="E908">
        <v>0.87813479474287304</v>
      </c>
      <c r="F908">
        <v>8.2371877130563098E-2</v>
      </c>
      <c r="G908">
        <v>3.2347174066251198E-2</v>
      </c>
      <c r="H908">
        <v>7.1461540603127696E-3</v>
      </c>
      <c r="I908" t="s">
        <v>4069</v>
      </c>
      <c r="J908" t="s">
        <v>5115</v>
      </c>
    </row>
    <row r="909" spans="1:10" x14ac:dyDescent="0.55000000000000004">
      <c r="A909" t="s">
        <v>4070</v>
      </c>
      <c r="B909" t="s">
        <v>5115</v>
      </c>
      <c r="C909" t="s">
        <v>5115</v>
      </c>
      <c r="D909" t="s">
        <v>5115</v>
      </c>
      <c r="E909">
        <v>0.93737101649049104</v>
      </c>
      <c r="F909">
        <v>3.6526494616844901E-2</v>
      </c>
      <c r="G909">
        <v>2.04985020814842E-2</v>
      </c>
      <c r="H909">
        <v>5.6039868111792401E-3</v>
      </c>
      <c r="I909" t="s">
        <v>4070</v>
      </c>
      <c r="J909" t="s">
        <v>5115</v>
      </c>
    </row>
    <row r="910" spans="1:10" x14ac:dyDescent="0.55000000000000004">
      <c r="A910" t="s">
        <v>4071</v>
      </c>
      <c r="B910" t="s">
        <v>5115</v>
      </c>
      <c r="C910" t="s">
        <v>5115</v>
      </c>
      <c r="D910" t="s">
        <v>5115</v>
      </c>
      <c r="E910">
        <v>0.95469876860323599</v>
      </c>
      <c r="F910">
        <v>1.46542518485277E-2</v>
      </c>
      <c r="G910">
        <v>2.6170986439784601E-2</v>
      </c>
      <c r="H910">
        <v>4.4759931084523003E-3</v>
      </c>
      <c r="I910" t="s">
        <v>4071</v>
      </c>
      <c r="J910" t="s">
        <v>5115</v>
      </c>
    </row>
    <row r="911" spans="1:10" x14ac:dyDescent="0.55000000000000004">
      <c r="A911" t="s">
        <v>4072</v>
      </c>
      <c r="B911" t="s">
        <v>5115</v>
      </c>
      <c r="C911" t="s">
        <v>5115</v>
      </c>
      <c r="D911" t="s">
        <v>5115</v>
      </c>
      <c r="E911">
        <v>0.94457231260395702</v>
      </c>
      <c r="F911">
        <v>2.2898601411853101E-2</v>
      </c>
      <c r="G911">
        <v>2.6997084475156499E-2</v>
      </c>
      <c r="H911">
        <v>5.5320015090332998E-3</v>
      </c>
      <c r="I911" t="s">
        <v>4072</v>
      </c>
      <c r="J911" t="s">
        <v>5115</v>
      </c>
    </row>
    <row r="912" spans="1:10" x14ac:dyDescent="0.55000000000000004">
      <c r="A912" t="s">
        <v>4087</v>
      </c>
      <c r="B912" t="s">
        <v>5115</v>
      </c>
      <c r="C912" t="s">
        <v>5115</v>
      </c>
      <c r="D912" t="s">
        <v>5115</v>
      </c>
      <c r="E912">
        <v>0.92130383284077699</v>
      </c>
      <c r="F912">
        <v>4.9860948775359799E-2</v>
      </c>
      <c r="G912">
        <v>2.01110652342694E-2</v>
      </c>
      <c r="H912">
        <v>8.7241531495937004E-3</v>
      </c>
      <c r="I912" t="s">
        <v>4087</v>
      </c>
      <c r="J912" t="s">
        <v>5115</v>
      </c>
    </row>
    <row r="913" spans="1:10" x14ac:dyDescent="0.55000000000000004">
      <c r="A913" t="s">
        <v>4088</v>
      </c>
      <c r="B913" t="s">
        <v>5115</v>
      </c>
      <c r="C913" t="s">
        <v>5115</v>
      </c>
      <c r="D913" t="s">
        <v>5115</v>
      </c>
      <c r="E913">
        <v>0.97919708525311799</v>
      </c>
      <c r="F913">
        <v>3.9843951540949303E-3</v>
      </c>
      <c r="G913">
        <v>1.24564308138699E-2</v>
      </c>
      <c r="H913">
        <v>4.3620887789168096E-3</v>
      </c>
      <c r="I913" t="s">
        <v>4088</v>
      </c>
      <c r="J913" t="s">
        <v>5115</v>
      </c>
    </row>
    <row r="914" spans="1:10" x14ac:dyDescent="0.55000000000000004">
      <c r="A914" t="s">
        <v>4089</v>
      </c>
      <c r="B914" t="s">
        <v>5115</v>
      </c>
      <c r="C914" t="s">
        <v>5115</v>
      </c>
      <c r="D914" t="s">
        <v>5115</v>
      </c>
      <c r="E914">
        <v>0.94878770654582101</v>
      </c>
      <c r="F914">
        <v>2.4032477771402001E-2</v>
      </c>
      <c r="G914">
        <v>2.1274808483348499E-2</v>
      </c>
      <c r="H914">
        <v>5.9050071994287499E-3</v>
      </c>
      <c r="I914" t="s">
        <v>4089</v>
      </c>
      <c r="J914" t="s">
        <v>5115</v>
      </c>
    </row>
    <row r="915" spans="1:10" x14ac:dyDescent="0.55000000000000004">
      <c r="A915" t="s">
        <v>4090</v>
      </c>
      <c r="B915" t="s">
        <v>5115</v>
      </c>
      <c r="C915" t="s">
        <v>5115</v>
      </c>
      <c r="D915" t="s">
        <v>5115</v>
      </c>
      <c r="E915">
        <v>0.97762153101118099</v>
      </c>
      <c r="F915">
        <v>4.3811992884723403E-3</v>
      </c>
      <c r="G915">
        <v>1.31678887733716E-2</v>
      </c>
      <c r="H915">
        <v>4.8293809269749398E-3</v>
      </c>
      <c r="I915" t="s">
        <v>4090</v>
      </c>
      <c r="J915" t="s">
        <v>5115</v>
      </c>
    </row>
    <row r="916" spans="1:10" x14ac:dyDescent="0.55000000000000004">
      <c r="A916" t="s">
        <v>4091</v>
      </c>
      <c r="B916" t="s">
        <v>5116</v>
      </c>
      <c r="C916" t="s">
        <v>5116</v>
      </c>
      <c r="D916" t="s">
        <v>5116</v>
      </c>
      <c r="E916">
        <v>1.8514803067399499E-2</v>
      </c>
      <c r="F916">
        <v>8.8182321207437193E-3</v>
      </c>
      <c r="G916">
        <v>0.968200250879378</v>
      </c>
      <c r="H916">
        <v>4.4667139324789098E-3</v>
      </c>
      <c r="I916" t="s">
        <v>4091</v>
      </c>
      <c r="J916" t="s">
        <v>5116</v>
      </c>
    </row>
    <row r="917" spans="1:10" x14ac:dyDescent="0.55000000000000004">
      <c r="A917" t="s">
        <v>4092</v>
      </c>
      <c r="B917" t="s">
        <v>5115</v>
      </c>
      <c r="C917" t="s">
        <v>5115</v>
      </c>
      <c r="D917" t="s">
        <v>5115</v>
      </c>
      <c r="E917">
        <v>0.95737335140227398</v>
      </c>
      <c r="F917">
        <v>1.7618059405203501E-2</v>
      </c>
      <c r="G917">
        <v>2.1134096274393999E-2</v>
      </c>
      <c r="H917">
        <v>3.87449291812854E-3</v>
      </c>
      <c r="I917" t="s">
        <v>4092</v>
      </c>
      <c r="J917" t="s">
        <v>5115</v>
      </c>
    </row>
    <row r="918" spans="1:10" x14ac:dyDescent="0.55000000000000004">
      <c r="A918" t="s">
        <v>4093</v>
      </c>
      <c r="B918" t="s">
        <v>5115</v>
      </c>
      <c r="C918" t="s">
        <v>5115</v>
      </c>
      <c r="D918" t="s">
        <v>5115</v>
      </c>
      <c r="E918">
        <v>0.92517545302020199</v>
      </c>
      <c r="F918">
        <v>2.5373865142452202E-2</v>
      </c>
      <c r="G918">
        <v>4.3001791233230398E-2</v>
      </c>
      <c r="H918">
        <v>6.4488906041157597E-3</v>
      </c>
      <c r="I918" t="s">
        <v>4093</v>
      </c>
      <c r="J918" t="s">
        <v>5115</v>
      </c>
    </row>
    <row r="919" spans="1:10" x14ac:dyDescent="0.55000000000000004">
      <c r="A919" t="s">
        <v>4094</v>
      </c>
      <c r="B919" t="s">
        <v>5115</v>
      </c>
      <c r="C919" t="s">
        <v>5115</v>
      </c>
      <c r="D919" t="s">
        <v>5115</v>
      </c>
      <c r="E919">
        <v>0.94601504623785004</v>
      </c>
      <c r="F919">
        <v>2.8542451829558599E-2</v>
      </c>
      <c r="G919">
        <v>1.6960368779902899E-2</v>
      </c>
      <c r="H919">
        <v>8.4821331526884498E-3</v>
      </c>
      <c r="I919" t="s">
        <v>4094</v>
      </c>
      <c r="J919" t="s">
        <v>5115</v>
      </c>
    </row>
    <row r="920" spans="1:10" x14ac:dyDescent="0.55000000000000004">
      <c r="A920" t="s">
        <v>4095</v>
      </c>
      <c r="B920" t="s">
        <v>5115</v>
      </c>
      <c r="C920" t="s">
        <v>5115</v>
      </c>
      <c r="D920" t="s">
        <v>5115</v>
      </c>
      <c r="E920">
        <v>0.99383755602025203</v>
      </c>
      <c r="F920">
        <v>1.42261047308044E-3</v>
      </c>
      <c r="G920">
        <v>1.5513909125350099E-3</v>
      </c>
      <c r="H920">
        <v>3.1884425941323198E-3</v>
      </c>
      <c r="I920" t="s">
        <v>4095</v>
      </c>
      <c r="J920" t="s">
        <v>5115</v>
      </c>
    </row>
    <row r="921" spans="1:10" x14ac:dyDescent="0.55000000000000004">
      <c r="A921" t="s">
        <v>4096</v>
      </c>
      <c r="B921" t="s">
        <v>5115</v>
      </c>
      <c r="C921" t="s">
        <v>5115</v>
      </c>
      <c r="D921" t="s">
        <v>5115</v>
      </c>
      <c r="E921">
        <v>0.88609910112013901</v>
      </c>
      <c r="F921">
        <v>6.76496969493596E-2</v>
      </c>
      <c r="G921">
        <v>4.0689497913677403E-2</v>
      </c>
      <c r="H921">
        <v>5.5617040168243403E-3</v>
      </c>
      <c r="I921" t="s">
        <v>4096</v>
      </c>
      <c r="J921" t="s">
        <v>5115</v>
      </c>
    </row>
    <row r="922" spans="1:10" x14ac:dyDescent="0.55000000000000004">
      <c r="A922" t="s">
        <v>4097</v>
      </c>
      <c r="B922" t="s">
        <v>5115</v>
      </c>
      <c r="C922" t="s">
        <v>5115</v>
      </c>
      <c r="D922" t="s">
        <v>5115</v>
      </c>
      <c r="E922">
        <v>0.97520502045162205</v>
      </c>
      <c r="F922">
        <v>1.0843164520836701E-2</v>
      </c>
      <c r="G922">
        <v>9.14435948887681E-3</v>
      </c>
      <c r="H922">
        <v>4.8074555386649403E-3</v>
      </c>
      <c r="I922" t="s">
        <v>4097</v>
      </c>
      <c r="J922" t="s">
        <v>5115</v>
      </c>
    </row>
    <row r="923" spans="1:10" x14ac:dyDescent="0.55000000000000004">
      <c r="A923" t="s">
        <v>4098</v>
      </c>
      <c r="B923" t="s">
        <v>5115</v>
      </c>
      <c r="C923" t="s">
        <v>5115</v>
      </c>
      <c r="D923" t="s">
        <v>5115</v>
      </c>
      <c r="E923">
        <v>0.959722725718551</v>
      </c>
      <c r="F923">
        <v>1.0735960215583601E-2</v>
      </c>
      <c r="G923">
        <v>2.53414861586987E-2</v>
      </c>
      <c r="H923">
        <v>4.1998279071669498E-3</v>
      </c>
      <c r="I923" t="s">
        <v>4098</v>
      </c>
      <c r="J923" t="s">
        <v>5115</v>
      </c>
    </row>
    <row r="924" spans="1:10" x14ac:dyDescent="0.55000000000000004">
      <c r="A924" t="s">
        <v>3447</v>
      </c>
      <c r="B924" t="s">
        <v>5115</v>
      </c>
      <c r="C924" t="s">
        <v>5115</v>
      </c>
      <c r="D924" t="s">
        <v>5115</v>
      </c>
      <c r="E924">
        <v>0.98753090912290498</v>
      </c>
      <c r="F924">
        <v>2.9320288951638902E-3</v>
      </c>
      <c r="G924">
        <v>6.2734539141033503E-3</v>
      </c>
      <c r="H924">
        <v>3.2636080678283301E-3</v>
      </c>
      <c r="I924" t="s">
        <v>3447</v>
      </c>
      <c r="J924" t="s">
        <v>5115</v>
      </c>
    </row>
    <row r="925" spans="1:10" x14ac:dyDescent="0.55000000000000004">
      <c r="A925" t="s">
        <v>3448</v>
      </c>
      <c r="B925" t="s">
        <v>5115</v>
      </c>
      <c r="C925" t="s">
        <v>5115</v>
      </c>
      <c r="D925" t="s">
        <v>5115</v>
      </c>
      <c r="E925">
        <v>0.984427381925575</v>
      </c>
      <c r="F925">
        <v>5.3289134274199798E-3</v>
      </c>
      <c r="G925">
        <v>6.4800717185288098E-3</v>
      </c>
      <c r="H925">
        <v>3.7636329284762701E-3</v>
      </c>
      <c r="I925" t="s">
        <v>3448</v>
      </c>
      <c r="J925" t="s">
        <v>5115</v>
      </c>
    </row>
    <row r="926" spans="1:10" x14ac:dyDescent="0.55000000000000004">
      <c r="A926" t="s">
        <v>3449</v>
      </c>
      <c r="B926" t="s">
        <v>5115</v>
      </c>
      <c r="C926" t="s">
        <v>5115</v>
      </c>
      <c r="D926" t="s">
        <v>5115</v>
      </c>
      <c r="E926">
        <v>0.97340096406757304</v>
      </c>
      <c r="F926">
        <v>1.4273259712220199E-2</v>
      </c>
      <c r="G926">
        <v>7.4857022271211998E-3</v>
      </c>
      <c r="H926">
        <v>4.8400739930850598E-3</v>
      </c>
      <c r="I926" t="s">
        <v>3449</v>
      </c>
      <c r="J926" t="s">
        <v>5115</v>
      </c>
    </row>
    <row r="927" spans="1:10" x14ac:dyDescent="0.55000000000000004">
      <c r="A927" t="s">
        <v>3450</v>
      </c>
      <c r="B927" t="s">
        <v>5115</v>
      </c>
      <c r="C927" t="s">
        <v>5115</v>
      </c>
      <c r="D927" t="s">
        <v>5115</v>
      </c>
      <c r="E927">
        <v>0.95217064941811802</v>
      </c>
      <c r="F927">
        <v>2.60135551710503E-2</v>
      </c>
      <c r="G927">
        <v>1.6308139516093102E-2</v>
      </c>
      <c r="H927">
        <v>5.5076558947387399E-3</v>
      </c>
      <c r="I927" t="s">
        <v>3450</v>
      </c>
      <c r="J927" t="s">
        <v>5115</v>
      </c>
    </row>
    <row r="928" spans="1:10" x14ac:dyDescent="0.55000000000000004">
      <c r="A928" t="s">
        <v>3451</v>
      </c>
      <c r="B928" t="s">
        <v>5115</v>
      </c>
      <c r="C928" t="s">
        <v>5115</v>
      </c>
      <c r="D928" t="s">
        <v>5115</v>
      </c>
      <c r="E928">
        <v>0.89540256391489603</v>
      </c>
      <c r="F928">
        <v>4.52883469719009E-2</v>
      </c>
      <c r="G928">
        <v>5.2112424593717101E-2</v>
      </c>
      <c r="H928">
        <v>7.1966645194859701E-3</v>
      </c>
      <c r="I928" t="s">
        <v>3451</v>
      </c>
      <c r="J928" t="s">
        <v>5115</v>
      </c>
    </row>
    <row r="929" spans="1:10" x14ac:dyDescent="0.55000000000000004">
      <c r="A929" t="s">
        <v>3452</v>
      </c>
      <c r="B929" t="s">
        <v>5115</v>
      </c>
      <c r="C929" t="s">
        <v>5115</v>
      </c>
      <c r="D929" t="s">
        <v>5115</v>
      </c>
      <c r="E929">
        <v>0.94163163406401396</v>
      </c>
      <c r="F929">
        <v>1.6993176050983601E-2</v>
      </c>
      <c r="G929">
        <v>3.6273052740768301E-2</v>
      </c>
      <c r="H929">
        <v>5.1021371442343203E-3</v>
      </c>
      <c r="I929" t="s">
        <v>3452</v>
      </c>
      <c r="J929" t="s">
        <v>5115</v>
      </c>
    </row>
    <row r="930" spans="1:10" x14ac:dyDescent="0.55000000000000004">
      <c r="A930" t="s">
        <v>3453</v>
      </c>
      <c r="B930" t="s">
        <v>5115</v>
      </c>
      <c r="C930" t="s">
        <v>5115</v>
      </c>
      <c r="D930" t="s">
        <v>5115</v>
      </c>
      <c r="E930">
        <v>0.97958463275716801</v>
      </c>
      <c r="F930">
        <v>5.2628996716694897E-3</v>
      </c>
      <c r="G930">
        <v>1.03115237269772E-2</v>
      </c>
      <c r="H930">
        <v>4.8409438441859801E-3</v>
      </c>
      <c r="I930" t="s">
        <v>3453</v>
      </c>
      <c r="J930" t="s">
        <v>5115</v>
      </c>
    </row>
    <row r="931" spans="1:10" x14ac:dyDescent="0.55000000000000004">
      <c r="A931" t="s">
        <v>3454</v>
      </c>
      <c r="B931" t="s">
        <v>5115</v>
      </c>
      <c r="C931" t="s">
        <v>5115</v>
      </c>
      <c r="D931" t="s">
        <v>5115</v>
      </c>
      <c r="E931">
        <v>0.94664704255134602</v>
      </c>
      <c r="F931">
        <v>2.2996945481875301E-2</v>
      </c>
      <c r="G931">
        <v>2.4354806473646799E-2</v>
      </c>
      <c r="H931">
        <v>6.0012054931325998E-3</v>
      </c>
      <c r="I931" t="s">
        <v>3454</v>
      </c>
      <c r="J931" t="s">
        <v>5115</v>
      </c>
    </row>
    <row r="932" spans="1:10" x14ac:dyDescent="0.55000000000000004">
      <c r="A932" t="s">
        <v>3455</v>
      </c>
      <c r="B932" t="s">
        <v>5115</v>
      </c>
      <c r="C932" t="s">
        <v>5115</v>
      </c>
      <c r="D932" t="s">
        <v>5115</v>
      </c>
      <c r="E932">
        <v>0.94370547955371797</v>
      </c>
      <c r="F932">
        <v>3.1425411802459599E-2</v>
      </c>
      <c r="G932">
        <v>1.8867847397182301E-2</v>
      </c>
      <c r="H932">
        <v>6.0012612466405499E-3</v>
      </c>
      <c r="I932" t="s">
        <v>3455</v>
      </c>
      <c r="J932" t="s">
        <v>5115</v>
      </c>
    </row>
    <row r="933" spans="1:10" x14ac:dyDescent="0.55000000000000004">
      <c r="A933" t="s">
        <v>3456</v>
      </c>
      <c r="B933" t="s">
        <v>5115</v>
      </c>
      <c r="C933" t="s">
        <v>5115</v>
      </c>
      <c r="D933" t="s">
        <v>5115</v>
      </c>
      <c r="E933">
        <v>0.70948560258501403</v>
      </c>
      <c r="F933">
        <v>0.16228388440417099</v>
      </c>
      <c r="G933">
        <v>0.118526411382829</v>
      </c>
      <c r="H933">
        <v>9.70410162798554E-3</v>
      </c>
      <c r="I933" t="s">
        <v>3456</v>
      </c>
      <c r="J933" t="s">
        <v>5115</v>
      </c>
    </row>
    <row r="934" spans="1:10" x14ac:dyDescent="0.55000000000000004">
      <c r="A934" t="s">
        <v>3457</v>
      </c>
      <c r="B934" t="s">
        <v>5115</v>
      </c>
      <c r="C934" t="s">
        <v>5115</v>
      </c>
      <c r="D934" t="s">
        <v>5115</v>
      </c>
      <c r="E934">
        <v>0.94755809520205003</v>
      </c>
      <c r="F934">
        <v>2.3290797494086898E-2</v>
      </c>
      <c r="G934">
        <v>2.4912514519362099E-2</v>
      </c>
      <c r="H934">
        <v>4.2385927845006903E-3</v>
      </c>
      <c r="I934" t="s">
        <v>3457</v>
      </c>
      <c r="J934" t="s">
        <v>5115</v>
      </c>
    </row>
    <row r="935" spans="1:10" x14ac:dyDescent="0.55000000000000004">
      <c r="A935" t="s">
        <v>3458</v>
      </c>
      <c r="B935" t="s">
        <v>5115</v>
      </c>
      <c r="C935" t="s">
        <v>5115</v>
      </c>
      <c r="D935" t="s">
        <v>5115</v>
      </c>
      <c r="E935">
        <v>0.98569022074406898</v>
      </c>
      <c r="F935">
        <v>5.9643871579167203E-3</v>
      </c>
      <c r="G935">
        <v>4.2403803638752201E-3</v>
      </c>
      <c r="H935">
        <v>4.1050117341391397E-3</v>
      </c>
      <c r="I935" t="s">
        <v>3458</v>
      </c>
      <c r="J935" t="s">
        <v>5115</v>
      </c>
    </row>
    <row r="936" spans="1:10" x14ac:dyDescent="0.55000000000000004">
      <c r="A936" t="s">
        <v>3420</v>
      </c>
      <c r="B936" t="s">
        <v>5115</v>
      </c>
      <c r="C936" t="s">
        <v>5115</v>
      </c>
      <c r="D936" t="s">
        <v>5115</v>
      </c>
      <c r="E936">
        <v>0.932975273530397</v>
      </c>
      <c r="F936">
        <v>2.6602722931302301E-2</v>
      </c>
      <c r="G936">
        <v>3.3328759236906202E-2</v>
      </c>
      <c r="H936">
        <v>7.0932443013942397E-3</v>
      </c>
      <c r="I936" t="s">
        <v>3420</v>
      </c>
      <c r="J936" t="s">
        <v>5115</v>
      </c>
    </row>
    <row r="937" spans="1:10" x14ac:dyDescent="0.55000000000000004">
      <c r="A937" t="s">
        <v>3421</v>
      </c>
      <c r="B937" t="s">
        <v>5115</v>
      </c>
      <c r="C937" t="s">
        <v>5115</v>
      </c>
      <c r="D937" t="s">
        <v>5115</v>
      </c>
      <c r="E937">
        <v>0.96070983689742095</v>
      </c>
      <c r="F937">
        <v>1.6453095283836899E-2</v>
      </c>
      <c r="G937">
        <v>1.7893029811292101E-2</v>
      </c>
      <c r="H937">
        <v>4.9440380074502197E-3</v>
      </c>
      <c r="I937" t="s">
        <v>3421</v>
      </c>
      <c r="J937" t="s">
        <v>5115</v>
      </c>
    </row>
    <row r="938" spans="1:10" x14ac:dyDescent="0.55000000000000004">
      <c r="A938" t="s">
        <v>3422</v>
      </c>
      <c r="B938" t="s">
        <v>5115</v>
      </c>
      <c r="C938" t="s">
        <v>5115</v>
      </c>
      <c r="D938" t="s">
        <v>5115</v>
      </c>
      <c r="E938">
        <v>0.96396621724350195</v>
      </c>
      <c r="F938">
        <v>1.7505082579862798E-2</v>
      </c>
      <c r="G938">
        <v>1.40932921980118E-2</v>
      </c>
      <c r="H938">
        <v>4.4354079786236697E-3</v>
      </c>
      <c r="I938" t="s">
        <v>3422</v>
      </c>
      <c r="J938" t="s">
        <v>5115</v>
      </c>
    </row>
    <row r="939" spans="1:10" x14ac:dyDescent="0.55000000000000004">
      <c r="A939" t="s">
        <v>3423</v>
      </c>
      <c r="B939" t="s">
        <v>5115</v>
      </c>
      <c r="C939" t="s">
        <v>5115</v>
      </c>
      <c r="D939" t="s">
        <v>5115</v>
      </c>
      <c r="E939">
        <v>0.96437744856230501</v>
      </c>
      <c r="F939">
        <v>5.4969498750672497E-3</v>
      </c>
      <c r="G939">
        <v>2.57003782325721E-2</v>
      </c>
      <c r="H939">
        <v>4.4252233300559303E-3</v>
      </c>
      <c r="I939" t="s">
        <v>3423</v>
      </c>
      <c r="J939" t="s">
        <v>5115</v>
      </c>
    </row>
    <row r="940" spans="1:10" x14ac:dyDescent="0.55000000000000004">
      <c r="A940" t="s">
        <v>3424</v>
      </c>
      <c r="B940" t="s">
        <v>5115</v>
      </c>
      <c r="C940" t="s">
        <v>5115</v>
      </c>
      <c r="D940" t="s">
        <v>5115</v>
      </c>
      <c r="E940">
        <v>0.96938129701686504</v>
      </c>
      <c r="F940">
        <v>1.29749161564068E-2</v>
      </c>
      <c r="G940">
        <v>1.2340158722223301E-2</v>
      </c>
      <c r="H940">
        <v>5.3036281045054897E-3</v>
      </c>
      <c r="I940" t="s">
        <v>3424</v>
      </c>
      <c r="J940" t="s">
        <v>5115</v>
      </c>
    </row>
    <row r="941" spans="1:10" x14ac:dyDescent="0.55000000000000004">
      <c r="A941" t="s">
        <v>3425</v>
      </c>
      <c r="B941" t="s">
        <v>5115</v>
      </c>
      <c r="C941" t="s">
        <v>5115</v>
      </c>
      <c r="D941" t="s">
        <v>5115</v>
      </c>
      <c r="E941">
        <v>0.96118492281569001</v>
      </c>
      <c r="F941">
        <v>1.5395480516835E-2</v>
      </c>
      <c r="G941">
        <v>1.8980687720851999E-2</v>
      </c>
      <c r="H941">
        <v>4.4389089466226701E-3</v>
      </c>
      <c r="I941" t="s">
        <v>3425</v>
      </c>
      <c r="J941" t="s">
        <v>5115</v>
      </c>
    </row>
    <row r="942" spans="1:10" x14ac:dyDescent="0.55000000000000004">
      <c r="A942" t="s">
        <v>3426</v>
      </c>
      <c r="B942" t="s">
        <v>5115</v>
      </c>
      <c r="C942" t="s">
        <v>5115</v>
      </c>
      <c r="D942" t="s">
        <v>5115</v>
      </c>
      <c r="E942">
        <v>0.94925610871940902</v>
      </c>
      <c r="F942">
        <v>2.67310611648575E-2</v>
      </c>
      <c r="G942">
        <v>1.94456094565492E-2</v>
      </c>
      <c r="H942">
        <v>4.5672206591847999E-3</v>
      </c>
      <c r="I942" t="s">
        <v>3426</v>
      </c>
      <c r="J942" t="s">
        <v>5115</v>
      </c>
    </row>
    <row r="943" spans="1:10" x14ac:dyDescent="0.55000000000000004">
      <c r="A943" t="s">
        <v>3427</v>
      </c>
      <c r="B943" t="s">
        <v>5115</v>
      </c>
      <c r="C943" t="s">
        <v>5115</v>
      </c>
      <c r="D943" t="s">
        <v>5115</v>
      </c>
      <c r="E943">
        <v>0.97066251714109297</v>
      </c>
      <c r="F943">
        <v>1.0204665296776501E-2</v>
      </c>
      <c r="G943">
        <v>1.39857570139002E-2</v>
      </c>
      <c r="H943">
        <v>5.1470605482297404E-3</v>
      </c>
      <c r="I943" t="s">
        <v>3427</v>
      </c>
      <c r="J943" t="s">
        <v>5115</v>
      </c>
    </row>
    <row r="944" spans="1:10" x14ac:dyDescent="0.55000000000000004">
      <c r="A944" t="s">
        <v>3428</v>
      </c>
      <c r="B944" t="s">
        <v>5116</v>
      </c>
      <c r="C944" t="s">
        <v>5116</v>
      </c>
      <c r="D944" t="s">
        <v>5116</v>
      </c>
      <c r="E944">
        <v>1.0360936545823299E-2</v>
      </c>
      <c r="F944">
        <v>1.25306541208804E-2</v>
      </c>
      <c r="G944">
        <v>0.97371003876823203</v>
      </c>
      <c r="H944">
        <v>3.3983705650641799E-3</v>
      </c>
      <c r="I944" t="s">
        <v>3428</v>
      </c>
      <c r="J944" t="s">
        <v>5116</v>
      </c>
    </row>
    <row r="945" spans="1:10" x14ac:dyDescent="0.55000000000000004">
      <c r="A945" t="s">
        <v>3429</v>
      </c>
      <c r="B945" t="s">
        <v>5115</v>
      </c>
      <c r="C945" t="s">
        <v>5115</v>
      </c>
      <c r="D945" t="s">
        <v>5115</v>
      </c>
      <c r="E945">
        <v>0.98231560019549402</v>
      </c>
      <c r="F945">
        <v>6.1498677421986496E-3</v>
      </c>
      <c r="G945">
        <v>7.7980064015132104E-3</v>
      </c>
      <c r="H945">
        <v>3.7365256607941799E-3</v>
      </c>
      <c r="I945" t="s">
        <v>3429</v>
      </c>
      <c r="J945" t="s">
        <v>5115</v>
      </c>
    </row>
    <row r="946" spans="1:10" x14ac:dyDescent="0.55000000000000004">
      <c r="A946" t="s">
        <v>3430</v>
      </c>
      <c r="B946" t="s">
        <v>5115</v>
      </c>
      <c r="C946" t="s">
        <v>5115</v>
      </c>
      <c r="D946" t="s">
        <v>5115</v>
      </c>
      <c r="E946">
        <v>0.95607324066508703</v>
      </c>
      <c r="F946">
        <v>1.8840766909898801E-2</v>
      </c>
      <c r="G946">
        <v>1.9714471473556299E-2</v>
      </c>
      <c r="H946">
        <v>5.3715209514575901E-3</v>
      </c>
      <c r="I946" t="s">
        <v>3430</v>
      </c>
      <c r="J946" t="s">
        <v>5115</v>
      </c>
    </row>
    <row r="947" spans="1:10" x14ac:dyDescent="0.55000000000000004">
      <c r="A947" t="s">
        <v>3431</v>
      </c>
      <c r="B947" t="s">
        <v>5115</v>
      </c>
      <c r="C947" t="s">
        <v>5115</v>
      </c>
      <c r="D947" t="s">
        <v>5115</v>
      </c>
      <c r="E947">
        <v>0.94768918140466896</v>
      </c>
      <c r="F947">
        <v>2.91155039403037E-2</v>
      </c>
      <c r="G947">
        <v>1.5706552259913902E-2</v>
      </c>
      <c r="H947">
        <v>7.4887623951132602E-3</v>
      </c>
      <c r="I947" t="s">
        <v>3431</v>
      </c>
      <c r="J947" t="s">
        <v>5115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F1AB-8E75-4FE4-A090-1EAD97D651D0}">
  <dimension ref="A1:G104"/>
  <sheetViews>
    <sheetView workbookViewId="0">
      <pane ySplit="1" topLeftCell="A2" activePane="bottomLeft" state="frozen"/>
      <selection pane="bottomLeft" activeCell="B35" sqref="B35"/>
    </sheetView>
  </sheetViews>
  <sheetFormatPr defaultColWidth="8.83984375" defaultRowHeight="14.4" x14ac:dyDescent="0.55000000000000004"/>
  <cols>
    <col min="1" max="1" width="6.47265625" bestFit="1" customWidth="1"/>
    <col min="2" max="2" width="11" bestFit="1" customWidth="1"/>
    <col min="3" max="3" width="6.15625" customWidth="1"/>
    <col min="4" max="4" width="5.47265625" bestFit="1" customWidth="1"/>
    <col min="5" max="5" width="7" bestFit="1" customWidth="1"/>
  </cols>
  <sheetData>
    <row r="1" spans="1:7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110</v>
      </c>
      <c r="G1" s="2" t="s">
        <v>111</v>
      </c>
    </row>
    <row r="2" spans="1:7" x14ac:dyDescent="0.55000000000000004">
      <c r="A2" s="4">
        <v>1</v>
      </c>
      <c r="B2" s="5" t="s">
        <v>5</v>
      </c>
      <c r="C2" s="5">
        <v>71</v>
      </c>
      <c r="D2" s="3">
        <v>812</v>
      </c>
      <c r="E2" s="10" t="s">
        <v>6</v>
      </c>
      <c r="F2">
        <f t="shared" ref="F2:F33" si="0">IF(D2&gt;=25, 25, D2)</f>
        <v>25</v>
      </c>
      <c r="G2" t="str">
        <f>"CIS-19_"&amp;C2</f>
        <v>CIS-19_71</v>
      </c>
    </row>
    <row r="3" spans="1:7" x14ac:dyDescent="0.55000000000000004">
      <c r="A3" s="4">
        <v>2</v>
      </c>
      <c r="B3" s="5" t="s">
        <v>7</v>
      </c>
      <c r="C3" s="5">
        <v>75</v>
      </c>
      <c r="D3" s="3">
        <v>40</v>
      </c>
      <c r="E3" s="10" t="s">
        <v>6</v>
      </c>
      <c r="F3">
        <f t="shared" si="0"/>
        <v>25</v>
      </c>
      <c r="G3" t="str">
        <f t="shared" ref="G3:G66" si="1">"CIS-19_"&amp;C3</f>
        <v>CIS-19_75</v>
      </c>
    </row>
    <row r="4" spans="1:7" x14ac:dyDescent="0.55000000000000004">
      <c r="A4" s="4">
        <v>3</v>
      </c>
      <c r="B4" s="5" t="s">
        <v>8</v>
      </c>
      <c r="C4" s="5">
        <v>87</v>
      </c>
      <c r="D4" s="3">
        <v>142</v>
      </c>
      <c r="E4" s="4" t="s">
        <v>6</v>
      </c>
      <c r="F4">
        <f t="shared" si="0"/>
        <v>25</v>
      </c>
      <c r="G4" t="str">
        <f t="shared" si="1"/>
        <v>CIS-19_87</v>
      </c>
    </row>
    <row r="5" spans="1:7" x14ac:dyDescent="0.55000000000000004">
      <c r="A5" s="4">
        <v>4</v>
      </c>
      <c r="B5" s="5" t="s">
        <v>9</v>
      </c>
      <c r="C5" s="5">
        <v>86</v>
      </c>
      <c r="D5" s="3">
        <v>231</v>
      </c>
      <c r="E5" s="4" t="s">
        <v>6</v>
      </c>
      <c r="F5">
        <f t="shared" si="0"/>
        <v>25</v>
      </c>
      <c r="G5" t="str">
        <f t="shared" si="1"/>
        <v>CIS-19_86</v>
      </c>
    </row>
    <row r="6" spans="1:7" x14ac:dyDescent="0.55000000000000004">
      <c r="A6" s="4">
        <v>5</v>
      </c>
      <c r="B6" s="5" t="s">
        <v>10</v>
      </c>
      <c r="C6" s="5">
        <v>2</v>
      </c>
      <c r="D6" s="3">
        <v>648</v>
      </c>
      <c r="E6" s="4" t="s">
        <v>6</v>
      </c>
      <c r="F6">
        <f t="shared" si="0"/>
        <v>25</v>
      </c>
      <c r="G6" t="str">
        <f t="shared" si="1"/>
        <v>CIS-19_2</v>
      </c>
    </row>
    <row r="7" spans="1:7" x14ac:dyDescent="0.55000000000000004">
      <c r="A7" s="4">
        <v>6</v>
      </c>
      <c r="B7" s="5" t="s">
        <v>11</v>
      </c>
      <c r="C7" s="5">
        <v>24</v>
      </c>
      <c r="D7" s="3">
        <v>73</v>
      </c>
      <c r="E7" s="4" t="s">
        <v>6</v>
      </c>
      <c r="F7">
        <f t="shared" si="0"/>
        <v>25</v>
      </c>
      <c r="G7" t="str">
        <f t="shared" si="1"/>
        <v>CIS-19_24</v>
      </c>
    </row>
    <row r="8" spans="1:7" x14ac:dyDescent="0.55000000000000004">
      <c r="A8" s="4">
        <v>7</v>
      </c>
      <c r="B8" s="5" t="s">
        <v>12</v>
      </c>
      <c r="C8" s="5">
        <v>52</v>
      </c>
      <c r="D8" s="3">
        <v>24</v>
      </c>
      <c r="E8" s="6" t="s">
        <v>6</v>
      </c>
      <c r="F8">
        <f t="shared" si="0"/>
        <v>24</v>
      </c>
      <c r="G8" t="str">
        <f t="shared" si="1"/>
        <v>CIS-19_52</v>
      </c>
    </row>
    <row r="9" spans="1:7" x14ac:dyDescent="0.55000000000000004">
      <c r="A9" s="4">
        <v>8</v>
      </c>
      <c r="B9" s="5" t="s">
        <v>13</v>
      </c>
      <c r="C9" s="5">
        <v>44</v>
      </c>
      <c r="D9" s="3">
        <v>70</v>
      </c>
      <c r="E9" s="6" t="s">
        <v>6</v>
      </c>
      <c r="F9">
        <f t="shared" si="0"/>
        <v>25</v>
      </c>
      <c r="G9" t="str">
        <f t="shared" si="1"/>
        <v>CIS-19_44</v>
      </c>
    </row>
    <row r="10" spans="1:7" x14ac:dyDescent="0.55000000000000004">
      <c r="A10" s="4">
        <v>9</v>
      </c>
      <c r="B10" s="5" t="s">
        <v>14</v>
      </c>
      <c r="C10" s="5">
        <v>45</v>
      </c>
      <c r="D10" s="3">
        <v>1360</v>
      </c>
      <c r="E10" s="6" t="s">
        <v>6</v>
      </c>
      <c r="F10">
        <f t="shared" si="0"/>
        <v>25</v>
      </c>
      <c r="G10" t="str">
        <f t="shared" si="1"/>
        <v>CIS-19_45</v>
      </c>
    </row>
    <row r="11" spans="1:7" x14ac:dyDescent="0.55000000000000004">
      <c r="A11" s="2">
        <v>10</v>
      </c>
      <c r="B11" s="5" t="s">
        <v>15</v>
      </c>
      <c r="C11" s="5">
        <v>190</v>
      </c>
      <c r="D11" s="3">
        <v>138</v>
      </c>
      <c r="E11" s="6" t="s">
        <v>6</v>
      </c>
      <c r="F11">
        <f t="shared" si="0"/>
        <v>25</v>
      </c>
      <c r="G11" t="str">
        <f t="shared" si="1"/>
        <v>CIS-19_190</v>
      </c>
    </row>
    <row r="12" spans="1:7" x14ac:dyDescent="0.55000000000000004">
      <c r="A12" s="2">
        <v>11</v>
      </c>
      <c r="B12" s="5" t="s">
        <v>16</v>
      </c>
      <c r="C12" s="5">
        <v>208</v>
      </c>
      <c r="D12" s="3">
        <v>10</v>
      </c>
      <c r="E12" s="6" t="s">
        <v>6</v>
      </c>
      <c r="F12">
        <f t="shared" si="0"/>
        <v>10</v>
      </c>
      <c r="G12" t="str">
        <f t="shared" si="1"/>
        <v>CIS-19_208</v>
      </c>
    </row>
    <row r="13" spans="1:7" x14ac:dyDescent="0.55000000000000004">
      <c r="A13" s="2">
        <v>12</v>
      </c>
      <c r="B13" s="5" t="s">
        <v>17</v>
      </c>
      <c r="C13" s="5">
        <v>65</v>
      </c>
      <c r="D13" s="3">
        <v>104</v>
      </c>
      <c r="E13" s="6" t="s">
        <v>6</v>
      </c>
      <c r="F13">
        <f t="shared" si="0"/>
        <v>25</v>
      </c>
      <c r="G13" t="str">
        <f t="shared" si="1"/>
        <v>CIS-19_65</v>
      </c>
    </row>
    <row r="14" spans="1:7" x14ac:dyDescent="0.55000000000000004">
      <c r="A14" s="2">
        <v>13</v>
      </c>
      <c r="B14" s="5" t="s">
        <v>18</v>
      </c>
      <c r="C14" s="5">
        <v>172</v>
      </c>
      <c r="D14" s="3">
        <v>1127</v>
      </c>
      <c r="E14" s="6" t="s">
        <v>6</v>
      </c>
      <c r="F14">
        <f t="shared" si="0"/>
        <v>25</v>
      </c>
      <c r="G14" t="str">
        <f t="shared" si="1"/>
        <v>CIS-19_172</v>
      </c>
    </row>
    <row r="15" spans="1:7" x14ac:dyDescent="0.55000000000000004">
      <c r="A15" s="2">
        <v>14</v>
      </c>
      <c r="B15" s="5" t="s">
        <v>19</v>
      </c>
      <c r="C15" s="5">
        <v>188</v>
      </c>
      <c r="D15" s="3">
        <v>53</v>
      </c>
      <c r="E15" s="6" t="s">
        <v>6</v>
      </c>
      <c r="F15">
        <f t="shared" si="0"/>
        <v>25</v>
      </c>
      <c r="G15" t="str">
        <f t="shared" si="1"/>
        <v>CIS-19_188</v>
      </c>
    </row>
    <row r="16" spans="1:7" x14ac:dyDescent="0.55000000000000004">
      <c r="A16" s="2">
        <v>15</v>
      </c>
      <c r="B16" s="5" t="s">
        <v>20</v>
      </c>
      <c r="C16" s="5">
        <v>36</v>
      </c>
      <c r="D16" s="3">
        <v>40</v>
      </c>
      <c r="E16" s="4" t="s">
        <v>6</v>
      </c>
      <c r="F16">
        <f t="shared" si="0"/>
        <v>25</v>
      </c>
      <c r="G16" t="str">
        <f t="shared" si="1"/>
        <v>CIS-19_36</v>
      </c>
    </row>
    <row r="17" spans="1:7" x14ac:dyDescent="0.55000000000000004">
      <c r="A17" s="2">
        <v>16</v>
      </c>
      <c r="B17" s="5" t="s">
        <v>21</v>
      </c>
      <c r="C17" s="5">
        <v>210</v>
      </c>
      <c r="D17" s="3">
        <v>106</v>
      </c>
      <c r="E17" s="4" t="s">
        <v>6</v>
      </c>
      <c r="F17">
        <f t="shared" si="0"/>
        <v>25</v>
      </c>
      <c r="G17" t="str">
        <f t="shared" si="1"/>
        <v>CIS-19_210</v>
      </c>
    </row>
    <row r="18" spans="1:7" x14ac:dyDescent="0.55000000000000004">
      <c r="A18" s="2">
        <v>17</v>
      </c>
      <c r="B18" s="5" t="s">
        <v>22</v>
      </c>
      <c r="C18" s="5">
        <v>206</v>
      </c>
      <c r="D18" s="3">
        <v>72</v>
      </c>
      <c r="E18" s="4" t="s">
        <v>6</v>
      </c>
      <c r="F18">
        <f t="shared" si="0"/>
        <v>25</v>
      </c>
      <c r="G18" t="str">
        <f t="shared" si="1"/>
        <v>CIS-19_206</v>
      </c>
    </row>
    <row r="19" spans="1:7" x14ac:dyDescent="0.55000000000000004">
      <c r="A19" s="2">
        <v>18</v>
      </c>
      <c r="B19" s="5" t="s">
        <v>23</v>
      </c>
      <c r="C19" s="5">
        <v>205</v>
      </c>
      <c r="D19" s="3">
        <v>10</v>
      </c>
      <c r="E19" s="4" t="s">
        <v>6</v>
      </c>
      <c r="F19">
        <f t="shared" si="0"/>
        <v>10</v>
      </c>
      <c r="G19" t="str">
        <f t="shared" si="1"/>
        <v>CIS-19_205</v>
      </c>
    </row>
    <row r="20" spans="1:7" x14ac:dyDescent="0.55000000000000004">
      <c r="A20" s="2">
        <v>19</v>
      </c>
      <c r="B20" s="5" t="s">
        <v>24</v>
      </c>
      <c r="C20" s="5">
        <v>187</v>
      </c>
      <c r="D20" s="3">
        <v>590</v>
      </c>
      <c r="E20" s="4" t="s">
        <v>6</v>
      </c>
      <c r="F20">
        <f t="shared" si="0"/>
        <v>25</v>
      </c>
      <c r="G20" t="str">
        <f t="shared" si="1"/>
        <v>CIS-19_187</v>
      </c>
    </row>
    <row r="21" spans="1:7" x14ac:dyDescent="0.55000000000000004">
      <c r="A21" s="2">
        <v>20</v>
      </c>
      <c r="B21" s="5" t="s">
        <v>25</v>
      </c>
      <c r="C21" s="5">
        <v>151</v>
      </c>
      <c r="D21" s="3">
        <v>182</v>
      </c>
      <c r="E21" s="4" t="s">
        <v>6</v>
      </c>
      <c r="F21">
        <f t="shared" si="0"/>
        <v>25</v>
      </c>
      <c r="G21" t="str">
        <f t="shared" si="1"/>
        <v>CIS-19_151</v>
      </c>
    </row>
    <row r="22" spans="1:7" x14ac:dyDescent="0.55000000000000004">
      <c r="A22" s="2">
        <v>21</v>
      </c>
      <c r="B22" s="5" t="s">
        <v>26</v>
      </c>
      <c r="C22" s="5">
        <v>76</v>
      </c>
      <c r="D22" s="3">
        <v>50</v>
      </c>
      <c r="E22" s="10" t="s">
        <v>6</v>
      </c>
      <c r="F22">
        <f t="shared" si="0"/>
        <v>25</v>
      </c>
      <c r="G22" t="str">
        <f t="shared" si="1"/>
        <v>CIS-19_76</v>
      </c>
    </row>
    <row r="23" spans="1:7" x14ac:dyDescent="0.55000000000000004">
      <c r="A23" s="2">
        <v>22</v>
      </c>
      <c r="B23" s="5" t="s">
        <v>27</v>
      </c>
      <c r="C23" s="5">
        <v>139</v>
      </c>
      <c r="D23" s="7">
        <v>59</v>
      </c>
      <c r="E23" s="11" t="s">
        <v>28</v>
      </c>
      <c r="F23">
        <f t="shared" si="0"/>
        <v>25</v>
      </c>
      <c r="G23" t="str">
        <f t="shared" si="1"/>
        <v>CIS-19_139</v>
      </c>
    </row>
    <row r="24" spans="1:7" x14ac:dyDescent="0.55000000000000004">
      <c r="A24" s="2">
        <v>23</v>
      </c>
      <c r="B24" s="5" t="s">
        <v>29</v>
      </c>
      <c r="C24" s="2">
        <v>184</v>
      </c>
      <c r="D24" s="3">
        <v>133</v>
      </c>
      <c r="E24" s="4" t="s">
        <v>6</v>
      </c>
      <c r="F24">
        <f t="shared" si="0"/>
        <v>25</v>
      </c>
      <c r="G24" t="str">
        <f t="shared" si="1"/>
        <v>CIS-19_184</v>
      </c>
    </row>
    <row r="25" spans="1:7" x14ac:dyDescent="0.55000000000000004">
      <c r="A25" s="2">
        <v>24</v>
      </c>
      <c r="B25" s="5" t="s">
        <v>30</v>
      </c>
      <c r="C25" s="2">
        <v>192</v>
      </c>
      <c r="D25" s="3">
        <v>50</v>
      </c>
      <c r="E25" s="4" t="s">
        <v>6</v>
      </c>
      <c r="F25">
        <f t="shared" si="0"/>
        <v>25</v>
      </c>
      <c r="G25" t="str">
        <f t="shared" si="1"/>
        <v>CIS-19_192</v>
      </c>
    </row>
    <row r="26" spans="1:7" x14ac:dyDescent="0.55000000000000004">
      <c r="A26" s="2">
        <v>25</v>
      </c>
      <c r="B26" s="5" t="s">
        <v>31</v>
      </c>
      <c r="C26" s="2">
        <v>57</v>
      </c>
      <c r="D26" s="3">
        <v>279</v>
      </c>
      <c r="E26" s="10" t="s">
        <v>6</v>
      </c>
      <c r="F26">
        <f t="shared" si="0"/>
        <v>25</v>
      </c>
      <c r="G26" t="str">
        <f t="shared" si="1"/>
        <v>CIS-19_57</v>
      </c>
    </row>
    <row r="27" spans="1:7" x14ac:dyDescent="0.55000000000000004">
      <c r="A27" s="2">
        <v>26</v>
      </c>
      <c r="B27" s="5" t="s">
        <v>32</v>
      </c>
      <c r="C27" s="2">
        <v>183</v>
      </c>
      <c r="D27" s="3">
        <v>59</v>
      </c>
      <c r="E27" s="4" t="s">
        <v>6</v>
      </c>
      <c r="F27">
        <f t="shared" si="0"/>
        <v>25</v>
      </c>
      <c r="G27" t="str">
        <f t="shared" si="1"/>
        <v>CIS-19_183</v>
      </c>
    </row>
    <row r="28" spans="1:7" x14ac:dyDescent="0.55000000000000004">
      <c r="A28" s="2">
        <v>27</v>
      </c>
      <c r="B28" s="5" t="s">
        <v>33</v>
      </c>
      <c r="C28" s="2">
        <v>182</v>
      </c>
      <c r="D28" s="3">
        <v>5</v>
      </c>
      <c r="E28" s="4" t="s">
        <v>6</v>
      </c>
      <c r="F28">
        <f t="shared" si="0"/>
        <v>5</v>
      </c>
      <c r="G28" t="str">
        <f t="shared" si="1"/>
        <v>CIS-19_182</v>
      </c>
    </row>
    <row r="29" spans="1:7" x14ac:dyDescent="0.55000000000000004">
      <c r="A29" s="2">
        <v>29</v>
      </c>
      <c r="B29" s="5" t="s">
        <v>34</v>
      </c>
      <c r="C29" s="2">
        <v>82</v>
      </c>
      <c r="D29" s="3">
        <v>1027</v>
      </c>
      <c r="E29" s="10" t="s">
        <v>6</v>
      </c>
      <c r="F29">
        <f t="shared" si="0"/>
        <v>25</v>
      </c>
      <c r="G29" t="str">
        <f t="shared" si="1"/>
        <v>CIS-19_82</v>
      </c>
    </row>
    <row r="30" spans="1:7" x14ac:dyDescent="0.55000000000000004">
      <c r="A30" s="2">
        <v>30</v>
      </c>
      <c r="B30" s="5" t="s">
        <v>35</v>
      </c>
      <c r="C30" s="2">
        <v>84</v>
      </c>
      <c r="D30" s="3">
        <v>1209</v>
      </c>
      <c r="E30" s="10" t="s">
        <v>6</v>
      </c>
      <c r="F30">
        <f t="shared" si="0"/>
        <v>25</v>
      </c>
      <c r="G30" t="str">
        <f t="shared" si="1"/>
        <v>CIS-19_84</v>
      </c>
    </row>
    <row r="31" spans="1:7" x14ac:dyDescent="0.55000000000000004">
      <c r="A31" s="2">
        <v>31</v>
      </c>
      <c r="B31" s="5" t="s">
        <v>36</v>
      </c>
      <c r="C31" s="2">
        <v>85</v>
      </c>
      <c r="D31" s="3">
        <v>172</v>
      </c>
      <c r="E31" s="10" t="s">
        <v>6</v>
      </c>
      <c r="F31">
        <f t="shared" si="0"/>
        <v>25</v>
      </c>
      <c r="G31" t="str">
        <f t="shared" si="1"/>
        <v>CIS-19_85</v>
      </c>
    </row>
    <row r="32" spans="1:7" x14ac:dyDescent="0.55000000000000004">
      <c r="A32" s="2">
        <v>32</v>
      </c>
      <c r="B32" s="5" t="s">
        <v>37</v>
      </c>
      <c r="C32" s="4">
        <v>101</v>
      </c>
      <c r="D32" s="3">
        <v>74</v>
      </c>
      <c r="E32" s="4" t="s">
        <v>6</v>
      </c>
      <c r="F32">
        <f t="shared" si="0"/>
        <v>25</v>
      </c>
      <c r="G32" t="str">
        <f t="shared" si="1"/>
        <v>CIS-19_101</v>
      </c>
    </row>
    <row r="33" spans="1:7" x14ac:dyDescent="0.55000000000000004">
      <c r="A33" s="2">
        <v>33</v>
      </c>
      <c r="B33" s="5" t="s">
        <v>38</v>
      </c>
      <c r="C33" s="2">
        <v>158</v>
      </c>
      <c r="D33" s="3">
        <v>48</v>
      </c>
      <c r="E33" s="10" t="s">
        <v>6</v>
      </c>
      <c r="F33">
        <f t="shared" si="0"/>
        <v>25</v>
      </c>
      <c r="G33" t="str">
        <f t="shared" si="1"/>
        <v>CIS-19_158</v>
      </c>
    </row>
    <row r="34" spans="1:7" x14ac:dyDescent="0.55000000000000004">
      <c r="A34" s="2">
        <v>34</v>
      </c>
      <c r="B34" s="5" t="s">
        <v>39</v>
      </c>
      <c r="C34" s="2">
        <v>142</v>
      </c>
      <c r="D34" s="3">
        <v>0</v>
      </c>
      <c r="E34" s="4" t="s">
        <v>6</v>
      </c>
      <c r="F34">
        <f t="shared" ref="F34:F65" si="2">IF(D34&gt;=25, 25, D34)</f>
        <v>0</v>
      </c>
      <c r="G34" t="str">
        <f t="shared" si="1"/>
        <v>CIS-19_142</v>
      </c>
    </row>
    <row r="35" spans="1:7" x14ac:dyDescent="0.55000000000000004">
      <c r="A35" s="2">
        <v>35</v>
      </c>
      <c r="B35" s="5" t="s">
        <v>40</v>
      </c>
      <c r="C35" s="2">
        <v>196</v>
      </c>
      <c r="D35" s="3">
        <v>15</v>
      </c>
      <c r="E35" s="4" t="s">
        <v>6</v>
      </c>
      <c r="F35">
        <f t="shared" si="2"/>
        <v>15</v>
      </c>
      <c r="G35" t="str">
        <f t="shared" si="1"/>
        <v>CIS-19_196</v>
      </c>
    </row>
    <row r="36" spans="1:7" x14ac:dyDescent="0.55000000000000004">
      <c r="A36" s="2">
        <v>36</v>
      </c>
      <c r="B36" s="5" t="s">
        <v>41</v>
      </c>
      <c r="C36" s="2">
        <v>120</v>
      </c>
      <c r="D36" s="3">
        <v>6</v>
      </c>
      <c r="E36" s="4" t="s">
        <v>6</v>
      </c>
      <c r="F36">
        <f t="shared" si="2"/>
        <v>6</v>
      </c>
      <c r="G36" t="str">
        <f t="shared" si="1"/>
        <v>CIS-19_120</v>
      </c>
    </row>
    <row r="37" spans="1:7" x14ac:dyDescent="0.55000000000000004">
      <c r="A37" s="2">
        <v>38</v>
      </c>
      <c r="B37" s="5" t="s">
        <v>42</v>
      </c>
      <c r="C37" s="2">
        <v>209</v>
      </c>
      <c r="D37" s="3">
        <v>1</v>
      </c>
      <c r="E37" s="4" t="s">
        <v>6</v>
      </c>
      <c r="F37">
        <f t="shared" si="2"/>
        <v>1</v>
      </c>
      <c r="G37" t="str">
        <f t="shared" si="1"/>
        <v>CIS-19_209</v>
      </c>
    </row>
    <row r="38" spans="1:7" x14ac:dyDescent="0.55000000000000004">
      <c r="A38" s="2">
        <v>39</v>
      </c>
      <c r="B38" s="5" t="s">
        <v>43</v>
      </c>
      <c r="C38" s="2">
        <v>178</v>
      </c>
      <c r="D38" s="3">
        <v>3</v>
      </c>
      <c r="E38" s="4" t="s">
        <v>6</v>
      </c>
      <c r="F38">
        <f t="shared" si="2"/>
        <v>3</v>
      </c>
      <c r="G38" t="str">
        <f t="shared" si="1"/>
        <v>CIS-19_178</v>
      </c>
    </row>
    <row r="39" spans="1:7" x14ac:dyDescent="0.55000000000000004">
      <c r="A39" s="2">
        <v>40</v>
      </c>
      <c r="B39" s="5" t="s">
        <v>44</v>
      </c>
      <c r="C39" s="2">
        <v>177</v>
      </c>
      <c r="D39" s="3">
        <v>186</v>
      </c>
      <c r="E39" s="4" t="s">
        <v>6</v>
      </c>
      <c r="F39">
        <f t="shared" si="2"/>
        <v>25</v>
      </c>
      <c r="G39" t="str">
        <f t="shared" si="1"/>
        <v>CIS-19_177</v>
      </c>
    </row>
    <row r="40" spans="1:7" x14ac:dyDescent="0.55000000000000004">
      <c r="A40" s="2">
        <v>41</v>
      </c>
      <c r="B40" s="5" t="s">
        <v>45</v>
      </c>
      <c r="C40" s="2">
        <v>176</v>
      </c>
      <c r="D40" s="3">
        <v>7</v>
      </c>
      <c r="E40" s="4" t="s">
        <v>6</v>
      </c>
      <c r="F40">
        <f t="shared" si="2"/>
        <v>7</v>
      </c>
      <c r="G40" t="str">
        <f t="shared" si="1"/>
        <v>CIS-19_176</v>
      </c>
    </row>
    <row r="41" spans="1:7" x14ac:dyDescent="0.55000000000000004">
      <c r="A41" s="2">
        <v>42</v>
      </c>
      <c r="B41" s="5" t="s">
        <v>46</v>
      </c>
      <c r="C41" s="2">
        <v>195</v>
      </c>
      <c r="D41" s="3">
        <v>17</v>
      </c>
      <c r="E41" s="4" t="s">
        <v>6</v>
      </c>
      <c r="F41">
        <f t="shared" si="2"/>
        <v>17</v>
      </c>
      <c r="G41" t="str">
        <f t="shared" si="1"/>
        <v>CIS-19_195</v>
      </c>
    </row>
    <row r="42" spans="1:7" x14ac:dyDescent="0.55000000000000004">
      <c r="A42" s="2">
        <v>43</v>
      </c>
      <c r="B42" s="5" t="s">
        <v>47</v>
      </c>
      <c r="C42" s="2">
        <v>194</v>
      </c>
      <c r="D42" s="3">
        <v>1</v>
      </c>
      <c r="E42" s="4" t="s">
        <v>6</v>
      </c>
      <c r="F42">
        <f t="shared" si="2"/>
        <v>1</v>
      </c>
      <c r="G42" t="str">
        <f t="shared" si="1"/>
        <v>CIS-19_194</v>
      </c>
    </row>
    <row r="43" spans="1:7" x14ac:dyDescent="0.55000000000000004">
      <c r="A43" s="2">
        <v>45</v>
      </c>
      <c r="B43" s="5" t="s">
        <v>48</v>
      </c>
      <c r="C43" s="2">
        <v>193</v>
      </c>
      <c r="D43" s="3">
        <v>1</v>
      </c>
      <c r="E43" s="4" t="s">
        <v>6</v>
      </c>
      <c r="F43">
        <f t="shared" si="2"/>
        <v>1</v>
      </c>
      <c r="G43" t="str">
        <f t="shared" si="1"/>
        <v>CIS-19_193</v>
      </c>
    </row>
    <row r="44" spans="1:7" x14ac:dyDescent="0.55000000000000004">
      <c r="A44" s="2">
        <v>46</v>
      </c>
      <c r="B44" s="5" t="s">
        <v>49</v>
      </c>
      <c r="C44" s="2">
        <v>174</v>
      </c>
      <c r="D44" s="3">
        <v>4</v>
      </c>
      <c r="E44" s="4" t="s">
        <v>6</v>
      </c>
      <c r="F44">
        <f t="shared" si="2"/>
        <v>4</v>
      </c>
      <c r="G44" t="str">
        <f t="shared" si="1"/>
        <v>CIS-19_174</v>
      </c>
    </row>
    <row r="45" spans="1:7" x14ac:dyDescent="0.55000000000000004">
      <c r="A45" s="2">
        <v>47</v>
      </c>
      <c r="B45" s="5" t="s">
        <v>50</v>
      </c>
      <c r="C45" s="2">
        <v>460</v>
      </c>
      <c r="D45" s="3">
        <v>15</v>
      </c>
      <c r="E45" s="4" t="s">
        <v>6</v>
      </c>
      <c r="F45">
        <f t="shared" si="2"/>
        <v>15</v>
      </c>
      <c r="G45" t="str">
        <f t="shared" si="1"/>
        <v>CIS-19_460</v>
      </c>
    </row>
    <row r="46" spans="1:7" x14ac:dyDescent="0.55000000000000004">
      <c r="A46" s="2">
        <v>48</v>
      </c>
      <c r="B46" s="5" t="s">
        <v>51</v>
      </c>
      <c r="C46" s="2">
        <v>459</v>
      </c>
      <c r="D46" s="3">
        <v>6</v>
      </c>
      <c r="E46" s="4" t="s">
        <v>6</v>
      </c>
      <c r="F46">
        <f t="shared" si="2"/>
        <v>6</v>
      </c>
      <c r="G46" t="str">
        <f t="shared" si="1"/>
        <v>CIS-19_459</v>
      </c>
    </row>
    <row r="47" spans="1:7" x14ac:dyDescent="0.55000000000000004">
      <c r="A47" s="2">
        <v>49</v>
      </c>
      <c r="B47" s="5" t="s">
        <v>52</v>
      </c>
      <c r="C47" s="2">
        <v>461</v>
      </c>
      <c r="D47" s="3">
        <v>17</v>
      </c>
      <c r="E47" s="4" t="s">
        <v>6</v>
      </c>
      <c r="F47">
        <f t="shared" si="2"/>
        <v>17</v>
      </c>
      <c r="G47" t="str">
        <f t="shared" si="1"/>
        <v>CIS-19_461</v>
      </c>
    </row>
    <row r="48" spans="1:7" x14ac:dyDescent="0.55000000000000004">
      <c r="A48" s="2">
        <v>50</v>
      </c>
      <c r="B48" s="5" t="s">
        <v>53</v>
      </c>
      <c r="C48" s="2">
        <v>457</v>
      </c>
      <c r="D48" s="3">
        <v>8</v>
      </c>
      <c r="E48" s="4" t="s">
        <v>6</v>
      </c>
      <c r="F48">
        <f t="shared" si="2"/>
        <v>8</v>
      </c>
      <c r="G48" t="str">
        <f t="shared" si="1"/>
        <v>CIS-19_457</v>
      </c>
    </row>
    <row r="49" spans="1:7" x14ac:dyDescent="0.55000000000000004">
      <c r="A49" s="2">
        <v>51</v>
      </c>
      <c r="B49" s="5" t="s">
        <v>54</v>
      </c>
      <c r="C49" s="2">
        <v>456</v>
      </c>
      <c r="D49" s="3">
        <v>49</v>
      </c>
      <c r="E49" s="4" t="s">
        <v>6</v>
      </c>
      <c r="F49">
        <f t="shared" si="2"/>
        <v>25</v>
      </c>
      <c r="G49" t="str">
        <f t="shared" si="1"/>
        <v>CIS-19_456</v>
      </c>
    </row>
    <row r="50" spans="1:7" x14ac:dyDescent="0.55000000000000004">
      <c r="A50" s="2">
        <v>54</v>
      </c>
      <c r="B50" s="5" t="s">
        <v>55</v>
      </c>
      <c r="C50" s="2">
        <v>451</v>
      </c>
      <c r="D50" s="3">
        <v>9</v>
      </c>
      <c r="E50" s="4" t="s">
        <v>6</v>
      </c>
      <c r="F50">
        <f t="shared" si="2"/>
        <v>9</v>
      </c>
      <c r="G50" t="str">
        <f t="shared" si="1"/>
        <v>CIS-19_451</v>
      </c>
    </row>
    <row r="51" spans="1:7" x14ac:dyDescent="0.55000000000000004">
      <c r="A51" s="2">
        <v>56</v>
      </c>
      <c r="B51" s="5" t="s">
        <v>56</v>
      </c>
      <c r="C51" s="2">
        <v>463</v>
      </c>
      <c r="D51" s="3">
        <v>3</v>
      </c>
      <c r="E51" s="4" t="s">
        <v>6</v>
      </c>
      <c r="F51">
        <f t="shared" si="2"/>
        <v>3</v>
      </c>
      <c r="G51" t="str">
        <f t="shared" si="1"/>
        <v>CIS-19_463</v>
      </c>
    </row>
    <row r="52" spans="1:7" x14ac:dyDescent="0.55000000000000004">
      <c r="A52" s="2">
        <v>57</v>
      </c>
      <c r="B52" s="5" t="s">
        <v>57</v>
      </c>
      <c r="C52" s="2">
        <v>464</v>
      </c>
      <c r="D52" s="3">
        <v>2</v>
      </c>
      <c r="E52" s="4" t="s">
        <v>6</v>
      </c>
      <c r="F52">
        <f t="shared" si="2"/>
        <v>2</v>
      </c>
      <c r="G52" t="str">
        <f t="shared" si="1"/>
        <v>CIS-19_464</v>
      </c>
    </row>
    <row r="53" spans="1:7" x14ac:dyDescent="0.55000000000000004">
      <c r="A53" s="2">
        <v>58</v>
      </c>
      <c r="B53" s="5" t="s">
        <v>58</v>
      </c>
      <c r="C53" s="2">
        <v>465</v>
      </c>
      <c r="D53" s="4">
        <v>8</v>
      </c>
      <c r="E53" s="4" t="s">
        <v>6</v>
      </c>
      <c r="F53">
        <f t="shared" si="2"/>
        <v>8</v>
      </c>
      <c r="G53" t="str">
        <f t="shared" si="1"/>
        <v>CIS-19_465</v>
      </c>
    </row>
    <row r="54" spans="1:7" x14ac:dyDescent="0.55000000000000004">
      <c r="A54" s="2">
        <v>59</v>
      </c>
      <c r="B54" s="5" t="s">
        <v>59</v>
      </c>
      <c r="C54" s="2">
        <v>422</v>
      </c>
      <c r="D54" s="4">
        <v>285</v>
      </c>
      <c r="E54" s="4" t="s">
        <v>6</v>
      </c>
      <c r="F54">
        <f t="shared" si="2"/>
        <v>25</v>
      </c>
      <c r="G54" t="str">
        <f t="shared" si="1"/>
        <v>CIS-19_422</v>
      </c>
    </row>
    <row r="55" spans="1:7" x14ac:dyDescent="0.55000000000000004">
      <c r="A55" s="2">
        <v>60</v>
      </c>
      <c r="B55" s="5" t="s">
        <v>60</v>
      </c>
      <c r="C55" s="2">
        <v>420</v>
      </c>
      <c r="D55" s="4">
        <v>88</v>
      </c>
      <c r="E55" s="4" t="s">
        <v>6</v>
      </c>
      <c r="F55">
        <f t="shared" si="2"/>
        <v>25</v>
      </c>
      <c r="G55" t="str">
        <f t="shared" si="1"/>
        <v>CIS-19_420</v>
      </c>
    </row>
    <row r="56" spans="1:7" x14ac:dyDescent="0.55000000000000004">
      <c r="A56" s="2">
        <v>61</v>
      </c>
      <c r="B56" s="5" t="s">
        <v>61</v>
      </c>
      <c r="C56" s="2">
        <v>419</v>
      </c>
      <c r="D56" s="4">
        <v>43</v>
      </c>
      <c r="E56" s="4" t="s">
        <v>6</v>
      </c>
      <c r="F56">
        <f t="shared" si="2"/>
        <v>25</v>
      </c>
      <c r="G56" t="str">
        <f t="shared" si="1"/>
        <v>CIS-19_419</v>
      </c>
    </row>
    <row r="57" spans="1:7" x14ac:dyDescent="0.55000000000000004">
      <c r="A57" s="2">
        <v>62</v>
      </c>
      <c r="B57" s="5" t="s">
        <v>62</v>
      </c>
      <c r="C57" s="2">
        <v>418</v>
      </c>
      <c r="D57" s="4">
        <v>182</v>
      </c>
      <c r="E57" s="4" t="s">
        <v>6</v>
      </c>
      <c r="F57">
        <f t="shared" si="2"/>
        <v>25</v>
      </c>
      <c r="G57" t="str">
        <f t="shared" si="1"/>
        <v>CIS-19_418</v>
      </c>
    </row>
    <row r="58" spans="1:7" x14ac:dyDescent="0.55000000000000004">
      <c r="A58" s="2">
        <v>63</v>
      </c>
      <c r="B58" s="5" t="s">
        <v>63</v>
      </c>
      <c r="C58" s="2">
        <v>417</v>
      </c>
      <c r="D58" s="4">
        <v>11</v>
      </c>
      <c r="E58" s="4" t="s">
        <v>6</v>
      </c>
      <c r="F58">
        <f t="shared" si="2"/>
        <v>11</v>
      </c>
      <c r="G58" t="str">
        <f t="shared" si="1"/>
        <v>CIS-19_417</v>
      </c>
    </row>
    <row r="59" spans="1:7" x14ac:dyDescent="0.55000000000000004">
      <c r="A59" s="2">
        <v>64</v>
      </c>
      <c r="B59" s="5" t="s">
        <v>64</v>
      </c>
      <c r="C59" s="2">
        <v>415</v>
      </c>
      <c r="D59" s="4">
        <v>302</v>
      </c>
      <c r="E59" s="4" t="s">
        <v>6</v>
      </c>
      <c r="F59">
        <f t="shared" si="2"/>
        <v>25</v>
      </c>
      <c r="G59" t="str">
        <f t="shared" si="1"/>
        <v>CIS-19_415</v>
      </c>
    </row>
    <row r="60" spans="1:7" x14ac:dyDescent="0.55000000000000004">
      <c r="A60" s="2">
        <v>65</v>
      </c>
      <c r="B60" s="5" t="s">
        <v>65</v>
      </c>
      <c r="C60" s="2">
        <v>414</v>
      </c>
      <c r="D60" s="4">
        <v>29</v>
      </c>
      <c r="E60" s="4" t="s">
        <v>6</v>
      </c>
      <c r="F60">
        <f t="shared" si="2"/>
        <v>25</v>
      </c>
      <c r="G60" t="str">
        <f t="shared" si="1"/>
        <v>CIS-19_414</v>
      </c>
    </row>
    <row r="61" spans="1:7" x14ac:dyDescent="0.55000000000000004">
      <c r="A61" s="2">
        <v>68</v>
      </c>
      <c r="B61" s="5" t="s">
        <v>66</v>
      </c>
      <c r="C61" s="2">
        <v>406</v>
      </c>
      <c r="D61" s="9">
        <v>1</v>
      </c>
      <c r="E61" s="8" t="s">
        <v>28</v>
      </c>
      <c r="F61">
        <f t="shared" si="2"/>
        <v>1</v>
      </c>
      <c r="G61" t="str">
        <f t="shared" si="1"/>
        <v>CIS-19_406</v>
      </c>
    </row>
    <row r="62" spans="1:7" x14ac:dyDescent="0.55000000000000004">
      <c r="A62" s="2">
        <v>71</v>
      </c>
      <c r="B62" s="5" t="s">
        <v>67</v>
      </c>
      <c r="C62" s="2">
        <v>405</v>
      </c>
      <c r="D62" s="4">
        <v>4</v>
      </c>
      <c r="E62" s="4" t="s">
        <v>6</v>
      </c>
      <c r="F62">
        <f t="shared" si="2"/>
        <v>4</v>
      </c>
      <c r="G62" t="str">
        <f t="shared" si="1"/>
        <v>CIS-19_405</v>
      </c>
    </row>
    <row r="63" spans="1:7" x14ac:dyDescent="0.55000000000000004">
      <c r="A63" s="2">
        <v>72</v>
      </c>
      <c r="B63" s="5" t="s">
        <v>68</v>
      </c>
      <c r="C63" s="2">
        <v>401</v>
      </c>
      <c r="D63" s="4">
        <v>77</v>
      </c>
      <c r="E63" s="4" t="s">
        <v>6</v>
      </c>
      <c r="F63">
        <f t="shared" si="2"/>
        <v>25</v>
      </c>
      <c r="G63" t="str">
        <f t="shared" si="1"/>
        <v>CIS-19_401</v>
      </c>
    </row>
    <row r="64" spans="1:7" x14ac:dyDescent="0.55000000000000004">
      <c r="A64" s="2">
        <v>73</v>
      </c>
      <c r="B64" s="5" t="s">
        <v>69</v>
      </c>
      <c r="C64" s="2">
        <v>402</v>
      </c>
      <c r="D64" s="4">
        <v>255</v>
      </c>
      <c r="E64" s="4" t="s">
        <v>6</v>
      </c>
      <c r="F64">
        <f t="shared" si="2"/>
        <v>25</v>
      </c>
      <c r="G64" t="str">
        <f t="shared" si="1"/>
        <v>CIS-19_402</v>
      </c>
    </row>
    <row r="65" spans="1:7" x14ac:dyDescent="0.55000000000000004">
      <c r="A65" s="2">
        <v>74</v>
      </c>
      <c r="B65" s="5" t="s">
        <v>70</v>
      </c>
      <c r="C65" s="2">
        <v>404</v>
      </c>
      <c r="D65" s="4">
        <v>176</v>
      </c>
      <c r="E65" s="4" t="s">
        <v>6</v>
      </c>
      <c r="F65">
        <f t="shared" si="2"/>
        <v>25</v>
      </c>
      <c r="G65" t="str">
        <f t="shared" si="1"/>
        <v>CIS-19_404</v>
      </c>
    </row>
    <row r="66" spans="1:7" x14ac:dyDescent="0.55000000000000004">
      <c r="A66" s="2">
        <v>75</v>
      </c>
      <c r="B66" s="5" t="s">
        <v>71</v>
      </c>
      <c r="C66" s="2">
        <v>403</v>
      </c>
      <c r="D66" s="4">
        <v>47</v>
      </c>
      <c r="E66" s="4" t="s">
        <v>6</v>
      </c>
      <c r="F66">
        <f t="shared" ref="F66:F97" si="3">IF(D66&gt;=25, 25, D66)</f>
        <v>25</v>
      </c>
      <c r="G66" t="str">
        <f t="shared" si="1"/>
        <v>CIS-19_403</v>
      </c>
    </row>
    <row r="67" spans="1:7" x14ac:dyDescent="0.55000000000000004">
      <c r="A67" s="2">
        <v>76</v>
      </c>
      <c r="B67" s="5" t="s">
        <v>72</v>
      </c>
      <c r="C67" s="2">
        <v>400</v>
      </c>
      <c r="D67" s="4">
        <v>13</v>
      </c>
      <c r="E67" s="4" t="s">
        <v>6</v>
      </c>
      <c r="F67">
        <f t="shared" si="3"/>
        <v>13</v>
      </c>
      <c r="G67" t="str">
        <f t="shared" ref="G67:G104" si="4">"CIS-19_"&amp;C67</f>
        <v>CIS-19_400</v>
      </c>
    </row>
    <row r="68" spans="1:7" x14ac:dyDescent="0.55000000000000004">
      <c r="A68" s="2">
        <v>77</v>
      </c>
      <c r="B68" s="5" t="s">
        <v>73</v>
      </c>
      <c r="C68" s="2">
        <v>191</v>
      </c>
      <c r="D68" s="4">
        <v>25</v>
      </c>
      <c r="E68" s="4" t="s">
        <v>6</v>
      </c>
      <c r="F68">
        <f t="shared" si="3"/>
        <v>25</v>
      </c>
      <c r="G68" t="str">
        <f t="shared" si="4"/>
        <v>CIS-19_191</v>
      </c>
    </row>
    <row r="69" spans="1:7" x14ac:dyDescent="0.55000000000000004">
      <c r="A69" s="2">
        <v>78</v>
      </c>
      <c r="B69" s="5" t="s">
        <v>74</v>
      </c>
      <c r="C69" s="2">
        <v>207</v>
      </c>
      <c r="D69" s="4">
        <v>26</v>
      </c>
      <c r="E69" s="4" t="s">
        <v>6</v>
      </c>
      <c r="F69">
        <f t="shared" si="3"/>
        <v>25</v>
      </c>
      <c r="G69" t="str">
        <f t="shared" si="4"/>
        <v>CIS-19_207</v>
      </c>
    </row>
    <row r="70" spans="1:7" x14ac:dyDescent="0.55000000000000004">
      <c r="A70" s="2">
        <v>80</v>
      </c>
      <c r="B70" s="5" t="s">
        <v>75</v>
      </c>
      <c r="C70" s="2">
        <v>2161</v>
      </c>
      <c r="D70" s="9">
        <v>7</v>
      </c>
      <c r="E70" s="8" t="s">
        <v>28</v>
      </c>
      <c r="F70">
        <f t="shared" si="3"/>
        <v>7</v>
      </c>
      <c r="G70" t="str">
        <f t="shared" si="4"/>
        <v>CIS-19_2161</v>
      </c>
    </row>
    <row r="71" spans="1:7" x14ac:dyDescent="0.55000000000000004">
      <c r="A71" s="2">
        <v>81</v>
      </c>
      <c r="B71" s="5" t="s">
        <v>76</v>
      </c>
      <c r="C71" s="2">
        <v>2133</v>
      </c>
      <c r="D71" s="4">
        <v>115</v>
      </c>
      <c r="E71" s="4" t="s">
        <v>6</v>
      </c>
      <c r="F71">
        <f t="shared" si="3"/>
        <v>25</v>
      </c>
      <c r="G71" t="str">
        <f t="shared" si="4"/>
        <v>CIS-19_2133</v>
      </c>
    </row>
    <row r="72" spans="1:7" x14ac:dyDescent="0.55000000000000004">
      <c r="A72" s="2">
        <v>82</v>
      </c>
      <c r="B72" s="5" t="s">
        <v>77</v>
      </c>
      <c r="C72" s="2">
        <v>2124</v>
      </c>
      <c r="D72" s="4">
        <v>24</v>
      </c>
      <c r="E72" s="4" t="s">
        <v>6</v>
      </c>
      <c r="F72">
        <f t="shared" si="3"/>
        <v>24</v>
      </c>
      <c r="G72" t="str">
        <f t="shared" si="4"/>
        <v>CIS-19_2124</v>
      </c>
    </row>
    <row r="73" spans="1:7" x14ac:dyDescent="0.55000000000000004">
      <c r="A73" s="2">
        <v>83</v>
      </c>
      <c r="B73" s="5" t="s">
        <v>78</v>
      </c>
      <c r="C73" s="2">
        <v>2147</v>
      </c>
      <c r="D73" s="4">
        <v>17</v>
      </c>
      <c r="E73" s="4" t="s">
        <v>6</v>
      </c>
      <c r="F73">
        <f t="shared" si="3"/>
        <v>17</v>
      </c>
      <c r="G73" t="str">
        <f t="shared" si="4"/>
        <v>CIS-19_2147</v>
      </c>
    </row>
    <row r="74" spans="1:7" x14ac:dyDescent="0.55000000000000004">
      <c r="A74" s="2">
        <v>84</v>
      </c>
      <c r="B74" s="5" t="s">
        <v>79</v>
      </c>
      <c r="C74" s="2">
        <v>2120</v>
      </c>
      <c r="D74" s="4">
        <v>38</v>
      </c>
      <c r="E74" s="4" t="s">
        <v>6</v>
      </c>
      <c r="F74">
        <f t="shared" si="3"/>
        <v>25</v>
      </c>
      <c r="G74" t="str">
        <f t="shared" si="4"/>
        <v>CIS-19_2120</v>
      </c>
    </row>
    <row r="75" spans="1:7" x14ac:dyDescent="0.55000000000000004">
      <c r="A75" s="2">
        <v>85</v>
      </c>
      <c r="B75" s="5" t="s">
        <v>80</v>
      </c>
      <c r="C75" s="2">
        <v>2136</v>
      </c>
      <c r="D75" s="4">
        <v>40</v>
      </c>
      <c r="E75" s="4" t="s">
        <v>6</v>
      </c>
      <c r="F75">
        <f t="shared" si="3"/>
        <v>25</v>
      </c>
      <c r="G75" t="str">
        <f t="shared" si="4"/>
        <v>CIS-19_2136</v>
      </c>
    </row>
    <row r="76" spans="1:7" x14ac:dyDescent="0.55000000000000004">
      <c r="A76" s="2">
        <v>86</v>
      </c>
      <c r="B76" s="2" t="s">
        <v>81</v>
      </c>
      <c r="C76" s="2">
        <v>2151</v>
      </c>
      <c r="D76" s="4">
        <v>7</v>
      </c>
      <c r="E76" s="4" t="s">
        <v>6</v>
      </c>
      <c r="F76">
        <f t="shared" si="3"/>
        <v>7</v>
      </c>
      <c r="G76" t="str">
        <f t="shared" si="4"/>
        <v>CIS-19_2151</v>
      </c>
    </row>
    <row r="77" spans="1:7" x14ac:dyDescent="0.55000000000000004">
      <c r="A77" s="2">
        <v>87</v>
      </c>
      <c r="B77" s="2" t="s">
        <v>82</v>
      </c>
      <c r="C77" s="2">
        <v>2115</v>
      </c>
      <c r="D77" s="4">
        <v>45</v>
      </c>
      <c r="E77" s="4" t="s">
        <v>6</v>
      </c>
      <c r="F77">
        <f t="shared" si="3"/>
        <v>25</v>
      </c>
      <c r="G77" t="str">
        <f t="shared" si="4"/>
        <v>CIS-19_2115</v>
      </c>
    </row>
    <row r="78" spans="1:7" x14ac:dyDescent="0.55000000000000004">
      <c r="A78" s="2">
        <v>88</v>
      </c>
      <c r="B78" s="2" t="s">
        <v>83</v>
      </c>
      <c r="C78" s="2">
        <v>2128</v>
      </c>
      <c r="D78" s="3">
        <v>1</v>
      </c>
      <c r="E78" s="4" t="s">
        <v>6</v>
      </c>
      <c r="F78">
        <f t="shared" si="3"/>
        <v>1</v>
      </c>
      <c r="G78" t="str">
        <f t="shared" si="4"/>
        <v>CIS-19_2128</v>
      </c>
    </row>
    <row r="79" spans="1:7" x14ac:dyDescent="0.55000000000000004">
      <c r="A79" s="2">
        <v>89</v>
      </c>
      <c r="B79" s="2" t="s">
        <v>84</v>
      </c>
      <c r="C79" s="2">
        <v>2134</v>
      </c>
      <c r="D79" s="3">
        <v>1</v>
      </c>
      <c r="E79" s="4" t="s">
        <v>6</v>
      </c>
      <c r="F79">
        <f t="shared" si="3"/>
        <v>1</v>
      </c>
      <c r="G79" t="str">
        <f t="shared" si="4"/>
        <v>CIS-19_2134</v>
      </c>
    </row>
    <row r="80" spans="1:7" x14ac:dyDescent="0.55000000000000004">
      <c r="A80" s="2">
        <v>90</v>
      </c>
      <c r="B80" s="2" t="s">
        <v>85</v>
      </c>
      <c r="C80" s="2">
        <v>2118</v>
      </c>
      <c r="D80" s="3">
        <v>20</v>
      </c>
      <c r="E80" s="4" t="s">
        <v>6</v>
      </c>
      <c r="F80">
        <f t="shared" si="3"/>
        <v>20</v>
      </c>
      <c r="G80" t="str">
        <f t="shared" si="4"/>
        <v>CIS-19_2118</v>
      </c>
    </row>
    <row r="81" spans="1:7" x14ac:dyDescent="0.55000000000000004">
      <c r="A81" s="2">
        <v>91</v>
      </c>
      <c r="B81" s="2" t="s">
        <v>86</v>
      </c>
      <c r="C81" s="2">
        <v>2122</v>
      </c>
      <c r="D81" s="3">
        <v>2</v>
      </c>
      <c r="E81" s="4" t="s">
        <v>6</v>
      </c>
      <c r="F81">
        <f t="shared" si="3"/>
        <v>2</v>
      </c>
      <c r="G81" t="str">
        <f t="shared" si="4"/>
        <v>CIS-19_2122</v>
      </c>
    </row>
    <row r="82" spans="1:7" x14ac:dyDescent="0.55000000000000004">
      <c r="A82" s="2">
        <v>92</v>
      </c>
      <c r="B82" s="2" t="s">
        <v>87</v>
      </c>
      <c r="C82" s="2">
        <v>2138</v>
      </c>
      <c r="D82" s="3">
        <v>2</v>
      </c>
      <c r="E82" s="4" t="s">
        <v>6</v>
      </c>
      <c r="F82">
        <f t="shared" si="3"/>
        <v>2</v>
      </c>
      <c r="G82" t="str">
        <f t="shared" si="4"/>
        <v>CIS-19_2138</v>
      </c>
    </row>
    <row r="83" spans="1:7" x14ac:dyDescent="0.55000000000000004">
      <c r="A83" s="2">
        <v>93</v>
      </c>
      <c r="B83" s="2" t="s">
        <v>88</v>
      </c>
      <c r="C83" s="2">
        <v>2150</v>
      </c>
      <c r="D83" s="3">
        <v>6</v>
      </c>
      <c r="E83" s="4" t="s">
        <v>6</v>
      </c>
      <c r="F83">
        <f t="shared" si="3"/>
        <v>6</v>
      </c>
      <c r="G83" t="str">
        <f t="shared" si="4"/>
        <v>CIS-19_2150</v>
      </c>
    </row>
    <row r="84" spans="1:7" x14ac:dyDescent="0.55000000000000004">
      <c r="A84" s="2">
        <v>94</v>
      </c>
      <c r="B84" s="2" t="s">
        <v>89</v>
      </c>
      <c r="C84" s="2">
        <v>2154</v>
      </c>
      <c r="D84" s="3">
        <v>2</v>
      </c>
      <c r="E84" s="4" t="s">
        <v>6</v>
      </c>
      <c r="F84">
        <f t="shared" si="3"/>
        <v>2</v>
      </c>
      <c r="G84" t="str">
        <f t="shared" si="4"/>
        <v>CIS-19_2154</v>
      </c>
    </row>
    <row r="85" spans="1:7" x14ac:dyDescent="0.55000000000000004">
      <c r="A85" s="2">
        <v>95</v>
      </c>
      <c r="B85" s="2" t="s">
        <v>90</v>
      </c>
      <c r="C85" s="2">
        <v>2152</v>
      </c>
      <c r="D85" s="3">
        <v>4</v>
      </c>
      <c r="E85" s="4" t="s">
        <v>6</v>
      </c>
      <c r="F85">
        <f t="shared" si="3"/>
        <v>4</v>
      </c>
      <c r="G85" t="str">
        <f t="shared" si="4"/>
        <v>CIS-19_2152</v>
      </c>
    </row>
    <row r="86" spans="1:7" x14ac:dyDescent="0.55000000000000004">
      <c r="A86" s="2">
        <v>96</v>
      </c>
      <c r="B86" s="2" t="s">
        <v>91</v>
      </c>
      <c r="C86" s="2">
        <v>2116</v>
      </c>
      <c r="D86" s="3">
        <v>87</v>
      </c>
      <c r="E86" s="4" t="s">
        <v>6</v>
      </c>
      <c r="F86">
        <f t="shared" si="3"/>
        <v>25</v>
      </c>
      <c r="G86" t="str">
        <f t="shared" si="4"/>
        <v>CIS-19_2116</v>
      </c>
    </row>
    <row r="87" spans="1:7" x14ac:dyDescent="0.55000000000000004">
      <c r="A87" s="2">
        <v>97</v>
      </c>
      <c r="B87" s="2" t="s">
        <v>92</v>
      </c>
      <c r="C87" s="2">
        <v>2141</v>
      </c>
      <c r="D87" s="3">
        <v>8</v>
      </c>
      <c r="E87" s="4" t="s">
        <v>6</v>
      </c>
      <c r="F87">
        <f t="shared" si="3"/>
        <v>8</v>
      </c>
      <c r="G87" t="str">
        <f t="shared" si="4"/>
        <v>CIS-19_2141</v>
      </c>
    </row>
    <row r="88" spans="1:7" x14ac:dyDescent="0.55000000000000004">
      <c r="A88" s="2">
        <v>98</v>
      </c>
      <c r="B88" s="2" t="s">
        <v>93</v>
      </c>
      <c r="C88" s="2">
        <v>2125</v>
      </c>
      <c r="D88" s="3">
        <v>2</v>
      </c>
      <c r="E88" s="4" t="s">
        <v>6</v>
      </c>
      <c r="F88">
        <f t="shared" si="3"/>
        <v>2</v>
      </c>
      <c r="G88" t="str">
        <f t="shared" si="4"/>
        <v>CIS-19_2125</v>
      </c>
    </row>
    <row r="89" spans="1:7" x14ac:dyDescent="0.55000000000000004">
      <c r="A89" s="2">
        <v>99</v>
      </c>
      <c r="B89" s="2" t="s">
        <v>94</v>
      </c>
      <c r="C89" s="2">
        <v>2148</v>
      </c>
      <c r="D89" s="3">
        <v>2</v>
      </c>
      <c r="E89" s="4" t="s">
        <v>6</v>
      </c>
      <c r="F89">
        <f t="shared" si="3"/>
        <v>2</v>
      </c>
      <c r="G89" t="str">
        <f t="shared" si="4"/>
        <v>CIS-19_2148</v>
      </c>
    </row>
    <row r="90" spans="1:7" x14ac:dyDescent="0.55000000000000004">
      <c r="A90" s="2">
        <v>100</v>
      </c>
      <c r="B90" s="2" t="s">
        <v>95</v>
      </c>
      <c r="C90" s="2">
        <v>2039</v>
      </c>
      <c r="D90" s="3">
        <v>4</v>
      </c>
      <c r="E90" s="4" t="s">
        <v>6</v>
      </c>
      <c r="F90">
        <f t="shared" si="3"/>
        <v>4</v>
      </c>
      <c r="G90" t="str">
        <f t="shared" si="4"/>
        <v>CIS-19_2039</v>
      </c>
    </row>
    <row r="91" spans="1:7" x14ac:dyDescent="0.55000000000000004">
      <c r="A91" s="2">
        <v>101</v>
      </c>
      <c r="B91" s="2" t="s">
        <v>96</v>
      </c>
      <c r="C91" s="2">
        <v>2137</v>
      </c>
      <c r="D91" s="3">
        <v>27</v>
      </c>
      <c r="E91" s="4" t="s">
        <v>6</v>
      </c>
      <c r="F91">
        <f t="shared" si="3"/>
        <v>25</v>
      </c>
      <c r="G91" t="str">
        <f t="shared" si="4"/>
        <v>CIS-19_2137</v>
      </c>
    </row>
    <row r="92" spans="1:7" x14ac:dyDescent="0.55000000000000004">
      <c r="A92" s="2">
        <v>102</v>
      </c>
      <c r="B92" s="2" t="s">
        <v>97</v>
      </c>
      <c r="C92" s="2">
        <v>2121</v>
      </c>
      <c r="D92" s="3">
        <v>21</v>
      </c>
      <c r="E92" s="4" t="s">
        <v>6</v>
      </c>
      <c r="F92">
        <f t="shared" si="3"/>
        <v>21</v>
      </c>
      <c r="G92" t="str">
        <f t="shared" si="4"/>
        <v>CIS-19_2121</v>
      </c>
    </row>
    <row r="93" spans="1:7" x14ac:dyDescent="0.55000000000000004">
      <c r="A93" s="2">
        <v>103</v>
      </c>
      <c r="B93" s="2" t="s">
        <v>98</v>
      </c>
      <c r="C93" s="2">
        <v>2059</v>
      </c>
      <c r="D93" s="3">
        <v>19</v>
      </c>
      <c r="E93" s="4" t="s">
        <v>6</v>
      </c>
      <c r="F93">
        <f t="shared" si="3"/>
        <v>19</v>
      </c>
      <c r="G93" t="str">
        <f t="shared" si="4"/>
        <v>CIS-19_2059</v>
      </c>
    </row>
    <row r="94" spans="1:7" x14ac:dyDescent="0.55000000000000004">
      <c r="A94" s="2">
        <v>104</v>
      </c>
      <c r="B94" s="2" t="s">
        <v>99</v>
      </c>
      <c r="C94" s="2">
        <v>2153</v>
      </c>
      <c r="D94" s="3">
        <v>23</v>
      </c>
      <c r="E94" s="4" t="s">
        <v>6</v>
      </c>
      <c r="F94">
        <f t="shared" si="3"/>
        <v>23</v>
      </c>
      <c r="G94" t="str">
        <f t="shared" si="4"/>
        <v>CIS-19_2153</v>
      </c>
    </row>
    <row r="95" spans="1:7" x14ac:dyDescent="0.55000000000000004">
      <c r="A95" s="2">
        <v>105</v>
      </c>
      <c r="B95" s="2" t="s">
        <v>100</v>
      </c>
      <c r="C95" s="2">
        <v>2129</v>
      </c>
      <c r="D95" s="3">
        <v>3</v>
      </c>
      <c r="E95" s="4" t="s">
        <v>6</v>
      </c>
      <c r="F95">
        <f t="shared" si="3"/>
        <v>3</v>
      </c>
      <c r="G95" t="str">
        <f t="shared" si="4"/>
        <v>CIS-19_2129</v>
      </c>
    </row>
    <row r="96" spans="1:7" x14ac:dyDescent="0.55000000000000004">
      <c r="A96" s="2">
        <v>106</v>
      </c>
      <c r="B96" s="2" t="s">
        <v>101</v>
      </c>
      <c r="C96" s="2">
        <v>2145</v>
      </c>
      <c r="D96" s="3">
        <v>4</v>
      </c>
      <c r="E96" s="4" t="s">
        <v>6</v>
      </c>
      <c r="F96">
        <f t="shared" si="3"/>
        <v>4</v>
      </c>
      <c r="G96" t="str">
        <f t="shared" si="4"/>
        <v>CIS-19_2145</v>
      </c>
    </row>
    <row r="97" spans="1:7" x14ac:dyDescent="0.55000000000000004">
      <c r="A97" s="2">
        <v>107</v>
      </c>
      <c r="B97" s="2" t="s">
        <v>102</v>
      </c>
      <c r="C97" s="2">
        <v>2165</v>
      </c>
      <c r="D97" s="3">
        <v>4</v>
      </c>
      <c r="E97" s="4" t="s">
        <v>6</v>
      </c>
      <c r="F97">
        <f t="shared" si="3"/>
        <v>4</v>
      </c>
      <c r="G97" t="str">
        <f t="shared" si="4"/>
        <v>CIS-19_2165</v>
      </c>
    </row>
    <row r="98" spans="1:7" x14ac:dyDescent="0.55000000000000004">
      <c r="A98" s="2">
        <v>108</v>
      </c>
      <c r="B98" s="2" t="s">
        <v>103</v>
      </c>
      <c r="C98" s="2">
        <v>2126</v>
      </c>
      <c r="D98" s="3">
        <v>2</v>
      </c>
      <c r="E98" s="4" t="s">
        <v>6</v>
      </c>
      <c r="F98">
        <f t="shared" ref="F98:F104" si="5">IF(D98&gt;=25, 25, D98)</f>
        <v>2</v>
      </c>
      <c r="G98" t="str">
        <f t="shared" si="4"/>
        <v>CIS-19_2126</v>
      </c>
    </row>
    <row r="99" spans="1:7" x14ac:dyDescent="0.55000000000000004">
      <c r="A99" s="2">
        <v>109</v>
      </c>
      <c r="B99" s="2" t="s">
        <v>104</v>
      </c>
      <c r="C99" s="2">
        <v>2119</v>
      </c>
      <c r="D99" s="3">
        <v>4</v>
      </c>
      <c r="E99" s="4" t="s">
        <v>6</v>
      </c>
      <c r="F99">
        <f t="shared" si="5"/>
        <v>4</v>
      </c>
      <c r="G99" t="str">
        <f t="shared" si="4"/>
        <v>CIS-19_2119</v>
      </c>
    </row>
    <row r="100" spans="1:7" x14ac:dyDescent="0.55000000000000004">
      <c r="A100" s="2">
        <v>110</v>
      </c>
      <c r="B100" s="2" t="s">
        <v>105</v>
      </c>
      <c r="C100" s="2">
        <v>2135</v>
      </c>
      <c r="D100" s="3">
        <v>2</v>
      </c>
      <c r="E100" s="4" t="s">
        <v>6</v>
      </c>
      <c r="F100">
        <f t="shared" si="5"/>
        <v>2</v>
      </c>
      <c r="G100" t="str">
        <f t="shared" si="4"/>
        <v>CIS-19_2135</v>
      </c>
    </row>
    <row r="101" spans="1:7" x14ac:dyDescent="0.55000000000000004">
      <c r="A101" s="2">
        <v>111</v>
      </c>
      <c r="B101" s="2" t="s">
        <v>106</v>
      </c>
      <c r="C101" s="2">
        <v>2139</v>
      </c>
      <c r="D101" s="3">
        <v>6</v>
      </c>
      <c r="E101" s="4" t="s">
        <v>6</v>
      </c>
      <c r="F101">
        <f t="shared" si="5"/>
        <v>6</v>
      </c>
      <c r="G101" t="str">
        <f t="shared" si="4"/>
        <v>CIS-19_2139</v>
      </c>
    </row>
    <row r="102" spans="1:7" x14ac:dyDescent="0.55000000000000004">
      <c r="A102" s="2">
        <v>112</v>
      </c>
      <c r="B102" s="2" t="s">
        <v>107</v>
      </c>
      <c r="C102" s="2">
        <v>753</v>
      </c>
      <c r="D102" s="3">
        <v>1</v>
      </c>
      <c r="E102" s="4" t="s">
        <v>6</v>
      </c>
      <c r="F102">
        <f t="shared" si="5"/>
        <v>1</v>
      </c>
      <c r="G102" t="str">
        <f t="shared" si="4"/>
        <v>CIS-19_753</v>
      </c>
    </row>
    <row r="103" spans="1:7" x14ac:dyDescent="0.55000000000000004">
      <c r="A103" s="2">
        <v>113</v>
      </c>
      <c r="B103" s="2" t="s">
        <v>108</v>
      </c>
      <c r="C103" s="2">
        <v>2155</v>
      </c>
      <c r="D103" s="3">
        <v>6</v>
      </c>
      <c r="E103" s="4" t="s">
        <v>6</v>
      </c>
      <c r="F103">
        <f t="shared" si="5"/>
        <v>6</v>
      </c>
      <c r="G103" t="str">
        <f t="shared" si="4"/>
        <v>CIS-19_2155</v>
      </c>
    </row>
    <row r="104" spans="1:7" x14ac:dyDescent="0.55000000000000004">
      <c r="A104" s="4">
        <v>114</v>
      </c>
      <c r="B104" s="2" t="s">
        <v>109</v>
      </c>
      <c r="C104" s="2">
        <v>2127</v>
      </c>
      <c r="D104" s="3">
        <v>12</v>
      </c>
      <c r="E104" s="4" t="s">
        <v>6</v>
      </c>
      <c r="F104">
        <f t="shared" si="5"/>
        <v>12</v>
      </c>
      <c r="G104" t="str">
        <f t="shared" si="4"/>
        <v>CIS-19_2127</v>
      </c>
    </row>
  </sheetData>
  <sortState xmlns:xlrd2="http://schemas.microsoft.com/office/spreadsheetml/2017/richdata2" ref="A2:G118">
    <sortCondition ref="A2:A118"/>
  </sortState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35E8-EEB5-4077-A995-6CD819B62CB1}">
  <dimension ref="A1:AD1455"/>
  <sheetViews>
    <sheetView workbookViewId="0">
      <pane ySplit="1" topLeftCell="A2" activePane="bottomLeft" state="frozen"/>
      <selection pane="bottomLeft" activeCell="C32" sqref="C32"/>
    </sheetView>
  </sheetViews>
  <sheetFormatPr defaultRowHeight="14.4" x14ac:dyDescent="0.55000000000000004"/>
  <cols>
    <col min="2" max="2" width="9.3671875" bestFit="1" customWidth="1"/>
  </cols>
  <sheetData>
    <row r="1" spans="1:30" x14ac:dyDescent="0.55000000000000004">
      <c r="A1" t="s">
        <v>3331</v>
      </c>
      <c r="B1" t="s">
        <v>3332</v>
      </c>
      <c r="C1" t="s">
        <v>3333</v>
      </c>
      <c r="D1" t="s">
        <v>3334</v>
      </c>
      <c r="E1" t="s">
        <v>3335</v>
      </c>
      <c r="F1" t="s">
        <v>3317</v>
      </c>
      <c r="G1" t="s">
        <v>3336</v>
      </c>
      <c r="H1" t="s">
        <v>3319</v>
      </c>
      <c r="I1" t="s">
        <v>3337</v>
      </c>
      <c r="J1" t="s">
        <v>3338</v>
      </c>
      <c r="K1" t="s">
        <v>3339</v>
      </c>
      <c r="L1" t="s">
        <v>3340</v>
      </c>
      <c r="M1" t="s">
        <v>3341</v>
      </c>
      <c r="N1" t="s">
        <v>3342</v>
      </c>
      <c r="O1" t="s">
        <v>3343</v>
      </c>
      <c r="P1" t="s">
        <v>3344</v>
      </c>
      <c r="Q1" t="s">
        <v>3345</v>
      </c>
      <c r="R1" t="s">
        <v>3346</v>
      </c>
      <c r="S1" t="s">
        <v>3347</v>
      </c>
      <c r="T1" t="s">
        <v>3348</v>
      </c>
      <c r="U1" t="s">
        <v>3349</v>
      </c>
      <c r="V1" t="s">
        <v>3350</v>
      </c>
      <c r="W1" t="s">
        <v>3351</v>
      </c>
      <c r="X1" t="s">
        <v>3352</v>
      </c>
      <c r="Y1" t="s">
        <v>3353</v>
      </c>
      <c r="Z1" t="s">
        <v>3354</v>
      </c>
      <c r="AA1" t="s">
        <v>3355</v>
      </c>
      <c r="AB1" t="s">
        <v>3356</v>
      </c>
      <c r="AC1" t="s">
        <v>3357</v>
      </c>
      <c r="AD1" t="s">
        <v>3318</v>
      </c>
    </row>
    <row r="2" spans="1:30" x14ac:dyDescent="0.55000000000000004">
      <c r="A2">
        <v>88059</v>
      </c>
      <c r="B2" s="19">
        <v>41778</v>
      </c>
      <c r="C2">
        <v>1256</v>
      </c>
      <c r="D2">
        <v>2014</v>
      </c>
      <c r="E2">
        <v>25</v>
      </c>
      <c r="F2">
        <v>500</v>
      </c>
      <c r="G2">
        <v>1</v>
      </c>
      <c r="H2">
        <v>86</v>
      </c>
      <c r="I2">
        <v>3</v>
      </c>
      <c r="J2">
        <v>4650.66</v>
      </c>
      <c r="K2">
        <v>9043.7199999999993</v>
      </c>
      <c r="L2">
        <v>4650.3500000000004</v>
      </c>
      <c r="M2">
        <v>9043.44</v>
      </c>
      <c r="N2">
        <v>46.844332999999999</v>
      </c>
      <c r="O2">
        <v>-90.728667000000002</v>
      </c>
      <c r="P2">
        <v>46.839167000000003</v>
      </c>
      <c r="Q2">
        <v>-90.724000000000004</v>
      </c>
      <c r="R2">
        <v>365.93498879999999</v>
      </c>
      <c r="S2">
        <v>33.9</v>
      </c>
      <c r="T2">
        <v>46.6</v>
      </c>
      <c r="U2">
        <v>0.5</v>
      </c>
      <c r="V2">
        <v>2</v>
      </c>
      <c r="W2">
        <v>2</v>
      </c>
      <c r="X2">
        <v>2.3798499999999998</v>
      </c>
      <c r="Y2">
        <v>-0.21995000000000001</v>
      </c>
      <c r="Z2">
        <v>57.588549999999998</v>
      </c>
      <c r="AA2">
        <v>10</v>
      </c>
      <c r="AB2">
        <v>0.45</v>
      </c>
      <c r="AC2">
        <v>0</v>
      </c>
      <c r="AD2">
        <v>0</v>
      </c>
    </row>
    <row r="3" spans="1:30" x14ac:dyDescent="0.55000000000000004">
      <c r="A3">
        <v>88060</v>
      </c>
      <c r="B3" s="19">
        <v>41778</v>
      </c>
      <c r="C3">
        <v>1256</v>
      </c>
      <c r="D3">
        <v>2014</v>
      </c>
      <c r="E3">
        <v>25</v>
      </c>
      <c r="F3">
        <v>501</v>
      </c>
      <c r="G3">
        <v>1</v>
      </c>
      <c r="H3">
        <v>86</v>
      </c>
      <c r="I3">
        <v>3</v>
      </c>
      <c r="J3">
        <v>4650.66</v>
      </c>
      <c r="K3">
        <v>9043.7199999999993</v>
      </c>
      <c r="L3">
        <v>4650.3500000000004</v>
      </c>
      <c r="M3">
        <v>9043.44</v>
      </c>
      <c r="N3">
        <v>46.844332999999999</v>
      </c>
      <c r="O3">
        <v>-90.728667000000002</v>
      </c>
      <c r="P3">
        <v>46.839167000000003</v>
      </c>
      <c r="Q3">
        <v>-90.724000000000004</v>
      </c>
      <c r="R3">
        <v>365.93498879999999</v>
      </c>
      <c r="S3">
        <v>33.9</v>
      </c>
      <c r="T3">
        <v>46.6</v>
      </c>
      <c r="U3">
        <v>0.5</v>
      </c>
      <c r="V3">
        <v>2</v>
      </c>
      <c r="W3">
        <v>2</v>
      </c>
      <c r="X3">
        <v>2.3798499999999998</v>
      </c>
      <c r="Y3">
        <v>-0.21995000000000001</v>
      </c>
      <c r="Z3">
        <v>57.588549999999998</v>
      </c>
      <c r="AA3">
        <v>10</v>
      </c>
      <c r="AB3">
        <v>0.45</v>
      </c>
      <c r="AC3">
        <v>0</v>
      </c>
      <c r="AD3">
        <v>0</v>
      </c>
    </row>
    <row r="4" spans="1:30" x14ac:dyDescent="0.55000000000000004">
      <c r="A4">
        <v>88061</v>
      </c>
      <c r="B4" s="19">
        <v>41779</v>
      </c>
      <c r="C4">
        <v>1320</v>
      </c>
      <c r="D4">
        <v>2014</v>
      </c>
      <c r="E4">
        <v>25</v>
      </c>
      <c r="F4">
        <v>502</v>
      </c>
      <c r="G4">
        <v>1</v>
      </c>
      <c r="H4">
        <v>52</v>
      </c>
      <c r="I4">
        <v>3</v>
      </c>
      <c r="J4">
        <v>4658.9799999999996</v>
      </c>
      <c r="K4">
        <v>9027.2800000000007</v>
      </c>
      <c r="L4">
        <v>4658.6000000000004</v>
      </c>
      <c r="M4">
        <v>9027.2099999999991</v>
      </c>
      <c r="N4">
        <v>46.982999999999997</v>
      </c>
      <c r="O4">
        <v>-90.454667000000001</v>
      </c>
      <c r="P4">
        <v>46.976666999999999</v>
      </c>
      <c r="Q4">
        <v>-90.453500000000005</v>
      </c>
      <c r="R4">
        <v>1238.123083</v>
      </c>
      <c r="S4">
        <v>18.600000000000001</v>
      </c>
      <c r="T4">
        <v>35.5</v>
      </c>
      <c r="U4">
        <v>0.5</v>
      </c>
      <c r="V4">
        <v>2</v>
      </c>
      <c r="W4">
        <v>1.8</v>
      </c>
      <c r="X4">
        <v>1.9787999999999999</v>
      </c>
      <c r="Y4">
        <v>0.20369999999999999</v>
      </c>
      <c r="Z4">
        <v>89.283349999999999</v>
      </c>
      <c r="AA4">
        <v>10</v>
      </c>
      <c r="AB4">
        <v>0.47</v>
      </c>
      <c r="AC4">
        <v>0</v>
      </c>
      <c r="AD4">
        <v>0</v>
      </c>
    </row>
    <row r="5" spans="1:30" x14ac:dyDescent="0.55000000000000004">
      <c r="A5">
        <v>88062</v>
      </c>
      <c r="B5" s="19">
        <v>41779</v>
      </c>
      <c r="C5">
        <v>1320</v>
      </c>
      <c r="D5">
        <v>2014</v>
      </c>
      <c r="E5">
        <v>25</v>
      </c>
      <c r="F5">
        <v>503</v>
      </c>
      <c r="G5">
        <v>1</v>
      </c>
      <c r="H5">
        <v>52</v>
      </c>
      <c r="I5">
        <v>3</v>
      </c>
      <c r="J5">
        <v>4658.9799999999996</v>
      </c>
      <c r="K5">
        <v>9027.2800000000007</v>
      </c>
      <c r="L5">
        <v>4658.6000000000004</v>
      </c>
      <c r="M5">
        <v>9027.2099999999991</v>
      </c>
      <c r="N5">
        <v>46.982999999999997</v>
      </c>
      <c r="O5">
        <v>-90.454667000000001</v>
      </c>
      <c r="P5">
        <v>46.976666999999999</v>
      </c>
      <c r="Q5">
        <v>-90.453500000000005</v>
      </c>
      <c r="R5">
        <v>1238.123083</v>
      </c>
      <c r="S5">
        <v>18.600000000000001</v>
      </c>
      <c r="T5">
        <v>35.5</v>
      </c>
      <c r="U5">
        <v>0.5</v>
      </c>
      <c r="V5">
        <v>2</v>
      </c>
      <c r="W5">
        <v>1.8</v>
      </c>
      <c r="X5">
        <v>1.9787999999999999</v>
      </c>
      <c r="Y5">
        <v>0.20369999999999999</v>
      </c>
      <c r="Z5">
        <v>89.283349999999999</v>
      </c>
      <c r="AA5">
        <v>10</v>
      </c>
      <c r="AB5">
        <v>0.47</v>
      </c>
      <c r="AC5">
        <v>0</v>
      </c>
      <c r="AD5">
        <v>0</v>
      </c>
    </row>
    <row r="6" spans="1:30" x14ac:dyDescent="0.55000000000000004">
      <c r="A6">
        <v>88236</v>
      </c>
      <c r="B6" s="19">
        <v>41780</v>
      </c>
      <c r="C6">
        <v>1019</v>
      </c>
      <c r="D6">
        <v>2014</v>
      </c>
      <c r="E6">
        <v>25</v>
      </c>
      <c r="F6">
        <v>504</v>
      </c>
      <c r="G6">
        <v>1</v>
      </c>
      <c r="H6">
        <v>111</v>
      </c>
      <c r="I6">
        <v>3</v>
      </c>
      <c r="J6">
        <v>4639.3540000000003</v>
      </c>
      <c r="K6">
        <v>9053.9179999999997</v>
      </c>
      <c r="L6">
        <v>4639.34</v>
      </c>
      <c r="M6">
        <v>9053.94</v>
      </c>
      <c r="N6">
        <v>46.655900000000003</v>
      </c>
      <c r="O6">
        <v>-90.898633000000004</v>
      </c>
      <c r="P6">
        <v>46.655667000000001</v>
      </c>
      <c r="Q6">
        <v>-90.899000000000001</v>
      </c>
      <c r="S6">
        <v>27</v>
      </c>
      <c r="T6">
        <v>24.3</v>
      </c>
      <c r="U6">
        <v>0.5</v>
      </c>
      <c r="V6">
        <v>2</v>
      </c>
      <c r="AA6">
        <v>10</v>
      </c>
      <c r="AB6">
        <v>0.5</v>
      </c>
      <c r="AC6">
        <v>0</v>
      </c>
      <c r="AD6">
        <v>0</v>
      </c>
    </row>
    <row r="7" spans="1:30" x14ac:dyDescent="0.55000000000000004">
      <c r="A7">
        <v>88237</v>
      </c>
      <c r="B7" s="19">
        <v>41780</v>
      </c>
      <c r="C7">
        <v>1019</v>
      </c>
      <c r="D7">
        <v>2014</v>
      </c>
      <c r="E7">
        <v>25</v>
      </c>
      <c r="F7">
        <v>505</v>
      </c>
      <c r="G7">
        <v>1</v>
      </c>
      <c r="H7">
        <v>111</v>
      </c>
      <c r="I7">
        <v>3</v>
      </c>
      <c r="J7">
        <v>4639.3540000000003</v>
      </c>
      <c r="K7">
        <v>9053.9179999999997</v>
      </c>
      <c r="L7">
        <v>4639.34</v>
      </c>
      <c r="M7">
        <v>9053.94</v>
      </c>
      <c r="N7">
        <v>46.655900000000003</v>
      </c>
      <c r="O7">
        <v>-90.898633000000004</v>
      </c>
      <c r="P7">
        <v>46.655667000000001</v>
      </c>
      <c r="Q7">
        <v>-90.899000000000001</v>
      </c>
      <c r="S7">
        <v>27</v>
      </c>
      <c r="T7">
        <v>24.3</v>
      </c>
      <c r="U7">
        <v>0.5</v>
      </c>
      <c r="V7">
        <v>2</v>
      </c>
      <c r="AA7">
        <v>10</v>
      </c>
      <c r="AB7">
        <v>0.5</v>
      </c>
      <c r="AC7">
        <v>0</v>
      </c>
      <c r="AD7">
        <v>0</v>
      </c>
    </row>
    <row r="8" spans="1:30" x14ac:dyDescent="0.55000000000000004">
      <c r="A8">
        <v>88238</v>
      </c>
      <c r="B8" s="19">
        <v>41780</v>
      </c>
      <c r="C8">
        <v>1104</v>
      </c>
      <c r="D8">
        <v>2014</v>
      </c>
      <c r="E8">
        <v>25</v>
      </c>
      <c r="F8">
        <v>506</v>
      </c>
      <c r="G8">
        <v>1</v>
      </c>
      <c r="H8">
        <v>145</v>
      </c>
      <c r="I8">
        <v>3</v>
      </c>
      <c r="J8">
        <v>4635.55</v>
      </c>
      <c r="K8">
        <v>9054.15</v>
      </c>
      <c r="L8">
        <v>4635.8100000000004</v>
      </c>
      <c r="M8">
        <v>9053.73</v>
      </c>
      <c r="N8">
        <v>46.592500000000001</v>
      </c>
      <c r="O8">
        <v>-90.902500000000003</v>
      </c>
      <c r="P8">
        <v>46.596832999999997</v>
      </c>
      <c r="Q8">
        <v>-90.895499999999998</v>
      </c>
      <c r="S8">
        <v>13.8</v>
      </c>
      <c r="T8">
        <v>17.7</v>
      </c>
      <c r="U8">
        <v>0.5</v>
      </c>
      <c r="V8">
        <v>2</v>
      </c>
      <c r="W8">
        <v>9.1</v>
      </c>
      <c r="AA8">
        <v>10</v>
      </c>
      <c r="AB8">
        <v>0.43</v>
      </c>
      <c r="AC8">
        <v>0</v>
      </c>
      <c r="AD8">
        <v>0</v>
      </c>
    </row>
    <row r="9" spans="1:30" x14ac:dyDescent="0.55000000000000004">
      <c r="A9">
        <v>88239</v>
      </c>
      <c r="B9" s="19">
        <v>41780</v>
      </c>
      <c r="C9">
        <v>1104</v>
      </c>
      <c r="D9">
        <v>2014</v>
      </c>
      <c r="E9">
        <v>25</v>
      </c>
      <c r="F9">
        <v>507</v>
      </c>
      <c r="G9">
        <v>1</v>
      </c>
      <c r="H9">
        <v>145</v>
      </c>
      <c r="I9">
        <v>3</v>
      </c>
      <c r="J9">
        <v>4635.55</v>
      </c>
      <c r="K9">
        <v>9054.15</v>
      </c>
      <c r="L9">
        <v>4635.8100000000004</v>
      </c>
      <c r="M9">
        <v>9053.73</v>
      </c>
      <c r="N9">
        <v>46.592500000000001</v>
      </c>
      <c r="O9">
        <v>-90.902500000000003</v>
      </c>
      <c r="P9">
        <v>46.596832999999997</v>
      </c>
      <c r="Q9">
        <v>-90.895499999999998</v>
      </c>
      <c r="S9">
        <v>13.8</v>
      </c>
      <c r="T9">
        <v>17.7</v>
      </c>
      <c r="U9">
        <v>0.5</v>
      </c>
      <c r="V9">
        <v>2</v>
      </c>
      <c r="W9">
        <v>9.1</v>
      </c>
      <c r="AA9">
        <v>10</v>
      </c>
      <c r="AB9">
        <v>0.43</v>
      </c>
      <c r="AC9">
        <v>0</v>
      </c>
      <c r="AD9">
        <v>0</v>
      </c>
    </row>
    <row r="10" spans="1:30" x14ac:dyDescent="0.55000000000000004">
      <c r="A10">
        <v>88065</v>
      </c>
      <c r="B10" s="19">
        <v>41786</v>
      </c>
      <c r="C10">
        <v>1041</v>
      </c>
      <c r="D10">
        <v>2014</v>
      </c>
      <c r="E10">
        <v>25</v>
      </c>
      <c r="F10">
        <v>508</v>
      </c>
      <c r="G10">
        <v>1</v>
      </c>
      <c r="H10">
        <v>2</v>
      </c>
      <c r="I10">
        <v>3</v>
      </c>
      <c r="J10">
        <v>4654.9399999999996</v>
      </c>
      <c r="K10">
        <v>9033.7099999999991</v>
      </c>
      <c r="L10">
        <v>4654.5600000000004</v>
      </c>
      <c r="M10">
        <v>9033.8700000000008</v>
      </c>
      <c r="N10">
        <v>46.915666999999999</v>
      </c>
      <c r="O10">
        <v>-90.561832999999993</v>
      </c>
      <c r="P10">
        <v>46.909332999999997</v>
      </c>
      <c r="Q10">
        <v>-90.564499999999995</v>
      </c>
      <c r="R10">
        <v>500.98315270000001</v>
      </c>
      <c r="S10">
        <v>28.6</v>
      </c>
      <c r="T10">
        <v>48.7</v>
      </c>
      <c r="U10">
        <v>0.4</v>
      </c>
      <c r="V10">
        <v>2</v>
      </c>
      <c r="W10">
        <v>2.9</v>
      </c>
      <c r="X10">
        <v>3.1274500000000001</v>
      </c>
      <c r="Y10">
        <v>0.1857</v>
      </c>
      <c r="Z10">
        <v>83.918149999999997</v>
      </c>
      <c r="AA10">
        <v>10</v>
      </c>
      <c r="AB10">
        <v>0.45</v>
      </c>
      <c r="AC10">
        <v>217</v>
      </c>
      <c r="AD10">
        <v>81</v>
      </c>
    </row>
    <row r="11" spans="1:30" x14ac:dyDescent="0.55000000000000004">
      <c r="A11">
        <v>88066</v>
      </c>
      <c r="B11" s="19">
        <v>41786</v>
      </c>
      <c r="C11">
        <v>1041</v>
      </c>
      <c r="D11">
        <v>2014</v>
      </c>
      <c r="E11">
        <v>25</v>
      </c>
      <c r="F11">
        <v>509</v>
      </c>
      <c r="G11">
        <v>1</v>
      </c>
      <c r="H11">
        <v>2</v>
      </c>
      <c r="I11">
        <v>3</v>
      </c>
      <c r="J11">
        <v>4654.9399999999996</v>
      </c>
      <c r="K11">
        <v>9033.7099999999991</v>
      </c>
      <c r="L11">
        <v>4654.5600000000004</v>
      </c>
      <c r="M11">
        <v>9033.8700000000008</v>
      </c>
      <c r="N11">
        <v>46.915666999999999</v>
      </c>
      <c r="O11">
        <v>-90.561832999999993</v>
      </c>
      <c r="P11">
        <v>46.909332999999997</v>
      </c>
      <c r="Q11">
        <v>-90.564499999999995</v>
      </c>
      <c r="R11">
        <v>500.98315270000001</v>
      </c>
      <c r="S11">
        <v>28.6</v>
      </c>
      <c r="T11">
        <v>48.7</v>
      </c>
      <c r="U11">
        <v>0.4</v>
      </c>
      <c r="V11">
        <v>2</v>
      </c>
      <c r="W11">
        <v>2.9</v>
      </c>
      <c r="X11">
        <v>3.1274500000000001</v>
      </c>
      <c r="Y11">
        <v>0.1857</v>
      </c>
      <c r="Z11">
        <v>83.918149999999997</v>
      </c>
      <c r="AA11">
        <v>10</v>
      </c>
      <c r="AB11">
        <v>0.45</v>
      </c>
      <c r="AC11">
        <v>217</v>
      </c>
      <c r="AD11">
        <v>52</v>
      </c>
    </row>
    <row r="12" spans="1:30" x14ac:dyDescent="0.55000000000000004">
      <c r="A12">
        <v>88067</v>
      </c>
      <c r="B12" s="19">
        <v>41786</v>
      </c>
      <c r="C12">
        <v>1246</v>
      </c>
      <c r="D12">
        <v>2014</v>
      </c>
      <c r="E12">
        <v>25</v>
      </c>
      <c r="F12">
        <v>510</v>
      </c>
      <c r="G12">
        <v>1</v>
      </c>
      <c r="H12">
        <v>87</v>
      </c>
      <c r="I12">
        <v>3</v>
      </c>
      <c r="J12">
        <v>4656.1400000000003</v>
      </c>
      <c r="K12">
        <v>9038.7900000000009</v>
      </c>
      <c r="L12">
        <v>4656.4799999999996</v>
      </c>
      <c r="M12">
        <v>9038.9699999999993</v>
      </c>
      <c r="N12">
        <v>46.935667000000002</v>
      </c>
      <c r="O12">
        <v>-90.646500000000003</v>
      </c>
      <c r="P12">
        <v>46.941333</v>
      </c>
      <c r="Q12">
        <v>-90.649500000000003</v>
      </c>
      <c r="R12">
        <v>171.78592839999999</v>
      </c>
      <c r="S12">
        <v>30.8</v>
      </c>
      <c r="T12">
        <v>55</v>
      </c>
      <c r="U12">
        <v>0.5</v>
      </c>
      <c r="V12">
        <v>2</v>
      </c>
      <c r="W12">
        <v>3.4</v>
      </c>
      <c r="X12">
        <v>3.3893</v>
      </c>
      <c r="Y12">
        <v>0.1827</v>
      </c>
      <c r="Z12">
        <v>85.757850000000005</v>
      </c>
      <c r="AA12">
        <v>10</v>
      </c>
      <c r="AB12">
        <v>0.42</v>
      </c>
      <c r="AC12">
        <v>0</v>
      </c>
      <c r="AD12">
        <v>0</v>
      </c>
    </row>
    <row r="13" spans="1:30" x14ac:dyDescent="0.55000000000000004">
      <c r="A13">
        <v>88068</v>
      </c>
      <c r="B13" s="19">
        <v>41786</v>
      </c>
      <c r="C13">
        <v>1246</v>
      </c>
      <c r="D13">
        <v>2014</v>
      </c>
      <c r="E13">
        <v>25</v>
      </c>
      <c r="F13">
        <v>511</v>
      </c>
      <c r="G13">
        <v>1</v>
      </c>
      <c r="H13">
        <v>87</v>
      </c>
      <c r="I13">
        <v>3</v>
      </c>
      <c r="J13">
        <v>4656.1400000000003</v>
      </c>
      <c r="K13">
        <v>9038.7900000000009</v>
      </c>
      <c r="L13">
        <v>4656.4799999999996</v>
      </c>
      <c r="M13">
        <v>9038.9699999999993</v>
      </c>
      <c r="N13">
        <v>46.935667000000002</v>
      </c>
      <c r="O13">
        <v>-90.646500000000003</v>
      </c>
      <c r="P13">
        <v>46.941333</v>
      </c>
      <c r="Q13">
        <v>-90.649500000000003</v>
      </c>
      <c r="R13">
        <v>171.78592839999999</v>
      </c>
      <c r="S13">
        <v>30.8</v>
      </c>
      <c r="T13">
        <v>55</v>
      </c>
      <c r="U13">
        <v>0.5</v>
      </c>
      <c r="V13">
        <v>2</v>
      </c>
      <c r="W13">
        <v>3.4</v>
      </c>
      <c r="X13">
        <v>3.3893</v>
      </c>
      <c r="Y13">
        <v>0.1827</v>
      </c>
      <c r="Z13">
        <v>85.757850000000005</v>
      </c>
      <c r="AA13">
        <v>10</v>
      </c>
      <c r="AB13">
        <v>0.42</v>
      </c>
      <c r="AC13">
        <v>0</v>
      </c>
      <c r="AD13">
        <v>0</v>
      </c>
    </row>
    <row r="14" spans="1:30" x14ac:dyDescent="0.55000000000000004">
      <c r="A14">
        <v>88069</v>
      </c>
      <c r="B14" s="19">
        <v>41786</v>
      </c>
      <c r="C14">
        <v>1727</v>
      </c>
      <c r="D14">
        <v>2014</v>
      </c>
      <c r="E14">
        <v>25</v>
      </c>
      <c r="F14">
        <v>512</v>
      </c>
      <c r="G14">
        <v>1</v>
      </c>
      <c r="H14">
        <v>190</v>
      </c>
      <c r="I14">
        <v>3</v>
      </c>
      <c r="J14">
        <v>4737.8100000000004</v>
      </c>
      <c r="K14">
        <v>9042.32</v>
      </c>
      <c r="L14">
        <v>4737.51</v>
      </c>
      <c r="M14">
        <v>9042.7000000000007</v>
      </c>
      <c r="N14">
        <v>47.630167</v>
      </c>
      <c r="O14">
        <v>-90.705332999999996</v>
      </c>
      <c r="P14">
        <v>47.625166999999998</v>
      </c>
      <c r="Q14">
        <v>-90.711667000000006</v>
      </c>
      <c r="R14">
        <v>603.31760629999997</v>
      </c>
      <c r="S14">
        <v>26.1</v>
      </c>
      <c r="T14">
        <v>43.8</v>
      </c>
      <c r="U14">
        <v>0.5</v>
      </c>
      <c r="V14">
        <v>2</v>
      </c>
      <c r="W14">
        <v>2.2000000000000002</v>
      </c>
      <c r="X14">
        <v>2.4521999999999999</v>
      </c>
      <c r="Y14">
        <v>0.21909999999999999</v>
      </c>
      <c r="Z14">
        <v>90.649299999999997</v>
      </c>
      <c r="AA14">
        <v>10</v>
      </c>
      <c r="AB14">
        <v>0.45</v>
      </c>
      <c r="AC14">
        <v>217</v>
      </c>
      <c r="AD14">
        <v>13</v>
      </c>
    </row>
    <row r="15" spans="1:30" x14ac:dyDescent="0.55000000000000004">
      <c r="A15">
        <v>88069</v>
      </c>
      <c r="B15" s="19">
        <v>41786</v>
      </c>
      <c r="C15">
        <v>1727</v>
      </c>
      <c r="D15">
        <v>2014</v>
      </c>
      <c r="E15">
        <v>25</v>
      </c>
      <c r="F15">
        <v>512</v>
      </c>
      <c r="G15">
        <v>1</v>
      </c>
      <c r="H15">
        <v>190</v>
      </c>
      <c r="I15">
        <v>3</v>
      </c>
      <c r="J15">
        <v>4737.8100000000004</v>
      </c>
      <c r="K15">
        <v>9042.32</v>
      </c>
      <c r="L15">
        <v>4737.51</v>
      </c>
      <c r="M15">
        <v>9042.7000000000007</v>
      </c>
      <c r="N15">
        <v>47.630167</v>
      </c>
      <c r="O15">
        <v>-90.705332999999996</v>
      </c>
      <c r="P15">
        <v>47.625166999999998</v>
      </c>
      <c r="Q15">
        <v>-90.711667000000006</v>
      </c>
      <c r="R15">
        <v>603.31760629999997</v>
      </c>
      <c r="S15">
        <v>26.1</v>
      </c>
      <c r="T15">
        <v>43.8</v>
      </c>
      <c r="U15">
        <v>0.5</v>
      </c>
      <c r="V15">
        <v>2</v>
      </c>
      <c r="W15">
        <v>2.2000000000000002</v>
      </c>
      <c r="X15">
        <v>2.4521999999999999</v>
      </c>
      <c r="Y15">
        <v>0.21909999999999999</v>
      </c>
      <c r="Z15">
        <v>90.649299999999997</v>
      </c>
      <c r="AA15">
        <v>10</v>
      </c>
      <c r="AB15">
        <v>0.45</v>
      </c>
      <c r="AC15">
        <v>310</v>
      </c>
      <c r="AD15">
        <v>1</v>
      </c>
    </row>
    <row r="16" spans="1:30" x14ac:dyDescent="0.55000000000000004">
      <c r="A16">
        <v>88070</v>
      </c>
      <c r="B16" s="19">
        <v>41786</v>
      </c>
      <c r="C16">
        <v>1727</v>
      </c>
      <c r="D16">
        <v>2014</v>
      </c>
      <c r="E16">
        <v>25</v>
      </c>
      <c r="F16">
        <v>513</v>
      </c>
      <c r="G16">
        <v>1</v>
      </c>
      <c r="H16">
        <v>190</v>
      </c>
      <c r="I16">
        <v>3</v>
      </c>
      <c r="J16">
        <v>4737.8100000000004</v>
      </c>
      <c r="K16">
        <v>9042.32</v>
      </c>
      <c r="L16">
        <v>4737.51</v>
      </c>
      <c r="M16">
        <v>9042.7000000000007</v>
      </c>
      <c r="N16">
        <v>47.630167</v>
      </c>
      <c r="O16">
        <v>-90.705332999999996</v>
      </c>
      <c r="P16">
        <v>47.625166999999998</v>
      </c>
      <c r="Q16">
        <v>-90.711667000000006</v>
      </c>
      <c r="R16">
        <v>603.31760629999997</v>
      </c>
      <c r="S16">
        <v>26.1</v>
      </c>
      <c r="T16">
        <v>43.8</v>
      </c>
      <c r="U16">
        <v>0.5</v>
      </c>
      <c r="V16">
        <v>2</v>
      </c>
      <c r="W16">
        <v>2.2000000000000002</v>
      </c>
      <c r="X16">
        <v>2.4521999999999999</v>
      </c>
      <c r="Y16">
        <v>0.21909999999999999</v>
      </c>
      <c r="Z16">
        <v>90.649299999999997</v>
      </c>
      <c r="AA16">
        <v>10</v>
      </c>
      <c r="AB16">
        <v>0.45</v>
      </c>
      <c r="AC16">
        <v>217</v>
      </c>
      <c r="AD16">
        <v>5</v>
      </c>
    </row>
    <row r="17" spans="1:30" x14ac:dyDescent="0.55000000000000004">
      <c r="A17">
        <v>88240</v>
      </c>
      <c r="B17" s="19">
        <v>41787</v>
      </c>
      <c r="C17">
        <v>1202</v>
      </c>
      <c r="D17">
        <v>2014</v>
      </c>
      <c r="E17">
        <v>25</v>
      </c>
      <c r="F17">
        <v>514</v>
      </c>
      <c r="G17">
        <v>1</v>
      </c>
      <c r="H17">
        <v>226</v>
      </c>
      <c r="I17">
        <v>3</v>
      </c>
      <c r="J17">
        <v>4716.59</v>
      </c>
      <c r="K17">
        <v>9115.2099999999991</v>
      </c>
      <c r="L17">
        <v>4716.26</v>
      </c>
      <c r="M17">
        <v>9115.4599999999991</v>
      </c>
      <c r="N17">
        <v>47.276499999999999</v>
      </c>
      <c r="O17">
        <v>-91.253500000000003</v>
      </c>
      <c r="P17">
        <v>47.271000000000001</v>
      </c>
      <c r="Q17">
        <v>-91.257666999999998</v>
      </c>
      <c r="S17">
        <v>110</v>
      </c>
      <c r="T17">
        <v>121</v>
      </c>
      <c r="U17">
        <v>0.5</v>
      </c>
      <c r="V17">
        <v>2</v>
      </c>
      <c r="W17">
        <v>2</v>
      </c>
      <c r="AA17">
        <v>10</v>
      </c>
      <c r="AB17">
        <v>0.4</v>
      </c>
      <c r="AC17">
        <v>217</v>
      </c>
      <c r="AD17">
        <v>8</v>
      </c>
    </row>
    <row r="18" spans="1:30" x14ac:dyDescent="0.55000000000000004">
      <c r="A18">
        <v>88241</v>
      </c>
      <c r="B18" s="19">
        <v>41787</v>
      </c>
      <c r="C18">
        <v>1202</v>
      </c>
      <c r="D18">
        <v>2014</v>
      </c>
      <c r="E18">
        <v>25</v>
      </c>
      <c r="F18">
        <v>515</v>
      </c>
      <c r="G18">
        <v>1</v>
      </c>
      <c r="H18">
        <v>226</v>
      </c>
      <c r="I18">
        <v>3</v>
      </c>
      <c r="J18">
        <v>4716.59</v>
      </c>
      <c r="K18">
        <v>9115.2099999999991</v>
      </c>
      <c r="L18">
        <v>4716.26</v>
      </c>
      <c r="M18">
        <v>9115.4599999999991</v>
      </c>
      <c r="N18">
        <v>47.276499999999999</v>
      </c>
      <c r="O18">
        <v>-91.253500000000003</v>
      </c>
      <c r="P18">
        <v>47.271000000000001</v>
      </c>
      <c r="Q18">
        <v>-91.257666999999998</v>
      </c>
      <c r="S18">
        <v>110</v>
      </c>
      <c r="T18">
        <v>121</v>
      </c>
      <c r="U18">
        <v>0.5</v>
      </c>
      <c r="V18">
        <v>2</v>
      </c>
      <c r="W18">
        <v>2</v>
      </c>
      <c r="AA18">
        <v>10</v>
      </c>
      <c r="AB18">
        <v>0.4</v>
      </c>
      <c r="AC18">
        <v>217</v>
      </c>
      <c r="AD18">
        <v>5</v>
      </c>
    </row>
    <row r="19" spans="1:30" x14ac:dyDescent="0.55000000000000004">
      <c r="A19">
        <v>88241</v>
      </c>
      <c r="B19" s="19">
        <v>41787</v>
      </c>
      <c r="C19">
        <v>1202</v>
      </c>
      <c r="D19">
        <v>2014</v>
      </c>
      <c r="E19">
        <v>25</v>
      </c>
      <c r="F19">
        <v>515</v>
      </c>
      <c r="G19">
        <v>1</v>
      </c>
      <c r="H19">
        <v>226</v>
      </c>
      <c r="I19">
        <v>3</v>
      </c>
      <c r="J19">
        <v>4716.59</v>
      </c>
      <c r="K19">
        <v>9115.2099999999991</v>
      </c>
      <c r="L19">
        <v>4716.26</v>
      </c>
      <c r="M19">
        <v>9115.4599999999991</v>
      </c>
      <c r="N19">
        <v>47.276499999999999</v>
      </c>
      <c r="O19">
        <v>-91.253500000000003</v>
      </c>
      <c r="P19">
        <v>47.271000000000001</v>
      </c>
      <c r="Q19">
        <v>-91.257666999999998</v>
      </c>
      <c r="S19">
        <v>110</v>
      </c>
      <c r="T19">
        <v>121</v>
      </c>
      <c r="U19">
        <v>0.5</v>
      </c>
      <c r="V19">
        <v>2</v>
      </c>
      <c r="W19">
        <v>2</v>
      </c>
      <c r="AA19">
        <v>10</v>
      </c>
      <c r="AB19">
        <v>0.4</v>
      </c>
      <c r="AC19">
        <v>310</v>
      </c>
      <c r="AD19">
        <v>1</v>
      </c>
    </row>
    <row r="20" spans="1:30" x14ac:dyDescent="0.55000000000000004">
      <c r="A20">
        <v>88242</v>
      </c>
      <c r="B20" s="19">
        <v>41787</v>
      </c>
      <c r="C20">
        <v>1730</v>
      </c>
      <c r="D20">
        <v>2014</v>
      </c>
      <c r="E20">
        <v>25</v>
      </c>
      <c r="F20">
        <v>516</v>
      </c>
      <c r="G20">
        <v>1</v>
      </c>
      <c r="H20">
        <v>367</v>
      </c>
      <c r="I20">
        <v>3</v>
      </c>
      <c r="J20">
        <v>4648.71</v>
      </c>
      <c r="K20">
        <v>9202.3799999999992</v>
      </c>
      <c r="L20">
        <v>4648.5200000000004</v>
      </c>
      <c r="M20">
        <v>9202.7999999999993</v>
      </c>
      <c r="N20">
        <v>46.811833</v>
      </c>
      <c r="O20">
        <v>-92.039666999999994</v>
      </c>
      <c r="P20">
        <v>46.808667</v>
      </c>
      <c r="Q20">
        <v>-92.046666999999999</v>
      </c>
      <c r="R20">
        <v>7637.306568</v>
      </c>
      <c r="S20">
        <v>25</v>
      </c>
      <c r="T20">
        <v>23</v>
      </c>
      <c r="U20">
        <v>0.5</v>
      </c>
      <c r="V20">
        <v>2</v>
      </c>
      <c r="W20">
        <v>2.6</v>
      </c>
      <c r="AA20">
        <v>10</v>
      </c>
      <c r="AB20">
        <v>0.4</v>
      </c>
      <c r="AC20">
        <v>217</v>
      </c>
      <c r="AD20">
        <v>5</v>
      </c>
    </row>
    <row r="21" spans="1:30" x14ac:dyDescent="0.55000000000000004">
      <c r="A21">
        <v>88243</v>
      </c>
      <c r="B21" s="19">
        <v>41787</v>
      </c>
      <c r="C21">
        <v>1730</v>
      </c>
      <c r="D21">
        <v>2014</v>
      </c>
      <c r="E21">
        <v>25</v>
      </c>
      <c r="F21">
        <v>517</v>
      </c>
      <c r="G21">
        <v>1</v>
      </c>
      <c r="H21">
        <v>367</v>
      </c>
      <c r="I21">
        <v>3</v>
      </c>
      <c r="J21">
        <v>4648.71</v>
      </c>
      <c r="K21">
        <v>9202.3799999999992</v>
      </c>
      <c r="L21">
        <v>4648.5200000000004</v>
      </c>
      <c r="M21">
        <v>9202.7999999999993</v>
      </c>
      <c r="N21">
        <v>46.811833</v>
      </c>
      <c r="O21">
        <v>-92.039666999999994</v>
      </c>
      <c r="P21">
        <v>46.808667</v>
      </c>
      <c r="Q21">
        <v>-92.046666999999999</v>
      </c>
      <c r="R21">
        <v>7637.306568</v>
      </c>
      <c r="S21">
        <v>25</v>
      </c>
      <c r="T21">
        <v>23</v>
      </c>
      <c r="U21">
        <v>0.8</v>
      </c>
      <c r="V21">
        <v>2</v>
      </c>
      <c r="W21">
        <v>2.6</v>
      </c>
      <c r="AA21">
        <v>10</v>
      </c>
      <c r="AB21">
        <v>0.4</v>
      </c>
      <c r="AC21">
        <v>217</v>
      </c>
      <c r="AD21">
        <v>10</v>
      </c>
    </row>
    <row r="22" spans="1:30" x14ac:dyDescent="0.55000000000000004">
      <c r="A22">
        <v>88078</v>
      </c>
      <c r="B22" s="19">
        <v>41788</v>
      </c>
      <c r="C22">
        <v>748</v>
      </c>
      <c r="D22">
        <v>2014</v>
      </c>
      <c r="E22">
        <v>25</v>
      </c>
      <c r="F22">
        <v>518</v>
      </c>
      <c r="G22">
        <v>1</v>
      </c>
      <c r="H22">
        <v>210</v>
      </c>
      <c r="I22">
        <v>3</v>
      </c>
      <c r="J22">
        <v>4643.5600000000004</v>
      </c>
      <c r="K22">
        <v>9201.44</v>
      </c>
      <c r="L22">
        <v>4643.79</v>
      </c>
      <c r="M22">
        <v>9200.99</v>
      </c>
      <c r="N22">
        <v>46.725999999999999</v>
      </c>
      <c r="O22">
        <v>-92.024000000000001</v>
      </c>
      <c r="P22">
        <v>46.729832999999999</v>
      </c>
      <c r="Q22">
        <v>-92.016499999999994</v>
      </c>
      <c r="R22">
        <v>1160.9052320000001</v>
      </c>
      <c r="S22">
        <v>16.2</v>
      </c>
      <c r="T22">
        <v>18.899999999999999</v>
      </c>
      <c r="U22">
        <v>0.5</v>
      </c>
      <c r="V22">
        <v>2</v>
      </c>
      <c r="W22">
        <v>2</v>
      </c>
      <c r="X22">
        <v>2.5893999999999999</v>
      </c>
      <c r="Y22">
        <v>0.67</v>
      </c>
      <c r="Z22">
        <v>75.442949999999996</v>
      </c>
      <c r="AA22">
        <v>10</v>
      </c>
      <c r="AB22">
        <v>0.43</v>
      </c>
      <c r="AC22">
        <v>217</v>
      </c>
      <c r="AD22">
        <v>29</v>
      </c>
    </row>
    <row r="23" spans="1:30" x14ac:dyDescent="0.55000000000000004">
      <c r="A23">
        <v>88079</v>
      </c>
      <c r="B23" s="19">
        <v>41788</v>
      </c>
      <c r="C23">
        <v>748</v>
      </c>
      <c r="D23">
        <v>2014</v>
      </c>
      <c r="E23">
        <v>25</v>
      </c>
      <c r="F23">
        <v>519</v>
      </c>
      <c r="G23">
        <v>1</v>
      </c>
      <c r="H23">
        <v>210</v>
      </c>
      <c r="I23">
        <v>3</v>
      </c>
      <c r="J23">
        <v>4643.5600000000004</v>
      </c>
      <c r="K23">
        <v>9201.44</v>
      </c>
      <c r="L23">
        <v>4643.79</v>
      </c>
      <c r="M23">
        <v>9200.99</v>
      </c>
      <c r="N23">
        <v>46.725999999999999</v>
      </c>
      <c r="O23">
        <v>-92.024000000000001</v>
      </c>
      <c r="P23">
        <v>46.729832999999999</v>
      </c>
      <c r="Q23">
        <v>-92.016499999999994</v>
      </c>
      <c r="R23">
        <v>1160.9052320000001</v>
      </c>
      <c r="S23">
        <v>16.2</v>
      </c>
      <c r="T23">
        <v>18.899999999999999</v>
      </c>
      <c r="U23">
        <v>0.5</v>
      </c>
      <c r="V23">
        <v>2</v>
      </c>
      <c r="W23">
        <v>2</v>
      </c>
      <c r="X23">
        <v>2.5893999999999999</v>
      </c>
      <c r="Y23">
        <v>0.67</v>
      </c>
      <c r="Z23">
        <v>75.442949999999996</v>
      </c>
      <c r="AA23">
        <v>10</v>
      </c>
      <c r="AB23">
        <v>0.43</v>
      </c>
      <c r="AC23">
        <v>217</v>
      </c>
      <c r="AD23">
        <v>44</v>
      </c>
    </row>
    <row r="24" spans="1:30" x14ac:dyDescent="0.55000000000000004">
      <c r="A24">
        <v>88080</v>
      </c>
      <c r="B24" s="19">
        <v>41788</v>
      </c>
      <c r="C24">
        <v>1020</v>
      </c>
      <c r="D24">
        <v>2014</v>
      </c>
      <c r="E24">
        <v>25</v>
      </c>
      <c r="F24">
        <v>520</v>
      </c>
      <c r="G24">
        <v>1</v>
      </c>
      <c r="H24">
        <v>206</v>
      </c>
      <c r="I24">
        <v>3</v>
      </c>
      <c r="J24">
        <v>4646.28</v>
      </c>
      <c r="K24">
        <v>9137.58</v>
      </c>
      <c r="L24">
        <v>4646.63</v>
      </c>
      <c r="M24">
        <v>9137.77</v>
      </c>
      <c r="N24">
        <v>46.771332999999998</v>
      </c>
      <c r="O24">
        <v>-91.626333000000002</v>
      </c>
      <c r="P24">
        <v>46.777166999999999</v>
      </c>
      <c r="Q24">
        <v>-91.629499999999993</v>
      </c>
      <c r="R24">
        <v>2834.1058560000001</v>
      </c>
      <c r="S24">
        <v>27.2</v>
      </c>
      <c r="T24">
        <v>37.1</v>
      </c>
      <c r="U24">
        <v>0.5</v>
      </c>
      <c r="V24">
        <v>2</v>
      </c>
      <c r="W24">
        <v>3</v>
      </c>
      <c r="X24">
        <v>3.2560500000000001</v>
      </c>
      <c r="Y24">
        <v>0.39019999999999999</v>
      </c>
      <c r="Z24">
        <v>54.111449999999998</v>
      </c>
      <c r="AA24">
        <v>10</v>
      </c>
      <c r="AB24">
        <v>0.43</v>
      </c>
      <c r="AC24">
        <v>217</v>
      </c>
      <c r="AD24">
        <v>12</v>
      </c>
    </row>
    <row r="25" spans="1:30" x14ac:dyDescent="0.55000000000000004">
      <c r="A25">
        <v>88081</v>
      </c>
      <c r="B25" s="19">
        <v>41788</v>
      </c>
      <c r="C25">
        <v>1020</v>
      </c>
      <c r="D25">
        <v>2014</v>
      </c>
      <c r="E25">
        <v>25</v>
      </c>
      <c r="F25">
        <v>521</v>
      </c>
      <c r="G25">
        <v>1</v>
      </c>
      <c r="H25">
        <v>206</v>
      </c>
      <c r="I25">
        <v>3</v>
      </c>
      <c r="J25">
        <v>4646.28</v>
      </c>
      <c r="K25">
        <v>9137.58</v>
      </c>
      <c r="L25">
        <v>4646.63</v>
      </c>
      <c r="M25">
        <v>9137.77</v>
      </c>
      <c r="N25">
        <v>46.771332999999998</v>
      </c>
      <c r="O25">
        <v>-91.626333000000002</v>
      </c>
      <c r="P25">
        <v>46.777166999999999</v>
      </c>
      <c r="Q25">
        <v>-91.629499999999993</v>
      </c>
      <c r="R25">
        <v>2834.1058560000001</v>
      </c>
      <c r="S25">
        <v>27.2</v>
      </c>
      <c r="T25">
        <v>37.1</v>
      </c>
      <c r="U25">
        <v>0.5</v>
      </c>
      <c r="V25">
        <v>2</v>
      </c>
      <c r="W25">
        <v>3</v>
      </c>
      <c r="X25">
        <v>3.2560500000000001</v>
      </c>
      <c r="Y25">
        <v>0.39019999999999999</v>
      </c>
      <c r="Z25">
        <v>54.111449999999998</v>
      </c>
      <c r="AA25">
        <v>10</v>
      </c>
      <c r="AB25">
        <v>0.43</v>
      </c>
      <c r="AC25">
        <v>217</v>
      </c>
      <c r="AD25">
        <v>5</v>
      </c>
    </row>
    <row r="26" spans="1:30" x14ac:dyDescent="0.55000000000000004">
      <c r="A26">
        <v>88082</v>
      </c>
      <c r="B26" s="19">
        <v>41788</v>
      </c>
      <c r="C26">
        <v>1217</v>
      </c>
      <c r="D26">
        <v>2014</v>
      </c>
      <c r="E26">
        <v>25</v>
      </c>
      <c r="F26">
        <v>522</v>
      </c>
      <c r="G26">
        <v>1</v>
      </c>
      <c r="H26">
        <v>205</v>
      </c>
      <c r="I26">
        <v>3</v>
      </c>
      <c r="J26">
        <v>4648.5600000000004</v>
      </c>
      <c r="K26">
        <v>9124.7900000000009</v>
      </c>
      <c r="L26">
        <v>4648.93</v>
      </c>
      <c r="M26">
        <v>9125.01</v>
      </c>
      <c r="N26">
        <v>46.809333000000002</v>
      </c>
      <c r="O26">
        <v>-91.413167000000001</v>
      </c>
      <c r="P26">
        <v>46.8155</v>
      </c>
      <c r="Q26">
        <v>-91.416832999999997</v>
      </c>
      <c r="R26">
        <v>1605.8109830000001</v>
      </c>
      <c r="S26">
        <v>24.2</v>
      </c>
      <c r="T26">
        <v>33</v>
      </c>
      <c r="U26">
        <v>0.5</v>
      </c>
      <c r="V26">
        <v>2</v>
      </c>
      <c r="W26">
        <v>2.5</v>
      </c>
      <c r="X26">
        <v>2.6839499999999998</v>
      </c>
      <c r="Y26">
        <v>0.20235</v>
      </c>
      <c r="Z26">
        <v>86.425449999999998</v>
      </c>
      <c r="AA26">
        <v>10</v>
      </c>
      <c r="AB26">
        <v>0.43</v>
      </c>
      <c r="AC26">
        <v>0</v>
      </c>
      <c r="AD26">
        <v>0</v>
      </c>
    </row>
    <row r="27" spans="1:30" x14ac:dyDescent="0.55000000000000004">
      <c r="A27">
        <v>88083</v>
      </c>
      <c r="B27" s="19">
        <v>41788</v>
      </c>
      <c r="C27">
        <v>1217</v>
      </c>
      <c r="D27">
        <v>2014</v>
      </c>
      <c r="E27">
        <v>25</v>
      </c>
      <c r="F27">
        <v>523</v>
      </c>
      <c r="G27">
        <v>1</v>
      </c>
      <c r="H27">
        <v>205</v>
      </c>
      <c r="I27">
        <v>3</v>
      </c>
      <c r="J27">
        <v>4648.5600000000004</v>
      </c>
      <c r="K27">
        <v>9124.7900000000009</v>
      </c>
      <c r="L27">
        <v>4648.93</v>
      </c>
      <c r="M27">
        <v>9125.01</v>
      </c>
      <c r="N27">
        <v>46.809333000000002</v>
      </c>
      <c r="O27">
        <v>-91.413167000000001</v>
      </c>
      <c r="P27">
        <v>46.8155</v>
      </c>
      <c r="Q27">
        <v>-91.416832999999997</v>
      </c>
      <c r="R27">
        <v>1605.8109830000001</v>
      </c>
      <c r="S27">
        <v>24.2</v>
      </c>
      <c r="T27">
        <v>33</v>
      </c>
      <c r="U27">
        <v>0.5</v>
      </c>
      <c r="V27">
        <v>2</v>
      </c>
      <c r="W27">
        <v>2.5</v>
      </c>
      <c r="X27">
        <v>2.6839499999999998</v>
      </c>
      <c r="Y27">
        <v>0.20235</v>
      </c>
      <c r="Z27">
        <v>86.425449999999998</v>
      </c>
      <c r="AA27">
        <v>10</v>
      </c>
      <c r="AB27">
        <v>0.43</v>
      </c>
      <c r="AC27">
        <v>0</v>
      </c>
      <c r="AD27">
        <v>0</v>
      </c>
    </row>
    <row r="28" spans="1:30" x14ac:dyDescent="0.55000000000000004">
      <c r="A28">
        <v>88090</v>
      </c>
      <c r="B28" s="19">
        <v>41789</v>
      </c>
      <c r="C28">
        <v>1050</v>
      </c>
      <c r="D28">
        <v>2014</v>
      </c>
      <c r="E28">
        <v>25</v>
      </c>
      <c r="F28">
        <v>524</v>
      </c>
      <c r="G28">
        <v>1</v>
      </c>
      <c r="H28">
        <v>151</v>
      </c>
      <c r="I28">
        <v>3</v>
      </c>
      <c r="J28">
        <v>4652.79</v>
      </c>
      <c r="K28">
        <v>9112.56</v>
      </c>
      <c r="L28">
        <v>4653.1000000000004</v>
      </c>
      <c r="M28">
        <v>9112.91</v>
      </c>
      <c r="N28">
        <v>46.879832999999998</v>
      </c>
      <c r="O28">
        <v>-91.209333000000001</v>
      </c>
      <c r="P28">
        <v>46.884999999999998</v>
      </c>
      <c r="Q28">
        <v>-91.215166999999994</v>
      </c>
      <c r="R28">
        <v>852.98955160000003</v>
      </c>
      <c r="S28">
        <v>20.9</v>
      </c>
      <c r="T28">
        <v>52.8</v>
      </c>
      <c r="U28">
        <v>0.5</v>
      </c>
      <c r="V28">
        <v>2</v>
      </c>
      <c r="W28">
        <v>2.2999999999999998</v>
      </c>
      <c r="X28">
        <v>2.5785499999999999</v>
      </c>
      <c r="Y28">
        <v>0.15759999999999999</v>
      </c>
      <c r="Z28">
        <v>88.639300000000006</v>
      </c>
      <c r="AA28">
        <v>10</v>
      </c>
      <c r="AB28">
        <v>0.45</v>
      </c>
      <c r="AC28">
        <v>0</v>
      </c>
      <c r="AD28">
        <v>0</v>
      </c>
    </row>
    <row r="29" spans="1:30" x14ac:dyDescent="0.55000000000000004">
      <c r="A29">
        <v>88091</v>
      </c>
      <c r="B29" s="19">
        <v>41789</v>
      </c>
      <c r="C29">
        <v>1050</v>
      </c>
      <c r="D29">
        <v>2014</v>
      </c>
      <c r="E29">
        <v>25</v>
      </c>
      <c r="F29">
        <v>525</v>
      </c>
      <c r="G29">
        <v>1</v>
      </c>
      <c r="H29">
        <v>151</v>
      </c>
      <c r="I29">
        <v>3</v>
      </c>
      <c r="J29">
        <v>4652.79</v>
      </c>
      <c r="K29">
        <v>9112.56</v>
      </c>
      <c r="L29">
        <v>4653.1000000000004</v>
      </c>
      <c r="M29">
        <v>9112.91</v>
      </c>
      <c r="N29">
        <v>46.879832999999998</v>
      </c>
      <c r="O29">
        <v>-91.209333000000001</v>
      </c>
      <c r="P29">
        <v>46.884999999999998</v>
      </c>
      <c r="Q29">
        <v>-91.215166999999994</v>
      </c>
      <c r="R29">
        <v>852.98955160000003</v>
      </c>
      <c r="S29">
        <v>20.9</v>
      </c>
      <c r="T29">
        <v>52.8</v>
      </c>
      <c r="U29">
        <v>0.5</v>
      </c>
      <c r="V29">
        <v>2</v>
      </c>
      <c r="W29">
        <v>2.2999999999999998</v>
      </c>
      <c r="X29">
        <v>2.5785499999999999</v>
      </c>
      <c r="Y29">
        <v>0.15759999999999999</v>
      </c>
      <c r="Z29">
        <v>88.639300000000006</v>
      </c>
      <c r="AA29">
        <v>10</v>
      </c>
      <c r="AB29">
        <v>0.45</v>
      </c>
      <c r="AC29">
        <v>0</v>
      </c>
      <c r="AD29">
        <v>0</v>
      </c>
    </row>
    <row r="30" spans="1:30" x14ac:dyDescent="0.55000000000000004">
      <c r="A30">
        <v>88092</v>
      </c>
      <c r="B30" s="19">
        <v>41789</v>
      </c>
      <c r="C30">
        <v>1219</v>
      </c>
      <c r="D30">
        <v>2014</v>
      </c>
      <c r="E30">
        <v>25</v>
      </c>
      <c r="F30">
        <v>526</v>
      </c>
      <c r="G30">
        <v>1</v>
      </c>
      <c r="H30">
        <v>76</v>
      </c>
      <c r="I30">
        <v>3</v>
      </c>
      <c r="J30">
        <v>4653.1499999999996</v>
      </c>
      <c r="K30">
        <v>9105.7900000000009</v>
      </c>
      <c r="L30">
        <v>4653.4399999999996</v>
      </c>
      <c r="M30">
        <v>9106.1299999999992</v>
      </c>
      <c r="N30">
        <v>46.885832999999998</v>
      </c>
      <c r="O30">
        <v>-91.096500000000006</v>
      </c>
      <c r="P30">
        <v>46.890667000000001</v>
      </c>
      <c r="Q30">
        <v>-91.102166999999994</v>
      </c>
      <c r="R30">
        <v>465.72166900000002</v>
      </c>
      <c r="S30">
        <v>23.6</v>
      </c>
      <c r="T30">
        <v>34.6</v>
      </c>
      <c r="U30">
        <v>0.5</v>
      </c>
      <c r="V30">
        <v>2</v>
      </c>
      <c r="W30">
        <v>7.9</v>
      </c>
      <c r="X30">
        <v>5.7053500000000001</v>
      </c>
      <c r="Y30">
        <v>0.17030000000000001</v>
      </c>
      <c r="Z30">
        <v>83.909549999999996</v>
      </c>
      <c r="AA30">
        <v>10</v>
      </c>
      <c r="AB30">
        <v>0.42</v>
      </c>
      <c r="AC30">
        <v>217</v>
      </c>
      <c r="AD30">
        <v>26</v>
      </c>
    </row>
    <row r="31" spans="1:30" x14ac:dyDescent="0.55000000000000004">
      <c r="A31">
        <v>88093</v>
      </c>
      <c r="B31" s="19">
        <v>41789</v>
      </c>
      <c r="C31">
        <v>1219</v>
      </c>
      <c r="D31">
        <v>2014</v>
      </c>
      <c r="E31">
        <v>25</v>
      </c>
      <c r="F31">
        <v>527</v>
      </c>
      <c r="G31">
        <v>1</v>
      </c>
      <c r="H31">
        <v>76</v>
      </c>
      <c r="I31">
        <v>3</v>
      </c>
      <c r="J31">
        <v>4653.1499999999996</v>
      </c>
      <c r="K31">
        <v>9105.7900000000009</v>
      </c>
      <c r="L31">
        <v>4653.4399999999996</v>
      </c>
      <c r="M31">
        <v>9106.1299999999992</v>
      </c>
      <c r="N31">
        <v>46.885832999999998</v>
      </c>
      <c r="O31">
        <v>-91.096500000000006</v>
      </c>
      <c r="P31">
        <v>46.890667000000001</v>
      </c>
      <c r="Q31">
        <v>-91.102166999999994</v>
      </c>
      <c r="R31">
        <v>465.72166900000002</v>
      </c>
      <c r="S31">
        <v>23.6</v>
      </c>
      <c r="T31">
        <v>34.6</v>
      </c>
      <c r="U31">
        <v>0.5</v>
      </c>
      <c r="V31">
        <v>2</v>
      </c>
      <c r="W31">
        <v>7.9</v>
      </c>
      <c r="X31">
        <v>5.7053500000000001</v>
      </c>
      <c r="Y31">
        <v>0.17030000000000001</v>
      </c>
      <c r="Z31">
        <v>83.909549999999996</v>
      </c>
      <c r="AA31">
        <v>10</v>
      </c>
      <c r="AB31">
        <v>0.42</v>
      </c>
      <c r="AC31">
        <v>217</v>
      </c>
      <c r="AD31">
        <v>36</v>
      </c>
    </row>
    <row r="32" spans="1:30" x14ac:dyDescent="0.55000000000000004">
      <c r="A32">
        <v>88093</v>
      </c>
      <c r="B32" s="19">
        <v>41789</v>
      </c>
      <c r="C32">
        <v>1219</v>
      </c>
      <c r="D32">
        <v>2014</v>
      </c>
      <c r="E32">
        <v>25</v>
      </c>
      <c r="F32">
        <v>527</v>
      </c>
      <c r="G32">
        <v>1</v>
      </c>
      <c r="H32">
        <v>76</v>
      </c>
      <c r="I32">
        <v>3</v>
      </c>
      <c r="J32">
        <v>4653.1499999999996</v>
      </c>
      <c r="K32">
        <v>9105.7900000000009</v>
      </c>
      <c r="L32">
        <v>4653.4399999999996</v>
      </c>
      <c r="M32">
        <v>9106.1299999999992</v>
      </c>
      <c r="N32">
        <v>46.885832999999998</v>
      </c>
      <c r="O32">
        <v>-91.096500000000006</v>
      </c>
      <c r="P32">
        <v>46.890667000000001</v>
      </c>
      <c r="Q32">
        <v>-91.102166999999994</v>
      </c>
      <c r="R32">
        <v>465.72166900000002</v>
      </c>
      <c r="S32">
        <v>23.6</v>
      </c>
      <c r="T32">
        <v>34.6</v>
      </c>
      <c r="U32">
        <v>0.5</v>
      </c>
      <c r="V32">
        <v>2</v>
      </c>
      <c r="W32">
        <v>7.9</v>
      </c>
      <c r="X32">
        <v>5.7053500000000001</v>
      </c>
      <c r="Y32">
        <v>0.17030000000000001</v>
      </c>
      <c r="Z32">
        <v>83.909549999999996</v>
      </c>
      <c r="AA32">
        <v>10</v>
      </c>
      <c r="AB32">
        <v>0.42</v>
      </c>
      <c r="AC32">
        <v>500</v>
      </c>
      <c r="AD32">
        <v>3</v>
      </c>
    </row>
    <row r="33" spans="1:30" x14ac:dyDescent="0.55000000000000004">
      <c r="A33">
        <v>88094</v>
      </c>
      <c r="B33" s="19">
        <v>41789</v>
      </c>
      <c r="C33">
        <v>1356</v>
      </c>
      <c r="D33">
        <v>2014</v>
      </c>
      <c r="E33">
        <v>25</v>
      </c>
      <c r="F33">
        <v>528</v>
      </c>
      <c r="G33">
        <v>1</v>
      </c>
      <c r="H33">
        <v>139</v>
      </c>
      <c r="I33">
        <v>3</v>
      </c>
      <c r="J33">
        <v>4658.18</v>
      </c>
      <c r="K33">
        <v>9059.76</v>
      </c>
      <c r="L33">
        <v>4658.24</v>
      </c>
      <c r="M33">
        <v>9000.2999999999993</v>
      </c>
      <c r="N33">
        <v>46.969667000000001</v>
      </c>
      <c r="O33">
        <v>-90.995999999999995</v>
      </c>
      <c r="P33">
        <v>46.970666999999999</v>
      </c>
      <c r="Q33">
        <v>-90.004999999999995</v>
      </c>
      <c r="R33">
        <v>1020.4776900000001</v>
      </c>
      <c r="S33">
        <v>20.6</v>
      </c>
      <c r="T33">
        <v>30.1</v>
      </c>
      <c r="U33">
        <v>0.5</v>
      </c>
      <c r="V33">
        <v>2</v>
      </c>
      <c r="W33">
        <v>8.5</v>
      </c>
      <c r="X33">
        <v>6.4515500000000001</v>
      </c>
      <c r="Y33">
        <v>0.14474999999999999</v>
      </c>
      <c r="Z33">
        <v>83.479100000000003</v>
      </c>
      <c r="AA33">
        <v>10</v>
      </c>
      <c r="AB33">
        <v>0.42</v>
      </c>
      <c r="AC33">
        <v>217</v>
      </c>
      <c r="AD33">
        <v>7</v>
      </c>
    </row>
    <row r="34" spans="1:30" x14ac:dyDescent="0.55000000000000004">
      <c r="A34">
        <v>88095</v>
      </c>
      <c r="B34" s="19">
        <v>41789</v>
      </c>
      <c r="C34">
        <v>1356</v>
      </c>
      <c r="D34">
        <v>2014</v>
      </c>
      <c r="E34">
        <v>25</v>
      </c>
      <c r="F34">
        <v>529</v>
      </c>
      <c r="G34">
        <v>1</v>
      </c>
      <c r="H34">
        <v>139</v>
      </c>
      <c r="I34">
        <v>3</v>
      </c>
      <c r="J34">
        <v>4658.18</v>
      </c>
      <c r="K34">
        <v>9059.76</v>
      </c>
      <c r="L34">
        <v>4658.24</v>
      </c>
      <c r="M34">
        <v>9000.2999999999993</v>
      </c>
      <c r="N34">
        <v>46.969667000000001</v>
      </c>
      <c r="O34">
        <v>-90.995999999999995</v>
      </c>
      <c r="P34">
        <v>46.970666999999999</v>
      </c>
      <c r="Q34">
        <v>-90.004999999999995</v>
      </c>
      <c r="R34">
        <v>1020.4776900000001</v>
      </c>
      <c r="S34">
        <v>20.6</v>
      </c>
      <c r="T34">
        <v>30.1</v>
      </c>
      <c r="U34">
        <v>0.5</v>
      </c>
      <c r="V34">
        <v>2</v>
      </c>
      <c r="W34">
        <v>8.5</v>
      </c>
      <c r="X34">
        <v>6.4515500000000001</v>
      </c>
      <c r="Y34">
        <v>0.14474999999999999</v>
      </c>
      <c r="Z34">
        <v>83.479100000000003</v>
      </c>
      <c r="AA34">
        <v>10</v>
      </c>
      <c r="AB34">
        <v>0.42</v>
      </c>
      <c r="AC34">
        <v>217</v>
      </c>
      <c r="AD34">
        <v>1</v>
      </c>
    </row>
    <row r="35" spans="1:30" x14ac:dyDescent="0.55000000000000004">
      <c r="A35">
        <v>88095</v>
      </c>
      <c r="B35" s="19">
        <v>41789</v>
      </c>
      <c r="C35">
        <v>1356</v>
      </c>
      <c r="D35">
        <v>2014</v>
      </c>
      <c r="E35">
        <v>25</v>
      </c>
      <c r="F35">
        <v>529</v>
      </c>
      <c r="G35">
        <v>1</v>
      </c>
      <c r="H35">
        <v>139</v>
      </c>
      <c r="I35">
        <v>3</v>
      </c>
      <c r="J35">
        <v>4658.18</v>
      </c>
      <c r="K35">
        <v>9059.76</v>
      </c>
      <c r="L35">
        <v>4658.24</v>
      </c>
      <c r="M35">
        <v>9000.2999999999993</v>
      </c>
      <c r="N35">
        <v>46.969667000000001</v>
      </c>
      <c r="O35">
        <v>-90.995999999999995</v>
      </c>
      <c r="P35">
        <v>46.970666999999999</v>
      </c>
      <c r="Q35">
        <v>-90.004999999999995</v>
      </c>
      <c r="R35">
        <v>1020.4776900000001</v>
      </c>
      <c r="S35">
        <v>20.6</v>
      </c>
      <c r="T35">
        <v>30.1</v>
      </c>
      <c r="U35">
        <v>0.5</v>
      </c>
      <c r="V35">
        <v>2</v>
      </c>
      <c r="W35">
        <v>8.5</v>
      </c>
      <c r="X35">
        <v>6.4515500000000001</v>
      </c>
      <c r="Y35">
        <v>0.14474999999999999</v>
      </c>
      <c r="Z35">
        <v>83.479100000000003</v>
      </c>
      <c r="AA35">
        <v>10</v>
      </c>
      <c r="AB35">
        <v>0.42</v>
      </c>
      <c r="AC35">
        <v>500</v>
      </c>
      <c r="AD35">
        <v>2</v>
      </c>
    </row>
    <row r="36" spans="1:30" x14ac:dyDescent="0.55000000000000004">
      <c r="A36">
        <v>88096</v>
      </c>
      <c r="B36" s="19">
        <v>41793</v>
      </c>
      <c r="C36">
        <v>936</v>
      </c>
      <c r="D36">
        <v>2014</v>
      </c>
      <c r="E36">
        <v>25</v>
      </c>
      <c r="F36">
        <v>530</v>
      </c>
      <c r="G36">
        <v>1</v>
      </c>
      <c r="H36">
        <v>24</v>
      </c>
      <c r="I36">
        <v>3</v>
      </c>
      <c r="J36">
        <v>4651.18</v>
      </c>
      <c r="K36">
        <v>9028.24</v>
      </c>
      <c r="L36">
        <v>4650.82</v>
      </c>
      <c r="M36">
        <v>9027.98</v>
      </c>
      <c r="N36">
        <v>46.853000000000002</v>
      </c>
      <c r="O36">
        <v>-90.470667000000006</v>
      </c>
      <c r="P36">
        <v>46.847000000000001</v>
      </c>
      <c r="Q36">
        <v>-90.466333000000006</v>
      </c>
      <c r="R36">
        <v>2120.1913869999998</v>
      </c>
      <c r="S36">
        <v>15.1</v>
      </c>
      <c r="T36">
        <v>57.6</v>
      </c>
      <c r="U36">
        <v>0.5</v>
      </c>
      <c r="V36">
        <v>2</v>
      </c>
      <c r="W36">
        <v>2.7</v>
      </c>
      <c r="X36">
        <v>3.1130499999999999</v>
      </c>
      <c r="Y36">
        <v>0.22239999999999999</v>
      </c>
      <c r="Z36">
        <v>88.360550000000003</v>
      </c>
      <c r="AA36">
        <v>10</v>
      </c>
      <c r="AB36">
        <v>0.45</v>
      </c>
      <c r="AC36">
        <v>0</v>
      </c>
      <c r="AD36">
        <v>0</v>
      </c>
    </row>
    <row r="37" spans="1:30" x14ac:dyDescent="0.55000000000000004">
      <c r="A37">
        <v>88097</v>
      </c>
      <c r="B37" s="19">
        <v>41793</v>
      </c>
      <c r="C37">
        <v>936</v>
      </c>
      <c r="D37">
        <v>2014</v>
      </c>
      <c r="E37">
        <v>25</v>
      </c>
      <c r="F37">
        <v>531</v>
      </c>
      <c r="G37">
        <v>1</v>
      </c>
      <c r="H37">
        <v>24</v>
      </c>
      <c r="I37">
        <v>3</v>
      </c>
      <c r="J37">
        <v>4651.18</v>
      </c>
      <c r="K37">
        <v>9028.24</v>
      </c>
      <c r="L37">
        <v>4650.82</v>
      </c>
      <c r="M37">
        <v>9027.98</v>
      </c>
      <c r="N37">
        <v>46.853000000000002</v>
      </c>
      <c r="O37">
        <v>-90.470667000000006</v>
      </c>
      <c r="P37">
        <v>46.847000000000001</v>
      </c>
      <c r="Q37">
        <v>-90.466333000000006</v>
      </c>
      <c r="R37">
        <v>2120.1913869999998</v>
      </c>
      <c r="S37">
        <v>15.1</v>
      </c>
      <c r="T37">
        <v>57.6</v>
      </c>
      <c r="U37">
        <v>0.5</v>
      </c>
      <c r="V37">
        <v>2</v>
      </c>
      <c r="W37">
        <v>2.7</v>
      </c>
      <c r="X37">
        <v>3.1130499999999999</v>
      </c>
      <c r="Y37">
        <v>0.22239999999999999</v>
      </c>
      <c r="Z37">
        <v>88.360550000000003</v>
      </c>
      <c r="AA37">
        <v>10</v>
      </c>
      <c r="AB37">
        <v>0.45</v>
      </c>
      <c r="AC37">
        <v>217</v>
      </c>
      <c r="AD37">
        <v>2</v>
      </c>
    </row>
    <row r="38" spans="1:30" x14ac:dyDescent="0.55000000000000004">
      <c r="A38">
        <v>88098</v>
      </c>
      <c r="B38" s="19">
        <v>41793</v>
      </c>
      <c r="C38">
        <v>1143</v>
      </c>
      <c r="D38">
        <v>2014</v>
      </c>
      <c r="E38">
        <v>25</v>
      </c>
      <c r="F38">
        <v>532</v>
      </c>
      <c r="G38">
        <v>1</v>
      </c>
      <c r="H38">
        <v>184</v>
      </c>
      <c r="I38">
        <v>3</v>
      </c>
      <c r="J38">
        <v>4636.9399999999996</v>
      </c>
      <c r="K38">
        <v>9019.83</v>
      </c>
      <c r="L38">
        <v>4637.28</v>
      </c>
      <c r="M38">
        <v>9019.94</v>
      </c>
      <c r="N38">
        <v>46.615667000000002</v>
      </c>
      <c r="O38">
        <v>-90.330500000000001</v>
      </c>
      <c r="P38">
        <v>46.621333</v>
      </c>
      <c r="Q38">
        <v>-90.332333000000006</v>
      </c>
      <c r="R38">
        <v>678.27412460000005</v>
      </c>
      <c r="S38">
        <v>22.2</v>
      </c>
      <c r="T38">
        <v>28.1</v>
      </c>
      <c r="U38">
        <v>0.5</v>
      </c>
      <c r="V38">
        <v>2</v>
      </c>
      <c r="W38">
        <v>6.1</v>
      </c>
      <c r="X38">
        <v>4.6960499999999996</v>
      </c>
      <c r="Y38">
        <v>0.40644999999999998</v>
      </c>
      <c r="Z38">
        <v>72.820599999999999</v>
      </c>
      <c r="AA38">
        <v>10</v>
      </c>
      <c r="AB38">
        <v>0.4</v>
      </c>
      <c r="AC38">
        <v>217</v>
      </c>
      <c r="AD38">
        <v>11</v>
      </c>
    </row>
    <row r="39" spans="1:30" x14ac:dyDescent="0.55000000000000004">
      <c r="A39">
        <v>88099</v>
      </c>
      <c r="B39" s="19">
        <v>41793</v>
      </c>
      <c r="C39">
        <v>1143</v>
      </c>
      <c r="D39">
        <v>2014</v>
      </c>
      <c r="E39">
        <v>25</v>
      </c>
      <c r="F39">
        <v>533</v>
      </c>
      <c r="G39">
        <v>1</v>
      </c>
      <c r="H39">
        <v>184</v>
      </c>
      <c r="I39">
        <v>3</v>
      </c>
      <c r="J39">
        <v>4636.9399999999996</v>
      </c>
      <c r="K39">
        <v>9019.83</v>
      </c>
      <c r="L39">
        <v>4637.28</v>
      </c>
      <c r="M39">
        <v>9019.94</v>
      </c>
      <c r="N39">
        <v>46.615667000000002</v>
      </c>
      <c r="O39">
        <v>-90.330500000000001</v>
      </c>
      <c r="P39">
        <v>46.621333</v>
      </c>
      <c r="Q39">
        <v>-90.332333000000006</v>
      </c>
      <c r="R39">
        <v>678.27412460000005</v>
      </c>
      <c r="S39">
        <v>22.2</v>
      </c>
      <c r="T39">
        <v>28.1</v>
      </c>
      <c r="U39">
        <v>0.5</v>
      </c>
      <c r="V39">
        <v>2</v>
      </c>
      <c r="W39">
        <v>6.1</v>
      </c>
      <c r="X39">
        <v>4.6960499999999996</v>
      </c>
      <c r="Y39">
        <v>0.40644999999999998</v>
      </c>
      <c r="Z39">
        <v>72.820599999999999</v>
      </c>
      <c r="AA39">
        <v>10</v>
      </c>
      <c r="AB39">
        <v>0.4</v>
      </c>
      <c r="AC39">
        <v>217</v>
      </c>
      <c r="AD39">
        <v>11</v>
      </c>
    </row>
    <row r="40" spans="1:30" x14ac:dyDescent="0.55000000000000004">
      <c r="A40">
        <v>88103</v>
      </c>
      <c r="B40" s="19">
        <v>41793</v>
      </c>
      <c r="C40">
        <v>1403</v>
      </c>
      <c r="D40">
        <v>2014</v>
      </c>
      <c r="E40">
        <v>25</v>
      </c>
      <c r="F40">
        <v>534</v>
      </c>
      <c r="G40">
        <v>1</v>
      </c>
      <c r="H40">
        <v>192</v>
      </c>
      <c r="I40">
        <v>3</v>
      </c>
      <c r="J40">
        <v>4641.3500000000004</v>
      </c>
      <c r="K40">
        <v>9001.68</v>
      </c>
      <c r="L40">
        <v>4641.71</v>
      </c>
      <c r="M40">
        <v>9001.93</v>
      </c>
      <c r="N40">
        <v>46.689166999999998</v>
      </c>
      <c r="O40">
        <v>-90.028000000000006</v>
      </c>
      <c r="P40">
        <v>46.695166999999998</v>
      </c>
      <c r="Q40">
        <v>-90.032167000000001</v>
      </c>
      <c r="R40">
        <v>1206.208648</v>
      </c>
      <c r="S40">
        <v>17.7</v>
      </c>
      <c r="T40">
        <v>25</v>
      </c>
      <c r="U40">
        <v>0.5</v>
      </c>
      <c r="V40">
        <v>2</v>
      </c>
      <c r="W40">
        <v>3.5</v>
      </c>
      <c r="X40">
        <v>3.3203999999999998</v>
      </c>
      <c r="Y40">
        <v>0.30095</v>
      </c>
      <c r="Z40">
        <v>83.214200000000005</v>
      </c>
      <c r="AA40">
        <v>10</v>
      </c>
      <c r="AB40">
        <v>0.43</v>
      </c>
      <c r="AC40">
        <v>217</v>
      </c>
      <c r="AD40">
        <v>41</v>
      </c>
    </row>
    <row r="41" spans="1:30" x14ac:dyDescent="0.55000000000000004">
      <c r="A41">
        <v>88104</v>
      </c>
      <c r="B41" s="19">
        <v>41793</v>
      </c>
      <c r="C41">
        <v>1403</v>
      </c>
      <c r="D41">
        <v>2014</v>
      </c>
      <c r="E41">
        <v>25</v>
      </c>
      <c r="F41">
        <v>535</v>
      </c>
      <c r="G41">
        <v>1</v>
      </c>
      <c r="H41">
        <v>192</v>
      </c>
      <c r="I41">
        <v>3</v>
      </c>
      <c r="J41">
        <v>4641.3500000000004</v>
      </c>
      <c r="K41">
        <v>9001.68</v>
      </c>
      <c r="L41">
        <v>4641.71</v>
      </c>
      <c r="M41">
        <v>9001.93</v>
      </c>
      <c r="N41">
        <v>46.689166999999998</v>
      </c>
      <c r="O41">
        <v>-90.028000000000006</v>
      </c>
      <c r="P41">
        <v>46.695166999999998</v>
      </c>
      <c r="Q41">
        <v>-90.032167000000001</v>
      </c>
      <c r="R41">
        <v>1206.208648</v>
      </c>
      <c r="S41">
        <v>17.7</v>
      </c>
      <c r="T41">
        <v>25</v>
      </c>
      <c r="U41">
        <v>0.5</v>
      </c>
      <c r="V41">
        <v>2</v>
      </c>
      <c r="W41">
        <v>3.5</v>
      </c>
      <c r="X41">
        <v>3.3203999999999998</v>
      </c>
      <c r="Y41">
        <v>0.30095</v>
      </c>
      <c r="Z41">
        <v>83.214200000000005</v>
      </c>
      <c r="AA41">
        <v>10</v>
      </c>
      <c r="AB41">
        <v>0.43</v>
      </c>
      <c r="AC41">
        <v>217</v>
      </c>
      <c r="AD41">
        <v>15</v>
      </c>
    </row>
    <row r="42" spans="1:30" x14ac:dyDescent="0.55000000000000004">
      <c r="A42">
        <v>88105</v>
      </c>
      <c r="B42" s="19">
        <v>41793</v>
      </c>
      <c r="C42">
        <v>729</v>
      </c>
      <c r="D42">
        <v>2014</v>
      </c>
      <c r="E42">
        <v>25</v>
      </c>
      <c r="F42">
        <v>536</v>
      </c>
      <c r="G42">
        <v>1</v>
      </c>
      <c r="H42">
        <v>57</v>
      </c>
      <c r="I42">
        <v>3</v>
      </c>
      <c r="J42">
        <v>4654.03</v>
      </c>
      <c r="K42">
        <v>8921.02</v>
      </c>
      <c r="L42">
        <v>4654.32</v>
      </c>
      <c r="M42">
        <v>8921.36</v>
      </c>
      <c r="N42">
        <v>46.900500000000001</v>
      </c>
      <c r="O42">
        <v>-89.350333000000006</v>
      </c>
      <c r="P42">
        <v>46.905332999999999</v>
      </c>
      <c r="Q42">
        <v>-89.355999999999995</v>
      </c>
      <c r="R42">
        <v>3061.657843</v>
      </c>
      <c r="S42">
        <v>19.600000000000001</v>
      </c>
      <c r="T42">
        <v>26</v>
      </c>
      <c r="U42">
        <v>0.5</v>
      </c>
      <c r="V42">
        <v>2</v>
      </c>
      <c r="W42">
        <v>3.2</v>
      </c>
      <c r="AA42">
        <v>10</v>
      </c>
      <c r="AB42">
        <v>0.45</v>
      </c>
      <c r="AC42">
        <v>217</v>
      </c>
      <c r="AD42">
        <v>111</v>
      </c>
    </row>
    <row r="43" spans="1:30" x14ac:dyDescent="0.55000000000000004">
      <c r="A43">
        <v>88105</v>
      </c>
      <c r="B43" s="19">
        <v>41793</v>
      </c>
      <c r="C43">
        <v>729</v>
      </c>
      <c r="D43">
        <v>2014</v>
      </c>
      <c r="E43">
        <v>25</v>
      </c>
      <c r="F43">
        <v>536</v>
      </c>
      <c r="G43">
        <v>1</v>
      </c>
      <c r="H43">
        <v>57</v>
      </c>
      <c r="I43">
        <v>3</v>
      </c>
      <c r="J43">
        <v>4654.03</v>
      </c>
      <c r="K43">
        <v>8921.02</v>
      </c>
      <c r="L43">
        <v>4654.32</v>
      </c>
      <c r="M43">
        <v>8921.36</v>
      </c>
      <c r="N43">
        <v>46.900500000000001</v>
      </c>
      <c r="O43">
        <v>-89.350333000000006</v>
      </c>
      <c r="P43">
        <v>46.905332999999999</v>
      </c>
      <c r="Q43">
        <v>-89.355999999999995</v>
      </c>
      <c r="R43">
        <v>3061.657843</v>
      </c>
      <c r="S43">
        <v>19.600000000000001</v>
      </c>
      <c r="T43">
        <v>26</v>
      </c>
      <c r="U43">
        <v>0.5</v>
      </c>
      <c r="V43">
        <v>2</v>
      </c>
      <c r="W43">
        <v>3.2</v>
      </c>
      <c r="AA43">
        <v>10</v>
      </c>
      <c r="AB43">
        <v>0.45</v>
      </c>
      <c r="AC43">
        <v>500</v>
      </c>
      <c r="AD43">
        <v>1</v>
      </c>
    </row>
    <row r="44" spans="1:30" x14ac:dyDescent="0.55000000000000004">
      <c r="A44">
        <v>88106</v>
      </c>
      <c r="B44" s="19">
        <v>41793</v>
      </c>
      <c r="C44">
        <v>729</v>
      </c>
      <c r="D44">
        <v>2014</v>
      </c>
      <c r="E44">
        <v>25</v>
      </c>
      <c r="F44">
        <v>537</v>
      </c>
      <c r="G44">
        <v>1</v>
      </c>
      <c r="H44">
        <v>57</v>
      </c>
      <c r="I44">
        <v>3</v>
      </c>
      <c r="J44">
        <v>4654.03</v>
      </c>
      <c r="K44">
        <v>8921.02</v>
      </c>
      <c r="L44">
        <v>4654.32</v>
      </c>
      <c r="M44">
        <v>8921.36</v>
      </c>
      <c r="N44">
        <v>46.900500000000001</v>
      </c>
      <c r="O44">
        <v>-89.350333000000006</v>
      </c>
      <c r="P44">
        <v>46.905332999999999</v>
      </c>
      <c r="Q44">
        <v>-89.355999999999995</v>
      </c>
      <c r="R44">
        <v>3061.657843</v>
      </c>
      <c r="S44">
        <v>19.600000000000001</v>
      </c>
      <c r="T44">
        <v>26</v>
      </c>
      <c r="U44">
        <v>0.5</v>
      </c>
      <c r="V44">
        <v>2</v>
      </c>
      <c r="W44">
        <v>3.2</v>
      </c>
      <c r="AA44">
        <v>10</v>
      </c>
      <c r="AB44">
        <v>0.45</v>
      </c>
      <c r="AC44">
        <v>217</v>
      </c>
      <c r="AD44">
        <v>50</v>
      </c>
    </row>
    <row r="45" spans="1:30" x14ac:dyDescent="0.55000000000000004">
      <c r="A45">
        <v>88108</v>
      </c>
      <c r="B45" s="19">
        <v>41794</v>
      </c>
      <c r="C45">
        <v>1011</v>
      </c>
      <c r="D45">
        <v>2014</v>
      </c>
      <c r="E45">
        <v>25</v>
      </c>
      <c r="F45">
        <v>538</v>
      </c>
      <c r="G45">
        <v>1</v>
      </c>
      <c r="H45">
        <v>183</v>
      </c>
      <c r="I45">
        <v>3</v>
      </c>
      <c r="J45">
        <v>4659.8599999999997</v>
      </c>
      <c r="K45">
        <v>8908.67</v>
      </c>
      <c r="L45">
        <v>4659.9399999999996</v>
      </c>
      <c r="M45">
        <v>8909.16</v>
      </c>
      <c r="N45">
        <v>46.997667</v>
      </c>
      <c r="O45">
        <v>-89.144499999999994</v>
      </c>
      <c r="P45">
        <v>46.999000000000002</v>
      </c>
      <c r="Q45">
        <v>-89.152666999999994</v>
      </c>
      <c r="R45">
        <v>1085.9954769999999</v>
      </c>
      <c r="S45">
        <v>16.7</v>
      </c>
      <c r="T45">
        <v>23</v>
      </c>
      <c r="U45">
        <v>0.5</v>
      </c>
      <c r="V45">
        <v>2</v>
      </c>
      <c r="W45">
        <v>7.8</v>
      </c>
      <c r="X45">
        <v>5.9400500000000003</v>
      </c>
      <c r="Y45">
        <v>0.39834999999999998</v>
      </c>
      <c r="Z45">
        <v>66.777199999999993</v>
      </c>
      <c r="AA45">
        <v>10</v>
      </c>
      <c r="AB45">
        <v>0.4</v>
      </c>
      <c r="AC45">
        <v>217</v>
      </c>
      <c r="AD45">
        <v>44</v>
      </c>
    </row>
    <row r="46" spans="1:30" x14ac:dyDescent="0.55000000000000004">
      <c r="A46">
        <v>88109</v>
      </c>
      <c r="B46" s="19">
        <v>41794</v>
      </c>
      <c r="C46">
        <v>1011</v>
      </c>
      <c r="D46">
        <v>2014</v>
      </c>
      <c r="E46">
        <v>25</v>
      </c>
      <c r="F46">
        <v>539</v>
      </c>
      <c r="G46">
        <v>1</v>
      </c>
      <c r="H46">
        <v>183</v>
      </c>
      <c r="I46">
        <v>3</v>
      </c>
      <c r="J46">
        <v>4659.8599999999997</v>
      </c>
      <c r="K46">
        <v>8908.67</v>
      </c>
      <c r="L46">
        <v>4659.9399999999996</v>
      </c>
      <c r="M46">
        <v>8909.16</v>
      </c>
      <c r="N46">
        <v>46.997667</v>
      </c>
      <c r="O46">
        <v>-89.144499999999994</v>
      </c>
      <c r="P46">
        <v>46.999000000000002</v>
      </c>
      <c r="Q46">
        <v>-89.152666999999994</v>
      </c>
      <c r="R46">
        <v>1085.9954769999999</v>
      </c>
      <c r="S46">
        <v>16.7</v>
      </c>
      <c r="T46">
        <v>23</v>
      </c>
      <c r="U46">
        <v>0.5</v>
      </c>
      <c r="V46">
        <v>2</v>
      </c>
      <c r="W46">
        <v>7.8</v>
      </c>
      <c r="X46">
        <v>5.9400500000000003</v>
      </c>
      <c r="Y46">
        <v>0.39834999999999998</v>
      </c>
      <c r="Z46">
        <v>66.777199999999993</v>
      </c>
      <c r="AA46">
        <v>10</v>
      </c>
      <c r="AB46">
        <v>0.4</v>
      </c>
      <c r="AC46">
        <v>217</v>
      </c>
      <c r="AD46">
        <v>22</v>
      </c>
    </row>
    <row r="47" spans="1:30" x14ac:dyDescent="0.55000000000000004">
      <c r="A47">
        <v>88111</v>
      </c>
      <c r="B47" s="19">
        <v>41794</v>
      </c>
      <c r="C47">
        <v>1301</v>
      </c>
      <c r="D47">
        <v>2014</v>
      </c>
      <c r="E47">
        <v>25</v>
      </c>
      <c r="F47">
        <v>540</v>
      </c>
      <c r="G47">
        <v>1</v>
      </c>
      <c r="H47">
        <v>182</v>
      </c>
      <c r="I47">
        <v>3</v>
      </c>
      <c r="J47">
        <v>4708.8999999999996</v>
      </c>
      <c r="K47">
        <v>8851.2800000000007</v>
      </c>
      <c r="L47">
        <v>4708.9799999999996</v>
      </c>
      <c r="M47">
        <v>8851.7900000000009</v>
      </c>
      <c r="N47">
        <v>47.148333000000001</v>
      </c>
      <c r="O47">
        <v>-88.854667000000006</v>
      </c>
      <c r="P47">
        <v>47.149667000000001</v>
      </c>
      <c r="Q47">
        <v>-88.863167000000004</v>
      </c>
      <c r="R47">
        <v>3033.4925290000001</v>
      </c>
      <c r="S47">
        <v>29.7</v>
      </c>
      <c r="T47">
        <v>34.299999999999997</v>
      </c>
      <c r="U47">
        <v>0.5</v>
      </c>
      <c r="V47">
        <v>2</v>
      </c>
      <c r="W47">
        <v>6.9</v>
      </c>
      <c r="X47">
        <v>5.8861499999999998</v>
      </c>
      <c r="Y47">
        <v>0.2331</v>
      </c>
      <c r="Z47">
        <v>74.344399999999993</v>
      </c>
      <c r="AA47">
        <v>10</v>
      </c>
      <c r="AB47">
        <v>0.42</v>
      </c>
      <c r="AC47">
        <v>217</v>
      </c>
      <c r="AD47">
        <v>8</v>
      </c>
    </row>
    <row r="48" spans="1:30" x14ac:dyDescent="0.55000000000000004">
      <c r="A48">
        <v>88112</v>
      </c>
      <c r="B48" s="19">
        <v>41794</v>
      </c>
      <c r="C48">
        <v>1301</v>
      </c>
      <c r="D48">
        <v>2014</v>
      </c>
      <c r="E48">
        <v>25</v>
      </c>
      <c r="F48">
        <v>541</v>
      </c>
      <c r="G48">
        <v>1</v>
      </c>
      <c r="H48">
        <v>182</v>
      </c>
      <c r="I48">
        <v>3</v>
      </c>
      <c r="J48">
        <v>4708.8999999999996</v>
      </c>
      <c r="K48">
        <v>8851.2800000000007</v>
      </c>
      <c r="L48">
        <v>4708.9799999999996</v>
      </c>
      <c r="M48">
        <v>8851.7900000000009</v>
      </c>
      <c r="N48">
        <v>47.148333000000001</v>
      </c>
      <c r="O48">
        <v>-88.854667000000006</v>
      </c>
      <c r="P48">
        <v>47.149667000000001</v>
      </c>
      <c r="Q48">
        <v>-88.863167000000004</v>
      </c>
      <c r="R48">
        <v>3033.4925290000001</v>
      </c>
      <c r="S48">
        <v>29.7</v>
      </c>
      <c r="T48">
        <v>34.299999999999997</v>
      </c>
      <c r="U48">
        <v>0.5</v>
      </c>
      <c r="V48">
        <v>2</v>
      </c>
      <c r="W48">
        <v>6.9</v>
      </c>
      <c r="X48">
        <v>5.8861499999999998</v>
      </c>
      <c r="Y48">
        <v>0.2331</v>
      </c>
      <c r="Z48">
        <v>74.344399999999993</v>
      </c>
      <c r="AA48">
        <v>10</v>
      </c>
      <c r="AB48">
        <v>0.42</v>
      </c>
      <c r="AC48">
        <v>217</v>
      </c>
      <c r="AD48">
        <v>3</v>
      </c>
    </row>
    <row r="49" spans="1:30" x14ac:dyDescent="0.55000000000000004">
      <c r="A49">
        <v>88115</v>
      </c>
      <c r="B49" s="19">
        <v>41794</v>
      </c>
      <c r="C49">
        <v>1607</v>
      </c>
      <c r="D49">
        <v>2014</v>
      </c>
      <c r="E49">
        <v>25</v>
      </c>
      <c r="F49">
        <v>542</v>
      </c>
      <c r="G49">
        <v>1</v>
      </c>
      <c r="H49">
        <v>181</v>
      </c>
      <c r="I49">
        <v>3</v>
      </c>
      <c r="J49">
        <v>4720.21</v>
      </c>
      <c r="K49">
        <v>8828.9</v>
      </c>
      <c r="L49">
        <v>4720.54</v>
      </c>
      <c r="M49">
        <v>8829.15</v>
      </c>
      <c r="N49">
        <v>47.336832999999999</v>
      </c>
      <c r="O49">
        <v>-88.481667000000002</v>
      </c>
      <c r="P49">
        <v>47.342333000000004</v>
      </c>
      <c r="Q49">
        <v>-88.485833</v>
      </c>
      <c r="R49">
        <v>1103.1946</v>
      </c>
      <c r="S49">
        <v>26.3</v>
      </c>
      <c r="T49">
        <v>50.3</v>
      </c>
      <c r="U49">
        <v>0.5</v>
      </c>
      <c r="V49">
        <v>2</v>
      </c>
      <c r="W49">
        <v>7.5</v>
      </c>
      <c r="X49">
        <v>6.0583499999999999</v>
      </c>
      <c r="Y49">
        <v>0.216</v>
      </c>
      <c r="Z49">
        <v>75.294349999999994</v>
      </c>
      <c r="AA49">
        <v>10</v>
      </c>
      <c r="AB49">
        <v>0.42</v>
      </c>
      <c r="AC49">
        <v>217</v>
      </c>
      <c r="AD49">
        <v>3</v>
      </c>
    </row>
    <row r="50" spans="1:30" x14ac:dyDescent="0.55000000000000004">
      <c r="A50">
        <v>88116</v>
      </c>
      <c r="B50" s="19">
        <v>41794</v>
      </c>
      <c r="C50">
        <v>1607</v>
      </c>
      <c r="D50">
        <v>2014</v>
      </c>
      <c r="E50">
        <v>25</v>
      </c>
      <c r="F50">
        <v>543</v>
      </c>
      <c r="G50">
        <v>1</v>
      </c>
      <c r="H50">
        <v>181</v>
      </c>
      <c r="I50">
        <v>3</v>
      </c>
      <c r="J50">
        <v>4720.21</v>
      </c>
      <c r="K50">
        <v>8828.9</v>
      </c>
      <c r="L50">
        <v>4720.54</v>
      </c>
      <c r="M50">
        <v>8829.15</v>
      </c>
      <c r="N50">
        <v>47.336832999999999</v>
      </c>
      <c r="O50">
        <v>-88.481667000000002</v>
      </c>
      <c r="P50">
        <v>47.342333000000004</v>
      </c>
      <c r="Q50">
        <v>-88.485833</v>
      </c>
      <c r="R50">
        <v>1103.1946</v>
      </c>
      <c r="S50">
        <v>26.3</v>
      </c>
      <c r="T50">
        <v>50.3</v>
      </c>
      <c r="U50">
        <v>0.5</v>
      </c>
      <c r="V50">
        <v>2</v>
      </c>
      <c r="W50">
        <v>7.5</v>
      </c>
      <c r="X50">
        <v>6.0583499999999999</v>
      </c>
      <c r="Y50">
        <v>0.216</v>
      </c>
      <c r="Z50">
        <v>75.294349999999994</v>
      </c>
      <c r="AA50">
        <v>10</v>
      </c>
      <c r="AB50">
        <v>0.42</v>
      </c>
      <c r="AC50">
        <v>217</v>
      </c>
      <c r="AD50">
        <v>2</v>
      </c>
    </row>
    <row r="51" spans="1:30" x14ac:dyDescent="0.55000000000000004">
      <c r="A51">
        <v>88117</v>
      </c>
      <c r="B51" s="19">
        <v>41795</v>
      </c>
      <c r="C51">
        <v>1018</v>
      </c>
      <c r="D51">
        <v>2014</v>
      </c>
      <c r="E51">
        <v>25</v>
      </c>
      <c r="F51">
        <v>544</v>
      </c>
      <c r="G51">
        <v>1</v>
      </c>
      <c r="H51">
        <v>82</v>
      </c>
      <c r="I51">
        <v>3</v>
      </c>
      <c r="J51">
        <v>4658.7700000000004</v>
      </c>
      <c r="K51">
        <v>8823.77</v>
      </c>
      <c r="L51">
        <v>4658.53</v>
      </c>
      <c r="M51">
        <v>8823.33</v>
      </c>
      <c r="N51">
        <v>46.979500000000002</v>
      </c>
      <c r="O51">
        <v>-88.396167000000005</v>
      </c>
      <c r="P51">
        <v>46.975499999999997</v>
      </c>
      <c r="Q51">
        <v>-88.388833000000005</v>
      </c>
      <c r="R51">
        <v>1045.25918</v>
      </c>
      <c r="S51">
        <v>18.100000000000001</v>
      </c>
      <c r="T51">
        <v>41.8</v>
      </c>
      <c r="U51">
        <v>0.5</v>
      </c>
      <c r="V51">
        <v>2</v>
      </c>
      <c r="W51">
        <v>5.7</v>
      </c>
      <c r="X51">
        <v>4.5640000000000001</v>
      </c>
      <c r="Y51">
        <v>0.19589999999999999</v>
      </c>
      <c r="Z51">
        <v>85.574349999999995</v>
      </c>
      <c r="AA51">
        <v>10</v>
      </c>
      <c r="AB51">
        <v>0.43</v>
      </c>
      <c r="AC51">
        <v>217</v>
      </c>
      <c r="AD51">
        <v>1</v>
      </c>
    </row>
    <row r="52" spans="1:30" x14ac:dyDescent="0.55000000000000004">
      <c r="A52">
        <v>88118</v>
      </c>
      <c r="B52" s="19">
        <v>41795</v>
      </c>
      <c r="C52">
        <v>1018</v>
      </c>
      <c r="D52">
        <v>2014</v>
      </c>
      <c r="E52">
        <v>25</v>
      </c>
      <c r="F52">
        <v>545</v>
      </c>
      <c r="G52">
        <v>1</v>
      </c>
      <c r="H52">
        <v>82</v>
      </c>
      <c r="I52">
        <v>3</v>
      </c>
      <c r="J52">
        <v>4658.7700000000004</v>
      </c>
      <c r="K52">
        <v>8823.77</v>
      </c>
      <c r="L52">
        <v>4658.53</v>
      </c>
      <c r="M52">
        <v>8823.33</v>
      </c>
      <c r="N52">
        <v>46.979500000000002</v>
      </c>
      <c r="O52">
        <v>-88.396167000000005</v>
      </c>
      <c r="P52">
        <v>46.975499999999997</v>
      </c>
      <c r="Q52">
        <v>-88.388833000000005</v>
      </c>
      <c r="R52">
        <v>1045.25918</v>
      </c>
      <c r="S52">
        <v>18.100000000000001</v>
      </c>
      <c r="T52">
        <v>41.8</v>
      </c>
      <c r="U52">
        <v>0.5</v>
      </c>
      <c r="V52">
        <v>2</v>
      </c>
      <c r="W52">
        <v>5.7</v>
      </c>
      <c r="X52">
        <v>4.5640000000000001</v>
      </c>
      <c r="Y52">
        <v>0.19589999999999999</v>
      </c>
      <c r="Z52">
        <v>85.574349999999995</v>
      </c>
      <c r="AA52">
        <v>10</v>
      </c>
      <c r="AB52">
        <v>0.43</v>
      </c>
      <c r="AC52">
        <v>217</v>
      </c>
      <c r="AD52">
        <v>1</v>
      </c>
    </row>
    <row r="53" spans="1:30" x14ac:dyDescent="0.55000000000000004">
      <c r="A53">
        <v>88119</v>
      </c>
      <c r="B53" s="19">
        <v>41795</v>
      </c>
      <c r="C53">
        <v>1150</v>
      </c>
      <c r="D53">
        <v>2014</v>
      </c>
      <c r="E53">
        <v>25</v>
      </c>
      <c r="F53">
        <v>546</v>
      </c>
      <c r="G53">
        <v>1</v>
      </c>
      <c r="H53">
        <v>84</v>
      </c>
      <c r="I53">
        <v>3</v>
      </c>
      <c r="J53">
        <v>4654.33</v>
      </c>
      <c r="K53">
        <v>8819.3700000000008</v>
      </c>
      <c r="L53">
        <v>4654.72</v>
      </c>
      <c r="M53">
        <v>8819.43</v>
      </c>
      <c r="N53">
        <v>46.905500000000004</v>
      </c>
      <c r="O53">
        <v>-88.322833000000003</v>
      </c>
      <c r="P53">
        <v>46.911999999999999</v>
      </c>
      <c r="Q53">
        <v>-88.323832999999993</v>
      </c>
      <c r="R53">
        <v>799.8589594</v>
      </c>
      <c r="S53">
        <v>41.6</v>
      </c>
      <c r="T53">
        <v>68.900000000000006</v>
      </c>
      <c r="U53">
        <v>0.5</v>
      </c>
      <c r="V53">
        <v>2</v>
      </c>
      <c r="W53">
        <v>1.8</v>
      </c>
      <c r="X53">
        <v>2.1841499999999998</v>
      </c>
      <c r="Y53">
        <v>0.18915000000000001</v>
      </c>
      <c r="Z53">
        <v>89.218549999999993</v>
      </c>
      <c r="AA53">
        <v>10</v>
      </c>
      <c r="AB53">
        <v>0.45</v>
      </c>
      <c r="AC53">
        <v>0</v>
      </c>
      <c r="AD53">
        <v>0</v>
      </c>
    </row>
    <row r="54" spans="1:30" x14ac:dyDescent="0.55000000000000004">
      <c r="A54">
        <v>88120</v>
      </c>
      <c r="B54" s="19">
        <v>41795</v>
      </c>
      <c r="C54">
        <v>1150</v>
      </c>
      <c r="D54">
        <v>2014</v>
      </c>
      <c r="E54">
        <v>25</v>
      </c>
      <c r="F54">
        <v>547</v>
      </c>
      <c r="G54">
        <v>1</v>
      </c>
      <c r="H54">
        <v>84</v>
      </c>
      <c r="I54">
        <v>3</v>
      </c>
      <c r="J54">
        <v>4654.33</v>
      </c>
      <c r="K54">
        <v>8819.3700000000008</v>
      </c>
      <c r="L54">
        <v>4654.72</v>
      </c>
      <c r="M54">
        <v>8819.43</v>
      </c>
      <c r="N54">
        <v>46.905500000000004</v>
      </c>
      <c r="O54">
        <v>-88.322833000000003</v>
      </c>
      <c r="P54">
        <v>46.911999999999999</v>
      </c>
      <c r="Q54">
        <v>-88.323832999999993</v>
      </c>
      <c r="R54">
        <v>799.8589594</v>
      </c>
      <c r="S54">
        <v>41.6</v>
      </c>
      <c r="T54">
        <v>68.900000000000006</v>
      </c>
      <c r="U54">
        <v>0.5</v>
      </c>
      <c r="V54">
        <v>2</v>
      </c>
      <c r="W54">
        <v>1.8</v>
      </c>
      <c r="X54">
        <v>2.1841499999999998</v>
      </c>
      <c r="Y54">
        <v>0.18915000000000001</v>
      </c>
      <c r="Z54">
        <v>89.218549999999993</v>
      </c>
      <c r="AA54">
        <v>10</v>
      </c>
      <c r="AB54">
        <v>0.45</v>
      </c>
      <c r="AC54">
        <v>0</v>
      </c>
      <c r="AD54">
        <v>0</v>
      </c>
    </row>
    <row r="55" spans="1:30" x14ac:dyDescent="0.55000000000000004">
      <c r="A55">
        <v>88244</v>
      </c>
      <c r="B55" s="19">
        <v>41795</v>
      </c>
      <c r="C55">
        <v>1259</v>
      </c>
      <c r="D55">
        <v>2014</v>
      </c>
      <c r="E55">
        <v>25</v>
      </c>
      <c r="F55">
        <v>548</v>
      </c>
      <c r="G55">
        <v>1</v>
      </c>
      <c r="H55">
        <v>84</v>
      </c>
      <c r="I55">
        <v>3</v>
      </c>
      <c r="J55">
        <v>4654.12</v>
      </c>
      <c r="K55">
        <v>8818.7800000000007</v>
      </c>
      <c r="L55">
        <v>4654.1099999999997</v>
      </c>
      <c r="M55">
        <v>8819.31</v>
      </c>
      <c r="N55">
        <v>46.902000000000001</v>
      </c>
      <c r="O55">
        <v>-88.313000000000002</v>
      </c>
      <c r="P55">
        <v>46.901833000000003</v>
      </c>
      <c r="Q55">
        <v>-88.321832999999998</v>
      </c>
      <c r="R55">
        <v>799.8589594</v>
      </c>
      <c r="S55">
        <v>31.6</v>
      </c>
      <c r="T55">
        <v>33</v>
      </c>
      <c r="U55">
        <v>0.5</v>
      </c>
      <c r="V55">
        <v>2</v>
      </c>
      <c r="W55">
        <v>1.9</v>
      </c>
      <c r="X55">
        <v>2.1841499999999998</v>
      </c>
      <c r="Y55">
        <v>0.18915000000000001</v>
      </c>
      <c r="Z55">
        <v>89.218549999999993</v>
      </c>
      <c r="AA55">
        <v>10</v>
      </c>
      <c r="AB55">
        <v>0.43</v>
      </c>
      <c r="AC55">
        <v>0</v>
      </c>
      <c r="AD55">
        <v>0</v>
      </c>
    </row>
    <row r="56" spans="1:30" x14ac:dyDescent="0.55000000000000004">
      <c r="A56">
        <v>88245</v>
      </c>
      <c r="B56" s="19">
        <v>41795</v>
      </c>
      <c r="C56">
        <v>1259</v>
      </c>
      <c r="D56">
        <v>2014</v>
      </c>
      <c r="E56">
        <v>25</v>
      </c>
      <c r="F56">
        <v>549</v>
      </c>
      <c r="G56">
        <v>1</v>
      </c>
      <c r="H56">
        <v>84</v>
      </c>
      <c r="I56">
        <v>3</v>
      </c>
      <c r="J56">
        <v>4654.12</v>
      </c>
      <c r="K56">
        <v>8818.7800000000007</v>
      </c>
      <c r="L56">
        <v>4654.1099999999997</v>
      </c>
      <c r="M56">
        <v>8819.31</v>
      </c>
      <c r="N56">
        <v>46.902000000000001</v>
      </c>
      <c r="O56">
        <v>-88.313000000000002</v>
      </c>
      <c r="P56">
        <v>46.901833000000003</v>
      </c>
      <c r="Q56">
        <v>-88.321832999999998</v>
      </c>
      <c r="R56">
        <v>799.8589594</v>
      </c>
      <c r="S56">
        <v>31.6</v>
      </c>
      <c r="T56">
        <v>33</v>
      </c>
      <c r="U56">
        <v>0.5</v>
      </c>
      <c r="V56">
        <v>2</v>
      </c>
      <c r="W56">
        <v>1.9</v>
      </c>
      <c r="X56">
        <v>2.1841499999999998</v>
      </c>
      <c r="Y56">
        <v>0.18915000000000001</v>
      </c>
      <c r="Z56">
        <v>89.218549999999993</v>
      </c>
      <c r="AA56">
        <v>10</v>
      </c>
      <c r="AB56">
        <v>0.43</v>
      </c>
      <c r="AC56">
        <v>0</v>
      </c>
      <c r="AD56">
        <v>0</v>
      </c>
    </row>
    <row r="57" spans="1:30" x14ac:dyDescent="0.55000000000000004">
      <c r="A57">
        <v>88121</v>
      </c>
      <c r="B57" s="19">
        <v>41795</v>
      </c>
      <c r="C57">
        <v>1419</v>
      </c>
      <c r="D57">
        <v>2014</v>
      </c>
      <c r="E57">
        <v>25</v>
      </c>
      <c r="F57">
        <v>550</v>
      </c>
      <c r="G57">
        <v>1</v>
      </c>
      <c r="H57">
        <v>100</v>
      </c>
      <c r="I57">
        <v>3</v>
      </c>
      <c r="J57">
        <v>4703.03</v>
      </c>
      <c r="K57">
        <v>8815.9</v>
      </c>
      <c r="L57">
        <v>4703.05</v>
      </c>
      <c r="M57">
        <v>8815.2900000000009</v>
      </c>
      <c r="N57">
        <v>47.0505</v>
      </c>
      <c r="O57">
        <v>-88.265000000000001</v>
      </c>
      <c r="P57">
        <v>47.050832999999997</v>
      </c>
      <c r="Q57">
        <v>-88.254833000000005</v>
      </c>
      <c r="R57">
        <v>2063.3587120000002</v>
      </c>
      <c r="S57">
        <v>30.7</v>
      </c>
      <c r="T57">
        <v>55.2</v>
      </c>
      <c r="U57">
        <v>0.5</v>
      </c>
      <c r="V57">
        <v>2</v>
      </c>
      <c r="W57">
        <v>2.2000000000000002</v>
      </c>
      <c r="X57">
        <v>2.4724499999999998</v>
      </c>
      <c r="Y57">
        <v>0.20030000000000001</v>
      </c>
      <c r="Z57">
        <v>90.016249999999999</v>
      </c>
      <c r="AA57">
        <v>11</v>
      </c>
      <c r="AB57">
        <v>0.43</v>
      </c>
      <c r="AC57">
        <v>0</v>
      </c>
      <c r="AD57">
        <v>0</v>
      </c>
    </row>
    <row r="58" spans="1:30" x14ac:dyDescent="0.55000000000000004">
      <c r="A58">
        <v>88122</v>
      </c>
      <c r="B58" s="19">
        <v>41795</v>
      </c>
      <c r="C58">
        <v>1419</v>
      </c>
      <c r="D58">
        <v>2014</v>
      </c>
      <c r="E58">
        <v>25</v>
      </c>
      <c r="F58">
        <v>551</v>
      </c>
      <c r="G58">
        <v>1</v>
      </c>
      <c r="H58">
        <v>100</v>
      </c>
      <c r="I58">
        <v>3</v>
      </c>
      <c r="J58">
        <v>4703.03</v>
      </c>
      <c r="K58">
        <v>8815.9</v>
      </c>
      <c r="L58">
        <v>4703.05</v>
      </c>
      <c r="M58">
        <v>8815.2900000000009</v>
      </c>
      <c r="N58">
        <v>47.0505</v>
      </c>
      <c r="O58">
        <v>-88.265000000000001</v>
      </c>
      <c r="P58">
        <v>47.050832999999997</v>
      </c>
      <c r="Q58">
        <v>-88.254833000000005</v>
      </c>
      <c r="R58">
        <v>2063.3587120000002</v>
      </c>
      <c r="S58">
        <v>30.7</v>
      </c>
      <c r="T58">
        <v>55.2</v>
      </c>
      <c r="U58">
        <v>0.5</v>
      </c>
      <c r="V58">
        <v>2</v>
      </c>
      <c r="W58">
        <v>2.2000000000000002</v>
      </c>
      <c r="X58">
        <v>2.4724499999999998</v>
      </c>
      <c r="Y58">
        <v>0.20030000000000001</v>
      </c>
      <c r="Z58">
        <v>90.016249999999999</v>
      </c>
      <c r="AA58">
        <v>11</v>
      </c>
      <c r="AB58">
        <v>0.43</v>
      </c>
      <c r="AC58">
        <v>0</v>
      </c>
      <c r="AD58">
        <v>0</v>
      </c>
    </row>
    <row r="59" spans="1:30" x14ac:dyDescent="0.55000000000000004">
      <c r="A59">
        <v>88123</v>
      </c>
      <c r="B59" s="19">
        <v>41795</v>
      </c>
      <c r="C59">
        <v>1555</v>
      </c>
      <c r="D59">
        <v>2014</v>
      </c>
      <c r="E59">
        <v>25</v>
      </c>
      <c r="F59">
        <v>552</v>
      </c>
      <c r="G59">
        <v>1</v>
      </c>
      <c r="H59">
        <v>140</v>
      </c>
      <c r="I59">
        <v>3</v>
      </c>
      <c r="J59">
        <v>4709.92</v>
      </c>
      <c r="K59">
        <v>8813.11</v>
      </c>
      <c r="L59">
        <v>4709.7700000000004</v>
      </c>
      <c r="M59">
        <v>8812.59</v>
      </c>
      <c r="N59">
        <v>47.165332999999997</v>
      </c>
      <c r="O59">
        <v>-88.218500000000006</v>
      </c>
      <c r="P59">
        <v>47.162832999999999</v>
      </c>
      <c r="Q59">
        <v>-88.209833000000003</v>
      </c>
      <c r="R59">
        <v>1992.3463529999999</v>
      </c>
      <c r="S59">
        <v>18.100000000000001</v>
      </c>
      <c r="T59">
        <v>30.7</v>
      </c>
      <c r="U59">
        <v>0.5</v>
      </c>
      <c r="V59">
        <v>2</v>
      </c>
      <c r="W59">
        <v>2.2999999999999998</v>
      </c>
      <c r="X59">
        <v>2.5854499999999998</v>
      </c>
      <c r="Y59">
        <v>0.19764999999999999</v>
      </c>
      <c r="Z59">
        <v>81.294250000000005</v>
      </c>
      <c r="AA59">
        <v>10</v>
      </c>
      <c r="AB59">
        <v>0.45</v>
      </c>
      <c r="AC59">
        <v>0</v>
      </c>
      <c r="AD59">
        <v>0</v>
      </c>
    </row>
    <row r="60" spans="1:30" x14ac:dyDescent="0.55000000000000004">
      <c r="A60">
        <v>88124</v>
      </c>
      <c r="B60" s="19">
        <v>41795</v>
      </c>
      <c r="C60">
        <v>1555</v>
      </c>
      <c r="D60">
        <v>2014</v>
      </c>
      <c r="E60">
        <v>25</v>
      </c>
      <c r="F60">
        <v>553</v>
      </c>
      <c r="G60">
        <v>1</v>
      </c>
      <c r="H60">
        <v>140</v>
      </c>
      <c r="I60">
        <v>3</v>
      </c>
      <c r="J60">
        <v>4709.92</v>
      </c>
      <c r="K60">
        <v>8813.11</v>
      </c>
      <c r="L60">
        <v>4709.7700000000004</v>
      </c>
      <c r="M60">
        <v>8812.59</v>
      </c>
      <c r="N60">
        <v>47.165332999999997</v>
      </c>
      <c r="O60">
        <v>-88.218500000000006</v>
      </c>
      <c r="P60">
        <v>47.162832999999999</v>
      </c>
      <c r="Q60">
        <v>-88.209833000000003</v>
      </c>
      <c r="R60">
        <v>1992.3463529999999</v>
      </c>
      <c r="S60">
        <v>18.100000000000001</v>
      </c>
      <c r="T60">
        <v>30.7</v>
      </c>
      <c r="U60">
        <v>0.5</v>
      </c>
      <c r="V60">
        <v>2</v>
      </c>
      <c r="W60">
        <v>2.2999999999999998</v>
      </c>
      <c r="X60">
        <v>2.5854499999999998</v>
      </c>
      <c r="Y60">
        <v>0.19764999999999999</v>
      </c>
      <c r="Z60">
        <v>81.294250000000005</v>
      </c>
      <c r="AA60">
        <v>10</v>
      </c>
      <c r="AB60">
        <v>0.45</v>
      </c>
      <c r="AC60">
        <v>0</v>
      </c>
      <c r="AD60">
        <v>0</v>
      </c>
    </row>
    <row r="61" spans="1:30" x14ac:dyDescent="0.55000000000000004">
      <c r="A61">
        <v>88136</v>
      </c>
      <c r="B61" s="19">
        <v>41796</v>
      </c>
      <c r="C61">
        <v>655</v>
      </c>
      <c r="D61">
        <v>2014</v>
      </c>
      <c r="E61">
        <v>25</v>
      </c>
      <c r="F61">
        <v>554</v>
      </c>
      <c r="G61">
        <v>1</v>
      </c>
      <c r="H61">
        <v>101</v>
      </c>
      <c r="I61">
        <v>3</v>
      </c>
      <c r="J61">
        <v>4722.84</v>
      </c>
      <c r="K61">
        <v>8748.6299999999992</v>
      </c>
      <c r="L61">
        <v>4722.47</v>
      </c>
      <c r="M61">
        <v>8748.7199999999993</v>
      </c>
      <c r="N61">
        <v>47.380667000000003</v>
      </c>
      <c r="O61">
        <v>-87.810500000000005</v>
      </c>
      <c r="P61">
        <v>47.374499999999998</v>
      </c>
      <c r="Q61">
        <v>-87.811999999999998</v>
      </c>
      <c r="R61">
        <v>1293.317943</v>
      </c>
      <c r="S61">
        <v>19.399999999999999</v>
      </c>
      <c r="T61">
        <v>43.1</v>
      </c>
      <c r="U61">
        <v>0.5</v>
      </c>
      <c r="V61">
        <v>2</v>
      </c>
      <c r="W61">
        <v>3.1</v>
      </c>
      <c r="X61">
        <v>3.1890000000000001</v>
      </c>
      <c r="Y61">
        <v>0.68254999999999999</v>
      </c>
      <c r="Z61">
        <v>87.777000000000001</v>
      </c>
      <c r="AA61">
        <v>10</v>
      </c>
      <c r="AB61">
        <v>0.43</v>
      </c>
      <c r="AC61">
        <v>217</v>
      </c>
      <c r="AD61">
        <v>1497</v>
      </c>
    </row>
    <row r="62" spans="1:30" x14ac:dyDescent="0.55000000000000004">
      <c r="A62">
        <v>88137</v>
      </c>
      <c r="B62" s="19">
        <v>41796</v>
      </c>
      <c r="C62">
        <v>655</v>
      </c>
      <c r="D62">
        <v>2014</v>
      </c>
      <c r="E62">
        <v>25</v>
      </c>
      <c r="F62">
        <v>555</v>
      </c>
      <c r="G62">
        <v>1</v>
      </c>
      <c r="H62">
        <v>101</v>
      </c>
      <c r="I62">
        <v>3</v>
      </c>
      <c r="J62">
        <v>4722.84</v>
      </c>
      <c r="K62">
        <v>8748.6299999999992</v>
      </c>
      <c r="L62">
        <v>4722.47</v>
      </c>
      <c r="M62">
        <v>8748.7199999999993</v>
      </c>
      <c r="N62">
        <v>47.380667000000003</v>
      </c>
      <c r="O62">
        <v>-87.810500000000005</v>
      </c>
      <c r="P62">
        <v>47.374499999999998</v>
      </c>
      <c r="Q62">
        <v>-87.811999999999998</v>
      </c>
      <c r="R62">
        <v>1293.317943</v>
      </c>
      <c r="S62">
        <v>19.399999999999999</v>
      </c>
      <c r="T62">
        <v>43.1</v>
      </c>
      <c r="U62">
        <v>0.5</v>
      </c>
      <c r="V62">
        <v>2</v>
      </c>
      <c r="W62">
        <v>3.1</v>
      </c>
      <c r="X62">
        <v>3.1890000000000001</v>
      </c>
      <c r="Y62">
        <v>0.68254999999999999</v>
      </c>
      <c r="Z62">
        <v>87.777000000000001</v>
      </c>
      <c r="AA62">
        <v>10</v>
      </c>
      <c r="AB62">
        <v>0.43</v>
      </c>
      <c r="AC62">
        <v>217</v>
      </c>
      <c r="AD62">
        <v>1169</v>
      </c>
    </row>
    <row r="63" spans="1:30" x14ac:dyDescent="0.55000000000000004">
      <c r="A63">
        <v>88138</v>
      </c>
      <c r="B63" s="19">
        <v>41796</v>
      </c>
      <c r="C63">
        <v>1031</v>
      </c>
      <c r="D63">
        <v>2014</v>
      </c>
      <c r="E63">
        <v>25</v>
      </c>
      <c r="F63">
        <v>556</v>
      </c>
      <c r="G63">
        <v>1</v>
      </c>
      <c r="H63">
        <v>158</v>
      </c>
      <c r="I63">
        <v>3</v>
      </c>
      <c r="J63">
        <v>4656.2700000000004</v>
      </c>
      <c r="K63">
        <v>8808.11</v>
      </c>
      <c r="L63">
        <v>4656.1899999999996</v>
      </c>
      <c r="M63">
        <v>8807.5499999999993</v>
      </c>
      <c r="N63">
        <v>46.937832999999998</v>
      </c>
      <c r="O63">
        <v>-88.135166999999996</v>
      </c>
      <c r="P63">
        <v>46.936500000000002</v>
      </c>
      <c r="Q63">
        <v>-88.125833</v>
      </c>
      <c r="R63">
        <v>1642.18472</v>
      </c>
      <c r="S63">
        <v>18.600000000000001</v>
      </c>
      <c r="T63">
        <v>32.799999999999997</v>
      </c>
      <c r="U63">
        <v>0.5</v>
      </c>
      <c r="V63">
        <v>2</v>
      </c>
      <c r="W63">
        <v>2.5</v>
      </c>
      <c r="X63">
        <v>4.1946500000000002</v>
      </c>
      <c r="Y63">
        <v>0.158</v>
      </c>
      <c r="Z63">
        <v>85.221149999999994</v>
      </c>
      <c r="AA63">
        <v>10</v>
      </c>
      <c r="AB63">
        <v>0.43</v>
      </c>
      <c r="AC63">
        <v>217</v>
      </c>
      <c r="AD63">
        <v>13</v>
      </c>
    </row>
    <row r="64" spans="1:30" x14ac:dyDescent="0.55000000000000004">
      <c r="A64">
        <v>88139</v>
      </c>
      <c r="B64" s="19">
        <v>41796</v>
      </c>
      <c r="C64">
        <v>1031</v>
      </c>
      <c r="D64">
        <v>2014</v>
      </c>
      <c r="E64">
        <v>25</v>
      </c>
      <c r="F64">
        <v>557</v>
      </c>
      <c r="G64">
        <v>1</v>
      </c>
      <c r="H64">
        <v>158</v>
      </c>
      <c r="I64">
        <v>3</v>
      </c>
      <c r="J64">
        <v>4656.2700000000004</v>
      </c>
      <c r="K64">
        <v>8808.11</v>
      </c>
      <c r="L64">
        <v>4656.1899999999996</v>
      </c>
      <c r="M64">
        <v>8807.5499999999993</v>
      </c>
      <c r="N64">
        <v>46.937832999999998</v>
      </c>
      <c r="O64">
        <v>-88.135166999999996</v>
      </c>
      <c r="P64">
        <v>46.936500000000002</v>
      </c>
      <c r="Q64">
        <v>-88.125833</v>
      </c>
      <c r="R64">
        <v>1642.18472</v>
      </c>
      <c r="S64">
        <v>18.600000000000001</v>
      </c>
      <c r="T64">
        <v>32.799999999999997</v>
      </c>
      <c r="U64">
        <v>0.5</v>
      </c>
      <c r="V64">
        <v>2</v>
      </c>
      <c r="W64">
        <v>2.5</v>
      </c>
      <c r="X64">
        <v>4.1946500000000002</v>
      </c>
      <c r="Y64">
        <v>0.158</v>
      </c>
      <c r="Z64">
        <v>85.221149999999994</v>
      </c>
      <c r="AA64">
        <v>10</v>
      </c>
      <c r="AB64">
        <v>0.43</v>
      </c>
      <c r="AC64">
        <v>217</v>
      </c>
      <c r="AD64">
        <v>25</v>
      </c>
    </row>
    <row r="65" spans="1:30" x14ac:dyDescent="0.55000000000000004">
      <c r="A65">
        <v>88140</v>
      </c>
      <c r="B65" s="19">
        <v>41796</v>
      </c>
      <c r="C65">
        <v>1324</v>
      </c>
      <c r="D65">
        <v>2014</v>
      </c>
      <c r="E65">
        <v>25</v>
      </c>
      <c r="F65">
        <v>558</v>
      </c>
      <c r="G65">
        <v>1</v>
      </c>
      <c r="H65">
        <v>142</v>
      </c>
      <c r="I65">
        <v>3</v>
      </c>
      <c r="J65">
        <v>4651.24</v>
      </c>
      <c r="K65">
        <v>8743.7000000000007</v>
      </c>
      <c r="L65">
        <v>4651.5</v>
      </c>
      <c r="M65">
        <v>8743.2800000000007</v>
      </c>
      <c r="N65">
        <v>46.853999999999999</v>
      </c>
      <c r="O65">
        <v>-87.728333000000006</v>
      </c>
      <c r="P65">
        <v>46.858333000000002</v>
      </c>
      <c r="Q65">
        <v>-87.721333000000001</v>
      </c>
      <c r="R65">
        <v>1281.0560129999999</v>
      </c>
      <c r="S65">
        <v>20.100000000000001</v>
      </c>
      <c r="T65">
        <v>42.9</v>
      </c>
      <c r="U65">
        <v>0.5</v>
      </c>
      <c r="V65">
        <v>2</v>
      </c>
      <c r="W65">
        <v>3.2</v>
      </c>
      <c r="X65">
        <v>3.5776500000000002</v>
      </c>
      <c r="Y65">
        <v>0.15890000000000001</v>
      </c>
      <c r="Z65">
        <v>89.313299999999998</v>
      </c>
      <c r="AA65">
        <v>10</v>
      </c>
      <c r="AB65">
        <v>0.45</v>
      </c>
      <c r="AC65">
        <v>0</v>
      </c>
      <c r="AD65">
        <v>0</v>
      </c>
    </row>
    <row r="66" spans="1:30" x14ac:dyDescent="0.55000000000000004">
      <c r="A66">
        <v>88141</v>
      </c>
      <c r="B66" s="19">
        <v>41796</v>
      </c>
      <c r="C66">
        <v>1324</v>
      </c>
      <c r="D66">
        <v>2014</v>
      </c>
      <c r="E66">
        <v>25</v>
      </c>
      <c r="F66">
        <v>559</v>
      </c>
      <c r="G66">
        <v>1</v>
      </c>
      <c r="H66">
        <v>142</v>
      </c>
      <c r="I66">
        <v>3</v>
      </c>
      <c r="J66">
        <v>4651.24</v>
      </c>
      <c r="K66">
        <v>8743.7000000000007</v>
      </c>
      <c r="L66">
        <v>4651.5</v>
      </c>
      <c r="M66">
        <v>8743.2800000000007</v>
      </c>
      <c r="N66">
        <v>46.853999999999999</v>
      </c>
      <c r="O66">
        <v>-87.728333000000006</v>
      </c>
      <c r="P66">
        <v>46.858333000000002</v>
      </c>
      <c r="Q66">
        <v>-87.721333000000001</v>
      </c>
      <c r="R66">
        <v>1281.0560129999999</v>
      </c>
      <c r="S66">
        <v>20.100000000000001</v>
      </c>
      <c r="T66">
        <v>42.9</v>
      </c>
      <c r="U66">
        <v>0.5</v>
      </c>
      <c r="V66">
        <v>2</v>
      </c>
      <c r="W66">
        <v>3.2</v>
      </c>
      <c r="X66">
        <v>3.5776500000000002</v>
      </c>
      <c r="Y66">
        <v>0.15890000000000001</v>
      </c>
      <c r="Z66">
        <v>89.313299999999998</v>
      </c>
      <c r="AA66">
        <v>10</v>
      </c>
      <c r="AB66">
        <v>0.45</v>
      </c>
      <c r="AC66">
        <v>0</v>
      </c>
      <c r="AD66">
        <v>0</v>
      </c>
    </row>
    <row r="67" spans="1:30" x14ac:dyDescent="0.55000000000000004">
      <c r="A67">
        <v>88142</v>
      </c>
      <c r="B67" s="19">
        <v>41796</v>
      </c>
      <c r="C67">
        <v>1511</v>
      </c>
      <c r="D67">
        <v>2014</v>
      </c>
      <c r="E67">
        <v>25</v>
      </c>
      <c r="F67">
        <v>560</v>
      </c>
      <c r="G67">
        <v>1</v>
      </c>
      <c r="H67">
        <v>196</v>
      </c>
      <c r="I67">
        <v>3</v>
      </c>
      <c r="J67">
        <v>4646.7700000000004</v>
      </c>
      <c r="K67">
        <v>8733.48</v>
      </c>
      <c r="L67">
        <v>4647.0600000000004</v>
      </c>
      <c r="M67">
        <v>8733.1200000000008</v>
      </c>
      <c r="N67">
        <v>46.779499999999999</v>
      </c>
      <c r="O67">
        <v>-87.558000000000007</v>
      </c>
      <c r="P67">
        <v>46.784332999999997</v>
      </c>
      <c r="Q67">
        <v>-87.552000000000007</v>
      </c>
      <c r="R67">
        <v>2612.8436059999999</v>
      </c>
      <c r="S67">
        <v>27.8</v>
      </c>
      <c r="T67">
        <v>38.6</v>
      </c>
      <c r="U67">
        <v>0.5</v>
      </c>
      <c r="V67">
        <v>2</v>
      </c>
      <c r="W67">
        <v>2.8</v>
      </c>
      <c r="X67">
        <v>3.1865999999999999</v>
      </c>
      <c r="Y67">
        <v>0.14940000000000001</v>
      </c>
      <c r="Z67">
        <v>89.177700000000002</v>
      </c>
      <c r="AA67">
        <v>10</v>
      </c>
      <c r="AB67">
        <v>0.42</v>
      </c>
      <c r="AC67">
        <v>0</v>
      </c>
      <c r="AD67">
        <v>0</v>
      </c>
    </row>
    <row r="68" spans="1:30" x14ac:dyDescent="0.55000000000000004">
      <c r="A68">
        <v>88143</v>
      </c>
      <c r="B68" s="19">
        <v>41796</v>
      </c>
      <c r="C68">
        <v>1511</v>
      </c>
      <c r="D68">
        <v>2014</v>
      </c>
      <c r="E68">
        <v>25</v>
      </c>
      <c r="F68">
        <v>561</v>
      </c>
      <c r="G68">
        <v>1</v>
      </c>
      <c r="H68">
        <v>196</v>
      </c>
      <c r="I68">
        <v>3</v>
      </c>
      <c r="J68">
        <v>4646.7700000000004</v>
      </c>
      <c r="K68">
        <v>8733.48</v>
      </c>
      <c r="L68">
        <v>4647.0600000000004</v>
      </c>
      <c r="M68">
        <v>8733.1200000000008</v>
      </c>
      <c r="N68">
        <v>46.779499999999999</v>
      </c>
      <c r="O68">
        <v>-87.558000000000007</v>
      </c>
      <c r="P68">
        <v>46.784332999999997</v>
      </c>
      <c r="Q68">
        <v>-87.552000000000007</v>
      </c>
      <c r="R68">
        <v>2612.8436059999999</v>
      </c>
      <c r="S68">
        <v>27.8</v>
      </c>
      <c r="T68">
        <v>38.6</v>
      </c>
      <c r="U68">
        <v>0.5</v>
      </c>
      <c r="V68">
        <v>2</v>
      </c>
      <c r="W68">
        <v>2.8</v>
      </c>
      <c r="X68">
        <v>3.1865999999999999</v>
      </c>
      <c r="Y68">
        <v>0.14940000000000001</v>
      </c>
      <c r="Z68">
        <v>89.177700000000002</v>
      </c>
      <c r="AA68">
        <v>10</v>
      </c>
      <c r="AB68">
        <v>0.42</v>
      </c>
      <c r="AC68">
        <v>0</v>
      </c>
      <c r="AD68">
        <v>0</v>
      </c>
    </row>
    <row r="69" spans="1:30" x14ac:dyDescent="0.55000000000000004">
      <c r="A69">
        <v>88144</v>
      </c>
      <c r="B69" s="19">
        <v>41797</v>
      </c>
      <c r="C69">
        <v>807</v>
      </c>
      <c r="D69">
        <v>2014</v>
      </c>
      <c r="E69">
        <v>25</v>
      </c>
      <c r="F69">
        <v>562</v>
      </c>
      <c r="G69">
        <v>1</v>
      </c>
      <c r="H69">
        <v>120</v>
      </c>
      <c r="I69">
        <v>3</v>
      </c>
      <c r="J69">
        <v>4630.49</v>
      </c>
      <c r="K69">
        <v>8713.92</v>
      </c>
      <c r="L69">
        <v>4630.8500000000004</v>
      </c>
      <c r="M69">
        <v>8713.84</v>
      </c>
      <c r="N69">
        <v>46.508167</v>
      </c>
      <c r="O69">
        <v>-87.231999999999999</v>
      </c>
      <c r="P69">
        <v>46.514167</v>
      </c>
      <c r="Q69">
        <v>-87.230666999999997</v>
      </c>
      <c r="R69">
        <v>3733.016885</v>
      </c>
      <c r="S69">
        <v>20.8</v>
      </c>
      <c r="T69">
        <v>27.3</v>
      </c>
      <c r="U69">
        <v>0.5</v>
      </c>
      <c r="V69">
        <v>2</v>
      </c>
      <c r="W69">
        <v>3.2</v>
      </c>
      <c r="X69">
        <v>2.7924000000000002</v>
      </c>
      <c r="Y69">
        <v>0.28985</v>
      </c>
      <c r="Z69">
        <v>91.012799999999999</v>
      </c>
      <c r="AA69">
        <v>10</v>
      </c>
      <c r="AB69">
        <v>0.42</v>
      </c>
      <c r="AC69">
        <v>217</v>
      </c>
      <c r="AD69">
        <v>6</v>
      </c>
    </row>
    <row r="70" spans="1:30" x14ac:dyDescent="0.55000000000000004">
      <c r="A70">
        <v>88145</v>
      </c>
      <c r="B70" s="19">
        <v>41797</v>
      </c>
      <c r="C70">
        <v>807</v>
      </c>
      <c r="D70">
        <v>2014</v>
      </c>
      <c r="E70">
        <v>25</v>
      </c>
      <c r="F70">
        <v>563</v>
      </c>
      <c r="G70">
        <v>1</v>
      </c>
      <c r="H70">
        <v>120</v>
      </c>
      <c r="I70">
        <v>3</v>
      </c>
      <c r="J70">
        <v>4630.49</v>
      </c>
      <c r="K70">
        <v>8713.92</v>
      </c>
      <c r="L70">
        <v>4630.8500000000004</v>
      </c>
      <c r="M70">
        <v>8713.84</v>
      </c>
      <c r="N70">
        <v>46.508167</v>
      </c>
      <c r="O70">
        <v>-87.231999999999999</v>
      </c>
      <c r="P70">
        <v>46.514167</v>
      </c>
      <c r="Q70">
        <v>-87.230666999999997</v>
      </c>
      <c r="R70">
        <v>3733.016885</v>
      </c>
      <c r="S70">
        <v>20.8</v>
      </c>
      <c r="T70">
        <v>27.3</v>
      </c>
      <c r="U70">
        <v>0.5</v>
      </c>
      <c r="V70">
        <v>2</v>
      </c>
      <c r="W70">
        <v>3.2</v>
      </c>
      <c r="X70">
        <v>2.7924000000000002</v>
      </c>
      <c r="Y70">
        <v>0.28985</v>
      </c>
      <c r="Z70">
        <v>91.012799999999999</v>
      </c>
      <c r="AA70">
        <v>10</v>
      </c>
      <c r="AB70">
        <v>0.42</v>
      </c>
      <c r="AC70">
        <v>217</v>
      </c>
      <c r="AD70">
        <v>1</v>
      </c>
    </row>
    <row r="71" spans="1:30" x14ac:dyDescent="0.55000000000000004">
      <c r="A71">
        <v>88146</v>
      </c>
      <c r="B71" s="19">
        <v>41797</v>
      </c>
      <c r="C71">
        <v>1044</v>
      </c>
      <c r="D71">
        <v>2014</v>
      </c>
      <c r="E71">
        <v>25</v>
      </c>
      <c r="F71">
        <v>564</v>
      </c>
      <c r="G71">
        <v>1</v>
      </c>
      <c r="H71">
        <v>88</v>
      </c>
      <c r="I71">
        <v>3</v>
      </c>
      <c r="J71">
        <v>4631.41</v>
      </c>
      <c r="K71">
        <v>8655.32</v>
      </c>
      <c r="L71">
        <v>4631.59</v>
      </c>
      <c r="M71">
        <v>8654.84</v>
      </c>
      <c r="N71">
        <v>46.523499999999999</v>
      </c>
      <c r="O71">
        <v>-86.921999999999997</v>
      </c>
      <c r="P71">
        <v>46.526499999999999</v>
      </c>
      <c r="Q71">
        <v>-86.914000000000001</v>
      </c>
      <c r="R71">
        <v>4575.3649349999996</v>
      </c>
      <c r="S71">
        <v>29.6</v>
      </c>
      <c r="T71">
        <v>43.7</v>
      </c>
      <c r="U71">
        <v>0.5</v>
      </c>
      <c r="V71">
        <v>2</v>
      </c>
      <c r="W71">
        <v>2</v>
      </c>
      <c r="X71">
        <v>2.2951000000000001</v>
      </c>
      <c r="Y71">
        <v>0.16785</v>
      </c>
      <c r="Z71">
        <v>89.2774</v>
      </c>
      <c r="AA71">
        <v>10</v>
      </c>
      <c r="AB71">
        <v>0.42</v>
      </c>
      <c r="AC71">
        <v>0</v>
      </c>
      <c r="AD71">
        <v>0</v>
      </c>
    </row>
    <row r="72" spans="1:30" x14ac:dyDescent="0.55000000000000004">
      <c r="A72">
        <v>88147</v>
      </c>
      <c r="B72" s="19">
        <v>41797</v>
      </c>
      <c r="C72">
        <v>1044</v>
      </c>
      <c r="D72">
        <v>2014</v>
      </c>
      <c r="E72">
        <v>25</v>
      </c>
      <c r="F72">
        <v>565</v>
      </c>
      <c r="G72">
        <v>1</v>
      </c>
      <c r="H72">
        <v>88</v>
      </c>
      <c r="I72">
        <v>3</v>
      </c>
      <c r="J72">
        <v>4631.41</v>
      </c>
      <c r="K72">
        <v>8655.32</v>
      </c>
      <c r="L72">
        <v>4631.59</v>
      </c>
      <c r="M72">
        <v>8654.84</v>
      </c>
      <c r="N72">
        <v>46.523499999999999</v>
      </c>
      <c r="O72">
        <v>-86.921999999999997</v>
      </c>
      <c r="P72">
        <v>46.526499999999999</v>
      </c>
      <c r="Q72">
        <v>-86.914000000000001</v>
      </c>
      <c r="R72">
        <v>4575.3649349999996</v>
      </c>
      <c r="S72">
        <v>29.6</v>
      </c>
      <c r="T72">
        <v>43.7</v>
      </c>
      <c r="U72">
        <v>0.5</v>
      </c>
      <c r="V72">
        <v>2</v>
      </c>
      <c r="W72">
        <v>2</v>
      </c>
      <c r="X72">
        <v>2.2951000000000001</v>
      </c>
      <c r="Y72">
        <v>0.16785</v>
      </c>
      <c r="Z72">
        <v>89.2774</v>
      </c>
      <c r="AA72">
        <v>10</v>
      </c>
      <c r="AB72">
        <v>0.42</v>
      </c>
      <c r="AC72">
        <v>0</v>
      </c>
      <c r="AD72">
        <v>0</v>
      </c>
    </row>
    <row r="73" spans="1:30" x14ac:dyDescent="0.55000000000000004">
      <c r="A73">
        <v>88149</v>
      </c>
      <c r="B73" s="19">
        <v>41797</v>
      </c>
      <c r="C73">
        <v>1534</v>
      </c>
      <c r="D73">
        <v>2014</v>
      </c>
      <c r="E73">
        <v>25</v>
      </c>
      <c r="F73">
        <v>566</v>
      </c>
      <c r="G73">
        <v>1</v>
      </c>
      <c r="H73">
        <v>178</v>
      </c>
      <c r="I73">
        <v>3</v>
      </c>
      <c r="J73">
        <v>4639.47</v>
      </c>
      <c r="K73">
        <v>8618.56</v>
      </c>
      <c r="L73">
        <v>4639.66</v>
      </c>
      <c r="M73">
        <v>8619</v>
      </c>
      <c r="N73">
        <v>46.657832999999997</v>
      </c>
      <c r="O73">
        <v>-86.309332999999995</v>
      </c>
      <c r="P73">
        <v>46.661000000000001</v>
      </c>
      <c r="Q73">
        <v>-86.316666999999995</v>
      </c>
      <c r="R73">
        <v>5623.3878450000002</v>
      </c>
      <c r="S73">
        <v>30.7</v>
      </c>
      <c r="T73">
        <v>37.700000000000003</v>
      </c>
      <c r="U73">
        <v>0.8</v>
      </c>
      <c r="V73">
        <v>2</v>
      </c>
      <c r="W73">
        <v>2.6</v>
      </c>
      <c r="X73">
        <v>2.4670999999999998</v>
      </c>
      <c r="Y73">
        <v>0.1749</v>
      </c>
      <c r="Z73">
        <v>90.44</v>
      </c>
      <c r="AA73">
        <v>10</v>
      </c>
      <c r="AB73">
        <v>0.4</v>
      </c>
      <c r="AC73">
        <v>0</v>
      </c>
      <c r="AD73">
        <v>0</v>
      </c>
    </row>
    <row r="74" spans="1:30" x14ac:dyDescent="0.55000000000000004">
      <c r="A74">
        <v>88150</v>
      </c>
      <c r="B74" s="19">
        <v>41797</v>
      </c>
      <c r="C74">
        <v>1534</v>
      </c>
      <c r="D74">
        <v>2014</v>
      </c>
      <c r="E74">
        <v>25</v>
      </c>
      <c r="F74">
        <v>567</v>
      </c>
      <c r="G74">
        <v>1</v>
      </c>
      <c r="H74">
        <v>178</v>
      </c>
      <c r="I74">
        <v>3</v>
      </c>
      <c r="J74">
        <v>4639.47</v>
      </c>
      <c r="K74">
        <v>8618.56</v>
      </c>
      <c r="L74">
        <v>4639.66</v>
      </c>
      <c r="M74">
        <v>8619</v>
      </c>
      <c r="N74">
        <v>46.657832999999997</v>
      </c>
      <c r="O74">
        <v>-86.309332999999995</v>
      </c>
      <c r="P74">
        <v>46.661000000000001</v>
      </c>
      <c r="Q74">
        <v>-86.316666999999995</v>
      </c>
      <c r="R74">
        <v>5623.3878450000002</v>
      </c>
      <c r="S74">
        <v>30.7</v>
      </c>
      <c r="T74">
        <v>37.700000000000003</v>
      </c>
      <c r="U74">
        <v>0.8</v>
      </c>
      <c r="V74">
        <v>2</v>
      </c>
      <c r="W74">
        <v>2.6</v>
      </c>
      <c r="X74">
        <v>2.4670999999999998</v>
      </c>
      <c r="Y74">
        <v>0.1749</v>
      </c>
      <c r="Z74">
        <v>90.44</v>
      </c>
      <c r="AA74">
        <v>10</v>
      </c>
      <c r="AB74">
        <v>0.4</v>
      </c>
      <c r="AC74">
        <v>0</v>
      </c>
      <c r="AD74">
        <v>0</v>
      </c>
    </row>
    <row r="75" spans="1:30" x14ac:dyDescent="0.55000000000000004">
      <c r="A75">
        <v>88151</v>
      </c>
      <c r="B75" s="19">
        <v>41798</v>
      </c>
      <c r="C75">
        <v>806</v>
      </c>
      <c r="D75">
        <v>2014</v>
      </c>
      <c r="E75">
        <v>25</v>
      </c>
      <c r="F75">
        <v>568</v>
      </c>
      <c r="G75">
        <v>1</v>
      </c>
      <c r="H75">
        <v>177</v>
      </c>
      <c r="I75">
        <v>3</v>
      </c>
      <c r="J75">
        <v>4643.41</v>
      </c>
      <c r="K75">
        <v>8546.08</v>
      </c>
      <c r="L75">
        <v>4643.75</v>
      </c>
      <c r="M75">
        <v>8546.11</v>
      </c>
      <c r="N75">
        <v>46.723500000000001</v>
      </c>
      <c r="O75">
        <v>-85.768000000000001</v>
      </c>
      <c r="P75">
        <v>46.729166999999997</v>
      </c>
      <c r="Q75">
        <v>-85.768500000000003</v>
      </c>
      <c r="R75">
        <v>4893.4349730000004</v>
      </c>
      <c r="S75">
        <v>19.899999999999999</v>
      </c>
      <c r="T75">
        <v>21.7</v>
      </c>
      <c r="U75">
        <v>0.5</v>
      </c>
      <c r="V75">
        <v>2</v>
      </c>
      <c r="W75">
        <v>1.5</v>
      </c>
      <c r="X75">
        <v>2.8620000000000001</v>
      </c>
      <c r="Y75">
        <v>6.0999999999999999E-2</v>
      </c>
      <c r="Z75">
        <v>58.014449999999997</v>
      </c>
      <c r="AA75">
        <v>10</v>
      </c>
      <c r="AB75">
        <v>0.4</v>
      </c>
      <c r="AC75">
        <v>0</v>
      </c>
      <c r="AD75">
        <v>0</v>
      </c>
    </row>
    <row r="76" spans="1:30" x14ac:dyDescent="0.55000000000000004">
      <c r="A76">
        <v>88152</v>
      </c>
      <c r="B76" s="19">
        <v>41798</v>
      </c>
      <c r="C76">
        <v>806</v>
      </c>
      <c r="D76">
        <v>2014</v>
      </c>
      <c r="E76">
        <v>25</v>
      </c>
      <c r="F76">
        <v>569</v>
      </c>
      <c r="G76">
        <v>1</v>
      </c>
      <c r="H76">
        <v>177</v>
      </c>
      <c r="I76">
        <v>3</v>
      </c>
      <c r="J76">
        <v>4643.41</v>
      </c>
      <c r="K76">
        <v>8546.08</v>
      </c>
      <c r="L76">
        <v>4643.75</v>
      </c>
      <c r="M76">
        <v>8546.11</v>
      </c>
      <c r="N76">
        <v>46.723500000000001</v>
      </c>
      <c r="O76">
        <v>-85.768000000000001</v>
      </c>
      <c r="P76">
        <v>46.729166999999997</v>
      </c>
      <c r="Q76">
        <v>-85.768500000000003</v>
      </c>
      <c r="R76">
        <v>4893.4349730000004</v>
      </c>
      <c r="S76">
        <v>19.899999999999999</v>
      </c>
      <c r="T76">
        <v>21.7</v>
      </c>
      <c r="U76">
        <v>0.5</v>
      </c>
      <c r="V76">
        <v>2</v>
      </c>
      <c r="W76">
        <v>1.5</v>
      </c>
      <c r="X76">
        <v>2.8620000000000001</v>
      </c>
      <c r="Y76">
        <v>6.0999999999999999E-2</v>
      </c>
      <c r="Z76">
        <v>58.014449999999997</v>
      </c>
      <c r="AA76">
        <v>10</v>
      </c>
      <c r="AB76">
        <v>0.4</v>
      </c>
      <c r="AC76">
        <v>217</v>
      </c>
      <c r="AD76">
        <v>3</v>
      </c>
    </row>
    <row r="77" spans="1:30" x14ac:dyDescent="0.55000000000000004">
      <c r="A77">
        <v>88154</v>
      </c>
      <c r="B77" s="19">
        <v>41798</v>
      </c>
      <c r="C77">
        <v>1123</v>
      </c>
      <c r="D77">
        <v>2014</v>
      </c>
      <c r="E77">
        <v>25</v>
      </c>
      <c r="F77">
        <v>570</v>
      </c>
      <c r="G77">
        <v>1</v>
      </c>
      <c r="H77">
        <v>176</v>
      </c>
      <c r="I77">
        <v>3</v>
      </c>
      <c r="J77">
        <v>4646.6499999999996</v>
      </c>
      <c r="K77">
        <v>8518.2900000000009</v>
      </c>
      <c r="L77">
        <v>4646.95</v>
      </c>
      <c r="M77">
        <v>8518.51</v>
      </c>
      <c r="N77">
        <v>46.777500000000003</v>
      </c>
      <c r="O77">
        <v>-85.304833000000002</v>
      </c>
      <c r="P77">
        <v>46.782499999999999</v>
      </c>
      <c r="Q77">
        <v>-85.308499999999995</v>
      </c>
      <c r="R77">
        <v>5180.0277290000004</v>
      </c>
      <c r="S77">
        <v>18.7</v>
      </c>
      <c r="T77">
        <v>29.2</v>
      </c>
      <c r="U77">
        <v>0.5</v>
      </c>
      <c r="V77">
        <v>2</v>
      </c>
      <c r="W77">
        <v>2.8</v>
      </c>
      <c r="X77">
        <v>3.0529500000000001</v>
      </c>
      <c r="Y77">
        <v>0.12770000000000001</v>
      </c>
      <c r="Z77">
        <v>89.465599999999995</v>
      </c>
      <c r="AA77">
        <v>10</v>
      </c>
      <c r="AB77">
        <v>0.4</v>
      </c>
      <c r="AC77">
        <v>0</v>
      </c>
      <c r="AD77">
        <v>0</v>
      </c>
    </row>
    <row r="78" spans="1:30" x14ac:dyDescent="0.55000000000000004">
      <c r="A78">
        <v>88155</v>
      </c>
      <c r="B78" s="19">
        <v>41798</v>
      </c>
      <c r="C78">
        <v>1123</v>
      </c>
      <c r="D78">
        <v>2014</v>
      </c>
      <c r="E78">
        <v>25</v>
      </c>
      <c r="F78">
        <v>571</v>
      </c>
      <c r="G78">
        <v>1</v>
      </c>
      <c r="H78">
        <v>176</v>
      </c>
      <c r="I78">
        <v>3</v>
      </c>
      <c r="J78">
        <v>4646.6499999999996</v>
      </c>
      <c r="K78">
        <v>8518.2900000000009</v>
      </c>
      <c r="L78">
        <v>4646.95</v>
      </c>
      <c r="M78">
        <v>8518.51</v>
      </c>
      <c r="N78">
        <v>46.777500000000003</v>
      </c>
      <c r="O78">
        <v>-85.304833000000002</v>
      </c>
      <c r="P78">
        <v>46.782499999999999</v>
      </c>
      <c r="Q78">
        <v>-85.308499999999995</v>
      </c>
      <c r="R78">
        <v>5180.0277290000004</v>
      </c>
      <c r="S78">
        <v>18.7</v>
      </c>
      <c r="T78">
        <v>29.2</v>
      </c>
      <c r="U78">
        <v>0.5</v>
      </c>
      <c r="V78">
        <v>2</v>
      </c>
      <c r="W78">
        <v>2.8</v>
      </c>
      <c r="X78">
        <v>3.0529500000000001</v>
      </c>
      <c r="Y78">
        <v>0.12770000000000001</v>
      </c>
      <c r="Z78">
        <v>89.465599999999995</v>
      </c>
      <c r="AA78">
        <v>10</v>
      </c>
      <c r="AB78">
        <v>0.4</v>
      </c>
      <c r="AC78">
        <v>0</v>
      </c>
      <c r="AD78">
        <v>0</v>
      </c>
    </row>
    <row r="79" spans="1:30" x14ac:dyDescent="0.55000000000000004">
      <c r="A79">
        <v>88159</v>
      </c>
      <c r="B79" s="19">
        <v>41799</v>
      </c>
      <c r="C79">
        <v>1044</v>
      </c>
      <c r="D79">
        <v>2014</v>
      </c>
      <c r="E79">
        <v>25</v>
      </c>
      <c r="F79">
        <v>572</v>
      </c>
      <c r="G79">
        <v>1</v>
      </c>
      <c r="H79">
        <v>194</v>
      </c>
      <c r="I79">
        <v>3</v>
      </c>
      <c r="J79">
        <v>4637.25</v>
      </c>
      <c r="K79">
        <v>8453.91</v>
      </c>
      <c r="L79">
        <v>4637.37</v>
      </c>
      <c r="M79">
        <v>8453.3700000000008</v>
      </c>
      <c r="N79">
        <v>46.620832999999998</v>
      </c>
      <c r="O79">
        <v>-84.898499999999999</v>
      </c>
      <c r="P79">
        <v>46.622833</v>
      </c>
      <c r="Q79">
        <v>-84.889499999999998</v>
      </c>
      <c r="R79">
        <v>10597.364310000001</v>
      </c>
      <c r="S79">
        <v>28</v>
      </c>
      <c r="T79">
        <v>43.7</v>
      </c>
      <c r="U79">
        <v>0.5</v>
      </c>
      <c r="V79">
        <v>2</v>
      </c>
      <c r="W79">
        <v>3.8</v>
      </c>
      <c r="X79">
        <v>3.9048500000000002</v>
      </c>
      <c r="Y79">
        <v>0.14795</v>
      </c>
      <c r="Z79">
        <v>85.162149999999997</v>
      </c>
      <c r="AA79">
        <v>10</v>
      </c>
      <c r="AB79">
        <v>0.43</v>
      </c>
      <c r="AC79">
        <v>217</v>
      </c>
      <c r="AD79">
        <v>1</v>
      </c>
    </row>
    <row r="80" spans="1:30" x14ac:dyDescent="0.55000000000000004">
      <c r="A80">
        <v>88158</v>
      </c>
      <c r="B80" s="19">
        <v>41799</v>
      </c>
      <c r="C80">
        <v>1044</v>
      </c>
      <c r="D80">
        <v>2014</v>
      </c>
      <c r="E80">
        <v>25</v>
      </c>
      <c r="F80">
        <v>573</v>
      </c>
      <c r="G80">
        <v>1</v>
      </c>
      <c r="H80">
        <v>194</v>
      </c>
      <c r="I80">
        <v>3</v>
      </c>
      <c r="J80">
        <v>4637.25</v>
      </c>
      <c r="K80">
        <v>8453.91</v>
      </c>
      <c r="L80">
        <v>4637.37</v>
      </c>
      <c r="M80">
        <v>8453.3700000000008</v>
      </c>
      <c r="N80">
        <v>46.620832999999998</v>
      </c>
      <c r="O80">
        <v>-84.898499999999999</v>
      </c>
      <c r="P80">
        <v>46.622833</v>
      </c>
      <c r="Q80">
        <v>-84.889499999999998</v>
      </c>
      <c r="R80">
        <v>10597.364310000001</v>
      </c>
      <c r="S80">
        <v>28</v>
      </c>
      <c r="T80">
        <v>43.7</v>
      </c>
      <c r="U80">
        <v>0.5</v>
      </c>
      <c r="V80">
        <v>2</v>
      </c>
      <c r="W80">
        <v>3.8</v>
      </c>
      <c r="X80">
        <v>3.9048500000000002</v>
      </c>
      <c r="Y80">
        <v>0.14795</v>
      </c>
      <c r="Z80">
        <v>85.162149999999997</v>
      </c>
      <c r="AA80">
        <v>10</v>
      </c>
      <c r="AB80">
        <v>0.43</v>
      </c>
      <c r="AC80">
        <v>0</v>
      </c>
      <c r="AD80">
        <v>0</v>
      </c>
    </row>
    <row r="81" spans="1:30" x14ac:dyDescent="0.55000000000000004">
      <c r="A81">
        <v>88162</v>
      </c>
      <c r="B81" s="19">
        <v>41799</v>
      </c>
      <c r="C81">
        <v>1222</v>
      </c>
      <c r="D81">
        <v>2014</v>
      </c>
      <c r="E81">
        <v>25</v>
      </c>
      <c r="F81">
        <v>574</v>
      </c>
      <c r="G81">
        <v>1</v>
      </c>
      <c r="H81">
        <v>79</v>
      </c>
      <c r="I81">
        <v>3</v>
      </c>
      <c r="J81">
        <v>4633.82</v>
      </c>
      <c r="K81">
        <v>8453.16</v>
      </c>
      <c r="L81">
        <v>4633.8999999999996</v>
      </c>
      <c r="M81">
        <v>8452.6299999999992</v>
      </c>
      <c r="N81">
        <v>46.563667000000002</v>
      </c>
      <c r="O81">
        <v>-84.885999999999996</v>
      </c>
      <c r="P81">
        <v>46.564999999999998</v>
      </c>
      <c r="Q81">
        <v>-84.877167</v>
      </c>
      <c r="R81">
        <v>9346.6455089999999</v>
      </c>
      <c r="S81">
        <v>20.2</v>
      </c>
      <c r="T81">
        <v>37.700000000000003</v>
      </c>
      <c r="U81">
        <v>0.5</v>
      </c>
      <c r="V81">
        <v>2</v>
      </c>
      <c r="W81">
        <v>4.2</v>
      </c>
      <c r="X81">
        <v>4.2865000000000002</v>
      </c>
      <c r="Y81">
        <v>0.20815</v>
      </c>
      <c r="Z81">
        <v>64.926649999999995</v>
      </c>
      <c r="AA81">
        <v>10</v>
      </c>
      <c r="AB81">
        <v>0.43</v>
      </c>
      <c r="AC81">
        <v>0</v>
      </c>
      <c r="AD81">
        <v>0</v>
      </c>
    </row>
    <row r="82" spans="1:30" x14ac:dyDescent="0.55000000000000004">
      <c r="A82">
        <v>88161</v>
      </c>
      <c r="B82" s="19">
        <v>41799</v>
      </c>
      <c r="C82">
        <v>1222</v>
      </c>
      <c r="D82">
        <v>2014</v>
      </c>
      <c r="E82">
        <v>25</v>
      </c>
      <c r="F82">
        <v>575</v>
      </c>
      <c r="G82">
        <v>1</v>
      </c>
      <c r="H82">
        <v>79</v>
      </c>
      <c r="I82">
        <v>3</v>
      </c>
      <c r="J82">
        <v>4633.82</v>
      </c>
      <c r="K82">
        <v>8453.16</v>
      </c>
      <c r="L82">
        <v>4633.8999999999996</v>
      </c>
      <c r="M82">
        <v>8452.6299999999992</v>
      </c>
      <c r="N82">
        <v>46.563667000000002</v>
      </c>
      <c r="O82">
        <v>-84.885999999999996</v>
      </c>
      <c r="P82">
        <v>46.564999999999998</v>
      </c>
      <c r="Q82">
        <v>-84.877167</v>
      </c>
      <c r="R82">
        <v>9346.6455089999999</v>
      </c>
      <c r="S82">
        <v>20.2</v>
      </c>
      <c r="T82">
        <v>37.700000000000003</v>
      </c>
      <c r="U82">
        <v>0.5</v>
      </c>
      <c r="V82">
        <v>2</v>
      </c>
      <c r="W82">
        <v>4.2</v>
      </c>
      <c r="X82">
        <v>4.2865000000000002</v>
      </c>
      <c r="Y82">
        <v>0.20815</v>
      </c>
      <c r="Z82">
        <v>64.926649999999995</v>
      </c>
      <c r="AA82">
        <v>10</v>
      </c>
      <c r="AB82">
        <v>0.43</v>
      </c>
      <c r="AC82">
        <v>0</v>
      </c>
      <c r="AD82">
        <v>0</v>
      </c>
    </row>
    <row r="83" spans="1:30" x14ac:dyDescent="0.55000000000000004">
      <c r="A83">
        <v>88163</v>
      </c>
      <c r="B83" s="19">
        <v>41799</v>
      </c>
      <c r="C83">
        <v>1359</v>
      </c>
      <c r="D83">
        <v>2014</v>
      </c>
      <c r="E83">
        <v>25</v>
      </c>
      <c r="F83">
        <v>576</v>
      </c>
      <c r="G83">
        <v>1</v>
      </c>
      <c r="H83">
        <v>193</v>
      </c>
      <c r="I83">
        <v>3</v>
      </c>
      <c r="J83">
        <v>4630.3500000000004</v>
      </c>
      <c r="K83">
        <v>8452.32</v>
      </c>
      <c r="L83">
        <v>4630.68</v>
      </c>
      <c r="M83">
        <v>8452.0499999999993</v>
      </c>
      <c r="N83">
        <v>46.505833000000003</v>
      </c>
      <c r="O83">
        <v>-84.872</v>
      </c>
      <c r="P83">
        <v>46.511333</v>
      </c>
      <c r="Q83">
        <v>-84.867500000000007</v>
      </c>
      <c r="R83">
        <v>4531.7732919999999</v>
      </c>
      <c r="S83">
        <v>22.9</v>
      </c>
      <c r="T83">
        <v>33.200000000000003</v>
      </c>
      <c r="U83">
        <v>0.5</v>
      </c>
      <c r="V83">
        <v>2</v>
      </c>
      <c r="W83">
        <v>6.4</v>
      </c>
      <c r="X83">
        <v>5.1628499999999997</v>
      </c>
      <c r="Y83">
        <v>-0.30149999999999999</v>
      </c>
      <c r="Z83">
        <v>64.999549999999999</v>
      </c>
      <c r="AA83">
        <v>10</v>
      </c>
      <c r="AB83">
        <v>0.43</v>
      </c>
      <c r="AC83">
        <v>217</v>
      </c>
      <c r="AD83">
        <v>1</v>
      </c>
    </row>
    <row r="84" spans="1:30" x14ac:dyDescent="0.55000000000000004">
      <c r="A84">
        <v>88164</v>
      </c>
      <c r="B84" s="19">
        <v>41799</v>
      </c>
      <c r="C84">
        <v>1359</v>
      </c>
      <c r="D84">
        <v>2014</v>
      </c>
      <c r="E84">
        <v>25</v>
      </c>
      <c r="F84">
        <v>577</v>
      </c>
      <c r="G84">
        <v>1</v>
      </c>
      <c r="H84">
        <v>193</v>
      </c>
      <c r="I84">
        <v>3</v>
      </c>
      <c r="J84">
        <v>4630.3500000000004</v>
      </c>
      <c r="K84">
        <v>8452.32</v>
      </c>
      <c r="L84">
        <v>4630.68</v>
      </c>
      <c r="M84">
        <v>8452.0499999999993</v>
      </c>
      <c r="N84">
        <v>46.505833000000003</v>
      </c>
      <c r="O84">
        <v>-84.872</v>
      </c>
      <c r="P84">
        <v>46.511333</v>
      </c>
      <c r="Q84">
        <v>-84.867500000000007</v>
      </c>
      <c r="R84">
        <v>4531.7732919999999</v>
      </c>
      <c r="S84">
        <v>22.9</v>
      </c>
      <c r="T84">
        <v>33.200000000000003</v>
      </c>
      <c r="U84">
        <v>0.5</v>
      </c>
      <c r="V84">
        <v>2</v>
      </c>
      <c r="W84">
        <v>6.4</v>
      </c>
      <c r="X84">
        <v>5.1628499999999997</v>
      </c>
      <c r="Y84">
        <v>-0.30149999999999999</v>
      </c>
      <c r="Z84">
        <v>64.999549999999999</v>
      </c>
      <c r="AA84">
        <v>10</v>
      </c>
      <c r="AB84">
        <v>0.43</v>
      </c>
      <c r="AC84">
        <v>217</v>
      </c>
      <c r="AD84">
        <v>2</v>
      </c>
    </row>
    <row r="85" spans="1:30" x14ac:dyDescent="0.55000000000000004">
      <c r="A85">
        <v>88167</v>
      </c>
      <c r="B85" s="19">
        <v>41799</v>
      </c>
      <c r="C85">
        <v>1538</v>
      </c>
      <c r="D85">
        <v>2014</v>
      </c>
      <c r="E85">
        <v>25</v>
      </c>
      <c r="F85">
        <v>578</v>
      </c>
      <c r="G85">
        <v>1</v>
      </c>
      <c r="H85">
        <v>174</v>
      </c>
      <c r="I85">
        <v>3</v>
      </c>
      <c r="J85">
        <v>4630.79</v>
      </c>
      <c r="K85">
        <v>8442.59</v>
      </c>
      <c r="L85">
        <v>4631.1099999999997</v>
      </c>
      <c r="M85">
        <v>8442.9599999999991</v>
      </c>
      <c r="N85">
        <v>46.513167000000003</v>
      </c>
      <c r="O85">
        <v>-84.709833000000003</v>
      </c>
      <c r="P85">
        <v>46.518500000000003</v>
      </c>
      <c r="Q85">
        <v>-84.715999999999994</v>
      </c>
      <c r="R85">
        <v>5117.9945829999997</v>
      </c>
      <c r="S85">
        <v>20</v>
      </c>
      <c r="T85">
        <v>30.3</v>
      </c>
      <c r="U85">
        <v>0.5</v>
      </c>
      <c r="V85">
        <v>2</v>
      </c>
      <c r="W85">
        <v>9.8000000000000007</v>
      </c>
      <c r="X85">
        <v>10.01505</v>
      </c>
      <c r="Y85">
        <v>0.35404999999999998</v>
      </c>
      <c r="Z85">
        <v>86.785399999999996</v>
      </c>
      <c r="AA85">
        <v>10</v>
      </c>
      <c r="AB85">
        <v>0.43</v>
      </c>
      <c r="AC85">
        <v>217</v>
      </c>
      <c r="AD85">
        <v>6</v>
      </c>
    </row>
    <row r="86" spans="1:30" x14ac:dyDescent="0.55000000000000004">
      <c r="A86">
        <v>88168</v>
      </c>
      <c r="B86" s="19">
        <v>41799</v>
      </c>
      <c r="C86">
        <v>1538</v>
      </c>
      <c r="D86">
        <v>2014</v>
      </c>
      <c r="E86">
        <v>25</v>
      </c>
      <c r="F86">
        <v>579</v>
      </c>
      <c r="G86">
        <v>1</v>
      </c>
      <c r="H86">
        <v>174</v>
      </c>
      <c r="I86">
        <v>3</v>
      </c>
      <c r="J86">
        <v>4630.79</v>
      </c>
      <c r="K86">
        <v>8442.59</v>
      </c>
      <c r="L86">
        <v>4631.1099999999997</v>
      </c>
      <c r="M86">
        <v>8442.9599999999991</v>
      </c>
      <c r="N86">
        <v>46.513167000000003</v>
      </c>
      <c r="O86">
        <v>-84.709833000000003</v>
      </c>
      <c r="P86">
        <v>46.518500000000003</v>
      </c>
      <c r="Q86">
        <v>-84.715999999999994</v>
      </c>
      <c r="R86">
        <v>5117.9945829999997</v>
      </c>
      <c r="S86">
        <v>20</v>
      </c>
      <c r="T86">
        <v>30.3</v>
      </c>
      <c r="U86">
        <v>0.5</v>
      </c>
      <c r="V86">
        <v>2</v>
      </c>
      <c r="W86">
        <v>9.8000000000000007</v>
      </c>
      <c r="X86">
        <v>10.01505</v>
      </c>
      <c r="Y86">
        <v>0.35404999999999998</v>
      </c>
      <c r="Z86">
        <v>86.785399999999996</v>
      </c>
      <c r="AA86">
        <v>10</v>
      </c>
      <c r="AB86">
        <v>0.43</v>
      </c>
      <c r="AC86">
        <v>217</v>
      </c>
      <c r="AD86">
        <v>3</v>
      </c>
    </row>
    <row r="87" spans="1:30" x14ac:dyDescent="0.55000000000000004">
      <c r="A87">
        <v>88170</v>
      </c>
      <c r="B87" s="19">
        <v>41801</v>
      </c>
      <c r="C87">
        <v>1111</v>
      </c>
      <c r="D87">
        <v>2014</v>
      </c>
      <c r="E87">
        <v>25</v>
      </c>
      <c r="F87">
        <v>580</v>
      </c>
      <c r="G87">
        <v>1</v>
      </c>
      <c r="H87">
        <v>460</v>
      </c>
      <c r="I87">
        <v>3</v>
      </c>
      <c r="J87">
        <v>4640.63</v>
      </c>
      <c r="K87">
        <v>8433.68</v>
      </c>
      <c r="L87">
        <v>4640.37</v>
      </c>
      <c r="M87">
        <v>8434.0300000000007</v>
      </c>
      <c r="N87">
        <v>46.677166999999997</v>
      </c>
      <c r="O87">
        <v>-84.561333000000005</v>
      </c>
      <c r="P87">
        <v>46.672832999999997</v>
      </c>
      <c r="Q87">
        <v>-84.567166999999998</v>
      </c>
      <c r="R87">
        <v>632.35152389999996</v>
      </c>
      <c r="S87">
        <v>18.399999999999999</v>
      </c>
      <c r="T87">
        <v>25.9</v>
      </c>
      <c r="U87">
        <v>0.5</v>
      </c>
      <c r="V87">
        <v>2</v>
      </c>
      <c r="W87">
        <v>12.2</v>
      </c>
      <c r="X87">
        <v>11.3043</v>
      </c>
      <c r="Y87">
        <v>0.36754999999999999</v>
      </c>
      <c r="Z87">
        <v>72.593900000000005</v>
      </c>
      <c r="AA87">
        <v>10</v>
      </c>
      <c r="AB87">
        <v>0.4</v>
      </c>
      <c r="AC87">
        <v>217</v>
      </c>
      <c r="AD87">
        <v>1</v>
      </c>
    </row>
    <row r="88" spans="1:30" x14ac:dyDescent="0.55000000000000004">
      <c r="A88">
        <v>88171</v>
      </c>
      <c r="B88" s="19">
        <v>41801</v>
      </c>
      <c r="C88">
        <v>1111</v>
      </c>
      <c r="D88">
        <v>2014</v>
      </c>
      <c r="E88">
        <v>25</v>
      </c>
      <c r="F88">
        <v>581</v>
      </c>
      <c r="G88">
        <v>1</v>
      </c>
      <c r="H88">
        <v>460</v>
      </c>
      <c r="I88">
        <v>3</v>
      </c>
      <c r="J88">
        <v>4640.63</v>
      </c>
      <c r="K88">
        <v>8433.68</v>
      </c>
      <c r="L88">
        <v>4640.37</v>
      </c>
      <c r="M88">
        <v>8434.0300000000007</v>
      </c>
      <c r="N88">
        <v>46.677166999999997</v>
      </c>
      <c r="O88">
        <v>-84.561333000000005</v>
      </c>
      <c r="P88">
        <v>46.672832999999997</v>
      </c>
      <c r="Q88">
        <v>-84.567166999999998</v>
      </c>
      <c r="R88">
        <v>632.35152389999996</v>
      </c>
      <c r="S88">
        <v>18.399999999999999</v>
      </c>
      <c r="T88">
        <v>25.9</v>
      </c>
      <c r="U88">
        <v>0.5</v>
      </c>
      <c r="V88">
        <v>2</v>
      </c>
      <c r="W88">
        <v>12.2</v>
      </c>
      <c r="X88">
        <v>11.3043</v>
      </c>
      <c r="Y88">
        <v>0.36754999999999999</v>
      </c>
      <c r="Z88">
        <v>72.593900000000005</v>
      </c>
      <c r="AA88">
        <v>10</v>
      </c>
      <c r="AB88">
        <v>0.4</v>
      </c>
      <c r="AC88">
        <v>0</v>
      </c>
      <c r="AD88">
        <v>0</v>
      </c>
    </row>
    <row r="89" spans="1:30" x14ac:dyDescent="0.55000000000000004">
      <c r="A89">
        <v>88172</v>
      </c>
      <c r="B89" s="19">
        <v>41801</v>
      </c>
      <c r="C89">
        <v>1238</v>
      </c>
      <c r="D89">
        <v>2014</v>
      </c>
      <c r="E89">
        <v>25</v>
      </c>
      <c r="F89">
        <v>582</v>
      </c>
      <c r="G89">
        <v>1</v>
      </c>
      <c r="H89">
        <v>459</v>
      </c>
      <c r="I89">
        <v>3</v>
      </c>
      <c r="J89">
        <v>4646.3</v>
      </c>
      <c r="K89">
        <v>8435.69</v>
      </c>
      <c r="L89">
        <v>4646.18</v>
      </c>
      <c r="M89">
        <v>8436.2000000000007</v>
      </c>
      <c r="N89">
        <v>46.771667000000001</v>
      </c>
      <c r="O89">
        <v>-84.594832999999994</v>
      </c>
      <c r="P89">
        <v>46.769666999999998</v>
      </c>
      <c r="Q89">
        <v>-84.603333000000006</v>
      </c>
      <c r="R89">
        <v>2748.0519340000001</v>
      </c>
      <c r="S89">
        <v>19</v>
      </c>
      <c r="T89">
        <v>30.8</v>
      </c>
      <c r="U89">
        <v>0.5</v>
      </c>
      <c r="V89">
        <v>2</v>
      </c>
      <c r="W89">
        <v>10.8</v>
      </c>
      <c r="X89">
        <v>8.9739500000000003</v>
      </c>
      <c r="Y89">
        <v>0.31424999999999997</v>
      </c>
      <c r="Z89">
        <v>79.968299999999999</v>
      </c>
      <c r="AA89">
        <v>10</v>
      </c>
      <c r="AB89">
        <v>0.42</v>
      </c>
      <c r="AC89">
        <v>217</v>
      </c>
      <c r="AD89">
        <v>7</v>
      </c>
    </row>
    <row r="90" spans="1:30" x14ac:dyDescent="0.55000000000000004">
      <c r="A90">
        <v>88173</v>
      </c>
      <c r="B90" s="19">
        <v>41801</v>
      </c>
      <c r="C90">
        <v>1238</v>
      </c>
      <c r="D90">
        <v>2014</v>
      </c>
      <c r="E90">
        <v>25</v>
      </c>
      <c r="F90">
        <v>583</v>
      </c>
      <c r="G90">
        <v>1</v>
      </c>
      <c r="H90">
        <v>459</v>
      </c>
      <c r="I90">
        <v>3</v>
      </c>
      <c r="J90">
        <v>4646.3</v>
      </c>
      <c r="K90">
        <v>8435.69</v>
      </c>
      <c r="L90">
        <v>4646.18</v>
      </c>
      <c r="M90">
        <v>8436.2000000000007</v>
      </c>
      <c r="N90">
        <v>46.771667000000001</v>
      </c>
      <c r="O90">
        <v>-84.594832999999994</v>
      </c>
      <c r="P90">
        <v>46.769666999999998</v>
      </c>
      <c r="Q90">
        <v>-84.603333000000006</v>
      </c>
      <c r="R90">
        <v>2748.0519340000001</v>
      </c>
      <c r="S90">
        <v>19</v>
      </c>
      <c r="T90">
        <v>30.8</v>
      </c>
      <c r="U90">
        <v>0.5</v>
      </c>
      <c r="V90">
        <v>2</v>
      </c>
      <c r="W90">
        <v>10.8</v>
      </c>
      <c r="X90">
        <v>8.9739500000000003</v>
      </c>
      <c r="Y90">
        <v>0.31424999999999997</v>
      </c>
      <c r="Z90">
        <v>79.968299999999999</v>
      </c>
      <c r="AA90">
        <v>10</v>
      </c>
      <c r="AB90">
        <v>0.42</v>
      </c>
      <c r="AC90">
        <v>217</v>
      </c>
      <c r="AD90">
        <v>7</v>
      </c>
    </row>
    <row r="91" spans="1:30" x14ac:dyDescent="0.55000000000000004">
      <c r="A91">
        <v>88175</v>
      </c>
      <c r="B91" s="19">
        <v>41801</v>
      </c>
      <c r="C91">
        <v>1457</v>
      </c>
      <c r="D91">
        <v>2014</v>
      </c>
      <c r="E91">
        <v>25</v>
      </c>
      <c r="F91">
        <v>584</v>
      </c>
      <c r="G91">
        <v>1</v>
      </c>
      <c r="H91">
        <v>461</v>
      </c>
      <c r="I91">
        <v>3</v>
      </c>
      <c r="J91">
        <v>4656.62</v>
      </c>
      <c r="K91">
        <v>8443.59</v>
      </c>
      <c r="L91">
        <v>4656.26</v>
      </c>
      <c r="M91">
        <v>8443.65</v>
      </c>
      <c r="N91">
        <v>46.943666999999998</v>
      </c>
      <c r="O91">
        <v>-84.726500000000001</v>
      </c>
      <c r="P91">
        <v>46.937666999999998</v>
      </c>
      <c r="Q91">
        <v>-84.727500000000006</v>
      </c>
      <c r="R91">
        <v>740.19289609999998</v>
      </c>
      <c r="S91">
        <v>46.7</v>
      </c>
      <c r="T91">
        <v>67.5</v>
      </c>
      <c r="U91">
        <v>0.5</v>
      </c>
      <c r="V91">
        <v>2</v>
      </c>
      <c r="W91">
        <v>8</v>
      </c>
      <c r="X91">
        <v>6.1037999999999997</v>
      </c>
      <c r="Y91">
        <v>-0.11225</v>
      </c>
      <c r="Z91">
        <v>78.154200000000003</v>
      </c>
      <c r="AA91">
        <v>10</v>
      </c>
      <c r="AB91">
        <v>0.42</v>
      </c>
      <c r="AC91">
        <v>217</v>
      </c>
      <c r="AD91">
        <v>55</v>
      </c>
    </row>
    <row r="92" spans="1:30" x14ac:dyDescent="0.55000000000000004">
      <c r="A92">
        <v>88175</v>
      </c>
      <c r="B92" s="19">
        <v>41801</v>
      </c>
      <c r="C92">
        <v>1457</v>
      </c>
      <c r="D92">
        <v>2014</v>
      </c>
      <c r="E92">
        <v>25</v>
      </c>
      <c r="F92">
        <v>584</v>
      </c>
      <c r="G92">
        <v>1</v>
      </c>
      <c r="H92">
        <v>461</v>
      </c>
      <c r="I92">
        <v>3</v>
      </c>
      <c r="J92">
        <v>4656.62</v>
      </c>
      <c r="K92">
        <v>8443.59</v>
      </c>
      <c r="L92">
        <v>4656.26</v>
      </c>
      <c r="M92">
        <v>8443.65</v>
      </c>
      <c r="N92">
        <v>46.943666999999998</v>
      </c>
      <c r="O92">
        <v>-84.726500000000001</v>
      </c>
      <c r="P92">
        <v>46.937666999999998</v>
      </c>
      <c r="Q92">
        <v>-84.727500000000006</v>
      </c>
      <c r="R92">
        <v>740.19289609999998</v>
      </c>
      <c r="S92">
        <v>46.7</v>
      </c>
      <c r="T92">
        <v>67.5</v>
      </c>
      <c r="U92">
        <v>0.5</v>
      </c>
      <c r="V92">
        <v>2</v>
      </c>
      <c r="W92">
        <v>8</v>
      </c>
      <c r="X92">
        <v>6.1037999999999997</v>
      </c>
      <c r="Y92">
        <v>-0.11225</v>
      </c>
      <c r="Z92">
        <v>78.154200000000003</v>
      </c>
      <c r="AA92">
        <v>10</v>
      </c>
      <c r="AB92">
        <v>0.42</v>
      </c>
      <c r="AC92">
        <v>500</v>
      </c>
      <c r="AD92">
        <v>1</v>
      </c>
    </row>
    <row r="93" spans="1:30" x14ac:dyDescent="0.55000000000000004">
      <c r="A93">
        <v>88176</v>
      </c>
      <c r="B93" s="19">
        <v>41801</v>
      </c>
      <c r="C93">
        <v>1457</v>
      </c>
      <c r="D93">
        <v>2014</v>
      </c>
      <c r="E93">
        <v>25</v>
      </c>
      <c r="F93">
        <v>585</v>
      </c>
      <c r="G93">
        <v>1</v>
      </c>
      <c r="H93">
        <v>461</v>
      </c>
      <c r="I93">
        <v>3</v>
      </c>
      <c r="J93">
        <v>4656.62</v>
      </c>
      <c r="K93">
        <v>8443.59</v>
      </c>
      <c r="L93">
        <v>4656.26</v>
      </c>
      <c r="M93">
        <v>8443.65</v>
      </c>
      <c r="N93">
        <v>46.943666999999998</v>
      </c>
      <c r="O93">
        <v>-84.726500000000001</v>
      </c>
      <c r="P93">
        <v>46.937666999999998</v>
      </c>
      <c r="Q93">
        <v>-84.727500000000006</v>
      </c>
      <c r="R93">
        <v>740.19289609999998</v>
      </c>
      <c r="S93">
        <v>46.7</v>
      </c>
      <c r="T93">
        <v>67.5</v>
      </c>
      <c r="U93">
        <v>0.5</v>
      </c>
      <c r="V93">
        <v>2</v>
      </c>
      <c r="W93">
        <v>8</v>
      </c>
      <c r="X93">
        <v>6.1037999999999997</v>
      </c>
      <c r="Y93">
        <v>-0.11225</v>
      </c>
      <c r="Z93">
        <v>78.154200000000003</v>
      </c>
      <c r="AA93">
        <v>10</v>
      </c>
      <c r="AB93">
        <v>0.42</v>
      </c>
      <c r="AC93">
        <v>217</v>
      </c>
      <c r="AD93">
        <v>37</v>
      </c>
    </row>
    <row r="94" spans="1:30" x14ac:dyDescent="0.55000000000000004">
      <c r="A94">
        <v>88176</v>
      </c>
      <c r="B94" s="19">
        <v>41801</v>
      </c>
      <c r="C94">
        <v>1457</v>
      </c>
      <c r="D94">
        <v>2014</v>
      </c>
      <c r="E94">
        <v>25</v>
      </c>
      <c r="F94">
        <v>585</v>
      </c>
      <c r="G94">
        <v>1</v>
      </c>
      <c r="H94">
        <v>461</v>
      </c>
      <c r="I94">
        <v>3</v>
      </c>
      <c r="J94">
        <v>4656.62</v>
      </c>
      <c r="K94">
        <v>8443.59</v>
      </c>
      <c r="L94">
        <v>4656.26</v>
      </c>
      <c r="M94">
        <v>8443.65</v>
      </c>
      <c r="N94">
        <v>46.943666999999998</v>
      </c>
      <c r="O94">
        <v>-84.726500000000001</v>
      </c>
      <c r="P94">
        <v>46.937666999999998</v>
      </c>
      <c r="Q94">
        <v>-84.727500000000006</v>
      </c>
      <c r="R94">
        <v>740.19289609999998</v>
      </c>
      <c r="S94">
        <v>46.7</v>
      </c>
      <c r="T94">
        <v>67.5</v>
      </c>
      <c r="U94">
        <v>0.5</v>
      </c>
      <c r="V94">
        <v>2</v>
      </c>
      <c r="W94">
        <v>8</v>
      </c>
      <c r="X94">
        <v>6.1037999999999997</v>
      </c>
      <c r="Y94">
        <v>-0.11225</v>
      </c>
      <c r="Z94">
        <v>78.154200000000003</v>
      </c>
      <c r="AA94">
        <v>10</v>
      </c>
      <c r="AB94">
        <v>0.42</v>
      </c>
      <c r="AC94">
        <v>500</v>
      </c>
      <c r="AD94">
        <v>3</v>
      </c>
    </row>
    <row r="95" spans="1:30" x14ac:dyDescent="0.55000000000000004">
      <c r="A95">
        <v>88179</v>
      </c>
      <c r="B95" s="19">
        <v>41802</v>
      </c>
      <c r="C95">
        <v>637</v>
      </c>
      <c r="D95">
        <v>2014</v>
      </c>
      <c r="E95">
        <v>25</v>
      </c>
      <c r="F95">
        <v>586</v>
      </c>
      <c r="G95">
        <v>1</v>
      </c>
      <c r="H95">
        <v>456</v>
      </c>
      <c r="I95">
        <v>3</v>
      </c>
      <c r="J95">
        <v>4719.04</v>
      </c>
      <c r="K95">
        <v>8438.67</v>
      </c>
      <c r="L95">
        <v>4718.8900000000003</v>
      </c>
      <c r="M95">
        <v>8439.16</v>
      </c>
      <c r="N95">
        <v>47.317332999999998</v>
      </c>
      <c r="O95">
        <v>-84.644499999999994</v>
      </c>
      <c r="P95">
        <v>47.314833</v>
      </c>
      <c r="Q95">
        <v>-84.652666999999994</v>
      </c>
      <c r="R95">
        <v>2445.814742</v>
      </c>
      <c r="S95">
        <v>25</v>
      </c>
      <c r="T95">
        <v>40.299999999999997</v>
      </c>
      <c r="U95">
        <v>0.5</v>
      </c>
      <c r="V95">
        <v>2</v>
      </c>
      <c r="W95">
        <v>2.9</v>
      </c>
      <c r="X95">
        <v>3.2153499999999999</v>
      </c>
      <c r="Y95">
        <v>0.72819999999999996</v>
      </c>
      <c r="Z95">
        <v>90.853949999999998</v>
      </c>
      <c r="AA95">
        <v>10</v>
      </c>
      <c r="AB95">
        <v>0.42</v>
      </c>
      <c r="AC95">
        <v>217</v>
      </c>
      <c r="AD95">
        <v>10</v>
      </c>
    </row>
    <row r="96" spans="1:30" x14ac:dyDescent="0.55000000000000004">
      <c r="A96">
        <v>88180</v>
      </c>
      <c r="B96" s="19">
        <v>41802</v>
      </c>
      <c r="C96">
        <v>637</v>
      </c>
      <c r="D96">
        <v>2014</v>
      </c>
      <c r="E96">
        <v>25</v>
      </c>
      <c r="F96">
        <v>587</v>
      </c>
      <c r="G96">
        <v>1</v>
      </c>
      <c r="H96">
        <v>456</v>
      </c>
      <c r="I96">
        <v>3</v>
      </c>
      <c r="J96">
        <v>4719.04</v>
      </c>
      <c r="K96">
        <v>8438.67</v>
      </c>
      <c r="L96">
        <v>4718.8900000000003</v>
      </c>
      <c r="M96">
        <v>8439.16</v>
      </c>
      <c r="N96">
        <v>47.317332999999998</v>
      </c>
      <c r="O96">
        <v>-84.644499999999994</v>
      </c>
      <c r="P96">
        <v>47.314833</v>
      </c>
      <c r="Q96">
        <v>-84.652666999999994</v>
      </c>
      <c r="R96">
        <v>2445.814742</v>
      </c>
      <c r="S96">
        <v>25</v>
      </c>
      <c r="T96">
        <v>40.299999999999997</v>
      </c>
      <c r="U96">
        <v>0.5</v>
      </c>
      <c r="V96">
        <v>2</v>
      </c>
      <c r="W96">
        <v>2.9</v>
      </c>
      <c r="X96">
        <v>3.2153499999999999</v>
      </c>
      <c r="Y96">
        <v>0.72819999999999996</v>
      </c>
      <c r="Z96">
        <v>90.853949999999998</v>
      </c>
      <c r="AA96">
        <v>10</v>
      </c>
      <c r="AB96">
        <v>0.42</v>
      </c>
      <c r="AC96">
        <v>217</v>
      </c>
      <c r="AD96">
        <v>6</v>
      </c>
    </row>
    <row r="97" spans="1:30" x14ac:dyDescent="0.55000000000000004">
      <c r="A97">
        <v>88182</v>
      </c>
      <c r="B97" s="19">
        <v>41802</v>
      </c>
      <c r="C97">
        <v>933</v>
      </c>
      <c r="D97">
        <v>2014</v>
      </c>
      <c r="E97">
        <v>25</v>
      </c>
      <c r="F97">
        <v>588</v>
      </c>
      <c r="G97">
        <v>1</v>
      </c>
      <c r="H97">
        <v>455</v>
      </c>
      <c r="I97">
        <v>3</v>
      </c>
      <c r="J97">
        <v>4733.2</v>
      </c>
      <c r="K97">
        <v>8457.52</v>
      </c>
      <c r="L97">
        <v>4733.0200000000004</v>
      </c>
      <c r="M97">
        <v>8458.0400000000009</v>
      </c>
      <c r="N97">
        <v>47.553333000000002</v>
      </c>
      <c r="O97">
        <v>-84.958667000000005</v>
      </c>
      <c r="P97">
        <v>47.550333000000002</v>
      </c>
      <c r="Q97">
        <v>-84.967332999999996</v>
      </c>
      <c r="R97">
        <v>505.07846460000002</v>
      </c>
      <c r="S97">
        <v>25.7</v>
      </c>
      <c r="T97">
        <v>78.3</v>
      </c>
      <c r="U97">
        <v>0.5</v>
      </c>
      <c r="V97">
        <v>2</v>
      </c>
      <c r="W97">
        <v>2.1</v>
      </c>
      <c r="X97">
        <v>2.0821999999999998</v>
      </c>
      <c r="Y97">
        <v>0.1764</v>
      </c>
      <c r="Z97">
        <v>91.571700000000007</v>
      </c>
      <c r="AA97">
        <v>10</v>
      </c>
      <c r="AB97">
        <v>0.43</v>
      </c>
      <c r="AC97">
        <v>217</v>
      </c>
      <c r="AD97">
        <v>1</v>
      </c>
    </row>
    <row r="98" spans="1:30" x14ac:dyDescent="0.55000000000000004">
      <c r="A98">
        <v>88183</v>
      </c>
      <c r="B98" s="19">
        <v>41802</v>
      </c>
      <c r="C98">
        <v>933</v>
      </c>
      <c r="D98">
        <v>2014</v>
      </c>
      <c r="E98">
        <v>25</v>
      </c>
      <c r="F98">
        <v>589</v>
      </c>
      <c r="G98">
        <v>1</v>
      </c>
      <c r="H98">
        <v>455</v>
      </c>
      <c r="I98">
        <v>3</v>
      </c>
      <c r="J98">
        <v>4733.2</v>
      </c>
      <c r="K98">
        <v>8457.52</v>
      </c>
      <c r="L98">
        <v>4733.0200000000004</v>
      </c>
      <c r="M98">
        <v>8458.0400000000009</v>
      </c>
      <c r="N98">
        <v>47.553333000000002</v>
      </c>
      <c r="O98">
        <v>-84.958667000000005</v>
      </c>
      <c r="P98">
        <v>47.550333000000002</v>
      </c>
      <c r="Q98">
        <v>-84.967332999999996</v>
      </c>
      <c r="R98">
        <v>505.07846460000002</v>
      </c>
      <c r="S98">
        <v>25.7</v>
      </c>
      <c r="T98">
        <v>78.3</v>
      </c>
      <c r="U98">
        <v>0.5</v>
      </c>
      <c r="V98">
        <v>2</v>
      </c>
      <c r="W98">
        <v>2.1</v>
      </c>
      <c r="X98">
        <v>2.0821999999999998</v>
      </c>
      <c r="Y98">
        <v>0.1764</v>
      </c>
      <c r="Z98">
        <v>91.571700000000007</v>
      </c>
      <c r="AA98">
        <v>10</v>
      </c>
      <c r="AB98">
        <v>0.43</v>
      </c>
      <c r="AC98">
        <v>0</v>
      </c>
      <c r="AD98">
        <v>0</v>
      </c>
    </row>
    <row r="99" spans="1:30" x14ac:dyDescent="0.55000000000000004">
      <c r="A99">
        <v>88186</v>
      </c>
      <c r="B99" s="19">
        <v>41802</v>
      </c>
      <c r="C99">
        <v>1416</v>
      </c>
      <c r="D99">
        <v>2014</v>
      </c>
      <c r="E99">
        <v>25</v>
      </c>
      <c r="F99">
        <v>590</v>
      </c>
      <c r="G99">
        <v>1</v>
      </c>
      <c r="H99">
        <v>451</v>
      </c>
      <c r="I99">
        <v>3</v>
      </c>
      <c r="J99">
        <v>4756.76</v>
      </c>
      <c r="K99">
        <v>8511.07</v>
      </c>
      <c r="L99">
        <v>4756.43</v>
      </c>
      <c r="M99">
        <v>8510.91</v>
      </c>
      <c r="N99">
        <v>47.945999999999998</v>
      </c>
      <c r="O99">
        <v>-85.1845</v>
      </c>
      <c r="P99">
        <v>47.9405</v>
      </c>
      <c r="Q99">
        <v>-85.181832999999997</v>
      </c>
      <c r="R99">
        <v>1060.3185840000001</v>
      </c>
      <c r="S99">
        <v>18.8</v>
      </c>
      <c r="T99">
        <v>37</v>
      </c>
      <c r="U99">
        <v>0.5</v>
      </c>
      <c r="V99">
        <v>2</v>
      </c>
      <c r="W99">
        <v>2.5</v>
      </c>
      <c r="X99">
        <v>2.7176</v>
      </c>
      <c r="Y99">
        <v>0.2029</v>
      </c>
      <c r="Z99">
        <v>89.256649999999993</v>
      </c>
      <c r="AA99">
        <v>10</v>
      </c>
      <c r="AB99">
        <v>0.4</v>
      </c>
      <c r="AC99">
        <v>0</v>
      </c>
      <c r="AD99">
        <v>0</v>
      </c>
    </row>
    <row r="100" spans="1:30" x14ac:dyDescent="0.55000000000000004">
      <c r="A100">
        <v>88187</v>
      </c>
      <c r="B100" s="19">
        <v>41802</v>
      </c>
      <c r="C100">
        <v>1416</v>
      </c>
      <c r="D100">
        <v>2014</v>
      </c>
      <c r="E100">
        <v>25</v>
      </c>
      <c r="F100">
        <v>591</v>
      </c>
      <c r="G100">
        <v>1</v>
      </c>
      <c r="H100">
        <v>451</v>
      </c>
      <c r="I100">
        <v>3</v>
      </c>
      <c r="J100">
        <v>4756.76</v>
      </c>
      <c r="K100">
        <v>8511.07</v>
      </c>
      <c r="L100">
        <v>4756.43</v>
      </c>
      <c r="M100">
        <v>8510.91</v>
      </c>
      <c r="N100">
        <v>47.945999999999998</v>
      </c>
      <c r="O100">
        <v>-85.1845</v>
      </c>
      <c r="P100">
        <v>47.9405</v>
      </c>
      <c r="Q100">
        <v>-85.181832999999997</v>
      </c>
      <c r="R100">
        <v>1060.3185840000001</v>
      </c>
      <c r="S100">
        <v>18.8</v>
      </c>
      <c r="T100">
        <v>37</v>
      </c>
      <c r="U100">
        <v>0.5</v>
      </c>
      <c r="V100">
        <v>2</v>
      </c>
      <c r="W100">
        <v>2.5</v>
      </c>
      <c r="X100">
        <v>2.7176</v>
      </c>
      <c r="Y100">
        <v>0.2029</v>
      </c>
      <c r="Z100">
        <v>89.256649999999993</v>
      </c>
      <c r="AA100">
        <v>10</v>
      </c>
      <c r="AB100">
        <v>0.4</v>
      </c>
      <c r="AC100">
        <v>0</v>
      </c>
      <c r="AD100">
        <v>0</v>
      </c>
    </row>
    <row r="101" spans="1:30" x14ac:dyDescent="0.55000000000000004">
      <c r="A101">
        <v>88188</v>
      </c>
      <c r="B101" s="19">
        <v>41802</v>
      </c>
      <c r="C101">
        <v>1607</v>
      </c>
      <c r="D101">
        <v>2014</v>
      </c>
      <c r="E101">
        <v>25</v>
      </c>
      <c r="F101">
        <v>592</v>
      </c>
      <c r="G101">
        <v>1</v>
      </c>
      <c r="H101">
        <v>462</v>
      </c>
      <c r="I101">
        <v>3</v>
      </c>
      <c r="J101">
        <v>4757.1499999999996</v>
      </c>
      <c r="K101">
        <v>8456.67</v>
      </c>
      <c r="L101">
        <v>4756.8599999999997</v>
      </c>
      <c r="M101">
        <v>8456.3799999999992</v>
      </c>
      <c r="N101">
        <v>47.952500000000001</v>
      </c>
      <c r="O101">
        <v>-84.944500000000005</v>
      </c>
      <c r="P101">
        <v>47.947667000000003</v>
      </c>
      <c r="Q101">
        <v>-84.939667</v>
      </c>
      <c r="R101">
        <v>898.44834530000003</v>
      </c>
      <c r="S101">
        <v>31.4</v>
      </c>
      <c r="T101">
        <v>90.2</v>
      </c>
      <c r="U101">
        <v>0.5</v>
      </c>
      <c r="V101">
        <v>2</v>
      </c>
      <c r="W101">
        <v>2.2999999999999998</v>
      </c>
      <c r="X101">
        <v>2.66825</v>
      </c>
      <c r="Y101">
        <v>0.30470000000000003</v>
      </c>
      <c r="Z101">
        <v>93.299800000000005</v>
      </c>
      <c r="AA101">
        <v>10</v>
      </c>
      <c r="AB101">
        <v>0.4</v>
      </c>
      <c r="AC101">
        <v>0</v>
      </c>
      <c r="AD101">
        <v>0</v>
      </c>
    </row>
    <row r="102" spans="1:30" x14ac:dyDescent="0.55000000000000004">
      <c r="A102">
        <v>88189</v>
      </c>
      <c r="B102" s="19">
        <v>41802</v>
      </c>
      <c r="C102">
        <v>1607</v>
      </c>
      <c r="D102">
        <v>2014</v>
      </c>
      <c r="E102">
        <v>25</v>
      </c>
      <c r="F102">
        <v>593</v>
      </c>
      <c r="G102">
        <v>1</v>
      </c>
      <c r="H102">
        <v>462</v>
      </c>
      <c r="I102">
        <v>3</v>
      </c>
      <c r="J102">
        <v>4757.1499999999996</v>
      </c>
      <c r="K102">
        <v>8456.67</v>
      </c>
      <c r="L102">
        <v>4756.8599999999997</v>
      </c>
      <c r="M102">
        <v>8456.3799999999992</v>
      </c>
      <c r="N102">
        <v>47.952500000000001</v>
      </c>
      <c r="O102">
        <v>-84.944500000000005</v>
      </c>
      <c r="P102">
        <v>47.947667000000003</v>
      </c>
      <c r="Q102">
        <v>-84.939667</v>
      </c>
      <c r="R102">
        <v>898.44834530000003</v>
      </c>
      <c r="S102">
        <v>31.4</v>
      </c>
      <c r="T102">
        <v>90.2</v>
      </c>
      <c r="U102">
        <v>0.5</v>
      </c>
      <c r="V102">
        <v>2</v>
      </c>
      <c r="W102">
        <v>2.2999999999999998</v>
      </c>
      <c r="X102">
        <v>2.66825</v>
      </c>
      <c r="Y102">
        <v>0.30470000000000003</v>
      </c>
      <c r="Z102">
        <v>93.299800000000005</v>
      </c>
      <c r="AA102">
        <v>10</v>
      </c>
      <c r="AB102">
        <v>0.4</v>
      </c>
      <c r="AC102">
        <v>0</v>
      </c>
      <c r="AD102">
        <v>0</v>
      </c>
    </row>
    <row r="103" spans="1:30" x14ac:dyDescent="0.55000000000000004">
      <c r="A103">
        <v>88190</v>
      </c>
      <c r="B103" s="19">
        <v>41803</v>
      </c>
      <c r="C103">
        <v>845</v>
      </c>
      <c r="D103">
        <v>2014</v>
      </c>
      <c r="E103">
        <v>25</v>
      </c>
      <c r="F103">
        <v>594</v>
      </c>
      <c r="G103">
        <v>1</v>
      </c>
      <c r="H103">
        <v>463</v>
      </c>
      <c r="I103">
        <v>3</v>
      </c>
      <c r="J103">
        <v>4755.05</v>
      </c>
      <c r="K103">
        <v>8525.7199999999993</v>
      </c>
      <c r="L103">
        <v>4754.7</v>
      </c>
      <c r="M103">
        <v>8525.8799999999992</v>
      </c>
      <c r="N103">
        <v>47.917499999999997</v>
      </c>
      <c r="O103">
        <v>-85.428667000000004</v>
      </c>
      <c r="P103">
        <v>47.911667000000001</v>
      </c>
      <c r="Q103">
        <v>-85.431332999999995</v>
      </c>
      <c r="R103">
        <v>487.48221030000002</v>
      </c>
      <c r="S103">
        <v>26</v>
      </c>
      <c r="T103">
        <v>60.5</v>
      </c>
      <c r="U103">
        <v>0.5</v>
      </c>
      <c r="V103">
        <v>2</v>
      </c>
      <c r="W103">
        <v>2.4</v>
      </c>
      <c r="X103">
        <v>3.1429</v>
      </c>
      <c r="Y103">
        <v>4.9399999999999999E-2</v>
      </c>
      <c r="Z103">
        <v>43.470350000000003</v>
      </c>
      <c r="AA103">
        <v>10</v>
      </c>
      <c r="AB103">
        <v>0.42</v>
      </c>
      <c r="AC103">
        <v>217</v>
      </c>
      <c r="AD103">
        <v>73</v>
      </c>
    </row>
    <row r="104" spans="1:30" x14ac:dyDescent="0.55000000000000004">
      <c r="A104">
        <v>88191</v>
      </c>
      <c r="B104" s="19">
        <v>41803</v>
      </c>
      <c r="C104">
        <v>835</v>
      </c>
      <c r="D104">
        <v>2014</v>
      </c>
      <c r="E104">
        <v>25</v>
      </c>
      <c r="F104">
        <v>595</v>
      </c>
      <c r="G104">
        <v>1</v>
      </c>
      <c r="H104">
        <v>463</v>
      </c>
      <c r="I104">
        <v>3</v>
      </c>
      <c r="J104">
        <v>4755.05</v>
      </c>
      <c r="K104">
        <v>8525.7199999999993</v>
      </c>
      <c r="L104">
        <v>4754.7</v>
      </c>
      <c r="M104">
        <v>8525.8799999999992</v>
      </c>
      <c r="N104">
        <v>47.917499999999997</v>
      </c>
      <c r="O104">
        <v>-85.428667000000004</v>
      </c>
      <c r="P104">
        <v>47.911667000000001</v>
      </c>
      <c r="Q104">
        <v>-85.431332999999995</v>
      </c>
      <c r="R104">
        <v>487.48221030000002</v>
      </c>
      <c r="S104">
        <v>26</v>
      </c>
      <c r="T104">
        <v>60.5</v>
      </c>
      <c r="U104">
        <v>0.5</v>
      </c>
      <c r="V104">
        <v>2</v>
      </c>
      <c r="W104">
        <v>2.4</v>
      </c>
      <c r="X104">
        <v>3.1429</v>
      </c>
      <c r="Y104">
        <v>4.9399999999999999E-2</v>
      </c>
      <c r="Z104">
        <v>43.470350000000003</v>
      </c>
      <c r="AA104">
        <v>10</v>
      </c>
      <c r="AB104">
        <v>0.42</v>
      </c>
      <c r="AC104">
        <v>217</v>
      </c>
      <c r="AD104">
        <v>45</v>
      </c>
    </row>
    <row r="105" spans="1:30" x14ac:dyDescent="0.55000000000000004">
      <c r="A105">
        <v>88192</v>
      </c>
      <c r="B105" s="19">
        <v>41803</v>
      </c>
      <c r="C105">
        <v>1537</v>
      </c>
      <c r="D105">
        <v>2014</v>
      </c>
      <c r="E105">
        <v>25</v>
      </c>
      <c r="F105">
        <v>596</v>
      </c>
      <c r="G105">
        <v>1</v>
      </c>
      <c r="H105">
        <v>465</v>
      </c>
      <c r="I105">
        <v>3</v>
      </c>
      <c r="J105">
        <v>4807.9799999999996</v>
      </c>
      <c r="K105">
        <v>8603.34</v>
      </c>
      <c r="L105">
        <v>4806.71</v>
      </c>
      <c r="M105">
        <v>8602.9500000000007</v>
      </c>
      <c r="N105">
        <v>48.133000000000003</v>
      </c>
      <c r="O105">
        <v>-86.055667</v>
      </c>
      <c r="P105">
        <v>48.111832999999997</v>
      </c>
      <c r="Q105">
        <v>-86.049166999999997</v>
      </c>
      <c r="R105">
        <v>428.47106969999999</v>
      </c>
      <c r="S105">
        <v>89.3</v>
      </c>
      <c r="T105">
        <v>64.3</v>
      </c>
      <c r="U105">
        <v>0.5</v>
      </c>
      <c r="V105">
        <v>2</v>
      </c>
      <c r="W105">
        <v>2.4</v>
      </c>
      <c r="X105">
        <v>2.7479</v>
      </c>
      <c r="Y105">
        <v>7.3450000000000001E-2</v>
      </c>
      <c r="Z105">
        <v>41.28295</v>
      </c>
      <c r="AA105">
        <v>10</v>
      </c>
      <c r="AB105">
        <v>0.42</v>
      </c>
      <c r="AC105">
        <v>217</v>
      </c>
      <c r="AD105">
        <v>2</v>
      </c>
    </row>
    <row r="106" spans="1:30" x14ac:dyDescent="0.55000000000000004">
      <c r="A106">
        <v>88193</v>
      </c>
      <c r="B106" s="19">
        <v>41803</v>
      </c>
      <c r="C106">
        <v>1537</v>
      </c>
      <c r="D106">
        <v>2014</v>
      </c>
      <c r="E106">
        <v>25</v>
      </c>
      <c r="F106">
        <v>597</v>
      </c>
      <c r="G106">
        <v>1</v>
      </c>
      <c r="H106">
        <v>465</v>
      </c>
      <c r="I106">
        <v>3</v>
      </c>
      <c r="J106">
        <v>4807.9799999999996</v>
      </c>
      <c r="K106">
        <v>8603.34</v>
      </c>
      <c r="L106">
        <v>4806.71</v>
      </c>
      <c r="M106">
        <v>8602.9500000000007</v>
      </c>
      <c r="N106">
        <v>48.133000000000003</v>
      </c>
      <c r="O106">
        <v>-86.055667</v>
      </c>
      <c r="P106">
        <v>48.111832999999997</v>
      </c>
      <c r="Q106">
        <v>-86.049166999999997</v>
      </c>
      <c r="R106">
        <v>428.47106969999999</v>
      </c>
      <c r="S106">
        <v>89.3</v>
      </c>
      <c r="T106">
        <v>64.3</v>
      </c>
      <c r="U106">
        <v>0.5</v>
      </c>
      <c r="V106">
        <v>2</v>
      </c>
      <c r="W106">
        <v>2.4</v>
      </c>
      <c r="X106">
        <v>2.7479</v>
      </c>
      <c r="Y106">
        <v>7.3450000000000001E-2</v>
      </c>
      <c r="Z106">
        <v>41.28295</v>
      </c>
      <c r="AA106">
        <v>10</v>
      </c>
      <c r="AB106">
        <v>0.42</v>
      </c>
      <c r="AC106">
        <v>0</v>
      </c>
      <c r="AD106">
        <v>0</v>
      </c>
    </row>
    <row r="107" spans="1:30" x14ac:dyDescent="0.55000000000000004">
      <c r="A107">
        <v>88198</v>
      </c>
      <c r="B107" s="19">
        <v>41804</v>
      </c>
      <c r="C107">
        <v>859</v>
      </c>
      <c r="D107">
        <v>2014</v>
      </c>
      <c r="E107">
        <v>25</v>
      </c>
      <c r="F107">
        <v>598</v>
      </c>
      <c r="G107">
        <v>1</v>
      </c>
      <c r="H107">
        <v>420</v>
      </c>
      <c r="I107">
        <v>3</v>
      </c>
      <c r="J107">
        <v>4846.13</v>
      </c>
      <c r="K107">
        <v>8637.8799999999992</v>
      </c>
      <c r="L107">
        <v>4845.9799999999996</v>
      </c>
      <c r="M107">
        <v>8638.41</v>
      </c>
      <c r="N107">
        <v>48.768833000000001</v>
      </c>
      <c r="O107">
        <v>-86.631332999999998</v>
      </c>
      <c r="P107">
        <v>48.766333000000003</v>
      </c>
      <c r="Q107">
        <v>-86.640167000000005</v>
      </c>
      <c r="R107">
        <v>947.66548560000001</v>
      </c>
      <c r="S107">
        <v>15.7</v>
      </c>
      <c r="T107">
        <v>29.8</v>
      </c>
      <c r="U107">
        <v>0.5</v>
      </c>
      <c r="V107">
        <v>2</v>
      </c>
      <c r="W107">
        <v>2.8</v>
      </c>
      <c r="X107">
        <v>3.2204000000000002</v>
      </c>
      <c r="Y107">
        <v>8.8000000000000005E-3</v>
      </c>
      <c r="Z107">
        <v>53.087499999999999</v>
      </c>
      <c r="AA107">
        <v>10</v>
      </c>
      <c r="AB107">
        <v>0.42</v>
      </c>
      <c r="AC107">
        <v>217</v>
      </c>
      <c r="AD107">
        <v>1</v>
      </c>
    </row>
    <row r="108" spans="1:30" x14ac:dyDescent="0.55000000000000004">
      <c r="A108">
        <v>88199</v>
      </c>
      <c r="B108" s="19">
        <v>41804</v>
      </c>
      <c r="C108">
        <v>859</v>
      </c>
      <c r="D108">
        <v>2014</v>
      </c>
      <c r="E108">
        <v>25</v>
      </c>
      <c r="F108">
        <v>599</v>
      </c>
      <c r="G108">
        <v>1</v>
      </c>
      <c r="H108">
        <v>420</v>
      </c>
      <c r="I108">
        <v>3</v>
      </c>
      <c r="J108">
        <v>4846.13</v>
      </c>
      <c r="K108">
        <v>8637.8799999999992</v>
      </c>
      <c r="L108">
        <v>4845.9799999999996</v>
      </c>
      <c r="M108">
        <v>8638.41</v>
      </c>
      <c r="N108">
        <v>48.768833000000001</v>
      </c>
      <c r="O108">
        <v>-86.631332999999998</v>
      </c>
      <c r="P108">
        <v>48.766333000000003</v>
      </c>
      <c r="Q108">
        <v>-86.640167000000005</v>
      </c>
      <c r="R108">
        <v>947.66548560000001</v>
      </c>
      <c r="S108">
        <v>15.7</v>
      </c>
      <c r="T108">
        <v>29.8</v>
      </c>
      <c r="U108">
        <v>0.5</v>
      </c>
      <c r="V108">
        <v>2</v>
      </c>
      <c r="W108">
        <v>2.8</v>
      </c>
      <c r="X108">
        <v>3.2204000000000002</v>
      </c>
      <c r="Y108">
        <v>8.8000000000000005E-3</v>
      </c>
      <c r="Z108">
        <v>53.087499999999999</v>
      </c>
      <c r="AA108">
        <v>10</v>
      </c>
      <c r="AB108">
        <v>0.42</v>
      </c>
      <c r="AC108">
        <v>217</v>
      </c>
      <c r="AD108">
        <v>1</v>
      </c>
    </row>
    <row r="109" spans="1:30" x14ac:dyDescent="0.55000000000000004">
      <c r="A109">
        <v>88199</v>
      </c>
      <c r="B109" s="19">
        <v>41804</v>
      </c>
      <c r="C109">
        <v>859</v>
      </c>
      <c r="D109">
        <v>2014</v>
      </c>
      <c r="E109">
        <v>25</v>
      </c>
      <c r="F109">
        <v>599</v>
      </c>
      <c r="G109">
        <v>1</v>
      </c>
      <c r="H109">
        <v>420</v>
      </c>
      <c r="I109">
        <v>3</v>
      </c>
      <c r="J109">
        <v>4846.13</v>
      </c>
      <c r="K109">
        <v>8637.8799999999992</v>
      </c>
      <c r="L109">
        <v>4845.9799999999996</v>
      </c>
      <c r="M109">
        <v>8638.41</v>
      </c>
      <c r="N109">
        <v>48.768833000000001</v>
      </c>
      <c r="O109">
        <v>-86.631332999999998</v>
      </c>
      <c r="P109">
        <v>48.766333000000003</v>
      </c>
      <c r="Q109">
        <v>-86.640167000000005</v>
      </c>
      <c r="R109">
        <v>947.66548560000001</v>
      </c>
      <c r="S109">
        <v>15.7</v>
      </c>
      <c r="T109">
        <v>29.8</v>
      </c>
      <c r="U109">
        <v>0.5</v>
      </c>
      <c r="V109">
        <v>2</v>
      </c>
      <c r="W109">
        <v>2.8</v>
      </c>
      <c r="X109">
        <v>3.2204000000000002</v>
      </c>
      <c r="Y109">
        <v>8.8000000000000005E-3</v>
      </c>
      <c r="Z109">
        <v>53.087499999999999</v>
      </c>
      <c r="AA109">
        <v>10</v>
      </c>
      <c r="AB109">
        <v>0.42</v>
      </c>
      <c r="AC109">
        <v>310</v>
      </c>
      <c r="AD109">
        <v>1</v>
      </c>
    </row>
    <row r="110" spans="1:30" x14ac:dyDescent="0.55000000000000004">
      <c r="A110">
        <v>88203</v>
      </c>
      <c r="B110" s="19">
        <v>41804</v>
      </c>
      <c r="C110">
        <v>1440</v>
      </c>
      <c r="D110">
        <v>2014</v>
      </c>
      <c r="E110">
        <v>25</v>
      </c>
      <c r="F110">
        <v>600</v>
      </c>
      <c r="G110">
        <v>1</v>
      </c>
      <c r="H110">
        <v>417</v>
      </c>
      <c r="I110">
        <v>3</v>
      </c>
      <c r="J110">
        <v>4848.8999999999996</v>
      </c>
      <c r="K110">
        <v>8726.77</v>
      </c>
      <c r="L110">
        <v>4849.13</v>
      </c>
      <c r="M110">
        <v>8727.19</v>
      </c>
      <c r="N110">
        <v>48.814999999999998</v>
      </c>
      <c r="O110">
        <v>-87.446167000000003</v>
      </c>
      <c r="P110">
        <v>48.818832999999998</v>
      </c>
      <c r="Q110">
        <v>-87.453166999999993</v>
      </c>
      <c r="R110">
        <v>436.81210759999999</v>
      </c>
      <c r="S110">
        <v>66.099999999999994</v>
      </c>
      <c r="T110">
        <v>42.4</v>
      </c>
      <c r="U110">
        <v>0.5</v>
      </c>
      <c r="V110">
        <v>2</v>
      </c>
      <c r="W110">
        <v>3.3</v>
      </c>
      <c r="X110">
        <v>3.7218</v>
      </c>
      <c r="Y110">
        <v>0.2334</v>
      </c>
      <c r="Z110">
        <v>86.041899999999998</v>
      </c>
      <c r="AA110">
        <v>10</v>
      </c>
      <c r="AB110">
        <v>0.42</v>
      </c>
      <c r="AC110">
        <v>217</v>
      </c>
      <c r="AD110">
        <v>100</v>
      </c>
    </row>
    <row r="111" spans="1:30" x14ac:dyDescent="0.55000000000000004">
      <c r="A111">
        <v>88204</v>
      </c>
      <c r="B111" s="19">
        <v>41804</v>
      </c>
      <c r="C111">
        <v>1440</v>
      </c>
      <c r="D111">
        <v>2014</v>
      </c>
      <c r="E111">
        <v>25</v>
      </c>
      <c r="F111">
        <v>601</v>
      </c>
      <c r="G111">
        <v>1</v>
      </c>
      <c r="H111">
        <v>417</v>
      </c>
      <c r="I111">
        <v>3</v>
      </c>
      <c r="J111">
        <v>4848.8999999999996</v>
      </c>
      <c r="K111">
        <v>8726.77</v>
      </c>
      <c r="L111">
        <v>4849.13</v>
      </c>
      <c r="M111">
        <v>8727.19</v>
      </c>
      <c r="N111">
        <v>48.814999999999998</v>
      </c>
      <c r="O111">
        <v>-87.446167000000003</v>
      </c>
      <c r="P111">
        <v>48.818832999999998</v>
      </c>
      <c r="Q111">
        <v>-87.453166999999993</v>
      </c>
      <c r="R111">
        <v>436.81210759999999</v>
      </c>
      <c r="S111">
        <v>66.099999999999994</v>
      </c>
      <c r="T111">
        <v>42.4</v>
      </c>
      <c r="U111">
        <v>0.5</v>
      </c>
      <c r="V111">
        <v>2</v>
      </c>
      <c r="W111">
        <v>3.3</v>
      </c>
      <c r="X111">
        <v>3.7218</v>
      </c>
      <c r="Y111">
        <v>0.2334</v>
      </c>
      <c r="Z111">
        <v>86.041899999999998</v>
      </c>
      <c r="AA111">
        <v>10</v>
      </c>
      <c r="AB111">
        <v>0.42</v>
      </c>
      <c r="AC111">
        <v>217</v>
      </c>
      <c r="AD111">
        <v>89</v>
      </c>
    </row>
    <row r="112" spans="1:30" x14ac:dyDescent="0.55000000000000004">
      <c r="A112">
        <v>88211</v>
      </c>
      <c r="B112" s="19">
        <v>41806</v>
      </c>
      <c r="C112">
        <v>1254</v>
      </c>
      <c r="D112">
        <v>2014</v>
      </c>
      <c r="E112">
        <v>25</v>
      </c>
      <c r="F112">
        <v>602</v>
      </c>
      <c r="G112">
        <v>1</v>
      </c>
      <c r="H112">
        <v>406</v>
      </c>
      <c r="I112">
        <v>3</v>
      </c>
      <c r="J112">
        <v>4831.1000000000004</v>
      </c>
      <c r="K112">
        <v>8836.09</v>
      </c>
      <c r="L112">
        <v>4830.8100000000004</v>
      </c>
      <c r="M112">
        <v>8836.4599999999991</v>
      </c>
      <c r="N112">
        <v>48.518332999999998</v>
      </c>
      <c r="O112">
        <v>-88.601500000000001</v>
      </c>
      <c r="P112">
        <v>48.513500000000001</v>
      </c>
      <c r="Q112">
        <v>-88.607667000000006</v>
      </c>
      <c r="R112">
        <v>990.25055569999995</v>
      </c>
      <c r="S112">
        <v>26.8</v>
      </c>
      <c r="T112">
        <v>38.799999999999997</v>
      </c>
      <c r="U112">
        <v>0.5</v>
      </c>
      <c r="V112">
        <v>2</v>
      </c>
      <c r="W112">
        <v>7.2</v>
      </c>
      <c r="X112">
        <v>8.6691000000000003</v>
      </c>
      <c r="Y112">
        <v>8.7650000000000006E-2</v>
      </c>
      <c r="Z112">
        <v>56.579349999999998</v>
      </c>
      <c r="AA112">
        <v>10</v>
      </c>
      <c r="AB112">
        <v>0.38</v>
      </c>
      <c r="AC112">
        <v>217</v>
      </c>
      <c r="AD112">
        <v>1</v>
      </c>
    </row>
    <row r="113" spans="1:30" x14ac:dyDescent="0.55000000000000004">
      <c r="A113">
        <v>88212</v>
      </c>
      <c r="B113" s="19">
        <v>41806</v>
      </c>
      <c r="C113">
        <v>1254</v>
      </c>
      <c r="D113">
        <v>2014</v>
      </c>
      <c r="E113">
        <v>25</v>
      </c>
      <c r="F113">
        <v>603</v>
      </c>
      <c r="G113">
        <v>1</v>
      </c>
      <c r="H113">
        <v>406</v>
      </c>
      <c r="I113">
        <v>3</v>
      </c>
      <c r="J113">
        <v>4831.1000000000004</v>
      </c>
      <c r="K113">
        <v>8836.09</v>
      </c>
      <c r="L113">
        <v>4830.8100000000004</v>
      </c>
      <c r="M113">
        <v>8836.4599999999991</v>
      </c>
      <c r="N113">
        <v>48.518332999999998</v>
      </c>
      <c r="O113">
        <v>-88.601500000000001</v>
      </c>
      <c r="P113">
        <v>48.513500000000001</v>
      </c>
      <c r="Q113">
        <v>-88.607667000000006</v>
      </c>
      <c r="R113">
        <v>990.25055569999995</v>
      </c>
      <c r="S113">
        <v>26.8</v>
      </c>
      <c r="T113">
        <v>38.799999999999997</v>
      </c>
      <c r="U113">
        <v>0.5</v>
      </c>
      <c r="V113">
        <v>2</v>
      </c>
      <c r="W113">
        <v>7.2</v>
      </c>
      <c r="X113">
        <v>8.6691000000000003</v>
      </c>
      <c r="Y113">
        <v>8.7650000000000006E-2</v>
      </c>
      <c r="Z113">
        <v>56.579349999999998</v>
      </c>
      <c r="AA113">
        <v>10</v>
      </c>
      <c r="AB113">
        <v>0.38</v>
      </c>
      <c r="AC113">
        <v>0</v>
      </c>
      <c r="AD113">
        <v>0</v>
      </c>
    </row>
    <row r="114" spans="1:30" x14ac:dyDescent="0.55000000000000004">
      <c r="A114">
        <v>88215</v>
      </c>
      <c r="B114" s="19">
        <v>41807</v>
      </c>
      <c r="C114">
        <v>921</v>
      </c>
      <c r="D114">
        <v>2014</v>
      </c>
      <c r="E114">
        <v>25</v>
      </c>
      <c r="F114">
        <v>604</v>
      </c>
      <c r="G114">
        <v>1</v>
      </c>
      <c r="H114">
        <v>401</v>
      </c>
      <c r="I114">
        <v>3</v>
      </c>
      <c r="J114">
        <v>4829.9799999999996</v>
      </c>
      <c r="K114">
        <v>8856.44</v>
      </c>
      <c r="L114">
        <v>4830.17</v>
      </c>
      <c r="M114">
        <v>8855.9699999999993</v>
      </c>
      <c r="N114">
        <v>48.499667000000002</v>
      </c>
      <c r="O114">
        <v>-88.940667000000005</v>
      </c>
      <c r="P114">
        <v>48.502833000000003</v>
      </c>
      <c r="Q114">
        <v>-88.932833000000002</v>
      </c>
      <c r="R114">
        <v>855.87547559999996</v>
      </c>
      <c r="S114">
        <v>39.6</v>
      </c>
      <c r="U114">
        <v>0.5</v>
      </c>
      <c r="V114">
        <v>2</v>
      </c>
      <c r="W114">
        <v>9.5</v>
      </c>
      <c r="X114">
        <v>8.0481999999999996</v>
      </c>
      <c r="Y114">
        <v>0.58179999999999998</v>
      </c>
      <c r="Z114">
        <v>60.07385</v>
      </c>
      <c r="AA114">
        <v>10</v>
      </c>
      <c r="AB114">
        <v>0.42</v>
      </c>
      <c r="AC114">
        <v>217</v>
      </c>
      <c r="AD114">
        <v>146</v>
      </c>
    </row>
    <row r="115" spans="1:30" x14ac:dyDescent="0.55000000000000004">
      <c r="A115">
        <v>88216</v>
      </c>
      <c r="B115" s="19">
        <v>41807</v>
      </c>
      <c r="C115">
        <v>921</v>
      </c>
      <c r="D115">
        <v>2014</v>
      </c>
      <c r="E115">
        <v>25</v>
      </c>
      <c r="F115">
        <v>605</v>
      </c>
      <c r="G115">
        <v>1</v>
      </c>
      <c r="H115">
        <v>401</v>
      </c>
      <c r="I115">
        <v>3</v>
      </c>
      <c r="J115">
        <v>4829.9799999999996</v>
      </c>
      <c r="K115">
        <v>8856.44</v>
      </c>
      <c r="L115">
        <v>4830.17</v>
      </c>
      <c r="M115">
        <v>8855.9699999999993</v>
      </c>
      <c r="N115">
        <v>48.499667000000002</v>
      </c>
      <c r="O115">
        <v>-88.940667000000005</v>
      </c>
      <c r="P115">
        <v>48.502833000000003</v>
      </c>
      <c r="Q115">
        <v>-88.932833000000002</v>
      </c>
      <c r="R115">
        <v>855.87547559999996</v>
      </c>
      <c r="S115">
        <v>39.6</v>
      </c>
      <c r="T115">
        <v>47.9</v>
      </c>
      <c r="U115">
        <v>0.5</v>
      </c>
      <c r="V115">
        <v>2</v>
      </c>
      <c r="W115">
        <v>9.5</v>
      </c>
      <c r="X115">
        <v>8.0481999999999996</v>
      </c>
      <c r="Y115">
        <v>0.58179999999999998</v>
      </c>
      <c r="Z115">
        <v>60.07385</v>
      </c>
      <c r="AA115">
        <v>10</v>
      </c>
      <c r="AB115">
        <v>0.42</v>
      </c>
      <c r="AC115">
        <v>217</v>
      </c>
      <c r="AD115">
        <v>46</v>
      </c>
    </row>
    <row r="116" spans="1:30" x14ac:dyDescent="0.55000000000000004">
      <c r="A116">
        <v>88218</v>
      </c>
      <c r="B116" s="19">
        <v>41807</v>
      </c>
      <c r="C116">
        <v>1121</v>
      </c>
      <c r="D116">
        <v>2014</v>
      </c>
      <c r="E116">
        <v>25</v>
      </c>
      <c r="F116">
        <v>606</v>
      </c>
      <c r="G116">
        <v>1</v>
      </c>
      <c r="H116">
        <v>402</v>
      </c>
      <c r="I116">
        <v>3</v>
      </c>
      <c r="J116">
        <v>4822.1099999999997</v>
      </c>
      <c r="K116">
        <v>8852.6</v>
      </c>
      <c r="L116">
        <v>4822.33</v>
      </c>
      <c r="M116">
        <v>8853.06</v>
      </c>
      <c r="N116">
        <v>48.368499999999997</v>
      </c>
      <c r="O116">
        <v>-88.876666999999998</v>
      </c>
      <c r="P116">
        <v>48.372166999999997</v>
      </c>
      <c r="Q116">
        <v>-88.884332999999998</v>
      </c>
      <c r="R116">
        <v>458.0191294</v>
      </c>
      <c r="S116">
        <v>19.7</v>
      </c>
      <c r="T116">
        <v>32.299999999999997</v>
      </c>
      <c r="U116">
        <v>0.5</v>
      </c>
      <c r="V116">
        <v>2</v>
      </c>
      <c r="W116">
        <v>5.5</v>
      </c>
      <c r="X116">
        <v>5.6989000000000001</v>
      </c>
      <c r="Y116">
        <v>0.41525000000000001</v>
      </c>
      <c r="Z116">
        <v>80.682249999999996</v>
      </c>
      <c r="AA116">
        <v>10</v>
      </c>
      <c r="AB116">
        <v>0.42</v>
      </c>
      <c r="AC116">
        <v>217</v>
      </c>
      <c r="AD116">
        <v>2</v>
      </c>
    </row>
    <row r="117" spans="1:30" x14ac:dyDescent="0.55000000000000004">
      <c r="A117">
        <v>88219</v>
      </c>
      <c r="B117" s="19">
        <v>41807</v>
      </c>
      <c r="C117">
        <v>1121</v>
      </c>
      <c r="D117">
        <v>2014</v>
      </c>
      <c r="E117">
        <v>25</v>
      </c>
      <c r="F117">
        <v>607</v>
      </c>
      <c r="G117">
        <v>1</v>
      </c>
      <c r="H117">
        <v>402</v>
      </c>
      <c r="I117">
        <v>3</v>
      </c>
      <c r="J117">
        <v>4822.1099999999997</v>
      </c>
      <c r="K117">
        <v>8852.6</v>
      </c>
      <c r="L117">
        <v>4822.33</v>
      </c>
      <c r="M117">
        <v>8853.06</v>
      </c>
      <c r="N117">
        <v>48.368499999999997</v>
      </c>
      <c r="O117">
        <v>-88.876666999999998</v>
      </c>
      <c r="P117">
        <v>48.372166999999997</v>
      </c>
      <c r="Q117">
        <v>-88.884332999999998</v>
      </c>
      <c r="R117">
        <v>458.0191294</v>
      </c>
      <c r="S117">
        <v>19.7</v>
      </c>
      <c r="T117">
        <v>32.299999999999997</v>
      </c>
      <c r="U117">
        <v>0.5</v>
      </c>
      <c r="V117">
        <v>2</v>
      </c>
      <c r="W117">
        <v>5.5</v>
      </c>
      <c r="X117">
        <v>5.6989000000000001</v>
      </c>
      <c r="Y117">
        <v>0.41525000000000001</v>
      </c>
      <c r="Z117">
        <v>80.682249999999996</v>
      </c>
      <c r="AA117">
        <v>10</v>
      </c>
      <c r="AB117">
        <v>0.42</v>
      </c>
      <c r="AC117">
        <v>0</v>
      </c>
      <c r="AD117">
        <v>0</v>
      </c>
    </row>
    <row r="118" spans="1:30" x14ac:dyDescent="0.55000000000000004">
      <c r="A118">
        <v>88221</v>
      </c>
      <c r="B118" s="19">
        <v>41807</v>
      </c>
      <c r="C118">
        <v>1334</v>
      </c>
      <c r="D118">
        <v>2014</v>
      </c>
      <c r="E118">
        <v>25</v>
      </c>
      <c r="F118">
        <v>608</v>
      </c>
      <c r="G118">
        <v>1</v>
      </c>
      <c r="H118">
        <v>404</v>
      </c>
      <c r="I118">
        <v>3</v>
      </c>
      <c r="J118">
        <v>4818.09</v>
      </c>
      <c r="K118">
        <v>8855.24</v>
      </c>
      <c r="L118">
        <v>4817.8999999999996</v>
      </c>
      <c r="M118">
        <v>8855.7099999999991</v>
      </c>
      <c r="N118">
        <v>48.301499999999997</v>
      </c>
      <c r="O118">
        <v>-88.920666999999995</v>
      </c>
      <c r="P118">
        <v>48.298333</v>
      </c>
      <c r="Q118">
        <v>-88.9285</v>
      </c>
      <c r="R118">
        <v>463.59602719999998</v>
      </c>
      <c r="S118">
        <v>77</v>
      </c>
      <c r="T118">
        <v>75</v>
      </c>
      <c r="U118">
        <v>0.5</v>
      </c>
      <c r="V118">
        <v>2</v>
      </c>
      <c r="W118">
        <v>8.1999999999999993</v>
      </c>
      <c r="X118">
        <v>7.0876999999999999</v>
      </c>
      <c r="Y118">
        <v>0.16350000000000001</v>
      </c>
      <c r="Z118">
        <v>61.065849999999998</v>
      </c>
      <c r="AA118">
        <v>10</v>
      </c>
      <c r="AB118">
        <v>0.42</v>
      </c>
      <c r="AC118">
        <v>217</v>
      </c>
      <c r="AD118">
        <v>47</v>
      </c>
    </row>
    <row r="119" spans="1:30" x14ac:dyDescent="0.55000000000000004">
      <c r="A119">
        <v>88222</v>
      </c>
      <c r="B119" s="19">
        <v>41807</v>
      </c>
      <c r="C119">
        <v>1334</v>
      </c>
      <c r="D119">
        <v>2014</v>
      </c>
      <c r="E119">
        <v>25</v>
      </c>
      <c r="F119">
        <v>609</v>
      </c>
      <c r="G119">
        <v>1</v>
      </c>
      <c r="H119">
        <v>404</v>
      </c>
      <c r="I119">
        <v>3</v>
      </c>
      <c r="J119">
        <v>4818.09</v>
      </c>
      <c r="K119">
        <v>8855.24</v>
      </c>
      <c r="L119">
        <v>4817.8999999999996</v>
      </c>
      <c r="M119">
        <v>8855.7099999999991</v>
      </c>
      <c r="N119">
        <v>48.301499999999997</v>
      </c>
      <c r="O119">
        <v>-88.920666999999995</v>
      </c>
      <c r="P119">
        <v>48.298333</v>
      </c>
      <c r="Q119">
        <v>-88.9285</v>
      </c>
      <c r="R119">
        <v>463.59602719999998</v>
      </c>
      <c r="S119">
        <v>77</v>
      </c>
      <c r="T119">
        <v>75</v>
      </c>
      <c r="U119">
        <v>0.5</v>
      </c>
      <c r="V119">
        <v>2</v>
      </c>
      <c r="W119">
        <v>8.1999999999999993</v>
      </c>
      <c r="X119">
        <v>7.0876999999999999</v>
      </c>
      <c r="Y119">
        <v>0.16350000000000001</v>
      </c>
      <c r="Z119">
        <v>61.065849999999998</v>
      </c>
      <c r="AA119">
        <v>10</v>
      </c>
      <c r="AB119">
        <v>0.42</v>
      </c>
      <c r="AC119">
        <v>217</v>
      </c>
      <c r="AD119">
        <v>36</v>
      </c>
    </row>
    <row r="120" spans="1:30" x14ac:dyDescent="0.55000000000000004">
      <c r="A120">
        <v>88223</v>
      </c>
      <c r="B120" s="19">
        <v>41808</v>
      </c>
      <c r="C120">
        <v>801</v>
      </c>
      <c r="D120">
        <v>2014</v>
      </c>
      <c r="E120">
        <v>25</v>
      </c>
      <c r="F120">
        <v>610</v>
      </c>
      <c r="G120">
        <v>1</v>
      </c>
      <c r="H120">
        <v>403</v>
      </c>
      <c r="I120">
        <v>3</v>
      </c>
      <c r="J120">
        <v>4815.92</v>
      </c>
      <c r="K120">
        <v>8909.91</v>
      </c>
      <c r="L120">
        <v>4815.5600000000004</v>
      </c>
      <c r="M120">
        <v>8909.89</v>
      </c>
      <c r="N120">
        <v>48.265332999999998</v>
      </c>
      <c r="O120">
        <v>-89.165166999999997</v>
      </c>
      <c r="P120">
        <v>48.259332999999998</v>
      </c>
      <c r="Q120">
        <v>-89.164833000000002</v>
      </c>
      <c r="R120">
        <v>254.71853870000001</v>
      </c>
      <c r="S120">
        <v>37.799999999999997</v>
      </c>
      <c r="T120">
        <v>28.4</v>
      </c>
      <c r="U120">
        <v>0.5</v>
      </c>
      <c r="V120">
        <v>2</v>
      </c>
      <c r="W120">
        <v>6.8</v>
      </c>
      <c r="X120">
        <v>7.5385499999999999</v>
      </c>
      <c r="Y120">
        <v>0.96114999999999995</v>
      </c>
      <c r="Z120">
        <v>54.722900000000003</v>
      </c>
      <c r="AA120">
        <v>10</v>
      </c>
      <c r="AB120">
        <v>0.4</v>
      </c>
      <c r="AC120">
        <v>217</v>
      </c>
      <c r="AD120">
        <v>100</v>
      </c>
    </row>
    <row r="121" spans="1:30" x14ac:dyDescent="0.55000000000000004">
      <c r="A121">
        <v>88224</v>
      </c>
      <c r="B121" s="19">
        <v>41808</v>
      </c>
      <c r="C121">
        <v>801</v>
      </c>
      <c r="D121">
        <v>2014</v>
      </c>
      <c r="E121">
        <v>25</v>
      </c>
      <c r="F121">
        <v>611</v>
      </c>
      <c r="G121">
        <v>1</v>
      </c>
      <c r="H121">
        <v>403</v>
      </c>
      <c r="I121">
        <v>3</v>
      </c>
      <c r="J121">
        <v>4815.92</v>
      </c>
      <c r="K121">
        <v>8909.91</v>
      </c>
      <c r="L121">
        <v>4815.5600000000004</v>
      </c>
      <c r="M121">
        <v>8909.89</v>
      </c>
      <c r="N121">
        <v>48.265332999999998</v>
      </c>
      <c r="O121">
        <v>-89.165166999999997</v>
      </c>
      <c r="P121">
        <v>48.259332999999998</v>
      </c>
      <c r="Q121">
        <v>-89.164833000000002</v>
      </c>
      <c r="R121">
        <v>254.71853870000001</v>
      </c>
      <c r="S121">
        <v>37.799999999999997</v>
      </c>
      <c r="T121">
        <v>28.4</v>
      </c>
      <c r="U121">
        <v>0.5</v>
      </c>
      <c r="V121">
        <v>2</v>
      </c>
      <c r="W121">
        <v>6.8</v>
      </c>
      <c r="X121">
        <v>7.5385499999999999</v>
      </c>
      <c r="Y121">
        <v>0.96114999999999995</v>
      </c>
      <c r="Z121">
        <v>54.722900000000003</v>
      </c>
      <c r="AA121">
        <v>10</v>
      </c>
      <c r="AB121">
        <v>0.4</v>
      </c>
      <c r="AC121">
        <v>217</v>
      </c>
      <c r="AD121">
        <v>50</v>
      </c>
    </row>
    <row r="122" spans="1:30" x14ac:dyDescent="0.55000000000000004">
      <c r="A122">
        <v>88226</v>
      </c>
      <c r="B122" s="19">
        <v>41808</v>
      </c>
      <c r="C122">
        <v>1104</v>
      </c>
      <c r="D122">
        <v>2014</v>
      </c>
      <c r="E122">
        <v>25</v>
      </c>
      <c r="F122">
        <v>612</v>
      </c>
      <c r="G122">
        <v>1</v>
      </c>
      <c r="H122">
        <v>400</v>
      </c>
      <c r="I122">
        <v>3</v>
      </c>
      <c r="J122">
        <v>4804.72</v>
      </c>
      <c r="K122">
        <v>8925.34</v>
      </c>
      <c r="L122">
        <v>4804.66</v>
      </c>
      <c r="M122">
        <v>8924.7900000000009</v>
      </c>
      <c r="N122">
        <v>48.078667000000003</v>
      </c>
      <c r="O122">
        <v>-89.422332999999995</v>
      </c>
      <c r="P122">
        <v>48.077666999999998</v>
      </c>
      <c r="Q122">
        <v>-89.413167000000001</v>
      </c>
      <c r="R122">
        <v>199.16238820000001</v>
      </c>
      <c r="S122">
        <v>30.8</v>
      </c>
      <c r="T122">
        <v>40.700000000000003</v>
      </c>
      <c r="U122">
        <v>0.5</v>
      </c>
      <c r="V122">
        <v>2</v>
      </c>
      <c r="W122">
        <v>6.9</v>
      </c>
      <c r="X122">
        <v>6.6939000000000002</v>
      </c>
      <c r="Y122">
        <v>0.33365</v>
      </c>
      <c r="Z122">
        <v>77.551400000000001</v>
      </c>
      <c r="AA122">
        <v>10</v>
      </c>
      <c r="AB122">
        <v>0.42</v>
      </c>
      <c r="AC122">
        <v>217</v>
      </c>
      <c r="AD122">
        <v>809</v>
      </c>
    </row>
    <row r="123" spans="1:30" x14ac:dyDescent="0.55000000000000004">
      <c r="A123">
        <v>88227</v>
      </c>
      <c r="B123" s="19">
        <v>41808</v>
      </c>
      <c r="C123">
        <v>1104</v>
      </c>
      <c r="D123">
        <v>2014</v>
      </c>
      <c r="E123">
        <v>25</v>
      </c>
      <c r="F123">
        <v>613</v>
      </c>
      <c r="G123">
        <v>1</v>
      </c>
      <c r="H123">
        <v>400</v>
      </c>
      <c r="I123">
        <v>3</v>
      </c>
      <c r="J123">
        <v>4804.72</v>
      </c>
      <c r="K123">
        <v>8925.34</v>
      </c>
      <c r="L123">
        <v>4804.66</v>
      </c>
      <c r="M123">
        <v>8924.7900000000009</v>
      </c>
      <c r="N123">
        <v>48.078667000000003</v>
      </c>
      <c r="O123">
        <v>-89.422332999999995</v>
      </c>
      <c r="P123">
        <v>48.077666999999998</v>
      </c>
      <c r="Q123">
        <v>-89.413167000000001</v>
      </c>
      <c r="R123">
        <v>199.16238820000001</v>
      </c>
      <c r="S123">
        <v>30.8</v>
      </c>
      <c r="T123">
        <v>40.700000000000003</v>
      </c>
      <c r="U123">
        <v>0.5</v>
      </c>
      <c r="V123">
        <v>2</v>
      </c>
      <c r="W123">
        <v>6.9</v>
      </c>
      <c r="X123">
        <v>6.6939000000000002</v>
      </c>
      <c r="Y123">
        <v>0.33365</v>
      </c>
      <c r="Z123">
        <v>77.551400000000001</v>
      </c>
      <c r="AA123">
        <v>10</v>
      </c>
      <c r="AB123">
        <v>0.42</v>
      </c>
      <c r="AC123">
        <v>217</v>
      </c>
      <c r="AD123">
        <v>1132</v>
      </c>
    </row>
    <row r="124" spans="1:30" x14ac:dyDescent="0.55000000000000004">
      <c r="A124">
        <v>88228</v>
      </c>
      <c r="B124" s="19">
        <v>41808</v>
      </c>
      <c r="C124">
        <v>1303</v>
      </c>
      <c r="D124">
        <v>2014</v>
      </c>
      <c r="E124">
        <v>25</v>
      </c>
      <c r="F124">
        <v>614</v>
      </c>
      <c r="G124">
        <v>1</v>
      </c>
      <c r="H124">
        <v>191</v>
      </c>
      <c r="I124">
        <v>3</v>
      </c>
      <c r="J124">
        <v>4758.79</v>
      </c>
      <c r="K124">
        <v>8937.75</v>
      </c>
      <c r="L124">
        <v>4758.46</v>
      </c>
      <c r="M124">
        <v>8937.5400000000009</v>
      </c>
      <c r="N124">
        <v>47.979832999999999</v>
      </c>
      <c r="O124">
        <v>-89.629166999999995</v>
      </c>
      <c r="P124">
        <v>47.974333000000001</v>
      </c>
      <c r="Q124">
        <v>-89.625667000000007</v>
      </c>
      <c r="R124">
        <v>1064.728022</v>
      </c>
      <c r="S124">
        <v>19</v>
      </c>
      <c r="T124">
        <v>24.7</v>
      </c>
      <c r="U124">
        <v>0.5</v>
      </c>
      <c r="V124">
        <v>2</v>
      </c>
      <c r="W124">
        <v>3.8</v>
      </c>
      <c r="X124">
        <v>3.8062499999999999</v>
      </c>
      <c r="Y124">
        <v>0.14810000000000001</v>
      </c>
      <c r="Z124">
        <v>79.558049999999994</v>
      </c>
      <c r="AA124">
        <v>10</v>
      </c>
      <c r="AB124">
        <v>0.42</v>
      </c>
      <c r="AC124">
        <v>217</v>
      </c>
      <c r="AD124">
        <v>52</v>
      </c>
    </row>
    <row r="125" spans="1:30" x14ac:dyDescent="0.55000000000000004">
      <c r="A125">
        <v>88229</v>
      </c>
      <c r="B125" s="19">
        <v>41808</v>
      </c>
      <c r="C125">
        <v>1303</v>
      </c>
      <c r="D125">
        <v>2014</v>
      </c>
      <c r="E125">
        <v>25</v>
      </c>
      <c r="F125">
        <v>615</v>
      </c>
      <c r="G125">
        <v>1</v>
      </c>
      <c r="H125">
        <v>191</v>
      </c>
      <c r="I125">
        <v>3</v>
      </c>
      <c r="J125">
        <v>4758.79</v>
      </c>
      <c r="K125">
        <v>8937.75</v>
      </c>
      <c r="L125">
        <v>4758.46</v>
      </c>
      <c r="M125">
        <v>8937.5400000000009</v>
      </c>
      <c r="N125">
        <v>47.979832999999999</v>
      </c>
      <c r="O125">
        <v>-89.629166999999995</v>
      </c>
      <c r="P125">
        <v>47.974333000000001</v>
      </c>
      <c r="Q125">
        <v>-89.625667000000007</v>
      </c>
      <c r="R125">
        <v>1064.728022</v>
      </c>
      <c r="S125">
        <v>19</v>
      </c>
      <c r="T125">
        <v>24.7</v>
      </c>
      <c r="U125">
        <v>0.5</v>
      </c>
      <c r="V125">
        <v>2</v>
      </c>
      <c r="W125">
        <v>3.8</v>
      </c>
      <c r="X125">
        <v>3.8062499999999999</v>
      </c>
      <c r="Y125">
        <v>0.14810000000000001</v>
      </c>
      <c r="Z125">
        <v>79.558049999999994</v>
      </c>
      <c r="AA125">
        <v>10</v>
      </c>
      <c r="AB125">
        <v>0.42</v>
      </c>
      <c r="AC125">
        <v>217</v>
      </c>
      <c r="AD125">
        <v>78</v>
      </c>
    </row>
    <row r="126" spans="1:30" x14ac:dyDescent="0.55000000000000004">
      <c r="A126">
        <v>88231</v>
      </c>
      <c r="B126" s="19">
        <v>41808</v>
      </c>
      <c r="C126">
        <v>1508</v>
      </c>
      <c r="D126">
        <v>2014</v>
      </c>
      <c r="E126">
        <v>25</v>
      </c>
      <c r="F126">
        <v>616</v>
      </c>
      <c r="G126">
        <v>1</v>
      </c>
      <c r="H126">
        <v>207</v>
      </c>
      <c r="I126">
        <v>3</v>
      </c>
      <c r="J126">
        <v>4750.3900000000003</v>
      </c>
      <c r="K126">
        <v>8955.89</v>
      </c>
      <c r="L126">
        <v>4750.3599999999997</v>
      </c>
      <c r="M126">
        <v>8956.44</v>
      </c>
      <c r="N126">
        <v>47.839832999999999</v>
      </c>
      <c r="O126">
        <v>-89.9315</v>
      </c>
      <c r="P126">
        <v>47.839333000000003</v>
      </c>
      <c r="Q126">
        <v>-89.940667000000005</v>
      </c>
      <c r="R126">
        <v>448.52821749999998</v>
      </c>
      <c r="S126">
        <v>66.7</v>
      </c>
      <c r="T126">
        <v>35.1</v>
      </c>
      <c r="U126">
        <v>0.5</v>
      </c>
      <c r="V126">
        <v>2</v>
      </c>
      <c r="W126">
        <v>2.9</v>
      </c>
      <c r="X126">
        <v>3.4022000000000001</v>
      </c>
      <c r="Y126">
        <v>0.11255</v>
      </c>
      <c r="Z126">
        <v>86.141499999999994</v>
      </c>
      <c r="AA126">
        <v>10</v>
      </c>
      <c r="AB126">
        <v>0.42</v>
      </c>
      <c r="AC126">
        <v>217</v>
      </c>
      <c r="AD126">
        <v>23</v>
      </c>
    </row>
    <row r="127" spans="1:30" x14ac:dyDescent="0.55000000000000004">
      <c r="A127">
        <v>88232</v>
      </c>
      <c r="B127" s="19">
        <v>41808</v>
      </c>
      <c r="C127">
        <v>1508</v>
      </c>
      <c r="D127">
        <v>2014</v>
      </c>
      <c r="E127">
        <v>25</v>
      </c>
      <c r="F127">
        <v>617</v>
      </c>
      <c r="G127">
        <v>1</v>
      </c>
      <c r="H127">
        <v>207</v>
      </c>
      <c r="I127">
        <v>3</v>
      </c>
      <c r="J127">
        <v>4750.3900000000003</v>
      </c>
      <c r="K127">
        <v>8955.89</v>
      </c>
      <c r="L127">
        <v>4750.3599999999997</v>
      </c>
      <c r="M127">
        <v>8956.44</v>
      </c>
      <c r="N127">
        <v>47.839832999999999</v>
      </c>
      <c r="O127">
        <v>-89.9315</v>
      </c>
      <c r="P127">
        <v>47.839333000000003</v>
      </c>
      <c r="Q127">
        <v>-89.940667000000005</v>
      </c>
      <c r="R127">
        <v>448.52821749999998</v>
      </c>
      <c r="S127">
        <v>66.7</v>
      </c>
      <c r="T127">
        <v>35.1</v>
      </c>
      <c r="U127">
        <v>0.5</v>
      </c>
      <c r="V127">
        <v>2</v>
      </c>
      <c r="W127">
        <v>2.9</v>
      </c>
      <c r="X127">
        <v>3.4022000000000001</v>
      </c>
      <c r="Y127">
        <v>0.11255</v>
      </c>
      <c r="Z127">
        <v>86.141499999999994</v>
      </c>
      <c r="AA127">
        <v>10</v>
      </c>
      <c r="AB127">
        <v>0.42</v>
      </c>
      <c r="AC127">
        <v>217</v>
      </c>
      <c r="AD127">
        <v>20</v>
      </c>
    </row>
    <row r="128" spans="1:30" x14ac:dyDescent="0.55000000000000004">
      <c r="A128">
        <v>88234</v>
      </c>
      <c r="B128" s="19">
        <v>41808</v>
      </c>
      <c r="C128">
        <v>1722</v>
      </c>
      <c r="D128">
        <v>2014</v>
      </c>
      <c r="E128">
        <v>25</v>
      </c>
      <c r="F128">
        <v>618</v>
      </c>
      <c r="G128">
        <v>1</v>
      </c>
      <c r="H128">
        <v>65</v>
      </c>
      <c r="I128">
        <v>3</v>
      </c>
      <c r="J128">
        <v>4744.5</v>
      </c>
      <c r="K128">
        <v>9018.7099999999991</v>
      </c>
      <c r="L128">
        <v>4744.47</v>
      </c>
      <c r="M128">
        <v>9019.2800000000007</v>
      </c>
      <c r="N128">
        <v>47.741667</v>
      </c>
      <c r="O128">
        <v>-90.311832999999993</v>
      </c>
      <c r="P128">
        <v>47.741166999999997</v>
      </c>
      <c r="Q128">
        <v>-90.321332999999996</v>
      </c>
      <c r="R128">
        <v>688.20263509999995</v>
      </c>
      <c r="S128">
        <v>109</v>
      </c>
      <c r="T128">
        <v>74.8</v>
      </c>
      <c r="U128">
        <v>0.5</v>
      </c>
      <c r="V128">
        <v>2</v>
      </c>
      <c r="W128">
        <v>2.6</v>
      </c>
      <c r="AA128">
        <v>10</v>
      </c>
      <c r="AB128">
        <v>0.43</v>
      </c>
      <c r="AC128">
        <v>217</v>
      </c>
      <c r="AD128">
        <v>7</v>
      </c>
    </row>
    <row r="129" spans="1:30" x14ac:dyDescent="0.55000000000000004">
      <c r="A129">
        <v>88235</v>
      </c>
      <c r="B129" s="19">
        <v>41808</v>
      </c>
      <c r="C129">
        <v>1722</v>
      </c>
      <c r="D129">
        <v>2014</v>
      </c>
      <c r="E129">
        <v>25</v>
      </c>
      <c r="F129">
        <v>619</v>
      </c>
      <c r="G129">
        <v>1</v>
      </c>
      <c r="H129">
        <v>65</v>
      </c>
      <c r="I129">
        <v>3</v>
      </c>
      <c r="J129">
        <v>4744.5</v>
      </c>
      <c r="K129">
        <v>9018.7099999999991</v>
      </c>
      <c r="L129">
        <v>4744.47</v>
      </c>
      <c r="M129">
        <v>9019.2800000000007</v>
      </c>
      <c r="N129">
        <v>47.741667</v>
      </c>
      <c r="O129">
        <v>-90.311832999999993</v>
      </c>
      <c r="P129">
        <v>47.741166999999997</v>
      </c>
      <c r="Q129">
        <v>-90.321332999999996</v>
      </c>
      <c r="R129">
        <v>688.20263509999995</v>
      </c>
      <c r="S129">
        <v>109</v>
      </c>
      <c r="T129">
        <v>74.8</v>
      </c>
      <c r="U129">
        <v>0.5</v>
      </c>
      <c r="V129">
        <v>2</v>
      </c>
      <c r="W129">
        <v>2.6</v>
      </c>
      <c r="AA129">
        <v>10</v>
      </c>
      <c r="AB129">
        <v>0.43</v>
      </c>
      <c r="AC129">
        <v>217</v>
      </c>
      <c r="AD129">
        <v>11</v>
      </c>
    </row>
    <row r="130" spans="1:30" x14ac:dyDescent="0.55000000000000004">
      <c r="A130">
        <v>88280</v>
      </c>
      <c r="B130" s="19">
        <v>41827</v>
      </c>
      <c r="C130">
        <v>1136</v>
      </c>
      <c r="D130">
        <v>2014</v>
      </c>
      <c r="E130">
        <v>25</v>
      </c>
      <c r="F130">
        <v>620</v>
      </c>
      <c r="G130">
        <v>2</v>
      </c>
      <c r="H130">
        <v>2161</v>
      </c>
      <c r="I130">
        <v>3</v>
      </c>
      <c r="J130">
        <v>4658.82</v>
      </c>
      <c r="K130">
        <v>9114.5499999999993</v>
      </c>
      <c r="L130">
        <v>4659.03</v>
      </c>
      <c r="M130">
        <v>9114.08</v>
      </c>
      <c r="N130">
        <v>46.980333000000002</v>
      </c>
      <c r="O130">
        <v>-91.242500000000007</v>
      </c>
      <c r="P130">
        <v>46.983832999999997</v>
      </c>
      <c r="Q130">
        <v>-91.234667000000002</v>
      </c>
      <c r="R130">
        <v>11430.927079999999</v>
      </c>
      <c r="S130">
        <v>137</v>
      </c>
      <c r="T130">
        <v>135</v>
      </c>
      <c r="U130">
        <v>0.5</v>
      </c>
      <c r="V130">
        <v>2</v>
      </c>
      <c r="W130">
        <v>4</v>
      </c>
      <c r="X130">
        <v>4.4508999999999999</v>
      </c>
      <c r="Y130">
        <v>0.20219999999999999</v>
      </c>
      <c r="Z130">
        <v>88.984999999999999</v>
      </c>
      <c r="AA130">
        <v>10</v>
      </c>
      <c r="AB130">
        <v>0.43</v>
      </c>
      <c r="AC130">
        <v>217</v>
      </c>
      <c r="AD130">
        <v>36</v>
      </c>
    </row>
    <row r="131" spans="1:30" x14ac:dyDescent="0.55000000000000004">
      <c r="A131">
        <v>88281</v>
      </c>
      <c r="B131" s="19">
        <v>41827</v>
      </c>
      <c r="C131">
        <v>1136</v>
      </c>
      <c r="D131">
        <v>2014</v>
      </c>
      <c r="E131">
        <v>25</v>
      </c>
      <c r="F131">
        <v>621</v>
      </c>
      <c r="G131">
        <v>2</v>
      </c>
      <c r="H131">
        <v>2161</v>
      </c>
      <c r="I131">
        <v>3</v>
      </c>
      <c r="J131">
        <v>4658.82</v>
      </c>
      <c r="K131">
        <v>9114.5499999999993</v>
      </c>
      <c r="L131">
        <v>4659.03</v>
      </c>
      <c r="M131">
        <v>9114.08</v>
      </c>
      <c r="N131">
        <v>46.980333000000002</v>
      </c>
      <c r="O131">
        <v>-91.242500000000007</v>
      </c>
      <c r="P131">
        <v>46.983832999999997</v>
      </c>
      <c r="Q131">
        <v>-91.234667000000002</v>
      </c>
      <c r="R131">
        <v>11430.927079999999</v>
      </c>
      <c r="S131">
        <v>137</v>
      </c>
      <c r="T131">
        <v>135</v>
      </c>
      <c r="U131">
        <v>0.5</v>
      </c>
      <c r="V131">
        <v>2</v>
      </c>
      <c r="W131">
        <v>4</v>
      </c>
      <c r="X131">
        <v>4.4508999999999999</v>
      </c>
      <c r="Y131">
        <v>0.20219999999999999</v>
      </c>
      <c r="Z131">
        <v>88.984999999999999</v>
      </c>
      <c r="AA131">
        <v>10</v>
      </c>
      <c r="AB131">
        <v>0.43</v>
      </c>
      <c r="AC131">
        <v>217</v>
      </c>
      <c r="AD131">
        <v>12</v>
      </c>
    </row>
    <row r="132" spans="1:30" x14ac:dyDescent="0.55000000000000004">
      <c r="A132">
        <v>88283</v>
      </c>
      <c r="B132" s="19">
        <v>41827</v>
      </c>
      <c r="C132">
        <v>1623</v>
      </c>
      <c r="D132">
        <v>2014</v>
      </c>
      <c r="E132">
        <v>25</v>
      </c>
      <c r="F132">
        <v>622</v>
      </c>
      <c r="G132">
        <v>2</v>
      </c>
      <c r="H132">
        <v>2133</v>
      </c>
      <c r="I132">
        <v>3</v>
      </c>
      <c r="J132">
        <v>4731.8599999999997</v>
      </c>
      <c r="K132">
        <v>9033.02</v>
      </c>
      <c r="L132">
        <v>4732.05</v>
      </c>
      <c r="M132">
        <v>9032.57</v>
      </c>
      <c r="N132">
        <v>47.530999999999999</v>
      </c>
      <c r="O132">
        <v>-90.550332999999995</v>
      </c>
      <c r="P132">
        <v>47.534166999999997</v>
      </c>
      <c r="Q132">
        <v>-90.542833000000002</v>
      </c>
      <c r="R132">
        <v>15638.0867</v>
      </c>
      <c r="S132">
        <v>184</v>
      </c>
      <c r="T132">
        <v>185</v>
      </c>
      <c r="U132">
        <v>0.5</v>
      </c>
      <c r="V132">
        <v>2</v>
      </c>
      <c r="W132">
        <v>3.2</v>
      </c>
      <c r="X132">
        <v>3.9819</v>
      </c>
      <c r="Y132">
        <v>0.22520000000000001</v>
      </c>
      <c r="Z132">
        <v>89.586299999999994</v>
      </c>
      <c r="AA132">
        <v>10</v>
      </c>
      <c r="AB132">
        <v>0.4</v>
      </c>
      <c r="AC132">
        <v>217</v>
      </c>
      <c r="AD132">
        <v>25</v>
      </c>
    </row>
    <row r="133" spans="1:30" x14ac:dyDescent="0.55000000000000004">
      <c r="A133">
        <v>88284</v>
      </c>
      <c r="B133" s="19">
        <v>41827</v>
      </c>
      <c r="C133">
        <v>1623</v>
      </c>
      <c r="D133">
        <v>2014</v>
      </c>
      <c r="E133">
        <v>25</v>
      </c>
      <c r="F133">
        <v>623</v>
      </c>
      <c r="G133">
        <v>2</v>
      </c>
      <c r="H133">
        <v>2133</v>
      </c>
      <c r="I133">
        <v>3</v>
      </c>
      <c r="J133">
        <v>4731.8599999999997</v>
      </c>
      <c r="K133">
        <v>9033.02</v>
      </c>
      <c r="L133">
        <v>4732.05</v>
      </c>
      <c r="M133">
        <v>9032.57</v>
      </c>
      <c r="N133">
        <v>47.530999999999999</v>
      </c>
      <c r="O133">
        <v>-90.550332999999995</v>
      </c>
      <c r="P133">
        <v>47.534166999999997</v>
      </c>
      <c r="Q133">
        <v>-90.542833000000002</v>
      </c>
      <c r="R133">
        <v>15638.0867</v>
      </c>
      <c r="S133">
        <v>184</v>
      </c>
      <c r="T133">
        <v>185</v>
      </c>
      <c r="U133">
        <v>0.5</v>
      </c>
      <c r="V133">
        <v>2</v>
      </c>
      <c r="W133">
        <v>3.2</v>
      </c>
      <c r="X133">
        <v>3.9819</v>
      </c>
      <c r="Y133">
        <v>0.22520000000000001</v>
      </c>
      <c r="Z133">
        <v>89.586299999999994</v>
      </c>
      <c r="AA133">
        <v>10</v>
      </c>
      <c r="AB133">
        <v>0.4</v>
      </c>
      <c r="AC133">
        <v>217</v>
      </c>
      <c r="AD133">
        <v>16</v>
      </c>
    </row>
    <row r="134" spans="1:30" x14ac:dyDescent="0.55000000000000004">
      <c r="A134">
        <v>88285</v>
      </c>
      <c r="B134" s="19">
        <v>41828</v>
      </c>
      <c r="C134">
        <v>911</v>
      </c>
      <c r="D134">
        <v>2014</v>
      </c>
      <c r="E134">
        <v>25</v>
      </c>
      <c r="F134">
        <v>624</v>
      </c>
      <c r="G134">
        <v>2</v>
      </c>
      <c r="H134">
        <v>2124</v>
      </c>
      <c r="I134">
        <v>3</v>
      </c>
      <c r="J134">
        <v>4730.0600000000004</v>
      </c>
      <c r="K134">
        <v>8959.74</v>
      </c>
      <c r="L134">
        <v>4729.75</v>
      </c>
      <c r="M134">
        <v>8959.9699999999993</v>
      </c>
      <c r="N134">
        <v>47.500999999999998</v>
      </c>
      <c r="O134">
        <v>-89.995666999999997</v>
      </c>
      <c r="P134">
        <v>47.495832999999998</v>
      </c>
      <c r="Q134">
        <v>-89.999499999999998</v>
      </c>
      <c r="R134">
        <v>34414.230860000003</v>
      </c>
      <c r="S134">
        <v>154</v>
      </c>
      <c r="T134">
        <v>153</v>
      </c>
      <c r="U134">
        <v>0.5</v>
      </c>
      <c r="V134">
        <v>2</v>
      </c>
      <c r="W134">
        <v>3.1</v>
      </c>
      <c r="X134">
        <v>3.6112000000000002</v>
      </c>
      <c r="Y134">
        <v>0.25259999999999999</v>
      </c>
      <c r="Z134">
        <v>90.934700000000007</v>
      </c>
      <c r="AA134">
        <v>10</v>
      </c>
      <c r="AB134">
        <v>0.4</v>
      </c>
      <c r="AC134">
        <v>217</v>
      </c>
      <c r="AD134">
        <v>44</v>
      </c>
    </row>
    <row r="135" spans="1:30" x14ac:dyDescent="0.55000000000000004">
      <c r="A135">
        <v>88286</v>
      </c>
      <c r="B135" s="19">
        <v>41828</v>
      </c>
      <c r="C135">
        <v>911</v>
      </c>
      <c r="D135">
        <v>2014</v>
      </c>
      <c r="E135">
        <v>25</v>
      </c>
      <c r="F135">
        <v>625</v>
      </c>
      <c r="G135">
        <v>2</v>
      </c>
      <c r="H135">
        <v>2124</v>
      </c>
      <c r="I135">
        <v>3</v>
      </c>
      <c r="J135">
        <v>4730.0600000000004</v>
      </c>
      <c r="K135">
        <v>8959.74</v>
      </c>
      <c r="L135">
        <v>4729.75</v>
      </c>
      <c r="M135">
        <v>8959.9699999999993</v>
      </c>
      <c r="N135">
        <v>47.500999999999998</v>
      </c>
      <c r="O135">
        <v>-89.995666999999997</v>
      </c>
      <c r="P135">
        <v>47.495832999999998</v>
      </c>
      <c r="Q135">
        <v>-89.999499999999998</v>
      </c>
      <c r="R135">
        <v>34414.230860000003</v>
      </c>
      <c r="S135">
        <v>154</v>
      </c>
      <c r="T135">
        <v>153</v>
      </c>
      <c r="U135">
        <v>0.5</v>
      </c>
      <c r="V135">
        <v>2</v>
      </c>
      <c r="W135">
        <v>3.1</v>
      </c>
      <c r="X135">
        <v>3.6112000000000002</v>
      </c>
      <c r="Y135">
        <v>0.25259999999999999</v>
      </c>
      <c r="Z135">
        <v>90.934700000000007</v>
      </c>
      <c r="AA135">
        <v>10</v>
      </c>
      <c r="AB135">
        <v>0.4</v>
      </c>
      <c r="AC135">
        <v>217</v>
      </c>
      <c r="AD135">
        <v>53</v>
      </c>
    </row>
    <row r="136" spans="1:30" x14ac:dyDescent="0.55000000000000004">
      <c r="A136">
        <v>88287</v>
      </c>
      <c r="B136" s="19">
        <v>41828</v>
      </c>
      <c r="C136">
        <v>1225</v>
      </c>
      <c r="D136">
        <v>2014</v>
      </c>
      <c r="E136">
        <v>25</v>
      </c>
      <c r="F136">
        <v>626</v>
      </c>
      <c r="G136">
        <v>2</v>
      </c>
      <c r="H136">
        <v>2147</v>
      </c>
      <c r="I136">
        <v>3</v>
      </c>
      <c r="J136">
        <v>4709.59</v>
      </c>
      <c r="K136">
        <v>8957.86</v>
      </c>
      <c r="L136">
        <v>4709.34</v>
      </c>
      <c r="M136">
        <v>8958.23</v>
      </c>
      <c r="N136">
        <v>47.159832999999999</v>
      </c>
      <c r="O136">
        <v>-89.964332999999996</v>
      </c>
      <c r="P136">
        <v>47.155667000000001</v>
      </c>
      <c r="Q136">
        <v>-89.970500000000001</v>
      </c>
      <c r="R136">
        <v>33818.304250000001</v>
      </c>
      <c r="S136">
        <v>174</v>
      </c>
      <c r="T136">
        <v>172</v>
      </c>
      <c r="U136">
        <v>0.5</v>
      </c>
      <c r="V136">
        <v>2</v>
      </c>
      <c r="W136">
        <v>3.4</v>
      </c>
      <c r="X136">
        <v>3.8069000000000002</v>
      </c>
      <c r="Y136">
        <v>0.1489</v>
      </c>
      <c r="Z136">
        <v>87.406000000000006</v>
      </c>
      <c r="AA136">
        <v>10</v>
      </c>
      <c r="AB136">
        <v>0.38</v>
      </c>
      <c r="AC136">
        <v>217</v>
      </c>
      <c r="AD136">
        <v>13</v>
      </c>
    </row>
    <row r="137" spans="1:30" x14ac:dyDescent="0.55000000000000004">
      <c r="A137">
        <v>88288</v>
      </c>
      <c r="B137" s="19">
        <v>41828</v>
      </c>
      <c r="C137">
        <v>1225</v>
      </c>
      <c r="D137">
        <v>2014</v>
      </c>
      <c r="E137">
        <v>25</v>
      </c>
      <c r="F137">
        <v>627</v>
      </c>
      <c r="G137">
        <v>2</v>
      </c>
      <c r="H137">
        <v>2147</v>
      </c>
      <c r="I137">
        <v>3</v>
      </c>
      <c r="J137">
        <v>4709.59</v>
      </c>
      <c r="K137">
        <v>8957.86</v>
      </c>
      <c r="L137">
        <v>4709.34</v>
      </c>
      <c r="M137">
        <v>8958.23</v>
      </c>
      <c r="N137">
        <v>47.159832999999999</v>
      </c>
      <c r="O137">
        <v>-89.964332999999996</v>
      </c>
      <c r="P137">
        <v>47.155667000000001</v>
      </c>
      <c r="Q137">
        <v>-89.970500000000001</v>
      </c>
      <c r="R137">
        <v>33818.304250000001</v>
      </c>
      <c r="S137">
        <v>174</v>
      </c>
      <c r="T137">
        <v>172</v>
      </c>
      <c r="U137">
        <v>0.5</v>
      </c>
      <c r="V137">
        <v>2</v>
      </c>
      <c r="W137">
        <v>3.4</v>
      </c>
      <c r="X137">
        <v>3.8069000000000002</v>
      </c>
      <c r="Y137">
        <v>0.1489</v>
      </c>
      <c r="Z137">
        <v>87.406000000000006</v>
      </c>
      <c r="AA137">
        <v>10</v>
      </c>
      <c r="AB137">
        <v>0.38</v>
      </c>
      <c r="AC137">
        <v>217</v>
      </c>
      <c r="AD137">
        <v>12</v>
      </c>
    </row>
    <row r="138" spans="1:30" x14ac:dyDescent="0.55000000000000004">
      <c r="A138">
        <v>88289</v>
      </c>
      <c r="B138" s="19">
        <v>41828</v>
      </c>
      <c r="C138">
        <v>1512</v>
      </c>
      <c r="D138">
        <v>2014</v>
      </c>
      <c r="E138">
        <v>25</v>
      </c>
      <c r="F138">
        <v>628</v>
      </c>
      <c r="G138">
        <v>2</v>
      </c>
      <c r="H138">
        <v>2120</v>
      </c>
      <c r="I138">
        <v>3</v>
      </c>
      <c r="J138">
        <v>4704.9799999999996</v>
      </c>
      <c r="K138">
        <v>8939.1200000000008</v>
      </c>
      <c r="L138">
        <v>4704.7</v>
      </c>
      <c r="M138">
        <v>8939.43</v>
      </c>
      <c r="N138">
        <v>47.082999999999998</v>
      </c>
      <c r="O138">
        <v>-89.652000000000001</v>
      </c>
      <c r="P138">
        <v>47.078333000000001</v>
      </c>
      <c r="Q138">
        <v>-89.657167000000001</v>
      </c>
      <c r="R138">
        <v>27139.368109999999</v>
      </c>
      <c r="S138">
        <v>210</v>
      </c>
      <c r="T138">
        <v>209</v>
      </c>
      <c r="U138">
        <v>0.5</v>
      </c>
      <c r="V138">
        <v>2</v>
      </c>
      <c r="W138">
        <v>3.4</v>
      </c>
      <c r="X138">
        <v>3.7121</v>
      </c>
      <c r="Y138">
        <v>0.22009999999999999</v>
      </c>
      <c r="Z138">
        <v>92.230099999999993</v>
      </c>
      <c r="AA138">
        <v>10</v>
      </c>
      <c r="AB138">
        <v>0.38</v>
      </c>
      <c r="AC138">
        <v>217</v>
      </c>
      <c r="AD138">
        <v>4</v>
      </c>
    </row>
    <row r="139" spans="1:30" x14ac:dyDescent="0.55000000000000004">
      <c r="A139">
        <v>88290</v>
      </c>
      <c r="B139" s="19">
        <v>41828</v>
      </c>
      <c r="C139">
        <v>1512</v>
      </c>
      <c r="D139">
        <v>2014</v>
      </c>
      <c r="E139">
        <v>25</v>
      </c>
      <c r="F139">
        <v>629</v>
      </c>
      <c r="G139">
        <v>2</v>
      </c>
      <c r="H139">
        <v>2120</v>
      </c>
      <c r="I139">
        <v>3</v>
      </c>
      <c r="J139">
        <v>4704.9799999999996</v>
      </c>
      <c r="K139">
        <v>8939.1200000000008</v>
      </c>
      <c r="L139">
        <v>4704.7</v>
      </c>
      <c r="M139">
        <v>8939.43</v>
      </c>
      <c r="N139">
        <v>47.082999999999998</v>
      </c>
      <c r="O139">
        <v>-89.652000000000001</v>
      </c>
      <c r="P139">
        <v>47.078333000000001</v>
      </c>
      <c r="Q139">
        <v>-89.657167000000001</v>
      </c>
      <c r="R139">
        <v>27139.368109999999</v>
      </c>
      <c r="S139">
        <v>210</v>
      </c>
      <c r="T139">
        <v>209</v>
      </c>
      <c r="U139">
        <v>0.5</v>
      </c>
      <c r="V139">
        <v>2</v>
      </c>
      <c r="W139">
        <v>3.4</v>
      </c>
      <c r="X139">
        <v>3.7121</v>
      </c>
      <c r="Y139">
        <v>0.22009999999999999</v>
      </c>
      <c r="Z139">
        <v>92.230099999999993</v>
      </c>
      <c r="AA139">
        <v>10</v>
      </c>
      <c r="AB139">
        <v>0.38</v>
      </c>
      <c r="AC139">
        <v>217</v>
      </c>
      <c r="AD139">
        <v>7</v>
      </c>
    </row>
    <row r="140" spans="1:30" x14ac:dyDescent="0.55000000000000004">
      <c r="A140">
        <v>88294</v>
      </c>
      <c r="B140" s="19">
        <v>41829</v>
      </c>
      <c r="C140">
        <v>932</v>
      </c>
      <c r="D140">
        <v>2014</v>
      </c>
      <c r="E140">
        <v>25</v>
      </c>
      <c r="F140">
        <v>630</v>
      </c>
      <c r="G140">
        <v>2</v>
      </c>
      <c r="H140">
        <v>2136</v>
      </c>
      <c r="I140">
        <v>3</v>
      </c>
      <c r="J140">
        <v>4713.3100000000004</v>
      </c>
      <c r="K140">
        <v>8933.0300000000007</v>
      </c>
      <c r="L140">
        <v>4713.5</v>
      </c>
      <c r="M140">
        <v>8932.59</v>
      </c>
      <c r="N140">
        <v>47.221832999999997</v>
      </c>
      <c r="O140">
        <v>-89.5505</v>
      </c>
      <c r="P140">
        <v>47.225000000000001</v>
      </c>
      <c r="Q140">
        <v>-89.543166999999997</v>
      </c>
      <c r="R140">
        <v>40355.932849999997</v>
      </c>
      <c r="S140">
        <v>204</v>
      </c>
      <c r="T140">
        <v>205</v>
      </c>
      <c r="U140">
        <v>0.5</v>
      </c>
      <c r="V140">
        <v>2</v>
      </c>
      <c r="W140">
        <v>3.4</v>
      </c>
      <c r="X140">
        <v>3.7456</v>
      </c>
      <c r="Y140">
        <v>0.22689999999999999</v>
      </c>
      <c r="Z140">
        <v>86.053299999999993</v>
      </c>
      <c r="AA140">
        <v>10</v>
      </c>
      <c r="AB140">
        <v>0.4</v>
      </c>
      <c r="AC140">
        <v>217</v>
      </c>
      <c r="AD140">
        <v>53</v>
      </c>
    </row>
    <row r="141" spans="1:30" x14ac:dyDescent="0.55000000000000004">
      <c r="A141">
        <v>88295</v>
      </c>
      <c r="B141" s="19">
        <v>41829</v>
      </c>
      <c r="C141">
        <v>932</v>
      </c>
      <c r="D141">
        <v>2014</v>
      </c>
      <c r="E141">
        <v>25</v>
      </c>
      <c r="F141">
        <v>631</v>
      </c>
      <c r="G141">
        <v>2</v>
      </c>
      <c r="H141">
        <v>2136</v>
      </c>
      <c r="I141">
        <v>3</v>
      </c>
      <c r="J141">
        <v>4713.3100000000004</v>
      </c>
      <c r="K141">
        <v>8933.0300000000007</v>
      </c>
      <c r="L141">
        <v>4713.5</v>
      </c>
      <c r="M141">
        <v>8932.59</v>
      </c>
      <c r="N141">
        <v>47.221832999999997</v>
      </c>
      <c r="O141">
        <v>-89.5505</v>
      </c>
      <c r="P141">
        <v>47.225000000000001</v>
      </c>
      <c r="Q141">
        <v>-89.543166999999997</v>
      </c>
      <c r="R141">
        <v>40355.932849999997</v>
      </c>
      <c r="S141">
        <v>204</v>
      </c>
      <c r="T141">
        <v>205</v>
      </c>
      <c r="U141">
        <v>0.5</v>
      </c>
      <c r="V141">
        <v>2</v>
      </c>
      <c r="W141">
        <v>3.4</v>
      </c>
      <c r="X141">
        <v>3.7456</v>
      </c>
      <c r="Y141">
        <v>0.22689999999999999</v>
      </c>
      <c r="Z141">
        <v>86.053299999999993</v>
      </c>
      <c r="AA141">
        <v>10</v>
      </c>
      <c r="AB141">
        <v>0.4</v>
      </c>
      <c r="AC141">
        <v>217</v>
      </c>
      <c r="AD141">
        <v>56</v>
      </c>
    </row>
    <row r="142" spans="1:30" x14ac:dyDescent="0.55000000000000004">
      <c r="A142">
        <v>88296</v>
      </c>
      <c r="B142" s="19">
        <v>41829</v>
      </c>
      <c r="C142">
        <v>1141</v>
      </c>
      <c r="D142">
        <v>2014</v>
      </c>
      <c r="E142">
        <v>25</v>
      </c>
      <c r="F142">
        <v>632</v>
      </c>
      <c r="G142">
        <v>2</v>
      </c>
      <c r="H142">
        <v>2151</v>
      </c>
      <c r="I142">
        <v>3</v>
      </c>
      <c r="J142">
        <v>4709.18</v>
      </c>
      <c r="K142">
        <v>8917.23</v>
      </c>
      <c r="L142">
        <v>4709.24</v>
      </c>
      <c r="M142">
        <v>8917.76</v>
      </c>
      <c r="N142">
        <v>47.152999999999999</v>
      </c>
      <c r="O142">
        <v>-89.287166999999997</v>
      </c>
      <c r="P142">
        <v>47.154000000000003</v>
      </c>
      <c r="Q142">
        <v>-89.296000000000006</v>
      </c>
      <c r="R142">
        <v>22253.35642</v>
      </c>
      <c r="S142">
        <v>141</v>
      </c>
      <c r="T142">
        <v>142</v>
      </c>
      <c r="U142">
        <v>0.5</v>
      </c>
      <c r="V142">
        <v>2</v>
      </c>
      <c r="W142">
        <v>4</v>
      </c>
      <c r="X142">
        <v>4.4276999999999997</v>
      </c>
      <c r="Y142">
        <v>0.15679999999999999</v>
      </c>
      <c r="Z142">
        <v>85.138099999999994</v>
      </c>
      <c r="AA142">
        <v>10</v>
      </c>
      <c r="AB142">
        <v>0.42</v>
      </c>
      <c r="AC142">
        <v>217</v>
      </c>
      <c r="AD142">
        <v>3</v>
      </c>
    </row>
    <row r="143" spans="1:30" x14ac:dyDescent="0.55000000000000004">
      <c r="A143">
        <v>88297</v>
      </c>
      <c r="B143" s="19">
        <v>41829</v>
      </c>
      <c r="C143">
        <v>1141</v>
      </c>
      <c r="D143">
        <v>2014</v>
      </c>
      <c r="E143">
        <v>25</v>
      </c>
      <c r="F143">
        <v>633</v>
      </c>
      <c r="G143">
        <v>2</v>
      </c>
      <c r="H143">
        <v>2151</v>
      </c>
      <c r="I143">
        <v>3</v>
      </c>
      <c r="J143">
        <v>4709.18</v>
      </c>
      <c r="K143">
        <v>8917.23</v>
      </c>
      <c r="L143">
        <v>4709.24</v>
      </c>
      <c r="M143">
        <v>8917.76</v>
      </c>
      <c r="N143">
        <v>47.152999999999999</v>
      </c>
      <c r="O143">
        <v>-89.287166999999997</v>
      </c>
      <c r="P143">
        <v>47.154000000000003</v>
      </c>
      <c r="Q143">
        <v>-89.296000000000006</v>
      </c>
      <c r="R143">
        <v>22253.35642</v>
      </c>
      <c r="S143">
        <v>141</v>
      </c>
      <c r="T143">
        <v>142</v>
      </c>
      <c r="U143">
        <v>0.5</v>
      </c>
      <c r="V143">
        <v>2</v>
      </c>
      <c r="W143">
        <v>4</v>
      </c>
      <c r="X143">
        <v>4.4276999999999997</v>
      </c>
      <c r="Y143">
        <v>0.15679999999999999</v>
      </c>
      <c r="Z143">
        <v>85.138099999999994</v>
      </c>
      <c r="AA143">
        <v>10</v>
      </c>
      <c r="AB143">
        <v>0.42</v>
      </c>
      <c r="AC143">
        <v>217</v>
      </c>
      <c r="AD143">
        <v>4</v>
      </c>
    </row>
    <row r="144" spans="1:30" x14ac:dyDescent="0.55000000000000004">
      <c r="A144">
        <v>88299</v>
      </c>
      <c r="B144" s="19">
        <v>41830</v>
      </c>
      <c r="C144">
        <v>944</v>
      </c>
      <c r="D144">
        <v>2014</v>
      </c>
      <c r="E144">
        <v>25</v>
      </c>
      <c r="F144">
        <v>634</v>
      </c>
      <c r="G144">
        <v>2</v>
      </c>
      <c r="H144">
        <v>2115</v>
      </c>
      <c r="I144">
        <v>3</v>
      </c>
      <c r="J144">
        <v>4724.79</v>
      </c>
      <c r="K144">
        <v>8828.31</v>
      </c>
      <c r="L144">
        <v>4725.01</v>
      </c>
      <c r="M144">
        <v>8827.85</v>
      </c>
      <c r="N144">
        <v>47.413167000000001</v>
      </c>
      <c r="O144">
        <v>-88.471833000000004</v>
      </c>
      <c r="P144">
        <v>47.416832999999997</v>
      </c>
      <c r="Q144">
        <v>-88.464167000000003</v>
      </c>
      <c r="R144">
        <v>6021.3592170000002</v>
      </c>
      <c r="S144">
        <v>200</v>
      </c>
      <c r="T144">
        <v>208</v>
      </c>
      <c r="U144">
        <v>0.5</v>
      </c>
      <c r="V144">
        <v>2</v>
      </c>
      <c r="W144">
        <v>3.8</v>
      </c>
      <c r="X144">
        <v>4.1025</v>
      </c>
      <c r="Y144">
        <v>0.1263</v>
      </c>
      <c r="Z144">
        <v>91.733500000000006</v>
      </c>
      <c r="AA144">
        <v>10</v>
      </c>
      <c r="AB144">
        <v>0.42</v>
      </c>
      <c r="AC144">
        <v>217</v>
      </c>
      <c r="AD144">
        <v>4</v>
      </c>
    </row>
    <row r="145" spans="1:30" x14ac:dyDescent="0.55000000000000004">
      <c r="A145">
        <v>88300</v>
      </c>
      <c r="B145" s="19">
        <v>41830</v>
      </c>
      <c r="C145">
        <v>944</v>
      </c>
      <c r="D145">
        <v>2014</v>
      </c>
      <c r="E145">
        <v>25</v>
      </c>
      <c r="F145">
        <v>635</v>
      </c>
      <c r="G145">
        <v>2</v>
      </c>
      <c r="H145">
        <v>2115</v>
      </c>
      <c r="I145">
        <v>3</v>
      </c>
      <c r="J145">
        <v>4724.79</v>
      </c>
      <c r="K145">
        <v>8828.31</v>
      </c>
      <c r="L145">
        <v>4725.01</v>
      </c>
      <c r="M145">
        <v>8827.85</v>
      </c>
      <c r="N145">
        <v>47.413167000000001</v>
      </c>
      <c r="O145">
        <v>-88.471833000000004</v>
      </c>
      <c r="P145">
        <v>47.416832999999997</v>
      </c>
      <c r="Q145">
        <v>-88.464167000000003</v>
      </c>
      <c r="R145">
        <v>6021.3592170000002</v>
      </c>
      <c r="S145">
        <v>200</v>
      </c>
      <c r="T145">
        <v>208</v>
      </c>
      <c r="U145">
        <v>0.5</v>
      </c>
      <c r="V145">
        <v>2</v>
      </c>
      <c r="W145">
        <v>3.8</v>
      </c>
      <c r="X145">
        <v>4.1025</v>
      </c>
      <c r="Y145">
        <v>0.1263</v>
      </c>
      <c r="Z145">
        <v>91.733500000000006</v>
      </c>
      <c r="AA145">
        <v>10</v>
      </c>
      <c r="AB145">
        <v>0.42</v>
      </c>
      <c r="AC145">
        <v>217</v>
      </c>
      <c r="AD145">
        <v>1</v>
      </c>
    </row>
    <row r="146" spans="1:30" x14ac:dyDescent="0.55000000000000004">
      <c r="A146">
        <v>88302</v>
      </c>
      <c r="B146" s="19">
        <v>41830</v>
      </c>
      <c r="C146">
        <v>1329</v>
      </c>
      <c r="D146">
        <v>2014</v>
      </c>
      <c r="E146">
        <v>25</v>
      </c>
      <c r="F146">
        <v>636</v>
      </c>
      <c r="G146">
        <v>2</v>
      </c>
      <c r="H146">
        <v>2128</v>
      </c>
      <c r="I146">
        <v>3</v>
      </c>
      <c r="J146">
        <v>4750.21</v>
      </c>
      <c r="K146">
        <v>8844.83</v>
      </c>
      <c r="L146">
        <v>4750.43</v>
      </c>
      <c r="M146">
        <v>8844.39</v>
      </c>
      <c r="N146">
        <v>47.836832999999999</v>
      </c>
      <c r="O146">
        <v>-88.747167000000005</v>
      </c>
      <c r="P146">
        <v>47.840499999999999</v>
      </c>
      <c r="Q146">
        <v>-88.739833000000004</v>
      </c>
      <c r="R146">
        <v>11023.97098</v>
      </c>
      <c r="S146">
        <v>243</v>
      </c>
      <c r="T146">
        <v>246</v>
      </c>
      <c r="U146">
        <v>0.5</v>
      </c>
      <c r="V146">
        <v>2</v>
      </c>
      <c r="W146">
        <v>3.2</v>
      </c>
      <c r="X146">
        <v>3.8578999999999999</v>
      </c>
      <c r="Y146">
        <v>0.13139999999999999</v>
      </c>
      <c r="Z146">
        <v>90.228899999999996</v>
      </c>
      <c r="AA146">
        <v>10</v>
      </c>
      <c r="AB146">
        <v>0.4</v>
      </c>
      <c r="AC146">
        <v>0</v>
      </c>
      <c r="AD146">
        <v>0</v>
      </c>
    </row>
    <row r="147" spans="1:30" x14ac:dyDescent="0.55000000000000004">
      <c r="A147">
        <v>88303</v>
      </c>
      <c r="B147" s="19">
        <v>41830</v>
      </c>
      <c r="C147">
        <v>1329</v>
      </c>
      <c r="D147">
        <v>2014</v>
      </c>
      <c r="E147">
        <v>25</v>
      </c>
      <c r="F147">
        <v>637</v>
      </c>
      <c r="G147">
        <v>2</v>
      </c>
      <c r="H147">
        <v>2128</v>
      </c>
      <c r="I147">
        <v>3</v>
      </c>
      <c r="J147">
        <v>4750.21</v>
      </c>
      <c r="K147">
        <v>8844.83</v>
      </c>
      <c r="L147">
        <v>4750.43</v>
      </c>
      <c r="M147">
        <v>8844.39</v>
      </c>
      <c r="N147">
        <v>47.836832999999999</v>
      </c>
      <c r="O147">
        <v>-88.747167000000005</v>
      </c>
      <c r="P147">
        <v>47.840499999999999</v>
      </c>
      <c r="Q147">
        <v>-88.739833000000004</v>
      </c>
      <c r="R147">
        <v>11023.97098</v>
      </c>
      <c r="S147">
        <v>243</v>
      </c>
      <c r="T147">
        <v>246</v>
      </c>
      <c r="U147">
        <v>0.5</v>
      </c>
      <c r="V147">
        <v>2</v>
      </c>
      <c r="W147">
        <v>3.2</v>
      </c>
      <c r="X147">
        <v>3.8578999999999999</v>
      </c>
      <c r="Y147">
        <v>0.13139999999999999</v>
      </c>
      <c r="Z147">
        <v>90.228899999999996</v>
      </c>
      <c r="AA147">
        <v>10</v>
      </c>
      <c r="AB147">
        <v>0.4</v>
      </c>
      <c r="AC147">
        <v>217</v>
      </c>
      <c r="AD147">
        <v>1</v>
      </c>
    </row>
    <row r="148" spans="1:30" x14ac:dyDescent="0.55000000000000004">
      <c r="A148">
        <v>88305</v>
      </c>
      <c r="B148" s="19">
        <v>41830</v>
      </c>
      <c r="C148">
        <v>1658</v>
      </c>
      <c r="D148">
        <v>2014</v>
      </c>
      <c r="E148">
        <v>25</v>
      </c>
      <c r="F148">
        <v>638</v>
      </c>
      <c r="G148">
        <v>2</v>
      </c>
      <c r="H148">
        <v>2134</v>
      </c>
      <c r="I148">
        <v>3</v>
      </c>
      <c r="J148">
        <v>4802.92</v>
      </c>
      <c r="K148">
        <v>8815.34</v>
      </c>
      <c r="L148">
        <v>4802</v>
      </c>
      <c r="M148">
        <v>8815</v>
      </c>
      <c r="N148">
        <v>48.048667000000002</v>
      </c>
      <c r="O148">
        <v>-88.255667000000003</v>
      </c>
      <c r="P148">
        <v>48.033332999999999</v>
      </c>
      <c r="Q148">
        <v>-88.25</v>
      </c>
      <c r="R148">
        <v>18309.673719999999</v>
      </c>
      <c r="S148">
        <v>256</v>
      </c>
      <c r="T148">
        <v>257</v>
      </c>
      <c r="U148">
        <v>0.5</v>
      </c>
      <c r="V148">
        <v>2</v>
      </c>
      <c r="W148">
        <v>3.5</v>
      </c>
      <c r="X148">
        <v>3.6684999999999999</v>
      </c>
      <c r="Y148">
        <v>8.8900000000000007E-2</v>
      </c>
      <c r="Z148">
        <v>72.025999999999996</v>
      </c>
      <c r="AA148">
        <v>10</v>
      </c>
      <c r="AB148">
        <v>0.4</v>
      </c>
      <c r="AC148">
        <v>217</v>
      </c>
      <c r="AD148">
        <v>1</v>
      </c>
    </row>
    <row r="149" spans="1:30" x14ac:dyDescent="0.55000000000000004">
      <c r="A149">
        <v>88306</v>
      </c>
      <c r="B149" s="19">
        <v>41830</v>
      </c>
      <c r="C149">
        <v>1658</v>
      </c>
      <c r="D149">
        <v>2014</v>
      </c>
      <c r="E149">
        <v>25</v>
      </c>
      <c r="F149">
        <v>639</v>
      </c>
      <c r="G149">
        <v>2</v>
      </c>
      <c r="H149">
        <v>2134</v>
      </c>
      <c r="I149">
        <v>3</v>
      </c>
      <c r="J149">
        <v>4802.92</v>
      </c>
      <c r="K149">
        <v>8815.34</v>
      </c>
      <c r="L149">
        <v>4802</v>
      </c>
      <c r="M149">
        <v>8815</v>
      </c>
      <c r="N149">
        <v>48.048667000000002</v>
      </c>
      <c r="O149">
        <v>-88.255667000000003</v>
      </c>
      <c r="P149">
        <v>48.033332999999999</v>
      </c>
      <c r="Q149">
        <v>-88.25</v>
      </c>
      <c r="R149">
        <v>18309.673719999999</v>
      </c>
      <c r="S149">
        <v>256</v>
      </c>
      <c r="T149">
        <v>257</v>
      </c>
      <c r="U149">
        <v>0.5</v>
      </c>
      <c r="V149">
        <v>2</v>
      </c>
      <c r="W149">
        <v>3.5</v>
      </c>
      <c r="X149">
        <v>3.6684999999999999</v>
      </c>
      <c r="Y149">
        <v>8.8900000000000007E-2</v>
      </c>
      <c r="Z149">
        <v>72.025999999999996</v>
      </c>
      <c r="AA149">
        <v>10</v>
      </c>
      <c r="AB149">
        <v>0.4</v>
      </c>
      <c r="AC149">
        <v>0</v>
      </c>
      <c r="AD149">
        <v>0</v>
      </c>
    </row>
    <row r="150" spans="1:30" x14ac:dyDescent="0.55000000000000004">
      <c r="A150">
        <v>88308</v>
      </c>
      <c r="B150" s="19">
        <v>41831</v>
      </c>
      <c r="C150">
        <v>1004</v>
      </c>
      <c r="D150">
        <v>2014</v>
      </c>
      <c r="E150">
        <v>25</v>
      </c>
      <c r="F150">
        <v>640</v>
      </c>
      <c r="G150">
        <v>2</v>
      </c>
      <c r="H150">
        <v>2118</v>
      </c>
      <c r="I150">
        <v>3</v>
      </c>
      <c r="J150">
        <v>4752.4399999999996</v>
      </c>
      <c r="K150">
        <v>8803.51</v>
      </c>
      <c r="L150">
        <v>4752.45</v>
      </c>
      <c r="M150">
        <v>8803.99</v>
      </c>
      <c r="N150">
        <v>47.874000000000002</v>
      </c>
      <c r="O150">
        <v>-88.058499999999995</v>
      </c>
      <c r="P150">
        <v>47.874167</v>
      </c>
      <c r="Q150">
        <v>-88.066500000000005</v>
      </c>
      <c r="R150">
        <v>42823.20031</v>
      </c>
      <c r="S150">
        <v>247</v>
      </c>
      <c r="T150">
        <v>247</v>
      </c>
      <c r="U150">
        <v>0.5</v>
      </c>
      <c r="V150">
        <v>2</v>
      </c>
      <c r="W150">
        <v>3.2</v>
      </c>
      <c r="X150">
        <v>4.1211000000000002</v>
      </c>
      <c r="Y150">
        <v>0.20830000000000001</v>
      </c>
      <c r="Z150">
        <v>88.833600000000004</v>
      </c>
      <c r="AA150">
        <v>10</v>
      </c>
      <c r="AB150">
        <v>0.38</v>
      </c>
      <c r="AC150">
        <v>217</v>
      </c>
      <c r="AD150">
        <v>3</v>
      </c>
    </row>
    <row r="151" spans="1:30" x14ac:dyDescent="0.55000000000000004">
      <c r="A151">
        <v>88309</v>
      </c>
      <c r="B151" s="19">
        <v>41831</v>
      </c>
      <c r="C151">
        <v>1004</v>
      </c>
      <c r="D151">
        <v>2014</v>
      </c>
      <c r="E151">
        <v>25</v>
      </c>
      <c r="F151">
        <v>641</v>
      </c>
      <c r="G151">
        <v>2</v>
      </c>
      <c r="H151">
        <v>2118</v>
      </c>
      <c r="I151">
        <v>3</v>
      </c>
      <c r="J151">
        <v>4752.4399999999996</v>
      </c>
      <c r="K151">
        <v>8803.51</v>
      </c>
      <c r="L151">
        <v>4752.45</v>
      </c>
      <c r="M151">
        <v>8803.99</v>
      </c>
      <c r="N151">
        <v>47.874000000000002</v>
      </c>
      <c r="O151">
        <v>-88.058499999999995</v>
      </c>
      <c r="P151">
        <v>47.874167</v>
      </c>
      <c r="Q151">
        <v>-88.066500000000005</v>
      </c>
      <c r="R151">
        <v>42823.20031</v>
      </c>
      <c r="S151">
        <v>247</v>
      </c>
      <c r="T151">
        <v>247</v>
      </c>
      <c r="U151">
        <v>0.5</v>
      </c>
      <c r="V151">
        <v>2</v>
      </c>
      <c r="W151">
        <v>3.2</v>
      </c>
      <c r="X151">
        <v>4.1211000000000002</v>
      </c>
      <c r="Y151">
        <v>0.20830000000000001</v>
      </c>
      <c r="Z151">
        <v>88.833600000000004</v>
      </c>
      <c r="AA151">
        <v>10</v>
      </c>
      <c r="AB151">
        <v>0.38</v>
      </c>
      <c r="AC151">
        <v>217</v>
      </c>
      <c r="AD151">
        <v>11</v>
      </c>
    </row>
    <row r="152" spans="1:30" x14ac:dyDescent="0.55000000000000004">
      <c r="A152">
        <v>88311</v>
      </c>
      <c r="B152" s="19">
        <v>41831</v>
      </c>
      <c r="C152">
        <v>1232</v>
      </c>
      <c r="D152">
        <v>2014</v>
      </c>
      <c r="E152">
        <v>25</v>
      </c>
      <c r="F152">
        <v>642</v>
      </c>
      <c r="G152">
        <v>2</v>
      </c>
      <c r="H152">
        <v>2122</v>
      </c>
      <c r="I152">
        <v>3</v>
      </c>
      <c r="J152">
        <v>4751.47</v>
      </c>
      <c r="K152">
        <v>8743.42</v>
      </c>
      <c r="L152">
        <v>4751.1499999999996</v>
      </c>
      <c r="M152">
        <v>8743.42</v>
      </c>
      <c r="N152">
        <v>47.857832999999999</v>
      </c>
      <c r="O152">
        <v>-87.723667000000006</v>
      </c>
      <c r="P152">
        <v>47.852499999999999</v>
      </c>
      <c r="Q152">
        <v>-87.723667000000006</v>
      </c>
      <c r="R152">
        <v>42429.281479999998</v>
      </c>
      <c r="S152">
        <v>226</v>
      </c>
      <c r="T152">
        <v>226</v>
      </c>
      <c r="U152">
        <v>0.5</v>
      </c>
      <c r="V152">
        <v>2</v>
      </c>
      <c r="W152">
        <v>3.9</v>
      </c>
      <c r="X152">
        <v>3.4662999999999999</v>
      </c>
      <c r="Y152">
        <v>3.3E-3</v>
      </c>
      <c r="Z152">
        <v>58.790999999999997</v>
      </c>
      <c r="AA152">
        <v>10</v>
      </c>
      <c r="AB152">
        <v>0.38</v>
      </c>
      <c r="AC152">
        <v>217</v>
      </c>
      <c r="AD152">
        <v>36</v>
      </c>
    </row>
    <row r="153" spans="1:30" x14ac:dyDescent="0.55000000000000004">
      <c r="A153">
        <v>88312</v>
      </c>
      <c r="B153" s="19">
        <v>41831</v>
      </c>
      <c r="C153">
        <v>1232</v>
      </c>
      <c r="D153">
        <v>2014</v>
      </c>
      <c r="E153">
        <v>25</v>
      </c>
      <c r="F153">
        <v>643</v>
      </c>
      <c r="G153">
        <v>2</v>
      </c>
      <c r="H153">
        <v>2122</v>
      </c>
      <c r="I153">
        <v>3</v>
      </c>
      <c r="J153">
        <v>4751.47</v>
      </c>
      <c r="K153">
        <v>8743.42</v>
      </c>
      <c r="L153">
        <v>4751.1499999999996</v>
      </c>
      <c r="M153">
        <v>8743.42</v>
      </c>
      <c r="N153">
        <v>47.857832999999999</v>
      </c>
      <c r="O153">
        <v>-87.723667000000006</v>
      </c>
      <c r="P153">
        <v>47.852499999999999</v>
      </c>
      <c r="Q153">
        <v>-87.723667000000006</v>
      </c>
      <c r="R153">
        <v>42429.281479999998</v>
      </c>
      <c r="S153">
        <v>226</v>
      </c>
      <c r="T153">
        <v>226</v>
      </c>
      <c r="U153">
        <v>0.5</v>
      </c>
      <c r="V153">
        <v>2</v>
      </c>
      <c r="W153">
        <v>3.9</v>
      </c>
      <c r="X153">
        <v>3.4662999999999999</v>
      </c>
      <c r="Y153">
        <v>3.3E-3</v>
      </c>
      <c r="Z153">
        <v>58.790999999999997</v>
      </c>
      <c r="AA153">
        <v>10</v>
      </c>
      <c r="AB153">
        <v>0.38</v>
      </c>
      <c r="AC153">
        <v>217</v>
      </c>
      <c r="AD153">
        <v>36</v>
      </c>
    </row>
    <row r="154" spans="1:30" x14ac:dyDescent="0.55000000000000004">
      <c r="A154">
        <v>88314</v>
      </c>
      <c r="B154" s="19">
        <v>41831</v>
      </c>
      <c r="C154">
        <v>1621</v>
      </c>
      <c r="D154">
        <v>2014</v>
      </c>
      <c r="E154">
        <v>25</v>
      </c>
      <c r="F154">
        <v>644</v>
      </c>
      <c r="G154">
        <v>2</v>
      </c>
      <c r="H154">
        <v>2138</v>
      </c>
      <c r="I154">
        <v>3</v>
      </c>
      <c r="J154">
        <v>4730.58</v>
      </c>
      <c r="K154">
        <v>8713.99</v>
      </c>
      <c r="L154">
        <v>4730.59</v>
      </c>
      <c r="M154">
        <v>8713.48</v>
      </c>
      <c r="N154">
        <v>47.509667</v>
      </c>
      <c r="O154">
        <v>-87.233166999999995</v>
      </c>
      <c r="P154">
        <v>47.509833</v>
      </c>
      <c r="Q154">
        <v>-87.224666999999997</v>
      </c>
      <c r="R154">
        <v>29316.039809999998</v>
      </c>
      <c r="S154">
        <v>295</v>
      </c>
      <c r="T154">
        <v>306</v>
      </c>
      <c r="U154">
        <v>0.5</v>
      </c>
      <c r="V154">
        <v>2</v>
      </c>
      <c r="W154">
        <v>3.2</v>
      </c>
      <c r="X154">
        <v>3.7357999999999998</v>
      </c>
      <c r="Y154">
        <v>0.13600000000000001</v>
      </c>
      <c r="Z154">
        <v>90.0869</v>
      </c>
      <c r="AA154">
        <v>10</v>
      </c>
      <c r="AB154">
        <v>0.38</v>
      </c>
      <c r="AC154">
        <v>217</v>
      </c>
      <c r="AD154">
        <v>149</v>
      </c>
    </row>
    <row r="155" spans="1:30" x14ac:dyDescent="0.55000000000000004">
      <c r="A155">
        <v>88315</v>
      </c>
      <c r="B155" s="19">
        <v>41831</v>
      </c>
      <c r="C155">
        <v>1621</v>
      </c>
      <c r="D155">
        <v>2014</v>
      </c>
      <c r="E155">
        <v>25</v>
      </c>
      <c r="F155">
        <v>645</v>
      </c>
      <c r="G155">
        <v>2</v>
      </c>
      <c r="H155">
        <v>2138</v>
      </c>
      <c r="I155">
        <v>3</v>
      </c>
      <c r="J155">
        <v>4730.58</v>
      </c>
      <c r="K155">
        <v>8713.99</v>
      </c>
      <c r="L155">
        <v>4730.59</v>
      </c>
      <c r="M155">
        <v>8713.48</v>
      </c>
      <c r="N155">
        <v>47.509667</v>
      </c>
      <c r="O155">
        <v>-87.233166999999995</v>
      </c>
      <c r="P155">
        <v>47.509833</v>
      </c>
      <c r="Q155">
        <v>-87.224666999999997</v>
      </c>
      <c r="R155">
        <v>29316.039809999998</v>
      </c>
      <c r="S155">
        <v>295</v>
      </c>
      <c r="T155">
        <v>306</v>
      </c>
      <c r="U155">
        <v>0.5</v>
      </c>
      <c r="V155">
        <v>2</v>
      </c>
      <c r="W155">
        <v>3.2</v>
      </c>
      <c r="X155">
        <v>3.7357999999999998</v>
      </c>
      <c r="Y155">
        <v>0.13600000000000001</v>
      </c>
      <c r="Z155">
        <v>90.0869</v>
      </c>
      <c r="AA155">
        <v>10</v>
      </c>
      <c r="AB155">
        <v>0.38</v>
      </c>
      <c r="AC155">
        <v>217</v>
      </c>
      <c r="AD155">
        <v>85</v>
      </c>
    </row>
    <row r="156" spans="1:30" x14ac:dyDescent="0.55000000000000004">
      <c r="A156">
        <v>88319</v>
      </c>
      <c r="B156" s="19">
        <v>41832</v>
      </c>
      <c r="C156">
        <v>943</v>
      </c>
      <c r="D156">
        <v>2014</v>
      </c>
      <c r="E156">
        <v>25</v>
      </c>
      <c r="F156">
        <v>646</v>
      </c>
      <c r="G156">
        <v>2</v>
      </c>
      <c r="H156">
        <v>2150</v>
      </c>
      <c r="I156">
        <v>3</v>
      </c>
      <c r="J156">
        <v>4708.5</v>
      </c>
      <c r="K156">
        <v>8723.34</v>
      </c>
      <c r="L156">
        <v>4708.2700000000004</v>
      </c>
      <c r="M156">
        <v>8722.9599999999991</v>
      </c>
      <c r="N156">
        <v>47.141666999999998</v>
      </c>
      <c r="O156">
        <v>-87.388999999999996</v>
      </c>
      <c r="P156">
        <v>47.137833000000001</v>
      </c>
      <c r="Q156">
        <v>-87.382666999999998</v>
      </c>
      <c r="R156">
        <v>34208.448069999999</v>
      </c>
      <c r="S156">
        <v>136</v>
      </c>
      <c r="T156">
        <v>138</v>
      </c>
      <c r="U156">
        <v>0.5</v>
      </c>
      <c r="V156">
        <v>2</v>
      </c>
      <c r="W156">
        <v>4.4000000000000004</v>
      </c>
      <c r="X156">
        <v>4.7591999999999999</v>
      </c>
      <c r="Y156">
        <v>0.1246</v>
      </c>
      <c r="Z156">
        <v>89.473100000000002</v>
      </c>
      <c r="AA156">
        <v>10</v>
      </c>
      <c r="AB156">
        <v>0.4</v>
      </c>
      <c r="AC156">
        <v>217</v>
      </c>
      <c r="AD156">
        <v>67</v>
      </c>
    </row>
    <row r="157" spans="1:30" x14ac:dyDescent="0.55000000000000004">
      <c r="A157">
        <v>88320</v>
      </c>
      <c r="B157" s="19">
        <v>41832</v>
      </c>
      <c r="C157">
        <v>943</v>
      </c>
      <c r="D157">
        <v>2014</v>
      </c>
      <c r="E157">
        <v>25</v>
      </c>
      <c r="F157">
        <v>647</v>
      </c>
      <c r="G157">
        <v>2</v>
      </c>
      <c r="H157">
        <v>2150</v>
      </c>
      <c r="I157">
        <v>3</v>
      </c>
      <c r="J157">
        <v>4708.5</v>
      </c>
      <c r="K157">
        <v>8723.34</v>
      </c>
      <c r="L157">
        <v>4708.2700000000004</v>
      </c>
      <c r="M157">
        <v>8722.9599999999991</v>
      </c>
      <c r="N157">
        <v>47.141666999999998</v>
      </c>
      <c r="O157">
        <v>-87.388999999999996</v>
      </c>
      <c r="P157">
        <v>47.137833000000001</v>
      </c>
      <c r="Q157">
        <v>-87.382666999999998</v>
      </c>
      <c r="R157">
        <v>34208.448069999999</v>
      </c>
      <c r="S157">
        <v>136</v>
      </c>
      <c r="T157">
        <v>138</v>
      </c>
      <c r="U157">
        <v>0.5</v>
      </c>
      <c r="V157">
        <v>2</v>
      </c>
      <c r="W157">
        <v>4.4000000000000004</v>
      </c>
      <c r="X157">
        <v>4.7591999999999999</v>
      </c>
      <c r="Y157">
        <v>0.1246</v>
      </c>
      <c r="Z157">
        <v>89.473100000000002</v>
      </c>
      <c r="AA157">
        <v>10</v>
      </c>
      <c r="AB157">
        <v>0.4</v>
      </c>
      <c r="AC157">
        <v>202</v>
      </c>
      <c r="AD157">
        <v>8</v>
      </c>
    </row>
    <row r="158" spans="1:30" x14ac:dyDescent="0.55000000000000004">
      <c r="A158">
        <v>88320</v>
      </c>
      <c r="B158" s="19">
        <v>41832</v>
      </c>
      <c r="C158">
        <v>943</v>
      </c>
      <c r="D158">
        <v>2014</v>
      </c>
      <c r="E158">
        <v>25</v>
      </c>
      <c r="F158">
        <v>647</v>
      </c>
      <c r="G158">
        <v>2</v>
      </c>
      <c r="H158">
        <v>2150</v>
      </c>
      <c r="I158">
        <v>3</v>
      </c>
      <c r="J158">
        <v>4708.5</v>
      </c>
      <c r="K158">
        <v>8723.34</v>
      </c>
      <c r="L158">
        <v>4708.2700000000004</v>
      </c>
      <c r="M158">
        <v>8722.9599999999991</v>
      </c>
      <c r="N158">
        <v>47.141666999999998</v>
      </c>
      <c r="O158">
        <v>-87.388999999999996</v>
      </c>
      <c r="P158">
        <v>47.137833000000001</v>
      </c>
      <c r="Q158">
        <v>-87.382666999999998</v>
      </c>
      <c r="R158">
        <v>34208.448069999999</v>
      </c>
      <c r="S158">
        <v>136</v>
      </c>
      <c r="T158">
        <v>138</v>
      </c>
      <c r="U158">
        <v>0.5</v>
      </c>
      <c r="V158">
        <v>2</v>
      </c>
      <c r="W158">
        <v>4.4000000000000004</v>
      </c>
      <c r="X158">
        <v>4.7591999999999999</v>
      </c>
      <c r="Y158">
        <v>0.1246</v>
      </c>
      <c r="Z158">
        <v>89.473100000000002</v>
      </c>
      <c r="AA158">
        <v>10</v>
      </c>
      <c r="AB158">
        <v>0.4</v>
      </c>
      <c r="AC158">
        <v>217</v>
      </c>
      <c r="AD158">
        <v>48</v>
      </c>
    </row>
    <row r="159" spans="1:30" x14ac:dyDescent="0.55000000000000004">
      <c r="A159">
        <v>88321</v>
      </c>
      <c r="B159" s="19">
        <v>41832</v>
      </c>
      <c r="C159">
        <v>1130</v>
      </c>
      <c r="D159">
        <v>2014</v>
      </c>
      <c r="E159">
        <v>25</v>
      </c>
      <c r="F159">
        <v>648</v>
      </c>
      <c r="G159">
        <v>2</v>
      </c>
      <c r="H159">
        <v>2154</v>
      </c>
      <c r="I159">
        <v>3</v>
      </c>
      <c r="J159">
        <v>4704.3</v>
      </c>
      <c r="K159">
        <v>8709.93</v>
      </c>
      <c r="L159">
        <v>4703.93</v>
      </c>
      <c r="M159">
        <v>8709.93</v>
      </c>
      <c r="N159">
        <v>47.071666999999998</v>
      </c>
      <c r="O159">
        <v>-87.165499999999994</v>
      </c>
      <c r="P159">
        <v>47.0655</v>
      </c>
      <c r="Q159">
        <v>-87.165499999999994</v>
      </c>
      <c r="R159">
        <v>47021.675719999999</v>
      </c>
      <c r="S159">
        <v>179</v>
      </c>
      <c r="T159">
        <v>182</v>
      </c>
      <c r="U159">
        <v>0.5</v>
      </c>
      <c r="V159">
        <v>2</v>
      </c>
      <c r="W159">
        <v>4.0999999999999996</v>
      </c>
      <c r="X159">
        <v>4.0603999999999996</v>
      </c>
      <c r="Y159">
        <v>0.16639999999999999</v>
      </c>
      <c r="Z159">
        <v>88.590500000000006</v>
      </c>
      <c r="AA159">
        <v>10</v>
      </c>
      <c r="AB159">
        <v>0.42</v>
      </c>
      <c r="AC159">
        <v>217</v>
      </c>
      <c r="AD159">
        <v>1</v>
      </c>
    </row>
    <row r="160" spans="1:30" x14ac:dyDescent="0.55000000000000004">
      <c r="A160">
        <v>88322</v>
      </c>
      <c r="B160" s="19">
        <v>41832</v>
      </c>
      <c r="C160">
        <v>1130</v>
      </c>
      <c r="D160">
        <v>2014</v>
      </c>
      <c r="E160">
        <v>25</v>
      </c>
      <c r="F160">
        <v>649</v>
      </c>
      <c r="G160">
        <v>2</v>
      </c>
      <c r="H160">
        <v>2154</v>
      </c>
      <c r="I160">
        <v>3</v>
      </c>
      <c r="J160">
        <v>4704.3</v>
      </c>
      <c r="K160">
        <v>8709.93</v>
      </c>
      <c r="L160">
        <v>4703.93</v>
      </c>
      <c r="M160">
        <v>8709.93</v>
      </c>
      <c r="N160">
        <v>47.071666999999998</v>
      </c>
      <c r="O160">
        <v>-87.165499999999994</v>
      </c>
      <c r="P160">
        <v>47.0655</v>
      </c>
      <c r="Q160">
        <v>-87.165499999999994</v>
      </c>
      <c r="R160">
        <v>47021.675719999999</v>
      </c>
      <c r="S160">
        <v>179</v>
      </c>
      <c r="T160">
        <v>182</v>
      </c>
      <c r="U160">
        <v>0.5</v>
      </c>
      <c r="V160">
        <v>2</v>
      </c>
      <c r="W160">
        <v>4.0999999999999996</v>
      </c>
      <c r="X160">
        <v>4.0603999999999996</v>
      </c>
      <c r="Y160">
        <v>0.16639999999999999</v>
      </c>
      <c r="Z160">
        <v>88.590500000000006</v>
      </c>
      <c r="AA160">
        <v>10</v>
      </c>
      <c r="AB160">
        <v>0.42</v>
      </c>
      <c r="AC160">
        <v>217</v>
      </c>
      <c r="AD160">
        <v>2</v>
      </c>
    </row>
    <row r="161" spans="1:30" x14ac:dyDescent="0.55000000000000004">
      <c r="A161">
        <v>88323</v>
      </c>
      <c r="B161" s="19">
        <v>41832</v>
      </c>
      <c r="C161">
        <v>1353</v>
      </c>
      <c r="D161">
        <v>2014</v>
      </c>
      <c r="E161">
        <v>25</v>
      </c>
      <c r="F161">
        <v>650</v>
      </c>
      <c r="G161">
        <v>2</v>
      </c>
      <c r="H161">
        <v>2152</v>
      </c>
      <c r="I161">
        <v>3</v>
      </c>
      <c r="J161">
        <v>4648.63</v>
      </c>
      <c r="K161">
        <v>8701.9</v>
      </c>
      <c r="L161">
        <v>4648.3</v>
      </c>
      <c r="M161">
        <v>8701.7000000000007</v>
      </c>
      <c r="N161">
        <v>46.810499999999998</v>
      </c>
      <c r="O161">
        <v>-87.031666999999999</v>
      </c>
      <c r="P161">
        <v>46.805</v>
      </c>
      <c r="Q161">
        <v>-87.028333000000003</v>
      </c>
      <c r="R161">
        <v>30091.805219999998</v>
      </c>
      <c r="S161">
        <v>147</v>
      </c>
      <c r="T161">
        <v>146</v>
      </c>
      <c r="U161">
        <v>0.5</v>
      </c>
      <c r="V161">
        <v>2</v>
      </c>
      <c r="W161">
        <v>3.9</v>
      </c>
      <c r="X161">
        <v>3.9685999999999999</v>
      </c>
      <c r="Y161">
        <v>0.20119999999999999</v>
      </c>
      <c r="Z161">
        <v>84.35</v>
      </c>
      <c r="AA161">
        <v>10</v>
      </c>
      <c r="AB161">
        <v>0.42</v>
      </c>
      <c r="AC161">
        <v>0</v>
      </c>
      <c r="AD161">
        <v>0</v>
      </c>
    </row>
    <row r="162" spans="1:30" x14ac:dyDescent="0.55000000000000004">
      <c r="A162">
        <v>88324</v>
      </c>
      <c r="B162" s="19">
        <v>41832</v>
      </c>
      <c r="C162">
        <v>1353</v>
      </c>
      <c r="D162">
        <v>2014</v>
      </c>
      <c r="E162">
        <v>25</v>
      </c>
      <c r="F162">
        <v>651</v>
      </c>
      <c r="G162">
        <v>2</v>
      </c>
      <c r="H162">
        <v>2152</v>
      </c>
      <c r="I162">
        <v>3</v>
      </c>
      <c r="J162">
        <v>4648.63</v>
      </c>
      <c r="K162">
        <v>8701.9</v>
      </c>
      <c r="L162">
        <v>4648.3</v>
      </c>
      <c r="M162">
        <v>8701.7000000000007</v>
      </c>
      <c r="N162">
        <v>46.810499999999998</v>
      </c>
      <c r="O162">
        <v>-87.031666999999999</v>
      </c>
      <c r="P162">
        <v>46.805</v>
      </c>
      <c r="Q162">
        <v>-87.028333000000003</v>
      </c>
      <c r="R162">
        <v>30091.805219999998</v>
      </c>
      <c r="S162">
        <v>147</v>
      </c>
      <c r="T162">
        <v>146</v>
      </c>
      <c r="U162">
        <v>0.5</v>
      </c>
      <c r="V162">
        <v>2</v>
      </c>
      <c r="W162">
        <v>3.9</v>
      </c>
      <c r="X162">
        <v>3.9685999999999999</v>
      </c>
      <c r="Y162">
        <v>0.20119999999999999</v>
      </c>
      <c r="Z162">
        <v>84.35</v>
      </c>
      <c r="AA162">
        <v>10</v>
      </c>
      <c r="AB162">
        <v>0.42</v>
      </c>
      <c r="AC162">
        <v>0</v>
      </c>
      <c r="AD162">
        <v>0</v>
      </c>
    </row>
    <row r="163" spans="1:30" x14ac:dyDescent="0.55000000000000004">
      <c r="A163">
        <v>88325</v>
      </c>
      <c r="B163" s="19">
        <v>41833</v>
      </c>
      <c r="C163">
        <v>931</v>
      </c>
      <c r="D163">
        <v>2014</v>
      </c>
      <c r="E163">
        <v>25</v>
      </c>
      <c r="F163">
        <v>652</v>
      </c>
      <c r="G163">
        <v>2</v>
      </c>
      <c r="H163">
        <v>2116</v>
      </c>
      <c r="I163">
        <v>3</v>
      </c>
      <c r="J163">
        <v>4644.95</v>
      </c>
      <c r="K163">
        <v>8632.59</v>
      </c>
      <c r="L163">
        <v>4645.05</v>
      </c>
      <c r="M163">
        <v>8632.06</v>
      </c>
      <c r="N163">
        <v>46.749167</v>
      </c>
      <c r="O163">
        <v>-86.543166999999997</v>
      </c>
      <c r="P163">
        <v>46.750833</v>
      </c>
      <c r="Q163">
        <v>-86.534333000000004</v>
      </c>
      <c r="R163">
        <v>22714.790079999999</v>
      </c>
      <c r="S163">
        <v>176</v>
      </c>
      <c r="T163">
        <v>183</v>
      </c>
      <c r="U163">
        <v>0.5</v>
      </c>
      <c r="V163">
        <v>2</v>
      </c>
      <c r="W163">
        <v>3.2</v>
      </c>
      <c r="X163">
        <v>3.6051000000000002</v>
      </c>
      <c r="Y163">
        <v>0.20349999999999999</v>
      </c>
      <c r="Z163">
        <v>89.732900000000001</v>
      </c>
      <c r="AA163">
        <v>10</v>
      </c>
      <c r="AB163">
        <v>0.42</v>
      </c>
      <c r="AC163">
        <v>217</v>
      </c>
      <c r="AD163">
        <v>10</v>
      </c>
    </row>
    <row r="164" spans="1:30" x14ac:dyDescent="0.55000000000000004">
      <c r="A164">
        <v>88326</v>
      </c>
      <c r="B164" s="19">
        <v>41833</v>
      </c>
      <c r="C164">
        <v>931</v>
      </c>
      <c r="D164">
        <v>2014</v>
      </c>
      <c r="E164">
        <v>25</v>
      </c>
      <c r="F164">
        <v>653</v>
      </c>
      <c r="G164">
        <v>2</v>
      </c>
      <c r="H164">
        <v>2116</v>
      </c>
      <c r="I164">
        <v>3</v>
      </c>
      <c r="J164">
        <v>4644.95</v>
      </c>
      <c r="K164">
        <v>8632.59</v>
      </c>
      <c r="L164">
        <v>4645.05</v>
      </c>
      <c r="M164">
        <v>8632.06</v>
      </c>
      <c r="N164">
        <v>46.749167</v>
      </c>
      <c r="O164">
        <v>-86.543166999999997</v>
      </c>
      <c r="P164">
        <v>46.750833</v>
      </c>
      <c r="Q164">
        <v>-86.534333000000004</v>
      </c>
      <c r="R164">
        <v>22714.790079999999</v>
      </c>
      <c r="S164">
        <v>176</v>
      </c>
      <c r="T164">
        <v>183</v>
      </c>
      <c r="U164">
        <v>0.5</v>
      </c>
      <c r="V164">
        <v>2</v>
      </c>
      <c r="W164">
        <v>3.2</v>
      </c>
      <c r="X164">
        <v>3.6051000000000002</v>
      </c>
      <c r="Y164">
        <v>0.20349999999999999</v>
      </c>
      <c r="Z164">
        <v>89.732900000000001</v>
      </c>
      <c r="AA164">
        <v>10</v>
      </c>
      <c r="AB164">
        <v>0.42</v>
      </c>
      <c r="AC164">
        <v>217</v>
      </c>
      <c r="AD164">
        <v>10</v>
      </c>
    </row>
    <row r="165" spans="1:30" x14ac:dyDescent="0.55000000000000004">
      <c r="A165">
        <v>88328</v>
      </c>
      <c r="B165" s="19">
        <v>41833</v>
      </c>
      <c r="C165">
        <v>1327</v>
      </c>
      <c r="D165">
        <v>2014</v>
      </c>
      <c r="E165">
        <v>25</v>
      </c>
      <c r="F165">
        <v>654</v>
      </c>
      <c r="G165">
        <v>2</v>
      </c>
      <c r="H165">
        <v>2125</v>
      </c>
      <c r="I165">
        <v>3</v>
      </c>
      <c r="J165">
        <v>4706.12</v>
      </c>
      <c r="K165">
        <v>8558.26</v>
      </c>
      <c r="L165">
        <v>4705.7700000000004</v>
      </c>
      <c r="M165">
        <v>8558.0300000000007</v>
      </c>
      <c r="N165">
        <v>47.101999999999997</v>
      </c>
      <c r="O165">
        <v>-85.971000000000004</v>
      </c>
      <c r="P165">
        <v>47.096167000000001</v>
      </c>
      <c r="Q165">
        <v>-85.967167000000003</v>
      </c>
      <c r="R165">
        <v>28316.628680000002</v>
      </c>
      <c r="S165">
        <v>188</v>
      </c>
      <c r="T165">
        <v>192</v>
      </c>
      <c r="U165">
        <v>0.5</v>
      </c>
      <c r="V165">
        <v>2</v>
      </c>
      <c r="W165">
        <v>5.0999999999999996</v>
      </c>
      <c r="X165">
        <v>3.2155</v>
      </c>
      <c r="Y165">
        <v>0.1623</v>
      </c>
      <c r="Z165">
        <v>91.120800000000003</v>
      </c>
      <c r="AA165">
        <v>10</v>
      </c>
      <c r="AB165">
        <v>0.42</v>
      </c>
      <c r="AC165">
        <v>217</v>
      </c>
      <c r="AD165">
        <v>1</v>
      </c>
    </row>
    <row r="166" spans="1:30" x14ac:dyDescent="0.55000000000000004">
      <c r="A166">
        <v>88329</v>
      </c>
      <c r="B166" s="19">
        <v>41833</v>
      </c>
      <c r="C166">
        <v>1327</v>
      </c>
      <c r="D166">
        <v>2014</v>
      </c>
      <c r="E166">
        <v>25</v>
      </c>
      <c r="F166">
        <v>655</v>
      </c>
      <c r="G166">
        <v>2</v>
      </c>
      <c r="H166">
        <v>2125</v>
      </c>
      <c r="I166">
        <v>3</v>
      </c>
      <c r="J166">
        <v>4706.12</v>
      </c>
      <c r="K166">
        <v>8558.26</v>
      </c>
      <c r="L166">
        <v>4705.7700000000004</v>
      </c>
      <c r="M166">
        <v>8558.0300000000007</v>
      </c>
      <c r="N166">
        <v>47.101999999999997</v>
      </c>
      <c r="O166">
        <v>-85.971000000000004</v>
      </c>
      <c r="P166">
        <v>47.096167000000001</v>
      </c>
      <c r="Q166">
        <v>-85.967167000000003</v>
      </c>
      <c r="R166">
        <v>28316.628680000002</v>
      </c>
      <c r="S166">
        <v>188</v>
      </c>
      <c r="T166">
        <v>192</v>
      </c>
      <c r="U166">
        <v>0.5</v>
      </c>
      <c r="V166">
        <v>2</v>
      </c>
      <c r="W166">
        <v>5.0999999999999996</v>
      </c>
      <c r="X166">
        <v>3.2155</v>
      </c>
      <c r="Y166">
        <v>0.1623</v>
      </c>
      <c r="Z166">
        <v>91.120800000000003</v>
      </c>
      <c r="AA166">
        <v>10</v>
      </c>
      <c r="AB166">
        <v>0.42</v>
      </c>
      <c r="AC166">
        <v>0</v>
      </c>
      <c r="AD166">
        <v>0</v>
      </c>
    </row>
    <row r="167" spans="1:30" x14ac:dyDescent="0.55000000000000004">
      <c r="A167">
        <v>88331</v>
      </c>
      <c r="B167" s="19">
        <v>41834</v>
      </c>
      <c r="C167">
        <v>921</v>
      </c>
      <c r="D167">
        <v>2014</v>
      </c>
      <c r="E167">
        <v>25</v>
      </c>
      <c r="F167">
        <v>656</v>
      </c>
      <c r="G167">
        <v>2</v>
      </c>
      <c r="H167">
        <v>2148</v>
      </c>
      <c r="I167">
        <v>3</v>
      </c>
      <c r="J167">
        <v>4653.55</v>
      </c>
      <c r="K167">
        <v>8531.9</v>
      </c>
      <c r="L167">
        <v>4653.92</v>
      </c>
      <c r="M167">
        <v>8531.91</v>
      </c>
      <c r="N167">
        <v>46.892499999999998</v>
      </c>
      <c r="O167">
        <v>-85.531666999999999</v>
      </c>
      <c r="P167">
        <v>46.898667000000003</v>
      </c>
      <c r="Q167">
        <v>-85.531833000000006</v>
      </c>
      <c r="R167">
        <v>23830.26771</v>
      </c>
      <c r="S167">
        <v>159</v>
      </c>
      <c r="T167">
        <v>159</v>
      </c>
      <c r="U167">
        <v>0.5</v>
      </c>
      <c r="V167">
        <v>2</v>
      </c>
      <c r="W167">
        <v>3.1</v>
      </c>
      <c r="X167">
        <v>3.5831</v>
      </c>
      <c r="Y167">
        <v>0.1414</v>
      </c>
      <c r="Z167">
        <v>88.799700000000001</v>
      </c>
      <c r="AA167">
        <v>10</v>
      </c>
      <c r="AB167">
        <v>0.42</v>
      </c>
      <c r="AC167">
        <v>217</v>
      </c>
      <c r="AD167">
        <v>1</v>
      </c>
    </row>
    <row r="168" spans="1:30" x14ac:dyDescent="0.55000000000000004">
      <c r="A168">
        <v>88332</v>
      </c>
      <c r="B168" s="19">
        <v>41834</v>
      </c>
      <c r="C168">
        <v>921</v>
      </c>
      <c r="D168">
        <v>2014</v>
      </c>
      <c r="E168">
        <v>25</v>
      </c>
      <c r="F168">
        <v>657</v>
      </c>
      <c r="G168">
        <v>2</v>
      </c>
      <c r="H168">
        <v>2148</v>
      </c>
      <c r="I168">
        <v>3</v>
      </c>
      <c r="J168">
        <v>4653.55</v>
      </c>
      <c r="K168">
        <v>8531.9</v>
      </c>
      <c r="L168">
        <v>4653.92</v>
      </c>
      <c r="M168">
        <v>8531.91</v>
      </c>
      <c r="N168">
        <v>46.892499999999998</v>
      </c>
      <c r="O168">
        <v>-85.531666999999999</v>
      </c>
      <c r="P168">
        <v>46.898667000000003</v>
      </c>
      <c r="Q168">
        <v>-85.531833000000006</v>
      </c>
      <c r="R168">
        <v>23830.26771</v>
      </c>
      <c r="S168">
        <v>159</v>
      </c>
      <c r="T168">
        <v>159</v>
      </c>
      <c r="U168">
        <v>0.5</v>
      </c>
      <c r="V168">
        <v>2</v>
      </c>
      <c r="W168">
        <v>3.1</v>
      </c>
      <c r="X168">
        <v>3.5831</v>
      </c>
      <c r="Y168">
        <v>0.1414</v>
      </c>
      <c r="Z168">
        <v>88.799700000000001</v>
      </c>
      <c r="AA168">
        <v>10</v>
      </c>
      <c r="AB168">
        <v>0.42</v>
      </c>
      <c r="AC168">
        <v>0</v>
      </c>
      <c r="AD168">
        <v>0</v>
      </c>
    </row>
    <row r="169" spans="1:30" x14ac:dyDescent="0.55000000000000004">
      <c r="A169">
        <v>88335</v>
      </c>
      <c r="B169" s="19">
        <v>41834</v>
      </c>
      <c r="C169">
        <v>1048</v>
      </c>
      <c r="D169">
        <v>2014</v>
      </c>
      <c r="E169">
        <v>25</v>
      </c>
      <c r="F169">
        <v>658</v>
      </c>
      <c r="G169">
        <v>2</v>
      </c>
      <c r="H169">
        <v>2039</v>
      </c>
      <c r="I169">
        <v>3</v>
      </c>
      <c r="J169">
        <v>4654.25</v>
      </c>
      <c r="K169">
        <v>8524.32</v>
      </c>
      <c r="L169">
        <v>4654.4799999999996</v>
      </c>
      <c r="M169">
        <v>8524.74</v>
      </c>
      <c r="N169">
        <v>46.904167000000001</v>
      </c>
      <c r="O169">
        <v>-85.405332999999999</v>
      </c>
      <c r="P169">
        <v>46.908000000000001</v>
      </c>
      <c r="Q169">
        <v>-85.412333000000004</v>
      </c>
      <c r="R169">
        <v>21237.73359</v>
      </c>
      <c r="S169">
        <v>91</v>
      </c>
      <c r="T169">
        <v>94</v>
      </c>
      <c r="U169">
        <v>0.5</v>
      </c>
      <c r="V169">
        <v>2</v>
      </c>
      <c r="W169">
        <v>3.3</v>
      </c>
      <c r="X169">
        <v>3.58</v>
      </c>
      <c r="Y169">
        <v>0.16569999999999999</v>
      </c>
      <c r="Z169">
        <v>89.920900000000003</v>
      </c>
      <c r="AA169">
        <v>10</v>
      </c>
      <c r="AB169">
        <v>0.42</v>
      </c>
      <c r="AC169">
        <v>0</v>
      </c>
      <c r="AD169">
        <v>0</v>
      </c>
    </row>
    <row r="170" spans="1:30" x14ac:dyDescent="0.55000000000000004">
      <c r="A170">
        <v>88336</v>
      </c>
      <c r="B170" s="19">
        <v>41834</v>
      </c>
      <c r="C170">
        <v>1048</v>
      </c>
      <c r="D170">
        <v>2014</v>
      </c>
      <c r="E170">
        <v>25</v>
      </c>
      <c r="F170">
        <v>659</v>
      </c>
      <c r="G170">
        <v>2</v>
      </c>
      <c r="H170">
        <v>2039</v>
      </c>
      <c r="I170">
        <v>3</v>
      </c>
      <c r="J170">
        <v>4654.25</v>
      </c>
      <c r="K170">
        <v>8524.32</v>
      </c>
      <c r="L170">
        <v>4654.4799999999996</v>
      </c>
      <c r="M170">
        <v>8524.74</v>
      </c>
      <c r="N170">
        <v>46.904167000000001</v>
      </c>
      <c r="O170">
        <v>-85.405332999999999</v>
      </c>
      <c r="P170">
        <v>46.908000000000001</v>
      </c>
      <c r="Q170">
        <v>-85.412333000000004</v>
      </c>
      <c r="R170">
        <v>21237.73359</v>
      </c>
      <c r="S170">
        <v>91</v>
      </c>
      <c r="T170">
        <v>94</v>
      </c>
      <c r="U170">
        <v>0.5</v>
      </c>
      <c r="V170">
        <v>2</v>
      </c>
      <c r="W170">
        <v>3.3</v>
      </c>
      <c r="X170">
        <v>3.58</v>
      </c>
      <c r="Y170">
        <v>0.16569999999999999</v>
      </c>
      <c r="Z170">
        <v>89.920900000000003</v>
      </c>
      <c r="AA170">
        <v>10</v>
      </c>
      <c r="AB170">
        <v>0.42</v>
      </c>
      <c r="AC170">
        <v>217</v>
      </c>
      <c r="AD170">
        <v>2</v>
      </c>
    </row>
    <row r="171" spans="1:30" x14ac:dyDescent="0.55000000000000004">
      <c r="A171">
        <v>88339</v>
      </c>
      <c r="B171" s="19">
        <v>41836</v>
      </c>
      <c r="C171">
        <v>1404</v>
      </c>
      <c r="D171">
        <v>2014</v>
      </c>
      <c r="E171">
        <v>25</v>
      </c>
      <c r="F171">
        <v>660</v>
      </c>
      <c r="G171">
        <v>2</v>
      </c>
      <c r="H171">
        <v>2137</v>
      </c>
      <c r="I171">
        <v>3</v>
      </c>
      <c r="J171">
        <v>4713.3999999999996</v>
      </c>
      <c r="K171">
        <v>8506.14</v>
      </c>
      <c r="L171">
        <v>4713.03</v>
      </c>
      <c r="M171">
        <v>8506.15</v>
      </c>
      <c r="N171">
        <v>47.223332999999997</v>
      </c>
      <c r="O171">
        <v>-85.102333000000002</v>
      </c>
      <c r="P171">
        <v>47.217167000000003</v>
      </c>
      <c r="Q171">
        <v>-85.102500000000006</v>
      </c>
      <c r="R171">
        <v>26762.228330000002</v>
      </c>
      <c r="S171">
        <v>205</v>
      </c>
      <c r="T171">
        <v>215</v>
      </c>
      <c r="U171">
        <v>0.5</v>
      </c>
      <c r="V171">
        <v>2</v>
      </c>
      <c r="W171">
        <v>3</v>
      </c>
      <c r="X171">
        <v>3.5232000000000001</v>
      </c>
      <c r="Y171">
        <v>0.1532</v>
      </c>
      <c r="Z171">
        <v>86.450299999999999</v>
      </c>
      <c r="AA171">
        <v>10</v>
      </c>
      <c r="AB171">
        <v>0.42</v>
      </c>
      <c r="AC171">
        <v>217</v>
      </c>
      <c r="AD171">
        <v>1</v>
      </c>
    </row>
    <row r="172" spans="1:30" x14ac:dyDescent="0.55000000000000004">
      <c r="A172">
        <v>88340</v>
      </c>
      <c r="B172" s="19">
        <v>41836</v>
      </c>
      <c r="C172">
        <v>1404</v>
      </c>
      <c r="D172">
        <v>2014</v>
      </c>
      <c r="E172">
        <v>25</v>
      </c>
      <c r="F172">
        <v>661</v>
      </c>
      <c r="G172">
        <v>2</v>
      </c>
      <c r="H172">
        <v>2137</v>
      </c>
      <c r="I172">
        <v>3</v>
      </c>
      <c r="J172">
        <v>4713.3999999999996</v>
      </c>
      <c r="K172">
        <v>8506.14</v>
      </c>
      <c r="L172">
        <v>4713.03</v>
      </c>
      <c r="M172">
        <v>8506.15</v>
      </c>
      <c r="N172">
        <v>47.223332999999997</v>
      </c>
      <c r="O172">
        <v>-85.102333000000002</v>
      </c>
      <c r="P172">
        <v>47.217167000000003</v>
      </c>
      <c r="Q172">
        <v>-85.102500000000006</v>
      </c>
      <c r="R172">
        <v>26762.228330000002</v>
      </c>
      <c r="S172">
        <v>205</v>
      </c>
      <c r="T172">
        <v>215</v>
      </c>
      <c r="U172">
        <v>0.5</v>
      </c>
      <c r="V172">
        <v>2</v>
      </c>
      <c r="W172">
        <v>3</v>
      </c>
      <c r="X172">
        <v>3.5232000000000001</v>
      </c>
      <c r="Y172">
        <v>0.1532</v>
      </c>
      <c r="Z172">
        <v>86.450299999999999</v>
      </c>
      <c r="AA172">
        <v>10</v>
      </c>
      <c r="AB172">
        <v>0.42</v>
      </c>
      <c r="AC172">
        <v>0</v>
      </c>
      <c r="AD172">
        <v>0</v>
      </c>
    </row>
    <row r="173" spans="1:30" x14ac:dyDescent="0.55000000000000004">
      <c r="A173">
        <v>88341</v>
      </c>
      <c r="B173" s="19">
        <v>41836</v>
      </c>
      <c r="C173">
        <v>1646</v>
      </c>
      <c r="D173">
        <v>2014</v>
      </c>
      <c r="E173">
        <v>25</v>
      </c>
      <c r="F173">
        <v>662</v>
      </c>
      <c r="G173">
        <v>2</v>
      </c>
      <c r="H173">
        <v>2121</v>
      </c>
      <c r="I173">
        <v>3</v>
      </c>
      <c r="J173">
        <v>4727.24</v>
      </c>
      <c r="K173">
        <v>8515.98</v>
      </c>
      <c r="L173">
        <v>4727.59</v>
      </c>
      <c r="M173">
        <v>8515.84</v>
      </c>
      <c r="N173">
        <v>47.454000000000001</v>
      </c>
      <c r="O173">
        <v>-85.266333000000003</v>
      </c>
      <c r="P173">
        <v>47.459833000000003</v>
      </c>
      <c r="Q173">
        <v>-85.263999999999996</v>
      </c>
      <c r="R173">
        <v>22827.845590000001</v>
      </c>
      <c r="S173">
        <v>274</v>
      </c>
      <c r="T173">
        <v>282</v>
      </c>
      <c r="U173">
        <v>0.5</v>
      </c>
      <c r="V173">
        <v>2</v>
      </c>
      <c r="W173">
        <v>3.1</v>
      </c>
      <c r="X173">
        <v>3.1732</v>
      </c>
      <c r="Y173">
        <v>0.11849999999999999</v>
      </c>
      <c r="Z173">
        <v>86.216300000000004</v>
      </c>
      <c r="AA173">
        <v>10</v>
      </c>
      <c r="AB173">
        <v>0.4</v>
      </c>
      <c r="AC173">
        <v>217</v>
      </c>
      <c r="AD173">
        <v>1</v>
      </c>
    </row>
    <row r="174" spans="1:30" x14ac:dyDescent="0.55000000000000004">
      <c r="A174">
        <v>88342</v>
      </c>
      <c r="B174" s="19">
        <v>41836</v>
      </c>
      <c r="C174">
        <v>1646</v>
      </c>
      <c r="D174">
        <v>2014</v>
      </c>
      <c r="E174">
        <v>25</v>
      </c>
      <c r="F174">
        <v>663</v>
      </c>
      <c r="G174">
        <v>2</v>
      </c>
      <c r="H174">
        <v>2121</v>
      </c>
      <c r="I174">
        <v>3</v>
      </c>
      <c r="J174">
        <v>4727.24</v>
      </c>
      <c r="K174">
        <v>8515.98</v>
      </c>
      <c r="L174">
        <v>4727.59</v>
      </c>
      <c r="M174">
        <v>8515.84</v>
      </c>
      <c r="N174">
        <v>47.454000000000001</v>
      </c>
      <c r="O174">
        <v>-85.266333000000003</v>
      </c>
      <c r="P174">
        <v>47.459833000000003</v>
      </c>
      <c r="Q174">
        <v>-85.263999999999996</v>
      </c>
      <c r="R174">
        <v>22827.845590000001</v>
      </c>
      <c r="S174">
        <v>274</v>
      </c>
      <c r="T174">
        <v>282</v>
      </c>
      <c r="U174">
        <v>0.5</v>
      </c>
      <c r="V174">
        <v>2</v>
      </c>
      <c r="W174">
        <v>3.1</v>
      </c>
      <c r="X174">
        <v>3.1732</v>
      </c>
      <c r="Y174">
        <v>0.11849999999999999</v>
      </c>
      <c r="Z174">
        <v>86.216300000000004</v>
      </c>
      <c r="AA174">
        <v>10</v>
      </c>
      <c r="AB174">
        <v>0.4</v>
      </c>
      <c r="AC174">
        <v>0</v>
      </c>
      <c r="AD174">
        <v>0</v>
      </c>
    </row>
    <row r="175" spans="1:30" x14ac:dyDescent="0.55000000000000004">
      <c r="A175">
        <v>88343</v>
      </c>
      <c r="B175" s="19">
        <v>41837</v>
      </c>
      <c r="C175">
        <v>729</v>
      </c>
      <c r="D175">
        <v>2014</v>
      </c>
      <c r="E175">
        <v>25</v>
      </c>
      <c r="F175">
        <v>664</v>
      </c>
      <c r="G175">
        <v>2</v>
      </c>
      <c r="H175">
        <v>2059</v>
      </c>
      <c r="I175">
        <v>3</v>
      </c>
      <c r="J175">
        <v>4742.16</v>
      </c>
      <c r="K175">
        <v>8557.74</v>
      </c>
      <c r="L175">
        <v>4742.0200000000004</v>
      </c>
      <c r="M175">
        <v>8557.2199999999993</v>
      </c>
      <c r="N175">
        <v>47.702666999999998</v>
      </c>
      <c r="O175">
        <v>-85.962333000000001</v>
      </c>
      <c r="P175">
        <v>47.700333000000001</v>
      </c>
      <c r="Q175">
        <v>-85.953666999999996</v>
      </c>
      <c r="R175">
        <v>1797.424289</v>
      </c>
      <c r="S175">
        <v>106</v>
      </c>
      <c r="T175">
        <v>111</v>
      </c>
      <c r="U175">
        <v>0.5</v>
      </c>
      <c r="V175">
        <v>2</v>
      </c>
      <c r="W175">
        <v>3</v>
      </c>
      <c r="X175">
        <v>3.4685000000000001</v>
      </c>
      <c r="Y175">
        <v>0.22420000000000001</v>
      </c>
      <c r="Z175">
        <v>88.135999999999996</v>
      </c>
      <c r="AA175">
        <v>10</v>
      </c>
      <c r="AB175">
        <v>0.42</v>
      </c>
      <c r="AC175">
        <v>217</v>
      </c>
      <c r="AD175">
        <v>8</v>
      </c>
    </row>
    <row r="176" spans="1:30" x14ac:dyDescent="0.55000000000000004">
      <c r="A176">
        <v>88344</v>
      </c>
      <c r="B176" s="19">
        <v>41837</v>
      </c>
      <c r="C176">
        <v>729</v>
      </c>
      <c r="D176">
        <v>2014</v>
      </c>
      <c r="E176">
        <v>25</v>
      </c>
      <c r="F176">
        <v>665</v>
      </c>
      <c r="G176">
        <v>2</v>
      </c>
      <c r="H176">
        <v>2059</v>
      </c>
      <c r="I176">
        <v>3</v>
      </c>
      <c r="J176">
        <v>4742.16</v>
      </c>
      <c r="K176">
        <v>8557.74</v>
      </c>
      <c r="L176">
        <v>4742.0200000000004</v>
      </c>
      <c r="M176">
        <v>8557.2199999999993</v>
      </c>
      <c r="N176">
        <v>47.702666999999998</v>
      </c>
      <c r="O176">
        <v>-85.962333000000001</v>
      </c>
      <c r="P176">
        <v>47.700333000000001</v>
      </c>
      <c r="Q176">
        <v>-85.953666999999996</v>
      </c>
      <c r="R176">
        <v>1797.424289</v>
      </c>
      <c r="S176">
        <v>106</v>
      </c>
      <c r="T176">
        <v>111</v>
      </c>
      <c r="U176">
        <v>0.5</v>
      </c>
      <c r="V176">
        <v>2</v>
      </c>
      <c r="W176">
        <v>3</v>
      </c>
      <c r="X176">
        <v>3.4685000000000001</v>
      </c>
      <c r="Y176">
        <v>0.22420000000000001</v>
      </c>
      <c r="Z176">
        <v>88.135999999999996</v>
      </c>
      <c r="AA176">
        <v>10</v>
      </c>
      <c r="AB176">
        <v>0.42</v>
      </c>
      <c r="AC176">
        <v>217</v>
      </c>
      <c r="AD176">
        <v>14</v>
      </c>
    </row>
    <row r="177" spans="1:30" x14ac:dyDescent="0.55000000000000004">
      <c r="A177">
        <v>88346</v>
      </c>
      <c r="B177" s="19">
        <v>41837</v>
      </c>
      <c r="C177">
        <v>1021</v>
      </c>
      <c r="D177">
        <v>2014</v>
      </c>
      <c r="E177">
        <v>25</v>
      </c>
      <c r="F177">
        <v>666</v>
      </c>
      <c r="G177">
        <v>2</v>
      </c>
      <c r="H177">
        <v>2153</v>
      </c>
      <c r="I177">
        <v>3</v>
      </c>
      <c r="J177">
        <v>4724.59</v>
      </c>
      <c r="K177">
        <v>8539.9500000000007</v>
      </c>
      <c r="L177">
        <v>4724.96</v>
      </c>
      <c r="M177">
        <v>8539.99</v>
      </c>
      <c r="N177">
        <v>47.409832999999999</v>
      </c>
      <c r="O177">
        <v>-85.665833000000006</v>
      </c>
      <c r="P177">
        <v>47.415999999999997</v>
      </c>
      <c r="Q177">
        <v>-85.666499999999999</v>
      </c>
      <c r="R177">
        <v>9802.0663349999995</v>
      </c>
      <c r="S177">
        <v>148</v>
      </c>
      <c r="T177">
        <v>150</v>
      </c>
      <c r="U177">
        <v>0.5</v>
      </c>
      <c r="V177">
        <v>2</v>
      </c>
      <c r="W177">
        <v>2.8</v>
      </c>
      <c r="X177">
        <v>3.2120000000000002</v>
      </c>
      <c r="Y177">
        <v>0.16669999999999999</v>
      </c>
      <c r="Z177">
        <v>90.529200000000003</v>
      </c>
      <c r="AA177">
        <v>10</v>
      </c>
      <c r="AB177">
        <v>0.42</v>
      </c>
      <c r="AC177">
        <v>0</v>
      </c>
      <c r="AD177">
        <v>0</v>
      </c>
    </row>
    <row r="178" spans="1:30" x14ac:dyDescent="0.55000000000000004">
      <c r="A178">
        <v>88347</v>
      </c>
      <c r="B178" s="19">
        <v>41837</v>
      </c>
      <c r="C178">
        <v>1021</v>
      </c>
      <c r="D178">
        <v>2014</v>
      </c>
      <c r="E178">
        <v>25</v>
      </c>
      <c r="F178">
        <v>667</v>
      </c>
      <c r="G178">
        <v>2</v>
      </c>
      <c r="H178">
        <v>2153</v>
      </c>
      <c r="I178">
        <v>3</v>
      </c>
      <c r="J178">
        <v>4724.59</v>
      </c>
      <c r="K178">
        <v>8539.9500000000007</v>
      </c>
      <c r="L178">
        <v>4724.96</v>
      </c>
      <c r="M178">
        <v>8539.99</v>
      </c>
      <c r="N178">
        <v>47.409832999999999</v>
      </c>
      <c r="O178">
        <v>-85.665833000000006</v>
      </c>
      <c r="P178">
        <v>47.415999999999997</v>
      </c>
      <c r="Q178">
        <v>-85.666499999999999</v>
      </c>
      <c r="R178">
        <v>9802.0663349999995</v>
      </c>
      <c r="S178">
        <v>148</v>
      </c>
      <c r="T178">
        <v>150</v>
      </c>
      <c r="U178">
        <v>0.5</v>
      </c>
      <c r="V178">
        <v>2</v>
      </c>
      <c r="W178">
        <v>2.8</v>
      </c>
      <c r="X178">
        <v>3.2120000000000002</v>
      </c>
      <c r="Y178">
        <v>0.16669999999999999</v>
      </c>
      <c r="Z178">
        <v>90.529200000000003</v>
      </c>
      <c r="AA178">
        <v>10</v>
      </c>
      <c r="AB178">
        <v>0.42</v>
      </c>
      <c r="AC178">
        <v>0</v>
      </c>
      <c r="AD178">
        <v>0</v>
      </c>
    </row>
    <row r="179" spans="1:30" x14ac:dyDescent="0.55000000000000004">
      <c r="A179">
        <v>88350</v>
      </c>
      <c r="B179" s="19">
        <v>41837</v>
      </c>
      <c r="C179">
        <v>1235</v>
      </c>
      <c r="D179">
        <v>2014</v>
      </c>
      <c r="E179">
        <v>25</v>
      </c>
      <c r="F179">
        <v>668</v>
      </c>
      <c r="G179">
        <v>2</v>
      </c>
      <c r="H179">
        <v>2129</v>
      </c>
      <c r="I179">
        <v>3</v>
      </c>
      <c r="J179">
        <v>4738.79</v>
      </c>
      <c r="K179">
        <v>8533.67</v>
      </c>
      <c r="L179">
        <v>4739.1400000000003</v>
      </c>
      <c r="M179">
        <v>8533.51</v>
      </c>
      <c r="N179">
        <v>47.646500000000003</v>
      </c>
      <c r="O179">
        <v>-85.561166999999998</v>
      </c>
      <c r="P179">
        <v>47.652332999999999</v>
      </c>
      <c r="Q179">
        <v>-85.558499999999995</v>
      </c>
      <c r="R179">
        <v>9854.5266200000005</v>
      </c>
      <c r="S179">
        <v>193</v>
      </c>
      <c r="T179">
        <v>200</v>
      </c>
      <c r="U179">
        <v>0.5</v>
      </c>
      <c r="V179">
        <v>2</v>
      </c>
      <c r="W179">
        <v>3.3</v>
      </c>
      <c r="X179">
        <v>3.5322</v>
      </c>
      <c r="Y179">
        <v>0.15179999999999999</v>
      </c>
      <c r="Z179">
        <v>87.693899999999999</v>
      </c>
      <c r="AA179">
        <v>10</v>
      </c>
      <c r="AB179">
        <v>0.42</v>
      </c>
      <c r="AC179">
        <v>217</v>
      </c>
      <c r="AD179">
        <v>2</v>
      </c>
    </row>
    <row r="180" spans="1:30" x14ac:dyDescent="0.55000000000000004">
      <c r="A180">
        <v>88351</v>
      </c>
      <c r="B180" s="19">
        <v>41837</v>
      </c>
      <c r="C180">
        <v>1235</v>
      </c>
      <c r="D180">
        <v>2014</v>
      </c>
      <c r="E180">
        <v>25</v>
      </c>
      <c r="F180">
        <v>669</v>
      </c>
      <c r="G180">
        <v>2</v>
      </c>
      <c r="H180">
        <v>2129</v>
      </c>
      <c r="I180">
        <v>3</v>
      </c>
      <c r="J180">
        <v>4738.79</v>
      </c>
      <c r="K180">
        <v>8533.67</v>
      </c>
      <c r="L180">
        <v>4739.1400000000003</v>
      </c>
      <c r="M180">
        <v>8533.51</v>
      </c>
      <c r="N180">
        <v>47.646500000000003</v>
      </c>
      <c r="O180">
        <v>-85.561166999999998</v>
      </c>
      <c r="P180">
        <v>47.652332999999999</v>
      </c>
      <c r="Q180">
        <v>-85.558499999999995</v>
      </c>
      <c r="R180">
        <v>9854.5266200000005</v>
      </c>
      <c r="S180">
        <v>193</v>
      </c>
      <c r="T180">
        <v>200</v>
      </c>
      <c r="U180">
        <v>0.5</v>
      </c>
      <c r="V180">
        <v>2</v>
      </c>
      <c r="W180">
        <v>3.3</v>
      </c>
      <c r="X180">
        <v>3.5322</v>
      </c>
      <c r="Y180">
        <v>0.15179999999999999</v>
      </c>
      <c r="Z180">
        <v>87.693899999999999</v>
      </c>
      <c r="AA180">
        <v>10</v>
      </c>
      <c r="AB180">
        <v>0.42</v>
      </c>
      <c r="AC180">
        <v>217</v>
      </c>
      <c r="AD180">
        <v>2</v>
      </c>
    </row>
    <row r="181" spans="1:30" x14ac:dyDescent="0.55000000000000004">
      <c r="A181">
        <v>88352</v>
      </c>
      <c r="B181" s="19">
        <v>41838</v>
      </c>
      <c r="C181">
        <v>839</v>
      </c>
      <c r="D181">
        <v>2014</v>
      </c>
      <c r="E181">
        <v>25</v>
      </c>
      <c r="F181">
        <v>670</v>
      </c>
      <c r="G181">
        <v>2</v>
      </c>
      <c r="H181">
        <v>2145</v>
      </c>
      <c r="I181">
        <v>3</v>
      </c>
      <c r="J181">
        <v>4738.18</v>
      </c>
      <c r="K181">
        <v>8606.4</v>
      </c>
      <c r="L181">
        <v>4737.91</v>
      </c>
      <c r="M181">
        <v>8606.7800000000007</v>
      </c>
      <c r="N181">
        <v>47.636333</v>
      </c>
      <c r="O181">
        <v>-86.106667000000002</v>
      </c>
      <c r="P181">
        <v>47.631833</v>
      </c>
      <c r="Q181">
        <v>-86.113</v>
      </c>
      <c r="R181">
        <v>15028.34283</v>
      </c>
      <c r="S181">
        <v>151</v>
      </c>
      <c r="T181">
        <v>142</v>
      </c>
      <c r="U181">
        <v>0.5</v>
      </c>
      <c r="V181">
        <v>2</v>
      </c>
      <c r="W181">
        <v>2.9</v>
      </c>
      <c r="X181">
        <v>3.0627</v>
      </c>
      <c r="Y181">
        <v>0.1263</v>
      </c>
      <c r="Z181">
        <v>86.145300000000006</v>
      </c>
      <c r="AA181">
        <v>10</v>
      </c>
      <c r="AB181">
        <v>0.42</v>
      </c>
      <c r="AC181">
        <v>217</v>
      </c>
      <c r="AD181">
        <v>14</v>
      </c>
    </row>
    <row r="182" spans="1:30" x14ac:dyDescent="0.55000000000000004">
      <c r="A182">
        <v>88353</v>
      </c>
      <c r="B182" s="19">
        <v>41838</v>
      </c>
      <c r="C182">
        <v>839</v>
      </c>
      <c r="D182">
        <v>2014</v>
      </c>
      <c r="E182">
        <v>25</v>
      </c>
      <c r="F182">
        <v>671</v>
      </c>
      <c r="G182">
        <v>2</v>
      </c>
      <c r="H182">
        <v>2145</v>
      </c>
      <c r="I182">
        <v>3</v>
      </c>
      <c r="J182">
        <v>4738.18</v>
      </c>
      <c r="K182">
        <v>8606.4</v>
      </c>
      <c r="L182">
        <v>4737.91</v>
      </c>
      <c r="M182">
        <v>8606.7800000000007</v>
      </c>
      <c r="N182">
        <v>47.636333</v>
      </c>
      <c r="O182">
        <v>-86.106667000000002</v>
      </c>
      <c r="P182">
        <v>47.631833</v>
      </c>
      <c r="Q182">
        <v>-86.113</v>
      </c>
      <c r="R182">
        <v>15028.34283</v>
      </c>
      <c r="S182">
        <v>151</v>
      </c>
      <c r="T182">
        <v>142</v>
      </c>
      <c r="U182">
        <v>0.5</v>
      </c>
      <c r="V182">
        <v>2</v>
      </c>
      <c r="W182">
        <v>2.9</v>
      </c>
      <c r="X182">
        <v>3.0627</v>
      </c>
      <c r="Y182">
        <v>0.1263</v>
      </c>
      <c r="Z182">
        <v>86.145300000000006</v>
      </c>
      <c r="AA182">
        <v>10</v>
      </c>
      <c r="AB182">
        <v>0.42</v>
      </c>
      <c r="AC182">
        <v>204</v>
      </c>
      <c r="AD182">
        <v>1</v>
      </c>
    </row>
    <row r="183" spans="1:30" x14ac:dyDescent="0.55000000000000004">
      <c r="A183">
        <v>88353</v>
      </c>
      <c r="B183" s="19">
        <v>41838</v>
      </c>
      <c r="C183">
        <v>839</v>
      </c>
      <c r="D183">
        <v>2014</v>
      </c>
      <c r="E183">
        <v>25</v>
      </c>
      <c r="F183">
        <v>671</v>
      </c>
      <c r="G183">
        <v>2</v>
      </c>
      <c r="H183">
        <v>2145</v>
      </c>
      <c r="I183">
        <v>3</v>
      </c>
      <c r="J183">
        <v>4738.18</v>
      </c>
      <c r="K183">
        <v>8606.4</v>
      </c>
      <c r="L183">
        <v>4737.91</v>
      </c>
      <c r="M183">
        <v>8606.7800000000007</v>
      </c>
      <c r="N183">
        <v>47.636333</v>
      </c>
      <c r="O183">
        <v>-86.106667000000002</v>
      </c>
      <c r="P183">
        <v>47.631833</v>
      </c>
      <c r="Q183">
        <v>-86.113</v>
      </c>
      <c r="R183">
        <v>15028.34283</v>
      </c>
      <c r="S183">
        <v>151</v>
      </c>
      <c r="T183">
        <v>142</v>
      </c>
      <c r="U183">
        <v>0.5</v>
      </c>
      <c r="V183">
        <v>2</v>
      </c>
      <c r="W183">
        <v>2.9</v>
      </c>
      <c r="X183">
        <v>3.0627</v>
      </c>
      <c r="Y183">
        <v>0.1263</v>
      </c>
      <c r="Z183">
        <v>86.145300000000006</v>
      </c>
      <c r="AA183">
        <v>10</v>
      </c>
      <c r="AB183">
        <v>0.42</v>
      </c>
      <c r="AC183">
        <v>217</v>
      </c>
      <c r="AD183">
        <v>18</v>
      </c>
    </row>
    <row r="184" spans="1:30" x14ac:dyDescent="0.55000000000000004">
      <c r="A184">
        <v>88355</v>
      </c>
      <c r="B184" s="19">
        <v>41838</v>
      </c>
      <c r="C184">
        <v>1001</v>
      </c>
      <c r="D184">
        <v>2014</v>
      </c>
      <c r="E184">
        <v>25</v>
      </c>
      <c r="F184">
        <v>672</v>
      </c>
      <c r="G184">
        <v>2</v>
      </c>
      <c r="H184">
        <v>2165</v>
      </c>
      <c r="I184">
        <v>3</v>
      </c>
      <c r="J184">
        <v>4735.87</v>
      </c>
      <c r="K184">
        <v>8613.5</v>
      </c>
      <c r="L184">
        <v>4735.5200000000004</v>
      </c>
      <c r="M184">
        <v>8613.49</v>
      </c>
      <c r="N184">
        <v>47.597833000000001</v>
      </c>
      <c r="O184">
        <v>-86.224999999999994</v>
      </c>
      <c r="P184">
        <v>47.591999999999999</v>
      </c>
      <c r="Q184">
        <v>-86.224833000000004</v>
      </c>
      <c r="R184">
        <v>24345.13019</v>
      </c>
      <c r="S184">
        <v>133</v>
      </c>
      <c r="T184">
        <v>132</v>
      </c>
      <c r="U184">
        <v>0.5</v>
      </c>
      <c r="V184">
        <v>2</v>
      </c>
      <c r="W184">
        <v>3.2</v>
      </c>
      <c r="X184">
        <v>3.3357999999999999</v>
      </c>
      <c r="Y184">
        <v>0.16170000000000001</v>
      </c>
      <c r="Z184">
        <v>89.545000000000002</v>
      </c>
      <c r="AA184">
        <v>10</v>
      </c>
      <c r="AB184">
        <v>0.4</v>
      </c>
      <c r="AC184">
        <v>217</v>
      </c>
      <c r="AD184">
        <v>4</v>
      </c>
    </row>
    <row r="185" spans="1:30" x14ac:dyDescent="0.55000000000000004">
      <c r="A185">
        <v>88356</v>
      </c>
      <c r="B185" s="19">
        <v>41838</v>
      </c>
      <c r="C185">
        <v>1001</v>
      </c>
      <c r="D185">
        <v>2014</v>
      </c>
      <c r="E185">
        <v>25</v>
      </c>
      <c r="F185">
        <v>673</v>
      </c>
      <c r="G185">
        <v>2</v>
      </c>
      <c r="H185">
        <v>2165</v>
      </c>
      <c r="I185">
        <v>3</v>
      </c>
      <c r="J185">
        <v>4735.87</v>
      </c>
      <c r="K185">
        <v>8613.5</v>
      </c>
      <c r="L185">
        <v>4735.5200000000004</v>
      </c>
      <c r="M185">
        <v>8613.49</v>
      </c>
      <c r="N185">
        <v>47.597833000000001</v>
      </c>
      <c r="O185">
        <v>-86.224999999999994</v>
      </c>
      <c r="P185">
        <v>47.591999999999999</v>
      </c>
      <c r="Q185">
        <v>-86.224833000000004</v>
      </c>
      <c r="R185">
        <v>24345.13019</v>
      </c>
      <c r="S185">
        <v>133</v>
      </c>
      <c r="T185">
        <v>132</v>
      </c>
      <c r="U185">
        <v>0.5</v>
      </c>
      <c r="V185">
        <v>2</v>
      </c>
      <c r="W185">
        <v>3.2</v>
      </c>
      <c r="X185">
        <v>3.3357999999999999</v>
      </c>
      <c r="Y185">
        <v>0.16170000000000001</v>
      </c>
      <c r="Z185">
        <v>89.545000000000002</v>
      </c>
      <c r="AA185">
        <v>10</v>
      </c>
      <c r="AB185">
        <v>0.4</v>
      </c>
      <c r="AC185">
        <v>217</v>
      </c>
      <c r="AD185">
        <v>2</v>
      </c>
    </row>
    <row r="186" spans="1:30" x14ac:dyDescent="0.55000000000000004">
      <c r="A186">
        <v>88358</v>
      </c>
      <c r="B186" s="19">
        <v>41838</v>
      </c>
      <c r="C186">
        <v>1237</v>
      </c>
      <c r="D186">
        <v>2014</v>
      </c>
      <c r="E186">
        <v>25</v>
      </c>
      <c r="F186">
        <v>674</v>
      </c>
      <c r="G186">
        <v>2</v>
      </c>
      <c r="H186">
        <v>2126</v>
      </c>
      <c r="I186">
        <v>3</v>
      </c>
      <c r="J186">
        <v>4723.97</v>
      </c>
      <c r="K186">
        <v>8628.2000000000007</v>
      </c>
      <c r="L186">
        <v>4724.33</v>
      </c>
      <c r="M186">
        <v>8628.2999999999993</v>
      </c>
      <c r="N186">
        <v>47.399500000000003</v>
      </c>
      <c r="O186">
        <v>-86.47</v>
      </c>
      <c r="P186">
        <v>47.405500000000004</v>
      </c>
      <c r="Q186">
        <v>-86.471666999999997</v>
      </c>
      <c r="R186">
        <v>48597.18664</v>
      </c>
      <c r="S186">
        <v>317</v>
      </c>
      <c r="T186">
        <v>318</v>
      </c>
      <c r="U186">
        <v>0.5</v>
      </c>
      <c r="V186">
        <v>2</v>
      </c>
      <c r="W186">
        <v>3.2</v>
      </c>
      <c r="X186">
        <v>3.4771000000000001</v>
      </c>
      <c r="Y186">
        <v>0.13059999999999999</v>
      </c>
      <c r="Z186">
        <v>83.461299999999994</v>
      </c>
      <c r="AA186">
        <v>10</v>
      </c>
      <c r="AB186">
        <v>0.42</v>
      </c>
      <c r="AC186">
        <v>0</v>
      </c>
      <c r="AD186">
        <v>0</v>
      </c>
    </row>
    <row r="187" spans="1:30" x14ac:dyDescent="0.55000000000000004">
      <c r="A187">
        <v>88359</v>
      </c>
      <c r="B187" s="19">
        <v>41838</v>
      </c>
      <c r="C187">
        <v>1237</v>
      </c>
      <c r="D187">
        <v>2014</v>
      </c>
      <c r="E187">
        <v>25</v>
      </c>
      <c r="F187">
        <v>675</v>
      </c>
      <c r="G187">
        <v>2</v>
      </c>
      <c r="H187">
        <v>2126</v>
      </c>
      <c r="I187">
        <v>3</v>
      </c>
      <c r="J187">
        <v>4723.97</v>
      </c>
      <c r="K187">
        <v>8628.2000000000007</v>
      </c>
      <c r="L187">
        <v>4724.33</v>
      </c>
      <c r="M187">
        <v>8628.2999999999993</v>
      </c>
      <c r="N187">
        <v>47.399500000000003</v>
      </c>
      <c r="O187">
        <v>-86.47</v>
      </c>
      <c r="P187">
        <v>47.405500000000004</v>
      </c>
      <c r="Q187">
        <v>-86.471666999999997</v>
      </c>
      <c r="R187">
        <v>48597.18664</v>
      </c>
      <c r="S187">
        <v>317</v>
      </c>
      <c r="T187">
        <v>318</v>
      </c>
      <c r="U187">
        <v>0.5</v>
      </c>
      <c r="V187">
        <v>2</v>
      </c>
      <c r="W187">
        <v>3.2</v>
      </c>
      <c r="X187">
        <v>3.4771000000000001</v>
      </c>
      <c r="Y187">
        <v>0.13059999999999999</v>
      </c>
      <c r="Z187">
        <v>83.461299999999994</v>
      </c>
      <c r="AA187">
        <v>10</v>
      </c>
      <c r="AB187">
        <v>0.42</v>
      </c>
      <c r="AC187">
        <v>0</v>
      </c>
      <c r="AD187">
        <v>0</v>
      </c>
    </row>
    <row r="188" spans="1:30" x14ac:dyDescent="0.55000000000000004">
      <c r="A188">
        <v>88362</v>
      </c>
      <c r="B188" s="19">
        <v>41839</v>
      </c>
      <c r="C188">
        <v>1103</v>
      </c>
      <c r="D188">
        <v>2014</v>
      </c>
      <c r="E188">
        <v>25</v>
      </c>
      <c r="F188">
        <v>676</v>
      </c>
      <c r="G188">
        <v>2</v>
      </c>
      <c r="H188">
        <v>2119</v>
      </c>
      <c r="I188">
        <v>3</v>
      </c>
      <c r="J188">
        <v>4749.49</v>
      </c>
      <c r="K188">
        <v>8641.83</v>
      </c>
      <c r="L188">
        <v>4749.8500000000004</v>
      </c>
      <c r="M188">
        <v>8641.98</v>
      </c>
      <c r="N188">
        <v>47.824832999999998</v>
      </c>
      <c r="O188">
        <v>-86.697166999999993</v>
      </c>
      <c r="P188">
        <v>47.830832999999998</v>
      </c>
      <c r="Q188">
        <v>-86.699667000000005</v>
      </c>
      <c r="R188">
        <v>56390.372300000003</v>
      </c>
      <c r="S188">
        <v>270</v>
      </c>
      <c r="T188">
        <v>270</v>
      </c>
      <c r="U188">
        <v>0.7</v>
      </c>
      <c r="V188">
        <v>2</v>
      </c>
      <c r="W188">
        <v>3.3</v>
      </c>
      <c r="X188">
        <v>3.5949</v>
      </c>
      <c r="Y188">
        <v>0.1298</v>
      </c>
      <c r="Z188">
        <v>80.854900000000001</v>
      </c>
      <c r="AA188">
        <v>10</v>
      </c>
      <c r="AB188">
        <v>0.42</v>
      </c>
      <c r="AC188">
        <v>217</v>
      </c>
      <c r="AD188">
        <v>6</v>
      </c>
    </row>
    <row r="189" spans="1:30" x14ac:dyDescent="0.55000000000000004">
      <c r="A189">
        <v>88363</v>
      </c>
      <c r="B189" s="19">
        <v>41839</v>
      </c>
      <c r="C189">
        <v>1103</v>
      </c>
      <c r="D189">
        <v>2014</v>
      </c>
      <c r="E189">
        <v>25</v>
      </c>
      <c r="F189">
        <v>677</v>
      </c>
      <c r="G189">
        <v>2</v>
      </c>
      <c r="H189">
        <v>2119</v>
      </c>
      <c r="I189">
        <v>3</v>
      </c>
      <c r="J189">
        <v>4749.49</v>
      </c>
      <c r="K189">
        <v>8641.83</v>
      </c>
      <c r="L189">
        <v>4749.8500000000004</v>
      </c>
      <c r="M189">
        <v>8641.98</v>
      </c>
      <c r="N189">
        <v>47.824832999999998</v>
      </c>
      <c r="O189">
        <v>-86.697166999999993</v>
      </c>
      <c r="P189">
        <v>47.830832999999998</v>
      </c>
      <c r="Q189">
        <v>-86.699667000000005</v>
      </c>
      <c r="R189">
        <v>56390.372300000003</v>
      </c>
      <c r="S189">
        <v>270</v>
      </c>
      <c r="T189">
        <v>270</v>
      </c>
      <c r="U189">
        <v>0.7</v>
      </c>
      <c r="V189">
        <v>2</v>
      </c>
      <c r="W189">
        <v>3.3</v>
      </c>
      <c r="X189">
        <v>3.5949</v>
      </c>
      <c r="Y189">
        <v>0.1298</v>
      </c>
      <c r="Z189">
        <v>80.854900000000001</v>
      </c>
      <c r="AA189">
        <v>10</v>
      </c>
      <c r="AB189">
        <v>0.42</v>
      </c>
      <c r="AC189">
        <v>217</v>
      </c>
      <c r="AD189">
        <v>9</v>
      </c>
    </row>
    <row r="190" spans="1:30" x14ac:dyDescent="0.55000000000000004">
      <c r="A190">
        <v>88364</v>
      </c>
      <c r="B190" s="19">
        <v>41839</v>
      </c>
      <c r="C190">
        <v>1311</v>
      </c>
      <c r="D190">
        <v>2014</v>
      </c>
      <c r="E190">
        <v>25</v>
      </c>
      <c r="F190">
        <v>678</v>
      </c>
      <c r="G190">
        <v>2</v>
      </c>
      <c r="H190">
        <v>2135</v>
      </c>
      <c r="I190">
        <v>3</v>
      </c>
      <c r="J190">
        <v>4801.41</v>
      </c>
      <c r="K190">
        <v>8638.5400000000009</v>
      </c>
      <c r="L190">
        <v>4801.3999999999996</v>
      </c>
      <c r="M190">
        <v>8637.99</v>
      </c>
      <c r="N190">
        <v>48.023499999999999</v>
      </c>
      <c r="O190">
        <v>-86.642332999999994</v>
      </c>
      <c r="P190">
        <v>48.023333000000001</v>
      </c>
      <c r="Q190">
        <v>-86.633167</v>
      </c>
      <c r="R190">
        <v>43796.03703</v>
      </c>
      <c r="S190">
        <v>141</v>
      </c>
      <c r="T190">
        <v>142</v>
      </c>
      <c r="U190">
        <v>0.7</v>
      </c>
      <c r="V190">
        <v>2</v>
      </c>
      <c r="W190">
        <v>3.4</v>
      </c>
      <c r="X190">
        <v>3.9861</v>
      </c>
      <c r="Y190">
        <v>8.9399999999999993E-2</v>
      </c>
      <c r="Z190">
        <v>52.987000000000002</v>
      </c>
      <c r="AA190">
        <v>10</v>
      </c>
      <c r="AB190">
        <v>0.44</v>
      </c>
      <c r="AC190">
        <v>0</v>
      </c>
      <c r="AD190">
        <v>0</v>
      </c>
    </row>
    <row r="191" spans="1:30" x14ac:dyDescent="0.55000000000000004">
      <c r="A191">
        <v>88369</v>
      </c>
      <c r="B191" s="19">
        <v>41840</v>
      </c>
      <c r="C191">
        <v>1005</v>
      </c>
      <c r="D191">
        <v>2014</v>
      </c>
      <c r="E191">
        <v>25</v>
      </c>
      <c r="F191">
        <v>680</v>
      </c>
      <c r="G191">
        <v>2</v>
      </c>
      <c r="H191">
        <v>2139</v>
      </c>
      <c r="I191">
        <v>3</v>
      </c>
      <c r="J191">
        <v>4821.2</v>
      </c>
      <c r="K191">
        <v>8658.9699999999993</v>
      </c>
      <c r="L191">
        <v>4821.3999999999996</v>
      </c>
      <c r="M191">
        <v>8658.5400000000009</v>
      </c>
      <c r="N191">
        <v>48.353332999999999</v>
      </c>
      <c r="O191">
        <v>-86.982832999999999</v>
      </c>
      <c r="P191">
        <v>48.356667000000002</v>
      </c>
      <c r="Q191">
        <v>-86.975667000000001</v>
      </c>
      <c r="R191">
        <v>29798.95262</v>
      </c>
      <c r="S191">
        <v>187</v>
      </c>
      <c r="T191">
        <v>192</v>
      </c>
      <c r="U191">
        <v>0.7</v>
      </c>
      <c r="V191">
        <v>2</v>
      </c>
      <c r="W191">
        <v>3.4</v>
      </c>
      <c r="X191">
        <v>3.7237</v>
      </c>
      <c r="Y191">
        <v>0.13700000000000001</v>
      </c>
      <c r="Z191">
        <v>86.207300000000004</v>
      </c>
      <c r="AA191">
        <v>10</v>
      </c>
      <c r="AB191">
        <v>0.42</v>
      </c>
      <c r="AC191">
        <v>217</v>
      </c>
      <c r="AD191">
        <v>21</v>
      </c>
    </row>
    <row r="192" spans="1:30" x14ac:dyDescent="0.55000000000000004">
      <c r="A192">
        <v>88370</v>
      </c>
      <c r="B192" s="19">
        <v>41840</v>
      </c>
      <c r="C192">
        <v>1005</v>
      </c>
      <c r="D192">
        <v>2014</v>
      </c>
      <c r="E192">
        <v>25</v>
      </c>
      <c r="F192">
        <v>681</v>
      </c>
      <c r="G192">
        <v>2</v>
      </c>
      <c r="H192">
        <v>2139</v>
      </c>
      <c r="I192">
        <v>3</v>
      </c>
      <c r="J192">
        <v>4821.2</v>
      </c>
      <c r="K192">
        <v>8658.9699999999993</v>
      </c>
      <c r="L192">
        <v>4821.3999999999996</v>
      </c>
      <c r="M192">
        <v>8658.5400000000009</v>
      </c>
      <c r="N192">
        <v>48.353332999999999</v>
      </c>
      <c r="O192">
        <v>-86.982832999999999</v>
      </c>
      <c r="P192">
        <v>48.356667000000002</v>
      </c>
      <c r="Q192">
        <v>-86.975667000000001</v>
      </c>
      <c r="R192">
        <v>29798.95262</v>
      </c>
      <c r="S192">
        <v>187</v>
      </c>
      <c r="T192">
        <v>192</v>
      </c>
      <c r="U192">
        <v>0.7</v>
      </c>
      <c r="V192">
        <v>2</v>
      </c>
      <c r="W192">
        <v>3.4</v>
      </c>
      <c r="X192">
        <v>3.7237</v>
      </c>
      <c r="Y192">
        <v>0.13700000000000001</v>
      </c>
      <c r="Z192">
        <v>86.207300000000004</v>
      </c>
      <c r="AA192">
        <v>10</v>
      </c>
      <c r="AB192">
        <v>0.42</v>
      </c>
      <c r="AC192">
        <v>217</v>
      </c>
      <c r="AD192">
        <v>9</v>
      </c>
    </row>
    <row r="193" spans="1:30" x14ac:dyDescent="0.55000000000000004">
      <c r="A193">
        <v>88371</v>
      </c>
      <c r="B193" s="19">
        <v>41840</v>
      </c>
      <c r="C193">
        <v>1319</v>
      </c>
      <c r="D193">
        <v>2014</v>
      </c>
      <c r="E193">
        <v>25</v>
      </c>
      <c r="F193">
        <v>682</v>
      </c>
      <c r="G193">
        <v>2</v>
      </c>
      <c r="H193">
        <v>753</v>
      </c>
      <c r="I193">
        <v>3</v>
      </c>
      <c r="J193">
        <v>4842.83</v>
      </c>
      <c r="K193">
        <v>8717.75</v>
      </c>
      <c r="L193">
        <v>4843.07</v>
      </c>
      <c r="M193">
        <v>8718.2000000000007</v>
      </c>
      <c r="N193">
        <v>48.713833000000001</v>
      </c>
      <c r="O193">
        <v>-87.295833000000002</v>
      </c>
      <c r="P193">
        <v>48.717832999999999</v>
      </c>
      <c r="Q193">
        <v>-87.303332999999995</v>
      </c>
      <c r="R193">
        <v>4431.155127</v>
      </c>
      <c r="S193">
        <v>169</v>
      </c>
      <c r="T193">
        <v>166</v>
      </c>
      <c r="U193">
        <v>0.5</v>
      </c>
      <c r="V193">
        <v>2</v>
      </c>
      <c r="W193">
        <v>3.8</v>
      </c>
      <c r="X193">
        <v>4.2777000000000003</v>
      </c>
      <c r="Y193">
        <v>3.0700000000000002E-2</v>
      </c>
      <c r="Z193">
        <v>59.675600000000003</v>
      </c>
      <c r="AA193">
        <v>10</v>
      </c>
      <c r="AB193">
        <v>0.42</v>
      </c>
      <c r="AC193">
        <v>217</v>
      </c>
      <c r="AD193">
        <v>8</v>
      </c>
    </row>
    <row r="194" spans="1:30" x14ac:dyDescent="0.55000000000000004">
      <c r="A194">
        <v>88371</v>
      </c>
      <c r="B194" s="19">
        <v>41840</v>
      </c>
      <c r="C194">
        <v>1319</v>
      </c>
      <c r="D194">
        <v>2014</v>
      </c>
      <c r="E194">
        <v>25</v>
      </c>
      <c r="F194">
        <v>682</v>
      </c>
      <c r="G194">
        <v>2</v>
      </c>
      <c r="H194">
        <v>753</v>
      </c>
      <c r="I194">
        <v>3</v>
      </c>
      <c r="J194">
        <v>4842.83</v>
      </c>
      <c r="K194">
        <v>8717.75</v>
      </c>
      <c r="L194">
        <v>4843.07</v>
      </c>
      <c r="M194">
        <v>8718.2000000000007</v>
      </c>
      <c r="N194">
        <v>48.713833000000001</v>
      </c>
      <c r="O194">
        <v>-87.295833000000002</v>
      </c>
      <c r="P194">
        <v>48.717832999999999</v>
      </c>
      <c r="Q194">
        <v>-87.303332999999995</v>
      </c>
      <c r="R194">
        <v>4431.155127</v>
      </c>
      <c r="S194">
        <v>169</v>
      </c>
      <c r="T194">
        <v>166</v>
      </c>
      <c r="U194">
        <v>0.5</v>
      </c>
      <c r="V194">
        <v>2</v>
      </c>
      <c r="W194">
        <v>3.8</v>
      </c>
      <c r="X194">
        <v>4.2777000000000003</v>
      </c>
      <c r="Y194">
        <v>3.0700000000000002E-2</v>
      </c>
      <c r="Z194">
        <v>59.675600000000003</v>
      </c>
      <c r="AA194">
        <v>10</v>
      </c>
      <c r="AB194">
        <v>0.42</v>
      </c>
      <c r="AC194">
        <v>202</v>
      </c>
      <c r="AD194">
        <v>1</v>
      </c>
    </row>
    <row r="195" spans="1:30" x14ac:dyDescent="0.55000000000000004">
      <c r="A195">
        <v>88372</v>
      </c>
      <c r="B195" s="19">
        <v>41840</v>
      </c>
      <c r="C195">
        <v>1319</v>
      </c>
      <c r="D195">
        <v>2014</v>
      </c>
      <c r="E195">
        <v>25</v>
      </c>
      <c r="F195">
        <v>683</v>
      </c>
      <c r="G195">
        <v>2</v>
      </c>
      <c r="H195">
        <v>753</v>
      </c>
      <c r="I195">
        <v>3</v>
      </c>
      <c r="J195">
        <v>4842.83</v>
      </c>
      <c r="K195">
        <v>8717.75</v>
      </c>
      <c r="L195">
        <v>4843.07</v>
      </c>
      <c r="M195">
        <v>8718.2000000000007</v>
      </c>
      <c r="N195">
        <v>48.713833000000001</v>
      </c>
      <c r="O195">
        <v>-87.295833000000002</v>
      </c>
      <c r="P195">
        <v>48.717832999999999</v>
      </c>
      <c r="Q195">
        <v>-87.303332999999995</v>
      </c>
      <c r="R195">
        <v>4431.155127</v>
      </c>
      <c r="S195">
        <v>169</v>
      </c>
      <c r="T195">
        <v>166</v>
      </c>
      <c r="U195">
        <v>0.5</v>
      </c>
      <c r="V195">
        <v>2</v>
      </c>
      <c r="W195">
        <v>3.8</v>
      </c>
      <c r="X195">
        <v>4.2777000000000003</v>
      </c>
      <c r="Y195">
        <v>3.0700000000000002E-2</v>
      </c>
      <c r="Z195">
        <v>59.675600000000003</v>
      </c>
      <c r="AA195">
        <v>10</v>
      </c>
      <c r="AB195">
        <v>0.42</v>
      </c>
      <c r="AC195">
        <v>217</v>
      </c>
      <c r="AD195">
        <v>1</v>
      </c>
    </row>
    <row r="196" spans="1:30" x14ac:dyDescent="0.55000000000000004">
      <c r="A196">
        <v>88373</v>
      </c>
      <c r="B196" s="19">
        <v>41841</v>
      </c>
      <c r="C196">
        <v>937</v>
      </c>
      <c r="D196">
        <v>2014</v>
      </c>
      <c r="E196">
        <v>25</v>
      </c>
      <c r="F196">
        <v>684</v>
      </c>
      <c r="G196">
        <v>2</v>
      </c>
      <c r="H196">
        <v>2155</v>
      </c>
      <c r="I196">
        <v>3</v>
      </c>
      <c r="J196">
        <v>4833.43</v>
      </c>
      <c r="K196">
        <v>8746.27</v>
      </c>
      <c r="L196">
        <v>4833.12</v>
      </c>
      <c r="M196">
        <v>8746.5400000000009</v>
      </c>
      <c r="N196">
        <v>48.557167</v>
      </c>
      <c r="O196">
        <v>-87.771167000000005</v>
      </c>
      <c r="P196">
        <v>48.552</v>
      </c>
      <c r="Q196">
        <v>-87.775666999999999</v>
      </c>
      <c r="R196">
        <v>19095.496640000001</v>
      </c>
      <c r="S196">
        <v>143</v>
      </c>
      <c r="T196">
        <v>147</v>
      </c>
      <c r="U196">
        <v>0.5</v>
      </c>
      <c r="V196">
        <v>2</v>
      </c>
      <c r="W196">
        <v>3.8</v>
      </c>
      <c r="X196">
        <v>4.4978999999999996</v>
      </c>
      <c r="Y196">
        <v>5.7999999999999996E-3</v>
      </c>
      <c r="Z196">
        <v>24.794699999999999</v>
      </c>
      <c r="AA196">
        <v>10</v>
      </c>
      <c r="AB196">
        <v>0.42</v>
      </c>
      <c r="AC196">
        <v>217</v>
      </c>
      <c r="AD196">
        <v>4</v>
      </c>
    </row>
    <row r="197" spans="1:30" x14ac:dyDescent="0.55000000000000004">
      <c r="A197">
        <v>88374</v>
      </c>
      <c r="B197" s="19">
        <v>41841</v>
      </c>
      <c r="C197">
        <v>937</v>
      </c>
      <c r="D197">
        <v>2014</v>
      </c>
      <c r="E197">
        <v>25</v>
      </c>
      <c r="F197">
        <v>685</v>
      </c>
      <c r="G197">
        <v>2</v>
      </c>
      <c r="H197">
        <v>2155</v>
      </c>
      <c r="I197">
        <v>3</v>
      </c>
      <c r="J197">
        <v>4833.43</v>
      </c>
      <c r="K197">
        <v>8746.27</v>
      </c>
      <c r="L197">
        <v>4833.12</v>
      </c>
      <c r="M197">
        <v>8746.5400000000009</v>
      </c>
      <c r="N197">
        <v>48.557167</v>
      </c>
      <c r="O197">
        <v>-87.771167000000005</v>
      </c>
      <c r="P197">
        <v>48.552</v>
      </c>
      <c r="Q197">
        <v>-87.775666999999999</v>
      </c>
      <c r="R197">
        <v>19095.496640000001</v>
      </c>
      <c r="S197">
        <v>143</v>
      </c>
      <c r="T197">
        <v>147</v>
      </c>
      <c r="U197">
        <v>0.5</v>
      </c>
      <c r="V197">
        <v>2</v>
      </c>
      <c r="W197">
        <v>3.8</v>
      </c>
      <c r="X197">
        <v>4.4978999999999996</v>
      </c>
      <c r="Y197">
        <v>5.7999999999999996E-3</v>
      </c>
      <c r="Z197">
        <v>24.794699999999999</v>
      </c>
      <c r="AA197">
        <v>10</v>
      </c>
      <c r="AB197">
        <v>0.42</v>
      </c>
      <c r="AC197">
        <v>217</v>
      </c>
      <c r="AD197">
        <v>4</v>
      </c>
    </row>
    <row r="198" spans="1:30" x14ac:dyDescent="0.55000000000000004">
      <c r="A198">
        <v>88375</v>
      </c>
      <c r="B198" s="19">
        <v>41841</v>
      </c>
      <c r="C198">
        <v>1117</v>
      </c>
      <c r="D198">
        <v>2014</v>
      </c>
      <c r="E198">
        <v>25</v>
      </c>
      <c r="F198">
        <v>686</v>
      </c>
      <c r="G198">
        <v>2</v>
      </c>
      <c r="H198">
        <v>2127</v>
      </c>
      <c r="I198">
        <v>3</v>
      </c>
      <c r="J198">
        <v>4818.4399999999996</v>
      </c>
      <c r="K198">
        <v>8739.3799999999992</v>
      </c>
      <c r="L198">
        <v>4818.1000000000004</v>
      </c>
      <c r="M198">
        <v>8739.4699999999993</v>
      </c>
      <c r="N198">
        <v>48.307333</v>
      </c>
      <c r="O198">
        <v>-87.656333000000004</v>
      </c>
      <c r="P198">
        <v>48.301667000000002</v>
      </c>
      <c r="Q198">
        <v>-87.657832999999997</v>
      </c>
      <c r="R198">
        <v>48653.205670000003</v>
      </c>
      <c r="S198">
        <v>225</v>
      </c>
      <c r="T198">
        <v>232</v>
      </c>
      <c r="U198">
        <v>0.5</v>
      </c>
      <c r="V198">
        <v>2</v>
      </c>
      <c r="W198">
        <v>4</v>
      </c>
      <c r="X198">
        <v>4.0091999999999999</v>
      </c>
      <c r="Y198">
        <v>0.1472</v>
      </c>
      <c r="Z198">
        <v>87.711600000000004</v>
      </c>
      <c r="AA198">
        <v>10</v>
      </c>
      <c r="AB198">
        <v>0.42</v>
      </c>
      <c r="AC198">
        <v>217</v>
      </c>
      <c r="AD198">
        <v>1</v>
      </c>
    </row>
    <row r="199" spans="1:30" x14ac:dyDescent="0.55000000000000004">
      <c r="A199">
        <v>88376</v>
      </c>
      <c r="B199" s="19">
        <v>41841</v>
      </c>
      <c r="C199">
        <v>1117</v>
      </c>
      <c r="D199">
        <v>2014</v>
      </c>
      <c r="E199">
        <v>25</v>
      </c>
      <c r="F199">
        <v>687</v>
      </c>
      <c r="G199">
        <v>2</v>
      </c>
      <c r="H199">
        <v>2127</v>
      </c>
      <c r="I199">
        <v>3</v>
      </c>
      <c r="J199">
        <v>4818.4399999999996</v>
      </c>
      <c r="K199">
        <v>8739.3799999999992</v>
      </c>
      <c r="L199">
        <v>4818.1000000000004</v>
      </c>
      <c r="M199">
        <v>8739.4699999999993</v>
      </c>
      <c r="N199">
        <v>48.307333</v>
      </c>
      <c r="O199">
        <v>-87.656333000000004</v>
      </c>
      <c r="P199">
        <v>48.301667000000002</v>
      </c>
      <c r="Q199">
        <v>-87.657832999999997</v>
      </c>
      <c r="R199">
        <v>48653.205670000003</v>
      </c>
      <c r="S199">
        <v>225</v>
      </c>
      <c r="T199">
        <v>232</v>
      </c>
      <c r="U199">
        <v>0.5</v>
      </c>
      <c r="V199">
        <v>2</v>
      </c>
      <c r="W199">
        <v>4</v>
      </c>
      <c r="X199">
        <v>4.0091999999999999</v>
      </c>
      <c r="Y199">
        <v>0.1472</v>
      </c>
      <c r="Z199">
        <v>87.711600000000004</v>
      </c>
      <c r="AA199">
        <v>10</v>
      </c>
      <c r="AB199">
        <v>0.42</v>
      </c>
      <c r="AC199">
        <v>217</v>
      </c>
      <c r="AD199">
        <v>2</v>
      </c>
    </row>
    <row r="200" spans="1:30" x14ac:dyDescent="0.55000000000000004">
      <c r="A200">
        <v>89938</v>
      </c>
      <c r="B200" s="19">
        <v>41855</v>
      </c>
      <c r="C200">
        <v>1739</v>
      </c>
      <c r="D200">
        <v>2014</v>
      </c>
      <c r="E200">
        <v>25</v>
      </c>
      <c r="F200">
        <v>688</v>
      </c>
      <c r="G200">
        <v>3</v>
      </c>
      <c r="H200">
        <v>103</v>
      </c>
      <c r="I200">
        <v>3</v>
      </c>
      <c r="J200">
        <v>4711.22</v>
      </c>
      <c r="K200">
        <v>8714.73</v>
      </c>
      <c r="L200">
        <v>4711.3</v>
      </c>
      <c r="M200">
        <v>8714.19</v>
      </c>
      <c r="N200">
        <v>47.186999999999998</v>
      </c>
      <c r="O200">
        <v>-87.245500000000007</v>
      </c>
      <c r="P200">
        <v>47.188333</v>
      </c>
      <c r="Q200">
        <v>-87.236500000000007</v>
      </c>
      <c r="R200">
        <v>36558.812850000002</v>
      </c>
      <c r="S200">
        <v>57.9</v>
      </c>
      <c r="T200">
        <v>23</v>
      </c>
      <c r="U200">
        <v>0.5</v>
      </c>
      <c r="V200">
        <v>2</v>
      </c>
      <c r="W200">
        <v>10.199999999999999</v>
      </c>
      <c r="AA200">
        <v>10</v>
      </c>
      <c r="AB200">
        <v>0.4</v>
      </c>
      <c r="AC200">
        <v>217</v>
      </c>
      <c r="AD200">
        <v>10</v>
      </c>
    </row>
    <row r="201" spans="1:30" x14ac:dyDescent="0.55000000000000004">
      <c r="A201">
        <v>89939</v>
      </c>
      <c r="B201" s="19">
        <v>41855</v>
      </c>
      <c r="C201">
        <v>1739</v>
      </c>
      <c r="D201">
        <v>2014</v>
      </c>
      <c r="E201">
        <v>25</v>
      </c>
      <c r="F201">
        <v>689</v>
      </c>
      <c r="G201">
        <v>3</v>
      </c>
      <c r="H201">
        <v>103</v>
      </c>
      <c r="I201">
        <v>3</v>
      </c>
      <c r="J201">
        <v>4711.22</v>
      </c>
      <c r="K201">
        <v>8714.73</v>
      </c>
      <c r="L201">
        <v>4711.3</v>
      </c>
      <c r="M201">
        <v>8714.19</v>
      </c>
      <c r="N201">
        <v>47.186999999999998</v>
      </c>
      <c r="O201">
        <v>-87.245500000000007</v>
      </c>
      <c r="P201">
        <v>47.188333</v>
      </c>
      <c r="Q201">
        <v>-87.236500000000007</v>
      </c>
      <c r="R201">
        <v>36558.812850000002</v>
      </c>
      <c r="S201">
        <v>57.9</v>
      </c>
      <c r="T201">
        <v>23</v>
      </c>
      <c r="U201">
        <v>0.5</v>
      </c>
      <c r="V201">
        <v>2</v>
      </c>
      <c r="W201">
        <v>10.199999999999999</v>
      </c>
      <c r="AA201">
        <v>10</v>
      </c>
      <c r="AB201">
        <v>0.4</v>
      </c>
      <c r="AC201">
        <v>217</v>
      </c>
      <c r="AD201">
        <v>5</v>
      </c>
    </row>
    <row r="202" spans="1:30" x14ac:dyDescent="0.55000000000000004">
      <c r="A202">
        <v>89940</v>
      </c>
      <c r="B202" s="19">
        <v>41856</v>
      </c>
      <c r="C202">
        <v>1628</v>
      </c>
      <c r="D202">
        <v>2014</v>
      </c>
      <c r="E202">
        <v>25</v>
      </c>
      <c r="F202">
        <v>690</v>
      </c>
      <c r="G202">
        <v>3</v>
      </c>
      <c r="H202">
        <v>103</v>
      </c>
      <c r="I202">
        <v>3</v>
      </c>
      <c r="J202">
        <v>4712.03</v>
      </c>
      <c r="K202">
        <v>8713.76</v>
      </c>
      <c r="L202">
        <v>4711.53</v>
      </c>
      <c r="M202">
        <v>8713.15</v>
      </c>
      <c r="N202">
        <v>47.200499999999998</v>
      </c>
      <c r="O202">
        <v>-87.229332999999997</v>
      </c>
      <c r="P202">
        <v>47.192166999999998</v>
      </c>
      <c r="Q202">
        <v>-87.219166999999999</v>
      </c>
      <c r="R202">
        <v>36558.812850000002</v>
      </c>
      <c r="S202">
        <v>56.1</v>
      </c>
      <c r="T202">
        <v>30</v>
      </c>
      <c r="U202">
        <v>0.5</v>
      </c>
      <c r="V202">
        <v>2</v>
      </c>
      <c r="W202">
        <v>14.2</v>
      </c>
      <c r="AA202">
        <v>10</v>
      </c>
      <c r="AB202">
        <v>0.4</v>
      </c>
      <c r="AC202">
        <v>217</v>
      </c>
      <c r="AD202">
        <v>8</v>
      </c>
    </row>
    <row r="203" spans="1:30" x14ac:dyDescent="0.55000000000000004">
      <c r="A203">
        <v>89941</v>
      </c>
      <c r="B203" s="19">
        <v>41856</v>
      </c>
      <c r="C203">
        <v>1628</v>
      </c>
      <c r="D203">
        <v>2014</v>
      </c>
      <c r="E203">
        <v>25</v>
      </c>
      <c r="F203">
        <v>691</v>
      </c>
      <c r="G203">
        <v>3</v>
      </c>
      <c r="H203">
        <v>103</v>
      </c>
      <c r="I203">
        <v>3</v>
      </c>
      <c r="J203">
        <v>4712.03</v>
      </c>
      <c r="K203">
        <v>8713.76</v>
      </c>
      <c r="L203">
        <v>4711.53</v>
      </c>
      <c r="M203">
        <v>8713.15</v>
      </c>
      <c r="N203">
        <v>47.200499999999998</v>
      </c>
      <c r="O203">
        <v>-87.229332999999997</v>
      </c>
      <c r="P203">
        <v>47.192166999999998</v>
      </c>
      <c r="Q203">
        <v>-87.219166999999999</v>
      </c>
      <c r="R203">
        <v>36558.812850000002</v>
      </c>
      <c r="S203">
        <v>56.1</v>
      </c>
      <c r="T203">
        <v>30</v>
      </c>
      <c r="U203">
        <v>0.5</v>
      </c>
      <c r="V203">
        <v>2</v>
      </c>
      <c r="W203">
        <v>14.2</v>
      </c>
      <c r="AA203">
        <v>10</v>
      </c>
      <c r="AB203">
        <v>0.4</v>
      </c>
      <c r="AC203">
        <v>217</v>
      </c>
      <c r="AD203">
        <v>5</v>
      </c>
    </row>
    <row r="204" spans="1:30" x14ac:dyDescent="0.55000000000000004">
      <c r="A204">
        <v>89942</v>
      </c>
      <c r="B204" s="19">
        <v>41858</v>
      </c>
      <c r="C204">
        <v>1519</v>
      </c>
      <c r="D204">
        <v>2014</v>
      </c>
      <c r="E204">
        <v>25</v>
      </c>
      <c r="F204">
        <v>692</v>
      </c>
      <c r="G204">
        <v>3</v>
      </c>
      <c r="H204">
        <v>215</v>
      </c>
      <c r="I204">
        <v>3</v>
      </c>
      <c r="J204">
        <v>4649.1499999999996</v>
      </c>
      <c r="K204">
        <v>8626.7900000000009</v>
      </c>
      <c r="L204">
        <v>4648.99</v>
      </c>
      <c r="M204">
        <v>8627.2099999999991</v>
      </c>
      <c r="N204">
        <v>46.819167</v>
      </c>
      <c r="O204">
        <v>-86.4465</v>
      </c>
      <c r="P204">
        <v>46.816499999999998</v>
      </c>
      <c r="Q204">
        <v>-86.453500000000005</v>
      </c>
      <c r="S204">
        <v>19.8</v>
      </c>
      <c r="T204">
        <v>22.3</v>
      </c>
      <c r="U204">
        <v>0.5</v>
      </c>
      <c r="V204">
        <v>2</v>
      </c>
      <c r="W204">
        <v>10.7</v>
      </c>
      <c r="AA204">
        <v>10</v>
      </c>
      <c r="AB204">
        <v>0.4</v>
      </c>
      <c r="AC204">
        <v>0</v>
      </c>
      <c r="AD204">
        <v>0</v>
      </c>
    </row>
    <row r="205" spans="1:30" x14ac:dyDescent="0.55000000000000004">
      <c r="A205">
        <v>89943</v>
      </c>
      <c r="B205" s="19">
        <v>41858</v>
      </c>
      <c r="C205">
        <v>1519</v>
      </c>
      <c r="D205">
        <v>2014</v>
      </c>
      <c r="E205">
        <v>25</v>
      </c>
      <c r="F205">
        <v>693</v>
      </c>
      <c r="G205">
        <v>3</v>
      </c>
      <c r="H205">
        <v>215</v>
      </c>
      <c r="I205">
        <v>3</v>
      </c>
      <c r="J205">
        <v>4649.1499999999996</v>
      </c>
      <c r="K205">
        <v>8626.7900000000009</v>
      </c>
      <c r="L205">
        <v>4648.99</v>
      </c>
      <c r="M205">
        <v>8627.2099999999991</v>
      </c>
      <c r="N205">
        <v>46.819167</v>
      </c>
      <c r="O205">
        <v>-86.4465</v>
      </c>
      <c r="P205">
        <v>46.816499999999998</v>
      </c>
      <c r="Q205">
        <v>-86.453500000000005</v>
      </c>
      <c r="S205">
        <v>19.8</v>
      </c>
      <c r="T205">
        <v>22.3</v>
      </c>
      <c r="U205">
        <v>0.5</v>
      </c>
      <c r="V205">
        <v>2</v>
      </c>
      <c r="W205">
        <v>10.7</v>
      </c>
      <c r="AA205">
        <v>10</v>
      </c>
      <c r="AB205">
        <v>0.4</v>
      </c>
      <c r="AC205">
        <v>0</v>
      </c>
      <c r="AD205">
        <v>0</v>
      </c>
    </row>
    <row r="206" spans="1:30" x14ac:dyDescent="0.55000000000000004">
      <c r="A206">
        <v>92343</v>
      </c>
      <c r="B206" s="19">
        <v>42142</v>
      </c>
      <c r="C206">
        <v>935</v>
      </c>
      <c r="D206">
        <v>2015</v>
      </c>
      <c r="E206">
        <v>25</v>
      </c>
      <c r="F206">
        <v>500</v>
      </c>
      <c r="G206">
        <v>1</v>
      </c>
      <c r="H206">
        <v>71</v>
      </c>
      <c r="I206">
        <v>3</v>
      </c>
      <c r="J206">
        <v>4656.47</v>
      </c>
      <c r="K206">
        <v>9046.89</v>
      </c>
      <c r="L206">
        <v>4656.3900000000003</v>
      </c>
      <c r="M206">
        <v>9047.3799999999992</v>
      </c>
      <c r="N206">
        <v>46.941167</v>
      </c>
      <c r="O206">
        <v>-90.781499999999994</v>
      </c>
      <c r="P206">
        <v>46.939833</v>
      </c>
      <c r="Q206">
        <v>-90.789666999999994</v>
      </c>
      <c r="R206">
        <v>249.6721489</v>
      </c>
      <c r="S206">
        <v>37.1</v>
      </c>
      <c r="T206">
        <v>34.200000000000003</v>
      </c>
      <c r="U206">
        <v>0.5</v>
      </c>
      <c r="V206">
        <v>2</v>
      </c>
      <c r="W206">
        <v>5.0999999999999996</v>
      </c>
      <c r="X206">
        <v>5.86585</v>
      </c>
      <c r="Y206">
        <v>0.45284999999999997</v>
      </c>
      <c r="Z206">
        <v>78.86815</v>
      </c>
      <c r="AA206">
        <v>10</v>
      </c>
      <c r="AB206">
        <v>0.43</v>
      </c>
      <c r="AC206">
        <v>217</v>
      </c>
      <c r="AD206">
        <v>24</v>
      </c>
    </row>
    <row r="207" spans="1:30" x14ac:dyDescent="0.55000000000000004">
      <c r="A207">
        <v>92344</v>
      </c>
      <c r="B207" s="19">
        <v>42142</v>
      </c>
      <c r="C207">
        <v>935</v>
      </c>
      <c r="D207">
        <v>2015</v>
      </c>
      <c r="E207">
        <v>25</v>
      </c>
      <c r="F207">
        <v>501</v>
      </c>
      <c r="G207">
        <v>1</v>
      </c>
      <c r="H207">
        <v>71</v>
      </c>
      <c r="I207">
        <v>3</v>
      </c>
      <c r="J207">
        <v>4656.47</v>
      </c>
      <c r="K207">
        <v>9046.89</v>
      </c>
      <c r="L207">
        <v>4656.3900000000003</v>
      </c>
      <c r="M207">
        <v>9047.3799999999992</v>
      </c>
      <c r="N207">
        <v>46.941167</v>
      </c>
      <c r="O207">
        <v>-90.781499999999994</v>
      </c>
      <c r="P207">
        <v>46.939833</v>
      </c>
      <c r="Q207">
        <v>-90.789666999999994</v>
      </c>
      <c r="R207">
        <v>249.6721489</v>
      </c>
      <c r="S207">
        <v>37.1</v>
      </c>
      <c r="T207">
        <v>34.200000000000003</v>
      </c>
      <c r="U207">
        <v>0.5</v>
      </c>
      <c r="V207">
        <v>2</v>
      </c>
      <c r="W207">
        <v>5.0999999999999996</v>
      </c>
      <c r="X207">
        <v>5.86585</v>
      </c>
      <c r="Y207">
        <v>0.45284999999999997</v>
      </c>
      <c r="Z207">
        <v>78.86815</v>
      </c>
      <c r="AA207">
        <v>10</v>
      </c>
      <c r="AB207">
        <v>0.43</v>
      </c>
      <c r="AC207">
        <v>217</v>
      </c>
      <c r="AD207">
        <v>16</v>
      </c>
    </row>
    <row r="208" spans="1:30" x14ac:dyDescent="0.55000000000000004">
      <c r="A208">
        <v>92345</v>
      </c>
      <c r="B208" s="19">
        <v>42142</v>
      </c>
      <c r="C208">
        <v>1113</v>
      </c>
      <c r="D208">
        <v>2015</v>
      </c>
      <c r="E208">
        <v>25</v>
      </c>
      <c r="F208">
        <v>502</v>
      </c>
      <c r="G208">
        <v>1</v>
      </c>
      <c r="H208">
        <v>75</v>
      </c>
      <c r="I208">
        <v>3</v>
      </c>
      <c r="J208">
        <v>4700.08</v>
      </c>
      <c r="K208">
        <v>9043.68</v>
      </c>
      <c r="L208">
        <v>4700.13</v>
      </c>
      <c r="M208">
        <v>9044.18</v>
      </c>
      <c r="N208">
        <v>47.001333000000002</v>
      </c>
      <c r="O208">
        <v>-90.727999999999994</v>
      </c>
      <c r="P208">
        <v>47.002167</v>
      </c>
      <c r="Q208">
        <v>-90.736333000000002</v>
      </c>
      <c r="R208">
        <v>246.12315290000001</v>
      </c>
      <c r="S208">
        <v>48.4</v>
      </c>
      <c r="T208">
        <v>36.4</v>
      </c>
      <c r="U208">
        <v>0.5</v>
      </c>
      <c r="V208">
        <v>2</v>
      </c>
      <c r="W208">
        <v>6.7</v>
      </c>
      <c r="X208">
        <v>4.8275499999999996</v>
      </c>
      <c r="Y208">
        <v>0.25605</v>
      </c>
      <c r="Z208">
        <v>55.02225</v>
      </c>
      <c r="AA208">
        <v>10</v>
      </c>
      <c r="AB208">
        <v>0.4</v>
      </c>
      <c r="AC208">
        <v>217</v>
      </c>
      <c r="AD208">
        <v>28</v>
      </c>
    </row>
    <row r="209" spans="1:30" x14ac:dyDescent="0.55000000000000004">
      <c r="A209">
        <v>92346</v>
      </c>
      <c r="B209" s="19">
        <v>42142</v>
      </c>
      <c r="C209">
        <v>1113</v>
      </c>
      <c r="D209">
        <v>2015</v>
      </c>
      <c r="E209">
        <v>25</v>
      </c>
      <c r="F209">
        <v>503</v>
      </c>
      <c r="G209">
        <v>1</v>
      </c>
      <c r="H209">
        <v>75</v>
      </c>
      <c r="I209">
        <v>3</v>
      </c>
      <c r="J209">
        <v>4700.08</v>
      </c>
      <c r="K209">
        <v>9043.68</v>
      </c>
      <c r="L209">
        <v>4700.13</v>
      </c>
      <c r="M209">
        <v>9044.18</v>
      </c>
      <c r="N209">
        <v>47.001333000000002</v>
      </c>
      <c r="O209">
        <v>-90.727999999999994</v>
      </c>
      <c r="P209">
        <v>47.002167</v>
      </c>
      <c r="Q209">
        <v>-90.736333000000002</v>
      </c>
      <c r="R209">
        <v>246.12315290000001</v>
      </c>
      <c r="S209">
        <v>48.4</v>
      </c>
      <c r="T209">
        <v>36.4</v>
      </c>
      <c r="U209">
        <v>0.5</v>
      </c>
      <c r="V209">
        <v>2</v>
      </c>
      <c r="W209">
        <v>6.7</v>
      </c>
      <c r="X209">
        <v>4.8275499999999996</v>
      </c>
      <c r="Y209">
        <v>0.25605</v>
      </c>
      <c r="Z209">
        <v>55.02225</v>
      </c>
      <c r="AA209">
        <v>10</v>
      </c>
      <c r="AB209">
        <v>0.4</v>
      </c>
      <c r="AC209">
        <v>217</v>
      </c>
      <c r="AD209">
        <v>44</v>
      </c>
    </row>
    <row r="210" spans="1:30" x14ac:dyDescent="0.55000000000000004">
      <c r="A210">
        <v>92347</v>
      </c>
      <c r="B210" s="19">
        <v>42142</v>
      </c>
      <c r="C210">
        <v>1320</v>
      </c>
      <c r="D210">
        <v>2015</v>
      </c>
      <c r="E210">
        <v>25</v>
      </c>
      <c r="F210">
        <v>504</v>
      </c>
      <c r="G210">
        <v>1</v>
      </c>
      <c r="H210">
        <v>86</v>
      </c>
      <c r="I210">
        <v>3</v>
      </c>
      <c r="J210">
        <v>4650.07</v>
      </c>
      <c r="K210">
        <v>9043.24</v>
      </c>
      <c r="L210">
        <v>4650.38</v>
      </c>
      <c r="M210">
        <v>9043.5499999999993</v>
      </c>
      <c r="N210">
        <v>46.834499999999998</v>
      </c>
      <c r="O210">
        <v>-90.720667000000006</v>
      </c>
      <c r="P210">
        <v>46.839666999999999</v>
      </c>
      <c r="Q210">
        <v>-90.725832999999994</v>
      </c>
      <c r="R210">
        <v>365.93498879999999</v>
      </c>
      <c r="S210">
        <v>55.1</v>
      </c>
      <c r="T210">
        <v>43.8</v>
      </c>
      <c r="U210">
        <v>0.5</v>
      </c>
      <c r="V210">
        <v>2</v>
      </c>
      <c r="W210">
        <v>4.0999999999999996</v>
      </c>
      <c r="X210">
        <v>5.3399000000000001</v>
      </c>
      <c r="Y210">
        <v>0.35985</v>
      </c>
      <c r="Z210">
        <v>79.060249999999996</v>
      </c>
      <c r="AA210">
        <v>10</v>
      </c>
      <c r="AB210">
        <v>0.43</v>
      </c>
      <c r="AC210">
        <v>217</v>
      </c>
      <c r="AD210">
        <v>85</v>
      </c>
    </row>
    <row r="211" spans="1:30" x14ac:dyDescent="0.55000000000000004">
      <c r="A211">
        <v>92348</v>
      </c>
      <c r="B211" s="19">
        <v>42142</v>
      </c>
      <c r="C211">
        <v>1320</v>
      </c>
      <c r="D211">
        <v>2015</v>
      </c>
      <c r="E211">
        <v>25</v>
      </c>
      <c r="F211">
        <v>505</v>
      </c>
      <c r="G211">
        <v>1</v>
      </c>
      <c r="H211">
        <v>86</v>
      </c>
      <c r="I211">
        <v>3</v>
      </c>
      <c r="J211">
        <v>4650.07</v>
      </c>
      <c r="K211">
        <v>9043.24</v>
      </c>
      <c r="L211">
        <v>4650.38</v>
      </c>
      <c r="M211">
        <v>9043.5499999999993</v>
      </c>
      <c r="N211">
        <v>46.834499999999998</v>
      </c>
      <c r="O211">
        <v>-90.720667000000006</v>
      </c>
      <c r="P211">
        <v>46.839666999999999</v>
      </c>
      <c r="Q211">
        <v>-90.725832999999994</v>
      </c>
      <c r="R211">
        <v>365.93498879999999</v>
      </c>
      <c r="S211">
        <v>55.1</v>
      </c>
      <c r="T211">
        <v>43.8</v>
      </c>
      <c r="U211">
        <v>0.5</v>
      </c>
      <c r="V211">
        <v>2</v>
      </c>
      <c r="W211">
        <v>4.0999999999999996</v>
      </c>
      <c r="X211">
        <v>5.3399000000000001</v>
      </c>
      <c r="Y211">
        <v>0.35985</v>
      </c>
      <c r="Z211">
        <v>79.060249999999996</v>
      </c>
      <c r="AA211">
        <v>10</v>
      </c>
      <c r="AB211">
        <v>0.43</v>
      </c>
      <c r="AC211">
        <v>217</v>
      </c>
      <c r="AD211">
        <v>71</v>
      </c>
    </row>
    <row r="212" spans="1:30" x14ac:dyDescent="0.55000000000000004">
      <c r="A212">
        <v>92349</v>
      </c>
      <c r="B212" s="19">
        <v>42143</v>
      </c>
      <c r="C212">
        <v>930</v>
      </c>
      <c r="D212">
        <v>2015</v>
      </c>
      <c r="E212">
        <v>25</v>
      </c>
      <c r="F212">
        <v>506</v>
      </c>
      <c r="G212">
        <v>1</v>
      </c>
      <c r="H212">
        <v>24</v>
      </c>
      <c r="I212">
        <v>3</v>
      </c>
      <c r="J212">
        <v>4650.75</v>
      </c>
      <c r="K212">
        <v>9027.93</v>
      </c>
      <c r="L212">
        <v>4651.05</v>
      </c>
      <c r="M212">
        <v>9028.2099999999991</v>
      </c>
      <c r="N212">
        <v>46.845832999999999</v>
      </c>
      <c r="O212">
        <v>-90.465500000000006</v>
      </c>
      <c r="P212">
        <v>46.850833000000002</v>
      </c>
      <c r="Q212">
        <v>-90.470167000000004</v>
      </c>
      <c r="R212">
        <v>2120.1913869999998</v>
      </c>
      <c r="S212">
        <v>58.4</v>
      </c>
      <c r="T212">
        <v>16.8</v>
      </c>
      <c r="U212">
        <v>0.5</v>
      </c>
      <c r="V212">
        <v>2</v>
      </c>
      <c r="W212">
        <v>4.2</v>
      </c>
      <c r="X212">
        <v>3.7173500000000002</v>
      </c>
      <c r="Y212">
        <v>9.6199999999999994E-2</v>
      </c>
      <c r="Z212">
        <v>58.024299999999997</v>
      </c>
      <c r="AA212">
        <v>10</v>
      </c>
      <c r="AB212">
        <v>0.4</v>
      </c>
      <c r="AC212">
        <v>217</v>
      </c>
      <c r="AD212">
        <v>3</v>
      </c>
    </row>
    <row r="213" spans="1:30" x14ac:dyDescent="0.55000000000000004">
      <c r="A213">
        <v>92350</v>
      </c>
      <c r="B213" s="19">
        <v>42143</v>
      </c>
      <c r="C213">
        <v>930</v>
      </c>
      <c r="D213">
        <v>2015</v>
      </c>
      <c r="E213">
        <v>25</v>
      </c>
      <c r="F213">
        <v>507</v>
      </c>
      <c r="G213">
        <v>1</v>
      </c>
      <c r="H213">
        <v>24</v>
      </c>
      <c r="I213">
        <v>3</v>
      </c>
      <c r="J213">
        <v>4650.75</v>
      </c>
      <c r="K213">
        <v>9027.93</v>
      </c>
      <c r="L213">
        <v>4651.05</v>
      </c>
      <c r="M213">
        <v>9028.2099999999991</v>
      </c>
      <c r="N213">
        <v>46.845832999999999</v>
      </c>
      <c r="O213">
        <v>-90.465500000000006</v>
      </c>
      <c r="P213">
        <v>46.850833000000002</v>
      </c>
      <c r="Q213">
        <v>-90.470167000000004</v>
      </c>
      <c r="R213">
        <v>2120.1913869999998</v>
      </c>
      <c r="S213">
        <v>58.4</v>
      </c>
      <c r="T213">
        <v>16.8</v>
      </c>
      <c r="U213">
        <v>0.5</v>
      </c>
      <c r="V213">
        <v>2</v>
      </c>
      <c r="W213">
        <v>4.2</v>
      </c>
      <c r="X213">
        <v>3.7173500000000002</v>
      </c>
      <c r="Y213">
        <v>9.6199999999999994E-2</v>
      </c>
      <c r="Z213">
        <v>58.024299999999997</v>
      </c>
      <c r="AA213">
        <v>10</v>
      </c>
      <c r="AB213">
        <v>0.4</v>
      </c>
      <c r="AC213">
        <v>217</v>
      </c>
      <c r="AD213">
        <v>7</v>
      </c>
    </row>
    <row r="214" spans="1:30" x14ac:dyDescent="0.55000000000000004">
      <c r="A214">
        <v>92351</v>
      </c>
      <c r="B214" s="19">
        <v>42143</v>
      </c>
      <c r="C214">
        <v>1129</v>
      </c>
      <c r="D214">
        <v>2015</v>
      </c>
      <c r="E214">
        <v>25</v>
      </c>
      <c r="F214">
        <v>508</v>
      </c>
      <c r="G214">
        <v>1</v>
      </c>
      <c r="H214">
        <v>2</v>
      </c>
      <c r="I214">
        <v>3</v>
      </c>
      <c r="J214">
        <v>4655.99</v>
      </c>
      <c r="K214">
        <v>9033.68</v>
      </c>
      <c r="L214">
        <v>4654.6499999999996</v>
      </c>
      <c r="M214">
        <v>9033.84</v>
      </c>
      <c r="N214">
        <v>46.933166999999997</v>
      </c>
      <c r="O214">
        <v>-90.561333000000005</v>
      </c>
      <c r="P214">
        <v>46.910832999999997</v>
      </c>
      <c r="Q214">
        <v>-90.563999999999993</v>
      </c>
      <c r="R214">
        <v>500.98315270000001</v>
      </c>
      <c r="S214">
        <v>17.100000000000001</v>
      </c>
      <c r="T214">
        <v>45.3</v>
      </c>
      <c r="U214">
        <v>0.5</v>
      </c>
      <c r="V214">
        <v>2</v>
      </c>
      <c r="W214">
        <v>3.9</v>
      </c>
      <c r="X214">
        <v>4.0825500000000003</v>
      </c>
      <c r="Y214">
        <v>0.16550000000000001</v>
      </c>
      <c r="Z214">
        <v>83.656099999999995</v>
      </c>
      <c r="AA214">
        <v>10</v>
      </c>
      <c r="AB214">
        <v>0.4</v>
      </c>
      <c r="AC214">
        <v>217</v>
      </c>
      <c r="AD214">
        <v>14</v>
      </c>
    </row>
    <row r="215" spans="1:30" x14ac:dyDescent="0.55000000000000004">
      <c r="A215">
        <v>92352</v>
      </c>
      <c r="B215" s="19">
        <v>42143</v>
      </c>
      <c r="C215">
        <v>1129</v>
      </c>
      <c r="D215">
        <v>2015</v>
      </c>
      <c r="E215">
        <v>25</v>
      </c>
      <c r="F215">
        <v>509</v>
      </c>
      <c r="G215">
        <v>1</v>
      </c>
      <c r="H215">
        <v>2</v>
      </c>
      <c r="I215">
        <v>3</v>
      </c>
      <c r="J215">
        <v>4655.99</v>
      </c>
      <c r="K215">
        <v>9033.68</v>
      </c>
      <c r="L215">
        <v>4654.6499999999996</v>
      </c>
      <c r="M215">
        <v>9033.84</v>
      </c>
      <c r="N215">
        <v>46.933166999999997</v>
      </c>
      <c r="O215">
        <v>-90.561333000000005</v>
      </c>
      <c r="P215">
        <v>46.910832999999997</v>
      </c>
      <c r="Q215">
        <v>-90.563999999999993</v>
      </c>
      <c r="R215">
        <v>500.98315270000001</v>
      </c>
      <c r="S215">
        <v>17.100000000000001</v>
      </c>
      <c r="T215">
        <v>45.3</v>
      </c>
      <c r="U215">
        <v>0.5</v>
      </c>
      <c r="V215">
        <v>2</v>
      </c>
      <c r="W215">
        <v>3.9</v>
      </c>
      <c r="X215">
        <v>4.0825500000000003</v>
      </c>
      <c r="Y215">
        <v>0.16550000000000001</v>
      </c>
      <c r="Z215">
        <v>83.656099999999995</v>
      </c>
      <c r="AA215">
        <v>10</v>
      </c>
      <c r="AB215">
        <v>0.4</v>
      </c>
      <c r="AC215">
        <v>217</v>
      </c>
      <c r="AD215">
        <v>7</v>
      </c>
    </row>
    <row r="216" spans="1:30" x14ac:dyDescent="0.55000000000000004">
      <c r="A216">
        <v>92353</v>
      </c>
      <c r="B216" s="19">
        <v>42143</v>
      </c>
      <c r="C216">
        <v>1527</v>
      </c>
      <c r="D216">
        <v>2015</v>
      </c>
      <c r="E216">
        <v>25</v>
      </c>
      <c r="F216">
        <v>510</v>
      </c>
      <c r="G216">
        <v>1</v>
      </c>
      <c r="H216">
        <v>87</v>
      </c>
      <c r="I216">
        <v>3</v>
      </c>
      <c r="J216">
        <v>4656.59</v>
      </c>
      <c r="K216">
        <v>9039.07</v>
      </c>
      <c r="L216">
        <v>4656.24</v>
      </c>
      <c r="M216">
        <v>9038.85</v>
      </c>
      <c r="N216">
        <v>46.943167000000003</v>
      </c>
      <c r="O216">
        <v>-90.651167000000001</v>
      </c>
      <c r="P216">
        <v>46.937333000000002</v>
      </c>
      <c r="Q216">
        <v>-90.647499999999994</v>
      </c>
      <c r="R216">
        <v>171.78592839999999</v>
      </c>
      <c r="S216">
        <v>60.2</v>
      </c>
      <c r="T216">
        <v>44.9</v>
      </c>
      <c r="U216">
        <v>0.5</v>
      </c>
      <c r="V216">
        <v>2</v>
      </c>
      <c r="W216">
        <v>5.8</v>
      </c>
      <c r="X216">
        <v>5.7700500000000003</v>
      </c>
      <c r="Y216">
        <v>0.14485000000000001</v>
      </c>
      <c r="Z216">
        <v>81.667050000000003</v>
      </c>
      <c r="AA216">
        <v>10</v>
      </c>
      <c r="AB216">
        <v>0.4</v>
      </c>
      <c r="AC216">
        <v>217</v>
      </c>
      <c r="AD216">
        <v>80</v>
      </c>
    </row>
    <row r="217" spans="1:30" x14ac:dyDescent="0.55000000000000004">
      <c r="A217">
        <v>92354</v>
      </c>
      <c r="B217" s="19">
        <v>42143</v>
      </c>
      <c r="C217">
        <v>1527</v>
      </c>
      <c r="D217">
        <v>2015</v>
      </c>
      <c r="E217">
        <v>25</v>
      </c>
      <c r="F217">
        <v>511</v>
      </c>
      <c r="G217">
        <v>1</v>
      </c>
      <c r="H217">
        <v>87</v>
      </c>
      <c r="I217">
        <v>3</v>
      </c>
      <c r="J217">
        <v>4656.59</v>
      </c>
      <c r="K217">
        <v>9039.07</v>
      </c>
      <c r="L217">
        <v>4656.24</v>
      </c>
      <c r="M217">
        <v>9038.85</v>
      </c>
      <c r="N217">
        <v>46.943167000000003</v>
      </c>
      <c r="O217">
        <v>-90.651167000000001</v>
      </c>
      <c r="P217">
        <v>46.937333000000002</v>
      </c>
      <c r="Q217">
        <v>-90.647499999999994</v>
      </c>
      <c r="R217">
        <v>171.78592839999999</v>
      </c>
      <c r="S217">
        <v>60.2</v>
      </c>
      <c r="T217">
        <v>44.9</v>
      </c>
      <c r="U217">
        <v>0.5</v>
      </c>
      <c r="V217">
        <v>2</v>
      </c>
      <c r="W217">
        <v>5.8</v>
      </c>
      <c r="X217">
        <v>5.7700500000000003</v>
      </c>
      <c r="Y217">
        <v>0.14485000000000001</v>
      </c>
      <c r="Z217">
        <v>81.667050000000003</v>
      </c>
      <c r="AA217">
        <v>10</v>
      </c>
      <c r="AB217">
        <v>0.4</v>
      </c>
      <c r="AC217">
        <v>217</v>
      </c>
      <c r="AD217">
        <v>30</v>
      </c>
    </row>
    <row r="218" spans="1:30" x14ac:dyDescent="0.55000000000000004">
      <c r="A218">
        <v>92355</v>
      </c>
      <c r="B218" s="19">
        <v>42144</v>
      </c>
      <c r="C218">
        <v>941</v>
      </c>
      <c r="D218">
        <v>2015</v>
      </c>
      <c r="E218">
        <v>25</v>
      </c>
      <c r="F218">
        <v>512</v>
      </c>
      <c r="G218">
        <v>1</v>
      </c>
      <c r="H218">
        <v>45</v>
      </c>
      <c r="I218">
        <v>3</v>
      </c>
      <c r="J218">
        <v>4658.75</v>
      </c>
      <c r="K218">
        <v>9032.99</v>
      </c>
      <c r="L218">
        <v>4659.04</v>
      </c>
      <c r="M218">
        <v>9033.33</v>
      </c>
      <c r="N218">
        <v>46.979166999999997</v>
      </c>
      <c r="O218">
        <v>-90.549833000000007</v>
      </c>
      <c r="P218">
        <v>46.984000000000002</v>
      </c>
      <c r="Q218">
        <v>-90.555499999999995</v>
      </c>
      <c r="R218">
        <v>979.68868829999997</v>
      </c>
      <c r="S218">
        <v>64.900000000000006</v>
      </c>
      <c r="T218">
        <v>48.9</v>
      </c>
      <c r="U218">
        <v>0.5</v>
      </c>
      <c r="V218">
        <v>2</v>
      </c>
      <c r="W218">
        <v>4.5</v>
      </c>
      <c r="X218">
        <v>5.0267499999999998</v>
      </c>
      <c r="Y218">
        <v>0.17904999999999999</v>
      </c>
      <c r="Z218">
        <v>84.597899999999996</v>
      </c>
      <c r="AA218">
        <v>10</v>
      </c>
      <c r="AB218">
        <v>0.42</v>
      </c>
      <c r="AC218">
        <v>217</v>
      </c>
      <c r="AD218">
        <v>37</v>
      </c>
    </row>
    <row r="219" spans="1:30" x14ac:dyDescent="0.55000000000000004">
      <c r="A219">
        <v>92356</v>
      </c>
      <c r="B219" s="19">
        <v>42144</v>
      </c>
      <c r="C219">
        <v>941</v>
      </c>
      <c r="D219">
        <v>2015</v>
      </c>
      <c r="E219">
        <v>25</v>
      </c>
      <c r="F219">
        <v>513</v>
      </c>
      <c r="G219">
        <v>1</v>
      </c>
      <c r="H219">
        <v>45</v>
      </c>
      <c r="I219">
        <v>3</v>
      </c>
      <c r="J219">
        <v>4658.75</v>
      </c>
      <c r="K219">
        <v>9032.99</v>
      </c>
      <c r="L219">
        <v>4659.04</v>
      </c>
      <c r="M219">
        <v>9033.33</v>
      </c>
      <c r="N219">
        <v>46.979166999999997</v>
      </c>
      <c r="O219">
        <v>-90.549833000000007</v>
      </c>
      <c r="P219">
        <v>46.984000000000002</v>
      </c>
      <c r="Q219">
        <v>-90.555499999999995</v>
      </c>
      <c r="R219">
        <v>979.68868829999997</v>
      </c>
      <c r="S219">
        <v>64.900000000000006</v>
      </c>
      <c r="T219">
        <v>48.9</v>
      </c>
      <c r="U219">
        <v>0.5</v>
      </c>
      <c r="V219">
        <v>2</v>
      </c>
      <c r="W219">
        <v>4.5</v>
      </c>
      <c r="X219">
        <v>5.0267499999999998</v>
      </c>
      <c r="Y219">
        <v>0.17904999999999999</v>
      </c>
      <c r="Z219">
        <v>84.597899999999996</v>
      </c>
      <c r="AA219">
        <v>10</v>
      </c>
      <c r="AB219">
        <v>0.42</v>
      </c>
      <c r="AC219">
        <v>217</v>
      </c>
      <c r="AD219">
        <v>26</v>
      </c>
    </row>
    <row r="220" spans="1:30" x14ac:dyDescent="0.55000000000000004">
      <c r="A220">
        <v>92357</v>
      </c>
      <c r="B220" s="19">
        <v>42144</v>
      </c>
      <c r="C220">
        <v>1110</v>
      </c>
      <c r="D220">
        <v>2015</v>
      </c>
      <c r="E220">
        <v>25</v>
      </c>
      <c r="F220">
        <v>514</v>
      </c>
      <c r="G220">
        <v>1</v>
      </c>
      <c r="H220">
        <v>44</v>
      </c>
      <c r="I220">
        <v>3</v>
      </c>
      <c r="J220">
        <v>4702.1000000000004</v>
      </c>
      <c r="K220">
        <v>9030.9699999999993</v>
      </c>
      <c r="L220">
        <v>4702.07</v>
      </c>
      <c r="M220">
        <v>9029.42</v>
      </c>
      <c r="N220">
        <v>47.034999999999997</v>
      </c>
      <c r="O220">
        <v>-90.516166999999996</v>
      </c>
      <c r="P220">
        <v>47.034500000000001</v>
      </c>
      <c r="Q220">
        <v>-90.490333000000007</v>
      </c>
      <c r="R220">
        <v>1990.952313</v>
      </c>
      <c r="S220">
        <v>56.3</v>
      </c>
      <c r="T220">
        <v>48.2</v>
      </c>
      <c r="U220">
        <v>0.5</v>
      </c>
      <c r="V220">
        <v>2</v>
      </c>
      <c r="W220">
        <v>4.5999999999999996</v>
      </c>
      <c r="X220">
        <v>4.7145000000000001</v>
      </c>
      <c r="Y220">
        <v>0.1636</v>
      </c>
      <c r="Z220">
        <v>83.175449999999998</v>
      </c>
      <c r="AA220">
        <v>10</v>
      </c>
      <c r="AB220">
        <v>0.42</v>
      </c>
      <c r="AC220">
        <v>217</v>
      </c>
      <c r="AD220">
        <v>1</v>
      </c>
    </row>
    <row r="221" spans="1:30" x14ac:dyDescent="0.55000000000000004">
      <c r="A221">
        <v>92358</v>
      </c>
      <c r="B221" s="19">
        <v>42144</v>
      </c>
      <c r="C221">
        <v>1110</v>
      </c>
      <c r="D221">
        <v>2015</v>
      </c>
      <c r="E221">
        <v>25</v>
      </c>
      <c r="F221">
        <v>515</v>
      </c>
      <c r="G221">
        <v>1</v>
      </c>
      <c r="H221">
        <v>44</v>
      </c>
      <c r="I221">
        <v>3</v>
      </c>
      <c r="J221">
        <v>4702.1000000000004</v>
      </c>
      <c r="K221">
        <v>9030.9699999999993</v>
      </c>
      <c r="L221">
        <v>4702.07</v>
      </c>
      <c r="M221">
        <v>9029.42</v>
      </c>
      <c r="N221">
        <v>47.034999999999997</v>
      </c>
      <c r="O221">
        <v>-90.516166999999996</v>
      </c>
      <c r="P221">
        <v>47.034500000000001</v>
      </c>
      <c r="Q221">
        <v>-90.490333000000007</v>
      </c>
      <c r="R221">
        <v>1990.952313</v>
      </c>
      <c r="S221">
        <v>56.3</v>
      </c>
      <c r="T221">
        <v>48.2</v>
      </c>
      <c r="U221">
        <v>0.5</v>
      </c>
      <c r="V221">
        <v>2</v>
      </c>
      <c r="W221">
        <v>4.5999999999999996</v>
      </c>
      <c r="X221">
        <v>4.7145000000000001</v>
      </c>
      <c r="Y221">
        <v>0.1636</v>
      </c>
      <c r="Z221">
        <v>83.175449999999998</v>
      </c>
      <c r="AA221">
        <v>10</v>
      </c>
      <c r="AB221">
        <v>0.42</v>
      </c>
      <c r="AC221">
        <v>217</v>
      </c>
      <c r="AD221">
        <v>3</v>
      </c>
    </row>
    <row r="222" spans="1:30" x14ac:dyDescent="0.55000000000000004">
      <c r="A222">
        <v>92359</v>
      </c>
      <c r="B222" s="19">
        <v>42144</v>
      </c>
      <c r="C222">
        <v>1252</v>
      </c>
      <c r="D222">
        <v>2015</v>
      </c>
      <c r="E222">
        <v>25</v>
      </c>
      <c r="F222">
        <v>516</v>
      </c>
      <c r="G222">
        <v>1</v>
      </c>
      <c r="H222">
        <v>52</v>
      </c>
      <c r="I222">
        <v>3</v>
      </c>
      <c r="J222">
        <v>4658.03</v>
      </c>
      <c r="K222">
        <v>9027.0499999999993</v>
      </c>
      <c r="L222">
        <v>4658.37</v>
      </c>
      <c r="M222">
        <v>9027.15</v>
      </c>
      <c r="N222">
        <v>46.967167000000003</v>
      </c>
      <c r="O222">
        <v>-90.450833000000003</v>
      </c>
      <c r="P222">
        <v>46.972833000000001</v>
      </c>
      <c r="Q222">
        <v>-90.452500000000001</v>
      </c>
      <c r="R222">
        <v>1238.123083</v>
      </c>
      <c r="S222">
        <v>121</v>
      </c>
      <c r="T222">
        <v>53.8</v>
      </c>
      <c r="U222">
        <v>0.5</v>
      </c>
      <c r="V222">
        <v>2</v>
      </c>
      <c r="W222">
        <v>4.5999999999999996</v>
      </c>
      <c r="X222">
        <v>4.2072500000000002</v>
      </c>
      <c r="Y222">
        <v>0.15989999999999999</v>
      </c>
      <c r="Z222">
        <v>84.808199999999999</v>
      </c>
      <c r="AA222">
        <v>10</v>
      </c>
      <c r="AB222">
        <v>0.4</v>
      </c>
      <c r="AC222">
        <v>217</v>
      </c>
      <c r="AD222">
        <v>31</v>
      </c>
    </row>
    <row r="223" spans="1:30" x14ac:dyDescent="0.55000000000000004">
      <c r="A223">
        <v>92360</v>
      </c>
      <c r="B223" s="19">
        <v>42144</v>
      </c>
      <c r="C223">
        <v>1252</v>
      </c>
      <c r="D223">
        <v>2015</v>
      </c>
      <c r="E223">
        <v>25</v>
      </c>
      <c r="F223">
        <v>517</v>
      </c>
      <c r="G223">
        <v>1</v>
      </c>
      <c r="H223">
        <v>52</v>
      </c>
      <c r="I223">
        <v>3</v>
      </c>
      <c r="J223">
        <v>4658.03</v>
      </c>
      <c r="K223">
        <v>9027.0499999999993</v>
      </c>
      <c r="L223">
        <v>4658.37</v>
      </c>
      <c r="M223">
        <v>9027.15</v>
      </c>
      <c r="N223">
        <v>46.967167000000003</v>
      </c>
      <c r="O223">
        <v>-90.450833000000003</v>
      </c>
      <c r="P223">
        <v>46.972833000000001</v>
      </c>
      <c r="Q223">
        <v>-90.452500000000001</v>
      </c>
      <c r="R223">
        <v>1238.123083</v>
      </c>
      <c r="S223">
        <v>121</v>
      </c>
      <c r="T223">
        <v>53.8</v>
      </c>
      <c r="U223">
        <v>0.5</v>
      </c>
      <c r="V223">
        <v>2</v>
      </c>
      <c r="W223">
        <v>4.5999999999999996</v>
      </c>
      <c r="X223">
        <v>4.2072500000000002</v>
      </c>
      <c r="Y223">
        <v>0.15989999999999999</v>
      </c>
      <c r="Z223">
        <v>84.808199999999999</v>
      </c>
      <c r="AA223">
        <v>10</v>
      </c>
      <c r="AB223">
        <v>0.4</v>
      </c>
      <c r="AC223">
        <v>217</v>
      </c>
      <c r="AD223">
        <v>17</v>
      </c>
    </row>
    <row r="224" spans="1:30" x14ac:dyDescent="0.55000000000000004">
      <c r="A224">
        <v>92361</v>
      </c>
      <c r="B224" s="19">
        <v>42150</v>
      </c>
      <c r="C224">
        <v>1307</v>
      </c>
      <c r="D224">
        <v>2015</v>
      </c>
      <c r="E224">
        <v>25</v>
      </c>
      <c r="F224">
        <v>518</v>
      </c>
      <c r="G224">
        <v>1</v>
      </c>
      <c r="H224">
        <v>190</v>
      </c>
      <c r="I224">
        <v>3</v>
      </c>
      <c r="J224">
        <v>4737.28</v>
      </c>
      <c r="K224">
        <v>9042.9599999999991</v>
      </c>
      <c r="L224">
        <v>4737.59</v>
      </c>
      <c r="M224">
        <v>9042.59</v>
      </c>
      <c r="N224">
        <v>47.621333</v>
      </c>
      <c r="O224">
        <v>-90.715999999999994</v>
      </c>
      <c r="P224">
        <v>47.6265</v>
      </c>
      <c r="Q224">
        <v>-90.709833000000003</v>
      </c>
      <c r="R224">
        <v>603.31760629999997</v>
      </c>
      <c r="S224">
        <v>52</v>
      </c>
      <c r="T224">
        <v>40.700000000000003</v>
      </c>
      <c r="U224">
        <v>0.5</v>
      </c>
      <c r="V224">
        <v>2</v>
      </c>
      <c r="W224">
        <v>3.2</v>
      </c>
      <c r="X224">
        <v>3.5988000000000002</v>
      </c>
      <c r="Y224">
        <v>0.20165</v>
      </c>
      <c r="Z224">
        <v>87.885000000000005</v>
      </c>
      <c r="AA224">
        <v>10</v>
      </c>
      <c r="AB224">
        <v>0.43</v>
      </c>
      <c r="AC224">
        <v>0</v>
      </c>
      <c r="AD224">
        <v>0</v>
      </c>
    </row>
    <row r="225" spans="1:30" x14ac:dyDescent="0.55000000000000004">
      <c r="A225">
        <v>92362</v>
      </c>
      <c r="B225" s="19">
        <v>42150</v>
      </c>
      <c r="C225">
        <v>1307</v>
      </c>
      <c r="D225">
        <v>2015</v>
      </c>
      <c r="E225">
        <v>25</v>
      </c>
      <c r="F225">
        <v>519</v>
      </c>
      <c r="G225">
        <v>1</v>
      </c>
      <c r="H225">
        <v>190</v>
      </c>
      <c r="I225">
        <v>3</v>
      </c>
      <c r="J225">
        <v>4737.28</v>
      </c>
      <c r="K225">
        <v>9042.9599999999991</v>
      </c>
      <c r="L225">
        <v>4737.59</v>
      </c>
      <c r="M225">
        <v>9042.59</v>
      </c>
      <c r="N225">
        <v>47.621333</v>
      </c>
      <c r="O225">
        <v>-90.715999999999994</v>
      </c>
      <c r="P225">
        <v>47.6265</v>
      </c>
      <c r="Q225">
        <v>-90.709833000000003</v>
      </c>
      <c r="R225">
        <v>603.31760629999997</v>
      </c>
      <c r="S225">
        <v>52</v>
      </c>
      <c r="T225">
        <v>40.700000000000003</v>
      </c>
      <c r="U225">
        <v>0.5</v>
      </c>
      <c r="V225">
        <v>2</v>
      </c>
      <c r="W225">
        <v>3.2</v>
      </c>
      <c r="X225">
        <v>3.5988000000000002</v>
      </c>
      <c r="Y225">
        <v>0.20165</v>
      </c>
      <c r="Z225">
        <v>87.885000000000005</v>
      </c>
      <c r="AA225">
        <v>10</v>
      </c>
      <c r="AB225">
        <v>0.43</v>
      </c>
      <c r="AC225">
        <v>0</v>
      </c>
      <c r="AD225">
        <v>0</v>
      </c>
    </row>
    <row r="226" spans="1:30" x14ac:dyDescent="0.55000000000000004">
      <c r="A226">
        <v>92363</v>
      </c>
      <c r="B226" s="19">
        <v>42150</v>
      </c>
      <c r="C226">
        <v>1511</v>
      </c>
      <c r="D226">
        <v>2015</v>
      </c>
      <c r="E226">
        <v>25</v>
      </c>
      <c r="F226">
        <v>520</v>
      </c>
      <c r="G226">
        <v>1</v>
      </c>
      <c r="H226">
        <v>208</v>
      </c>
      <c r="I226">
        <v>3</v>
      </c>
      <c r="J226">
        <v>4741.5</v>
      </c>
      <c r="K226">
        <v>9031.44</v>
      </c>
      <c r="L226">
        <v>4741.6400000000003</v>
      </c>
      <c r="M226">
        <v>9031.9599999999991</v>
      </c>
      <c r="N226">
        <v>47.691667000000002</v>
      </c>
      <c r="O226">
        <v>-90.524000000000001</v>
      </c>
      <c r="P226">
        <v>47.694000000000003</v>
      </c>
      <c r="Q226">
        <v>-90.532667000000004</v>
      </c>
      <c r="R226">
        <v>707.46760229999995</v>
      </c>
      <c r="S226">
        <v>90.3</v>
      </c>
      <c r="T226">
        <v>43.3</v>
      </c>
      <c r="U226">
        <v>0.5</v>
      </c>
      <c r="V226">
        <v>2</v>
      </c>
      <c r="W226">
        <v>3</v>
      </c>
      <c r="X226">
        <v>4.6647999999999996</v>
      </c>
      <c r="Y226">
        <v>0.26195000000000002</v>
      </c>
      <c r="Z226">
        <v>86.695250000000001</v>
      </c>
      <c r="AA226">
        <v>10</v>
      </c>
      <c r="AB226">
        <v>0.42</v>
      </c>
      <c r="AC226">
        <v>217</v>
      </c>
      <c r="AD226">
        <v>6</v>
      </c>
    </row>
    <row r="227" spans="1:30" x14ac:dyDescent="0.55000000000000004">
      <c r="A227">
        <v>92364</v>
      </c>
      <c r="B227" s="19">
        <v>42150</v>
      </c>
      <c r="C227">
        <v>1511</v>
      </c>
      <c r="D227">
        <v>2015</v>
      </c>
      <c r="E227">
        <v>25</v>
      </c>
      <c r="F227">
        <v>521</v>
      </c>
      <c r="G227">
        <v>1</v>
      </c>
      <c r="H227">
        <v>208</v>
      </c>
      <c r="I227">
        <v>3</v>
      </c>
      <c r="J227">
        <v>4741.5</v>
      </c>
      <c r="K227">
        <v>9031.44</v>
      </c>
      <c r="L227">
        <v>4741.6400000000003</v>
      </c>
      <c r="M227">
        <v>9031.9599999999991</v>
      </c>
      <c r="N227">
        <v>47.691667000000002</v>
      </c>
      <c r="O227">
        <v>-90.524000000000001</v>
      </c>
      <c r="P227">
        <v>47.694000000000003</v>
      </c>
      <c r="Q227">
        <v>-90.532667000000004</v>
      </c>
      <c r="R227">
        <v>707.46760229999995</v>
      </c>
      <c r="S227">
        <v>90.3</v>
      </c>
      <c r="T227">
        <v>43.3</v>
      </c>
      <c r="U227">
        <v>0.5</v>
      </c>
      <c r="V227">
        <v>2</v>
      </c>
      <c r="W227">
        <v>3</v>
      </c>
      <c r="X227">
        <v>4.6647999999999996</v>
      </c>
      <c r="Y227">
        <v>0.26195000000000002</v>
      </c>
      <c r="Z227">
        <v>86.695250000000001</v>
      </c>
      <c r="AA227">
        <v>10</v>
      </c>
      <c r="AB227">
        <v>0.42</v>
      </c>
      <c r="AC227">
        <v>217</v>
      </c>
      <c r="AD227">
        <v>5</v>
      </c>
    </row>
    <row r="228" spans="1:30" x14ac:dyDescent="0.55000000000000004">
      <c r="A228">
        <v>92365</v>
      </c>
      <c r="B228" s="19">
        <v>42150</v>
      </c>
      <c r="C228">
        <v>1708</v>
      </c>
      <c r="D228">
        <v>2015</v>
      </c>
      <c r="E228">
        <v>25</v>
      </c>
      <c r="F228">
        <v>522</v>
      </c>
      <c r="G228">
        <v>1</v>
      </c>
      <c r="H228">
        <v>65</v>
      </c>
      <c r="I228">
        <v>3</v>
      </c>
      <c r="J228">
        <v>4744.7299999999996</v>
      </c>
      <c r="K228">
        <v>9018.73</v>
      </c>
      <c r="L228">
        <v>4744.83</v>
      </c>
      <c r="M228">
        <v>9019.27</v>
      </c>
      <c r="N228">
        <v>47.7455</v>
      </c>
      <c r="O228">
        <v>-90.312167000000002</v>
      </c>
      <c r="P228">
        <v>47.747166999999997</v>
      </c>
      <c r="Q228">
        <v>-90.321167000000003</v>
      </c>
      <c r="R228">
        <v>688.20263509999995</v>
      </c>
      <c r="S228">
        <v>77.3</v>
      </c>
      <c r="T228">
        <v>30.7</v>
      </c>
      <c r="U228">
        <v>0.5</v>
      </c>
      <c r="V228">
        <v>2</v>
      </c>
      <c r="W228">
        <v>3.3</v>
      </c>
      <c r="AA228">
        <v>10</v>
      </c>
      <c r="AB228">
        <v>0.42</v>
      </c>
      <c r="AC228">
        <v>217</v>
      </c>
      <c r="AD228">
        <v>102</v>
      </c>
    </row>
    <row r="229" spans="1:30" x14ac:dyDescent="0.55000000000000004">
      <c r="A229">
        <v>92366</v>
      </c>
      <c r="B229" s="19">
        <v>42150</v>
      </c>
      <c r="C229">
        <v>1708</v>
      </c>
      <c r="D229">
        <v>2015</v>
      </c>
      <c r="E229">
        <v>25</v>
      </c>
      <c r="F229">
        <v>523</v>
      </c>
      <c r="G229">
        <v>1</v>
      </c>
      <c r="H229">
        <v>65</v>
      </c>
      <c r="I229">
        <v>3</v>
      </c>
      <c r="J229">
        <v>4744.7299999999996</v>
      </c>
      <c r="K229">
        <v>9018.73</v>
      </c>
      <c r="L229">
        <v>4744.83</v>
      </c>
      <c r="M229">
        <v>9019.27</v>
      </c>
      <c r="N229">
        <v>47.7455</v>
      </c>
      <c r="O229">
        <v>-90.312167000000002</v>
      </c>
      <c r="P229">
        <v>47.747166999999997</v>
      </c>
      <c r="Q229">
        <v>-90.321167000000003</v>
      </c>
      <c r="R229">
        <v>688.20263509999995</v>
      </c>
      <c r="S229">
        <v>77.3</v>
      </c>
      <c r="T229">
        <v>30.7</v>
      </c>
      <c r="U229">
        <v>0.5</v>
      </c>
      <c r="V229">
        <v>2</v>
      </c>
      <c r="W229">
        <v>3.3</v>
      </c>
      <c r="AA229">
        <v>10</v>
      </c>
      <c r="AB229">
        <v>0.42</v>
      </c>
      <c r="AC229">
        <v>217</v>
      </c>
      <c r="AD229">
        <v>93</v>
      </c>
    </row>
    <row r="230" spans="1:30" x14ac:dyDescent="0.55000000000000004">
      <c r="A230">
        <v>92370</v>
      </c>
      <c r="B230" s="19">
        <v>42151</v>
      </c>
      <c r="C230">
        <v>1106</v>
      </c>
      <c r="D230">
        <v>2015</v>
      </c>
      <c r="E230">
        <v>25</v>
      </c>
      <c r="F230">
        <v>524</v>
      </c>
      <c r="G230">
        <v>1</v>
      </c>
      <c r="H230">
        <v>192</v>
      </c>
      <c r="I230">
        <v>3</v>
      </c>
      <c r="J230">
        <v>4719.5</v>
      </c>
      <c r="K230">
        <v>9111.7099999999991</v>
      </c>
      <c r="L230">
        <v>4719.88</v>
      </c>
      <c r="M230">
        <v>9111.69</v>
      </c>
      <c r="N230">
        <v>47.325000000000003</v>
      </c>
      <c r="O230">
        <v>-91.195166999999998</v>
      </c>
      <c r="P230">
        <v>47.331333000000001</v>
      </c>
      <c r="Q230">
        <v>-91.194833000000003</v>
      </c>
      <c r="R230">
        <v>1206.208648</v>
      </c>
      <c r="S230">
        <v>126</v>
      </c>
      <c r="T230">
        <v>28.6</v>
      </c>
      <c r="U230">
        <v>0.5</v>
      </c>
      <c r="V230">
        <v>2</v>
      </c>
      <c r="W230">
        <v>3.3</v>
      </c>
      <c r="AA230">
        <v>10</v>
      </c>
      <c r="AB230">
        <v>0.43</v>
      </c>
      <c r="AC230">
        <v>217</v>
      </c>
      <c r="AD230">
        <v>4845</v>
      </c>
    </row>
    <row r="231" spans="1:30" x14ac:dyDescent="0.55000000000000004">
      <c r="A231">
        <v>92371</v>
      </c>
      <c r="B231" s="19">
        <v>42151</v>
      </c>
      <c r="C231">
        <v>1106</v>
      </c>
      <c r="D231">
        <v>2015</v>
      </c>
      <c r="E231">
        <v>25</v>
      </c>
      <c r="F231">
        <v>525</v>
      </c>
      <c r="G231">
        <v>1</v>
      </c>
      <c r="H231">
        <v>192</v>
      </c>
      <c r="I231">
        <v>3</v>
      </c>
      <c r="J231">
        <v>4719.5</v>
      </c>
      <c r="K231">
        <v>9111.7099999999991</v>
      </c>
      <c r="L231">
        <v>4719.88</v>
      </c>
      <c r="M231">
        <v>9111.69</v>
      </c>
      <c r="N231">
        <v>47.325000000000003</v>
      </c>
      <c r="O231">
        <v>-91.195166999999998</v>
      </c>
      <c r="P231">
        <v>47.331333000000001</v>
      </c>
      <c r="Q231">
        <v>-91.194833000000003</v>
      </c>
      <c r="R231">
        <v>1206.208648</v>
      </c>
      <c r="S231">
        <v>126</v>
      </c>
      <c r="T231">
        <v>28.6</v>
      </c>
      <c r="U231">
        <v>0.5</v>
      </c>
      <c r="V231">
        <v>2</v>
      </c>
      <c r="W231">
        <v>3.3</v>
      </c>
      <c r="AA231">
        <v>10</v>
      </c>
      <c r="AB231">
        <v>0.43</v>
      </c>
      <c r="AC231">
        <v>217</v>
      </c>
      <c r="AD231">
        <v>3009</v>
      </c>
    </row>
    <row r="232" spans="1:30" x14ac:dyDescent="0.55000000000000004">
      <c r="A232">
        <v>92372</v>
      </c>
      <c r="B232" s="19">
        <v>42151</v>
      </c>
      <c r="C232">
        <v>1414</v>
      </c>
      <c r="D232">
        <v>2015</v>
      </c>
      <c r="E232">
        <v>25</v>
      </c>
      <c r="F232">
        <v>526</v>
      </c>
      <c r="G232">
        <v>1</v>
      </c>
      <c r="H232">
        <v>188</v>
      </c>
      <c r="I232">
        <v>3</v>
      </c>
      <c r="J232">
        <v>4704.6000000000004</v>
      </c>
      <c r="K232">
        <v>9134.42</v>
      </c>
      <c r="L232">
        <v>4704.9799999999996</v>
      </c>
      <c r="M232">
        <v>9134.24</v>
      </c>
      <c r="N232">
        <v>47.076667</v>
      </c>
      <c r="O232">
        <v>-91.573667</v>
      </c>
      <c r="P232">
        <v>47.082999999999998</v>
      </c>
      <c r="Q232">
        <v>-91.570667</v>
      </c>
      <c r="R232">
        <v>1203.670781</v>
      </c>
      <c r="S232">
        <v>32.1</v>
      </c>
      <c r="T232">
        <v>25</v>
      </c>
      <c r="U232">
        <v>0.5</v>
      </c>
      <c r="V232">
        <v>2</v>
      </c>
      <c r="W232">
        <v>3.3</v>
      </c>
      <c r="AA232">
        <v>10</v>
      </c>
      <c r="AB232">
        <v>0.42</v>
      </c>
      <c r="AC232">
        <v>217</v>
      </c>
      <c r="AD232">
        <v>14</v>
      </c>
    </row>
    <row r="233" spans="1:30" x14ac:dyDescent="0.55000000000000004">
      <c r="A233">
        <v>92373</v>
      </c>
      <c r="B233" s="19">
        <v>42151</v>
      </c>
      <c r="C233">
        <v>1414</v>
      </c>
      <c r="D233">
        <v>2015</v>
      </c>
      <c r="E233">
        <v>25</v>
      </c>
      <c r="F233">
        <v>527</v>
      </c>
      <c r="G233">
        <v>1</v>
      </c>
      <c r="H233">
        <v>188</v>
      </c>
      <c r="I233">
        <v>3</v>
      </c>
      <c r="J233">
        <v>4704.6000000000004</v>
      </c>
      <c r="K233">
        <v>9134.42</v>
      </c>
      <c r="L233">
        <v>4704.9799999999996</v>
      </c>
      <c r="M233">
        <v>9134.24</v>
      </c>
      <c r="N233">
        <v>47.076667</v>
      </c>
      <c r="O233">
        <v>-91.573667</v>
      </c>
      <c r="P233">
        <v>47.082999999999998</v>
      </c>
      <c r="Q233">
        <v>-91.570667</v>
      </c>
      <c r="R233">
        <v>1203.670781</v>
      </c>
      <c r="S233">
        <v>32.1</v>
      </c>
      <c r="T233">
        <v>25</v>
      </c>
      <c r="U233">
        <v>0.5</v>
      </c>
      <c r="V233">
        <v>2</v>
      </c>
      <c r="W233">
        <v>3.3</v>
      </c>
      <c r="AA233">
        <v>10</v>
      </c>
      <c r="AB233">
        <v>0.42</v>
      </c>
      <c r="AC233">
        <v>217</v>
      </c>
      <c r="AD233">
        <v>11</v>
      </c>
    </row>
    <row r="234" spans="1:30" x14ac:dyDescent="0.55000000000000004">
      <c r="A234">
        <v>92374</v>
      </c>
      <c r="B234" s="19">
        <v>42151</v>
      </c>
      <c r="C234">
        <v>1558</v>
      </c>
      <c r="D234">
        <v>2015</v>
      </c>
      <c r="E234">
        <v>25</v>
      </c>
      <c r="F234">
        <v>528</v>
      </c>
      <c r="G234">
        <v>1</v>
      </c>
      <c r="H234">
        <v>36</v>
      </c>
      <c r="I234">
        <v>3</v>
      </c>
      <c r="J234">
        <v>4659.8999999999996</v>
      </c>
      <c r="K234">
        <v>9141.17</v>
      </c>
      <c r="L234">
        <v>4659.9399999999996</v>
      </c>
      <c r="M234">
        <v>9141.7000000000007</v>
      </c>
      <c r="N234">
        <v>46.998333000000002</v>
      </c>
      <c r="O234">
        <v>-91.686166999999998</v>
      </c>
      <c r="P234">
        <v>46.999000000000002</v>
      </c>
      <c r="Q234">
        <v>-91.694999999999993</v>
      </c>
      <c r="R234">
        <v>629.54925539999999</v>
      </c>
      <c r="S234">
        <v>41.9</v>
      </c>
      <c r="T234">
        <v>34.200000000000003</v>
      </c>
      <c r="U234">
        <v>0.5</v>
      </c>
      <c r="V234">
        <v>2</v>
      </c>
      <c r="W234">
        <v>4</v>
      </c>
      <c r="AA234">
        <v>10</v>
      </c>
      <c r="AB234">
        <v>0.43</v>
      </c>
      <c r="AC234">
        <v>217</v>
      </c>
      <c r="AD234">
        <v>27</v>
      </c>
    </row>
    <row r="235" spans="1:30" x14ac:dyDescent="0.55000000000000004">
      <c r="A235">
        <v>92375</v>
      </c>
      <c r="B235" s="19">
        <v>42151</v>
      </c>
      <c r="C235">
        <v>1558</v>
      </c>
      <c r="D235">
        <v>2015</v>
      </c>
      <c r="E235">
        <v>25</v>
      </c>
      <c r="F235">
        <v>529</v>
      </c>
      <c r="G235">
        <v>1</v>
      </c>
      <c r="H235">
        <v>36</v>
      </c>
      <c r="I235">
        <v>3</v>
      </c>
      <c r="J235">
        <v>4659.8999999999996</v>
      </c>
      <c r="K235">
        <v>9141.17</v>
      </c>
      <c r="L235">
        <v>4659.9399999999996</v>
      </c>
      <c r="M235">
        <v>9141.7000000000007</v>
      </c>
      <c r="N235">
        <v>46.998333000000002</v>
      </c>
      <c r="O235">
        <v>-91.686166999999998</v>
      </c>
      <c r="P235">
        <v>46.999000000000002</v>
      </c>
      <c r="Q235">
        <v>-91.694999999999993</v>
      </c>
      <c r="R235">
        <v>629.54925539999999</v>
      </c>
      <c r="S235">
        <v>41.9</v>
      </c>
      <c r="T235">
        <v>34.200000000000003</v>
      </c>
      <c r="U235">
        <v>0.5</v>
      </c>
      <c r="V235">
        <v>2</v>
      </c>
      <c r="W235">
        <v>4</v>
      </c>
      <c r="AA235">
        <v>10</v>
      </c>
      <c r="AB235">
        <v>0.43</v>
      </c>
      <c r="AC235">
        <v>217</v>
      </c>
      <c r="AD235">
        <v>21</v>
      </c>
    </row>
    <row r="236" spans="1:30" x14ac:dyDescent="0.55000000000000004">
      <c r="A236">
        <v>92381</v>
      </c>
      <c r="B236" s="19">
        <v>42152</v>
      </c>
      <c r="C236">
        <v>751</v>
      </c>
      <c r="D236">
        <v>2015</v>
      </c>
      <c r="E236">
        <v>25</v>
      </c>
      <c r="F236">
        <v>530</v>
      </c>
      <c r="G236">
        <v>1</v>
      </c>
      <c r="H236">
        <v>210</v>
      </c>
      <c r="I236">
        <v>3</v>
      </c>
      <c r="J236">
        <v>4643.58</v>
      </c>
      <c r="K236">
        <v>9201.42</v>
      </c>
      <c r="L236">
        <v>4643.8</v>
      </c>
      <c r="M236">
        <v>9201.01</v>
      </c>
      <c r="N236">
        <v>46.726332999999997</v>
      </c>
      <c r="O236">
        <v>-92.023667000000003</v>
      </c>
      <c r="P236">
        <v>46.73</v>
      </c>
      <c r="Q236">
        <v>-92.016833000000005</v>
      </c>
      <c r="R236">
        <v>1160.9052320000001</v>
      </c>
      <c r="S236">
        <v>16.100000000000001</v>
      </c>
      <c r="T236">
        <v>18.7</v>
      </c>
      <c r="U236">
        <v>0.5</v>
      </c>
      <c r="V236">
        <v>2</v>
      </c>
      <c r="W236">
        <v>8.6</v>
      </c>
      <c r="AA236">
        <v>10</v>
      </c>
      <c r="AB236">
        <v>0.42</v>
      </c>
      <c r="AC236">
        <v>217</v>
      </c>
      <c r="AD236">
        <v>10</v>
      </c>
    </row>
    <row r="237" spans="1:30" x14ac:dyDescent="0.55000000000000004">
      <c r="A237">
        <v>92382</v>
      </c>
      <c r="B237" s="19">
        <v>42152</v>
      </c>
      <c r="C237">
        <v>751</v>
      </c>
      <c r="D237">
        <v>2015</v>
      </c>
      <c r="E237">
        <v>25</v>
      </c>
      <c r="F237">
        <v>531</v>
      </c>
      <c r="G237">
        <v>1</v>
      </c>
      <c r="H237">
        <v>210</v>
      </c>
      <c r="I237">
        <v>3</v>
      </c>
      <c r="J237">
        <v>4643.58</v>
      </c>
      <c r="K237">
        <v>9201.42</v>
      </c>
      <c r="L237">
        <v>4643.8</v>
      </c>
      <c r="M237">
        <v>9201.01</v>
      </c>
      <c r="N237">
        <v>46.726332999999997</v>
      </c>
      <c r="O237">
        <v>-92.023667000000003</v>
      </c>
      <c r="P237">
        <v>46.73</v>
      </c>
      <c r="Q237">
        <v>-92.016833000000005</v>
      </c>
      <c r="R237">
        <v>1160.9052320000001</v>
      </c>
      <c r="S237">
        <v>16.100000000000001</v>
      </c>
      <c r="T237">
        <v>18.7</v>
      </c>
      <c r="U237">
        <v>0.5</v>
      </c>
      <c r="V237">
        <v>2</v>
      </c>
      <c r="W237">
        <v>8.6</v>
      </c>
      <c r="AA237">
        <v>10</v>
      </c>
      <c r="AB237">
        <v>0.42</v>
      </c>
      <c r="AC237">
        <v>217</v>
      </c>
      <c r="AD237">
        <v>17</v>
      </c>
    </row>
    <row r="238" spans="1:30" x14ac:dyDescent="0.55000000000000004">
      <c r="A238">
        <v>92383</v>
      </c>
      <c r="B238" s="19">
        <v>42152</v>
      </c>
      <c r="C238">
        <v>1034</v>
      </c>
      <c r="D238">
        <v>2015</v>
      </c>
      <c r="E238">
        <v>25</v>
      </c>
      <c r="F238">
        <v>532</v>
      </c>
      <c r="G238">
        <v>1</v>
      </c>
      <c r="H238">
        <v>206</v>
      </c>
      <c r="I238">
        <v>3</v>
      </c>
      <c r="J238">
        <v>4646.3599999999997</v>
      </c>
      <c r="K238">
        <v>9137.61</v>
      </c>
      <c r="L238">
        <v>4646.71</v>
      </c>
      <c r="M238">
        <v>9137.7999999999993</v>
      </c>
      <c r="N238">
        <v>46.772666999999998</v>
      </c>
      <c r="O238">
        <v>-91.626833000000005</v>
      </c>
      <c r="P238">
        <v>46.778500000000001</v>
      </c>
      <c r="Q238">
        <v>-91.63</v>
      </c>
      <c r="R238">
        <v>2834.1058560000001</v>
      </c>
      <c r="S238">
        <v>28.6</v>
      </c>
      <c r="T238">
        <v>38</v>
      </c>
      <c r="U238">
        <v>0.5</v>
      </c>
      <c r="V238">
        <v>2</v>
      </c>
      <c r="W238">
        <v>5.7</v>
      </c>
      <c r="AA238">
        <v>10</v>
      </c>
      <c r="AB238">
        <v>0.42</v>
      </c>
      <c r="AC238">
        <v>217</v>
      </c>
      <c r="AD238">
        <v>83</v>
      </c>
    </row>
    <row r="239" spans="1:30" x14ac:dyDescent="0.55000000000000004">
      <c r="A239">
        <v>92384</v>
      </c>
      <c r="B239" s="19">
        <v>42152</v>
      </c>
      <c r="C239">
        <v>1034</v>
      </c>
      <c r="D239">
        <v>2015</v>
      </c>
      <c r="E239">
        <v>25</v>
      </c>
      <c r="F239">
        <v>533</v>
      </c>
      <c r="G239">
        <v>1</v>
      </c>
      <c r="H239">
        <v>206</v>
      </c>
      <c r="I239">
        <v>3</v>
      </c>
      <c r="J239">
        <v>4646.3599999999997</v>
      </c>
      <c r="K239">
        <v>9137.61</v>
      </c>
      <c r="L239">
        <v>4646.71</v>
      </c>
      <c r="M239">
        <v>9137.7999999999993</v>
      </c>
      <c r="N239">
        <v>46.772666999999998</v>
      </c>
      <c r="O239">
        <v>-91.626833000000005</v>
      </c>
      <c r="P239">
        <v>46.778500000000001</v>
      </c>
      <c r="Q239">
        <v>-91.63</v>
      </c>
      <c r="R239">
        <v>2834.1058560000001</v>
      </c>
      <c r="S239">
        <v>28.6</v>
      </c>
      <c r="T239">
        <v>38</v>
      </c>
      <c r="U239">
        <v>0.5</v>
      </c>
      <c r="V239">
        <v>2</v>
      </c>
      <c r="W239">
        <v>5.7</v>
      </c>
      <c r="AA239">
        <v>10</v>
      </c>
      <c r="AB239">
        <v>0.42</v>
      </c>
      <c r="AC239">
        <v>217</v>
      </c>
      <c r="AD239">
        <v>50</v>
      </c>
    </row>
    <row r="240" spans="1:30" x14ac:dyDescent="0.55000000000000004">
      <c r="A240">
        <v>92385</v>
      </c>
      <c r="B240" s="19">
        <v>42152</v>
      </c>
      <c r="C240">
        <v>1256</v>
      </c>
      <c r="D240">
        <v>2015</v>
      </c>
      <c r="E240">
        <v>25</v>
      </c>
      <c r="F240">
        <v>534</v>
      </c>
      <c r="G240">
        <v>1</v>
      </c>
      <c r="H240">
        <v>205</v>
      </c>
      <c r="I240">
        <v>3</v>
      </c>
      <c r="J240">
        <v>4648.6000000000004</v>
      </c>
      <c r="K240">
        <v>9124.7800000000007</v>
      </c>
      <c r="L240">
        <v>4648.96</v>
      </c>
      <c r="M240">
        <v>9125.01</v>
      </c>
      <c r="N240">
        <v>46.81</v>
      </c>
      <c r="O240">
        <v>-91.412999999999997</v>
      </c>
      <c r="P240">
        <v>46.816000000000003</v>
      </c>
      <c r="Q240">
        <v>-91.416832999999997</v>
      </c>
      <c r="R240">
        <v>1605.8109830000001</v>
      </c>
      <c r="S240">
        <v>24.3</v>
      </c>
      <c r="T240">
        <v>33.299999999999997</v>
      </c>
      <c r="U240">
        <v>0.5</v>
      </c>
      <c r="V240">
        <v>2</v>
      </c>
      <c r="W240">
        <v>6.3</v>
      </c>
      <c r="AA240">
        <v>10</v>
      </c>
      <c r="AB240">
        <v>0.43</v>
      </c>
      <c r="AC240">
        <v>217</v>
      </c>
      <c r="AD240">
        <v>59</v>
      </c>
    </row>
    <row r="241" spans="1:30" x14ac:dyDescent="0.55000000000000004">
      <c r="A241">
        <v>92386</v>
      </c>
      <c r="B241" s="19">
        <v>42152</v>
      </c>
      <c r="C241">
        <v>1256</v>
      </c>
      <c r="D241">
        <v>2015</v>
      </c>
      <c r="E241">
        <v>25</v>
      </c>
      <c r="F241">
        <v>535</v>
      </c>
      <c r="G241">
        <v>1</v>
      </c>
      <c r="H241">
        <v>205</v>
      </c>
      <c r="I241">
        <v>3</v>
      </c>
      <c r="J241">
        <v>4648.6000000000004</v>
      </c>
      <c r="K241">
        <v>9124.7800000000007</v>
      </c>
      <c r="L241">
        <v>4648.96</v>
      </c>
      <c r="M241">
        <v>9125.01</v>
      </c>
      <c r="N241">
        <v>46.81</v>
      </c>
      <c r="O241">
        <v>-91.412999999999997</v>
      </c>
      <c r="P241">
        <v>46.816000000000003</v>
      </c>
      <c r="Q241">
        <v>-91.416832999999997</v>
      </c>
      <c r="R241">
        <v>1605.8109830000001</v>
      </c>
      <c r="S241">
        <v>24.3</v>
      </c>
      <c r="T241">
        <v>33.299999999999997</v>
      </c>
      <c r="U241">
        <v>0.5</v>
      </c>
      <c r="V241">
        <v>2</v>
      </c>
      <c r="W241">
        <v>6.3</v>
      </c>
      <c r="AA241">
        <v>10</v>
      </c>
      <c r="AB241">
        <v>0.43</v>
      </c>
      <c r="AC241">
        <v>217</v>
      </c>
      <c r="AD241">
        <v>17</v>
      </c>
    </row>
    <row r="242" spans="1:30" x14ac:dyDescent="0.55000000000000004">
      <c r="A242">
        <v>92387</v>
      </c>
      <c r="B242" s="19">
        <v>42152</v>
      </c>
      <c r="C242">
        <v>1527</v>
      </c>
      <c r="D242">
        <v>2015</v>
      </c>
      <c r="E242">
        <v>25</v>
      </c>
      <c r="F242">
        <v>536</v>
      </c>
      <c r="G242">
        <v>1</v>
      </c>
      <c r="H242">
        <v>187</v>
      </c>
      <c r="I242">
        <v>3</v>
      </c>
      <c r="J242">
        <v>4654.6099999999997</v>
      </c>
      <c r="K242">
        <v>9149.98</v>
      </c>
      <c r="L242">
        <v>4654.84</v>
      </c>
      <c r="M242">
        <v>9150.4699999999993</v>
      </c>
      <c r="N242">
        <v>46.910167000000001</v>
      </c>
      <c r="O242">
        <v>-91.832999999999998</v>
      </c>
      <c r="P242">
        <v>46.914000000000001</v>
      </c>
      <c r="Q242">
        <v>-91.841166999999999</v>
      </c>
      <c r="R242">
        <v>651.91209979999996</v>
      </c>
      <c r="S242">
        <v>57</v>
      </c>
      <c r="T242">
        <v>32.9</v>
      </c>
      <c r="U242">
        <v>0.5</v>
      </c>
      <c r="V242">
        <v>2</v>
      </c>
      <c r="W242">
        <v>3.1</v>
      </c>
      <c r="AA242">
        <v>10</v>
      </c>
      <c r="AB242">
        <v>0.44</v>
      </c>
      <c r="AC242">
        <v>217</v>
      </c>
      <c r="AD242">
        <v>91</v>
      </c>
    </row>
    <row r="243" spans="1:30" x14ac:dyDescent="0.55000000000000004">
      <c r="A243">
        <v>92388</v>
      </c>
      <c r="B243" s="19">
        <v>42152</v>
      </c>
      <c r="C243">
        <v>1527</v>
      </c>
      <c r="D243">
        <v>2015</v>
      </c>
      <c r="E243">
        <v>25</v>
      </c>
      <c r="F243">
        <v>537</v>
      </c>
      <c r="G243">
        <v>1</v>
      </c>
      <c r="H243">
        <v>187</v>
      </c>
      <c r="I243">
        <v>3</v>
      </c>
      <c r="J243">
        <v>4654.6099999999997</v>
      </c>
      <c r="K243">
        <v>9149.98</v>
      </c>
      <c r="L243">
        <v>4654.84</v>
      </c>
      <c r="M243">
        <v>9150.4699999999993</v>
      </c>
      <c r="N243">
        <v>46.910167000000001</v>
      </c>
      <c r="O243">
        <v>-91.832999999999998</v>
      </c>
      <c r="P243">
        <v>46.914000000000001</v>
      </c>
      <c r="Q243">
        <v>-91.841166999999999</v>
      </c>
      <c r="R243">
        <v>651.91209979999996</v>
      </c>
      <c r="S243">
        <v>57</v>
      </c>
      <c r="T243">
        <v>32.9</v>
      </c>
      <c r="U243">
        <v>0.5</v>
      </c>
      <c r="V243">
        <v>2</v>
      </c>
      <c r="W243">
        <v>3.1</v>
      </c>
      <c r="AA243">
        <v>10</v>
      </c>
      <c r="AB243">
        <v>0.44</v>
      </c>
      <c r="AC243">
        <v>217</v>
      </c>
      <c r="AD243">
        <v>127</v>
      </c>
    </row>
    <row r="244" spans="1:30" x14ac:dyDescent="0.55000000000000004">
      <c r="A244">
        <v>92389</v>
      </c>
      <c r="B244" s="19">
        <v>42152</v>
      </c>
      <c r="C244">
        <v>1711</v>
      </c>
      <c r="D244">
        <v>2015</v>
      </c>
      <c r="E244">
        <v>25</v>
      </c>
      <c r="F244">
        <v>538</v>
      </c>
      <c r="G244">
        <v>1</v>
      </c>
      <c r="H244">
        <v>186</v>
      </c>
      <c r="I244">
        <v>3</v>
      </c>
      <c r="J244">
        <v>4649.76</v>
      </c>
      <c r="K244">
        <v>9159.2199999999993</v>
      </c>
      <c r="L244">
        <v>4650.0200000000004</v>
      </c>
      <c r="M244">
        <v>9159.65</v>
      </c>
      <c r="N244">
        <v>46.829332999999998</v>
      </c>
      <c r="O244">
        <v>-91.986999999999995</v>
      </c>
      <c r="P244">
        <v>46.833666999999998</v>
      </c>
      <c r="Q244">
        <v>-91.994167000000004</v>
      </c>
      <c r="R244">
        <v>494.95535469999999</v>
      </c>
      <c r="S244">
        <v>37.6</v>
      </c>
      <c r="T244">
        <v>36.9</v>
      </c>
      <c r="U244">
        <v>0.5</v>
      </c>
      <c r="V244">
        <v>2</v>
      </c>
      <c r="W244">
        <v>3.8</v>
      </c>
      <c r="AA244">
        <v>10</v>
      </c>
      <c r="AB244">
        <v>0.43</v>
      </c>
      <c r="AC244">
        <v>217</v>
      </c>
      <c r="AD244">
        <v>153</v>
      </c>
    </row>
    <row r="245" spans="1:30" x14ac:dyDescent="0.55000000000000004">
      <c r="A245">
        <v>92390</v>
      </c>
      <c r="B245" s="19">
        <v>42152</v>
      </c>
      <c r="C245">
        <v>1711</v>
      </c>
      <c r="D245">
        <v>2015</v>
      </c>
      <c r="E245">
        <v>25</v>
      </c>
      <c r="F245">
        <v>539</v>
      </c>
      <c r="G245">
        <v>1</v>
      </c>
      <c r="H245">
        <v>186</v>
      </c>
      <c r="I245">
        <v>3</v>
      </c>
      <c r="J245">
        <v>4649.76</v>
      </c>
      <c r="K245">
        <v>9159.2199999999993</v>
      </c>
      <c r="L245">
        <v>4650.0200000000004</v>
      </c>
      <c r="M245">
        <v>9159.65</v>
      </c>
      <c r="N245">
        <v>46.829332999999998</v>
      </c>
      <c r="O245">
        <v>-91.986999999999995</v>
      </c>
      <c r="P245">
        <v>46.833666999999998</v>
      </c>
      <c r="Q245">
        <v>-91.994167000000004</v>
      </c>
      <c r="R245">
        <v>494.95535469999999</v>
      </c>
      <c r="S245">
        <v>37.6</v>
      </c>
      <c r="T245">
        <v>36.9</v>
      </c>
      <c r="U245">
        <v>0.5</v>
      </c>
      <c r="V245">
        <v>2</v>
      </c>
      <c r="W245">
        <v>3.8</v>
      </c>
      <c r="AA245">
        <v>10</v>
      </c>
      <c r="AB245">
        <v>0.43</v>
      </c>
      <c r="AC245">
        <v>217</v>
      </c>
      <c r="AD245">
        <v>139</v>
      </c>
    </row>
    <row r="246" spans="1:30" x14ac:dyDescent="0.55000000000000004">
      <c r="A246">
        <v>92394</v>
      </c>
      <c r="B246" s="19">
        <v>42153</v>
      </c>
      <c r="C246">
        <v>1048</v>
      </c>
      <c r="D246">
        <v>2015</v>
      </c>
      <c r="E246">
        <v>25</v>
      </c>
      <c r="F246">
        <v>540</v>
      </c>
      <c r="G246">
        <v>1</v>
      </c>
      <c r="H246">
        <v>151</v>
      </c>
      <c r="I246">
        <v>3</v>
      </c>
      <c r="J246">
        <v>4652.8</v>
      </c>
      <c r="K246">
        <v>9112.56</v>
      </c>
      <c r="L246">
        <v>4653.1000000000004</v>
      </c>
      <c r="M246">
        <v>9112.89</v>
      </c>
      <c r="N246">
        <v>46.88</v>
      </c>
      <c r="O246">
        <v>-91.209333000000001</v>
      </c>
      <c r="P246">
        <v>46.884999999999998</v>
      </c>
      <c r="Q246">
        <v>-91.214832999999999</v>
      </c>
      <c r="R246">
        <v>852.98955160000003</v>
      </c>
      <c r="S246">
        <v>23</v>
      </c>
      <c r="T246">
        <v>52.1</v>
      </c>
      <c r="U246">
        <v>0.5</v>
      </c>
      <c r="V246">
        <v>2</v>
      </c>
      <c r="W246">
        <v>5.9</v>
      </c>
      <c r="AA246">
        <v>10</v>
      </c>
      <c r="AB246">
        <v>0.42</v>
      </c>
      <c r="AC246">
        <v>217</v>
      </c>
      <c r="AD246">
        <v>94</v>
      </c>
    </row>
    <row r="247" spans="1:30" x14ac:dyDescent="0.55000000000000004">
      <c r="A247">
        <v>92395</v>
      </c>
      <c r="B247" s="19">
        <v>42153</v>
      </c>
      <c r="C247">
        <v>1048</v>
      </c>
      <c r="D247">
        <v>2015</v>
      </c>
      <c r="E247">
        <v>25</v>
      </c>
      <c r="F247">
        <v>541</v>
      </c>
      <c r="G247">
        <v>1</v>
      </c>
      <c r="H247">
        <v>151</v>
      </c>
      <c r="I247">
        <v>3</v>
      </c>
      <c r="J247">
        <v>4652.8</v>
      </c>
      <c r="K247">
        <v>9112.56</v>
      </c>
      <c r="L247">
        <v>4653.1000000000004</v>
      </c>
      <c r="M247">
        <v>9112.89</v>
      </c>
      <c r="N247">
        <v>46.88</v>
      </c>
      <c r="O247">
        <v>-91.209333000000001</v>
      </c>
      <c r="P247">
        <v>46.884999999999998</v>
      </c>
      <c r="Q247">
        <v>-91.214832999999999</v>
      </c>
      <c r="R247">
        <v>852.98955160000003</v>
      </c>
      <c r="S247">
        <v>23</v>
      </c>
      <c r="T247">
        <v>52.1</v>
      </c>
      <c r="U247">
        <v>0.5</v>
      </c>
      <c r="V247">
        <v>2</v>
      </c>
      <c r="W247">
        <v>5.9</v>
      </c>
      <c r="AA247">
        <v>10</v>
      </c>
      <c r="AB247">
        <v>0.42</v>
      </c>
      <c r="AC247">
        <v>217</v>
      </c>
      <c r="AD247">
        <v>88</v>
      </c>
    </row>
    <row r="248" spans="1:30" x14ac:dyDescent="0.55000000000000004">
      <c r="A248">
        <v>92396</v>
      </c>
      <c r="B248" s="19">
        <v>42153</v>
      </c>
      <c r="C248">
        <v>1228</v>
      </c>
      <c r="D248">
        <v>2015</v>
      </c>
      <c r="E248">
        <v>25</v>
      </c>
      <c r="F248">
        <v>542</v>
      </c>
      <c r="G248">
        <v>1</v>
      </c>
      <c r="H248">
        <v>76</v>
      </c>
      <c r="I248">
        <v>3</v>
      </c>
      <c r="J248">
        <v>4653.18</v>
      </c>
      <c r="K248">
        <v>9105.7900000000009</v>
      </c>
      <c r="L248">
        <v>4653.4799999999996</v>
      </c>
      <c r="M248">
        <v>9106.15</v>
      </c>
      <c r="N248">
        <v>46.886333</v>
      </c>
      <c r="O248">
        <v>-91.096500000000006</v>
      </c>
      <c r="P248">
        <v>46.891333000000003</v>
      </c>
      <c r="Q248">
        <v>-91.102500000000006</v>
      </c>
      <c r="R248">
        <v>465.72166900000002</v>
      </c>
      <c r="S248">
        <v>24.4</v>
      </c>
      <c r="T248">
        <v>35.200000000000003</v>
      </c>
      <c r="U248">
        <v>0.5</v>
      </c>
      <c r="V248">
        <v>2</v>
      </c>
      <c r="W248">
        <v>8.4</v>
      </c>
      <c r="AA248">
        <v>10</v>
      </c>
      <c r="AB248">
        <v>0.43</v>
      </c>
      <c r="AC248">
        <v>217</v>
      </c>
      <c r="AD248">
        <v>50</v>
      </c>
    </row>
    <row r="249" spans="1:30" x14ac:dyDescent="0.55000000000000004">
      <c r="A249">
        <v>92397</v>
      </c>
      <c r="B249" s="19">
        <v>42153</v>
      </c>
      <c r="C249">
        <v>1228</v>
      </c>
      <c r="D249">
        <v>2015</v>
      </c>
      <c r="E249">
        <v>25</v>
      </c>
      <c r="F249">
        <v>543</v>
      </c>
      <c r="G249">
        <v>1</v>
      </c>
      <c r="H249">
        <v>76</v>
      </c>
      <c r="I249">
        <v>3</v>
      </c>
      <c r="J249">
        <v>4653.18</v>
      </c>
      <c r="K249">
        <v>9105.7900000000009</v>
      </c>
      <c r="L249">
        <v>4653.4799999999996</v>
      </c>
      <c r="M249">
        <v>9106.15</v>
      </c>
      <c r="N249">
        <v>46.886333</v>
      </c>
      <c r="O249">
        <v>-91.096500000000006</v>
      </c>
      <c r="P249">
        <v>46.891333000000003</v>
      </c>
      <c r="Q249">
        <v>-91.102500000000006</v>
      </c>
      <c r="R249">
        <v>465.72166900000002</v>
      </c>
      <c r="S249">
        <v>24.4</v>
      </c>
      <c r="T249">
        <v>35.200000000000003</v>
      </c>
      <c r="U249">
        <v>0.5</v>
      </c>
      <c r="V249">
        <v>2</v>
      </c>
      <c r="W249">
        <v>8.4</v>
      </c>
      <c r="AA249">
        <v>10</v>
      </c>
      <c r="AB249">
        <v>0.43</v>
      </c>
      <c r="AC249">
        <v>217</v>
      </c>
      <c r="AD249">
        <v>41</v>
      </c>
    </row>
    <row r="250" spans="1:30" x14ac:dyDescent="0.55000000000000004">
      <c r="A250">
        <v>92398</v>
      </c>
      <c r="B250" s="19">
        <v>42153</v>
      </c>
      <c r="C250">
        <v>1401</v>
      </c>
      <c r="D250">
        <v>2015</v>
      </c>
      <c r="E250">
        <v>25</v>
      </c>
      <c r="F250">
        <v>544</v>
      </c>
      <c r="G250">
        <v>1</v>
      </c>
      <c r="H250">
        <v>139</v>
      </c>
      <c r="I250">
        <v>3</v>
      </c>
      <c r="J250">
        <v>4658.21</v>
      </c>
      <c r="K250">
        <v>9059.76</v>
      </c>
      <c r="L250">
        <v>4658.24</v>
      </c>
      <c r="M250">
        <v>9100.27</v>
      </c>
      <c r="N250">
        <v>46.970167000000004</v>
      </c>
      <c r="O250">
        <v>-90.995999999999995</v>
      </c>
      <c r="P250">
        <v>46.970666999999999</v>
      </c>
      <c r="Q250">
        <v>-91.004499999999993</v>
      </c>
      <c r="R250">
        <v>1020.4776900000001</v>
      </c>
      <c r="S250">
        <v>20.9</v>
      </c>
      <c r="T250">
        <v>29.3</v>
      </c>
      <c r="U250">
        <v>0.5</v>
      </c>
      <c r="V250">
        <v>2</v>
      </c>
      <c r="W250">
        <v>8.5</v>
      </c>
      <c r="AA250">
        <v>10</v>
      </c>
      <c r="AB250">
        <v>0.42</v>
      </c>
      <c r="AC250">
        <v>217</v>
      </c>
      <c r="AD250">
        <v>5</v>
      </c>
    </row>
    <row r="251" spans="1:30" x14ac:dyDescent="0.55000000000000004">
      <c r="A251">
        <v>92399</v>
      </c>
      <c r="B251" s="19">
        <v>42153</v>
      </c>
      <c r="C251">
        <v>1401</v>
      </c>
      <c r="D251">
        <v>2015</v>
      </c>
      <c r="E251">
        <v>25</v>
      </c>
      <c r="F251">
        <v>545</v>
      </c>
      <c r="G251">
        <v>1</v>
      </c>
      <c r="H251">
        <v>139</v>
      </c>
      <c r="I251">
        <v>3</v>
      </c>
      <c r="J251">
        <v>4658.21</v>
      </c>
      <c r="K251">
        <v>9059.76</v>
      </c>
      <c r="L251">
        <v>4658.24</v>
      </c>
      <c r="M251">
        <v>9100.27</v>
      </c>
      <c r="N251">
        <v>46.970167000000004</v>
      </c>
      <c r="O251">
        <v>-90.995999999999995</v>
      </c>
      <c r="P251">
        <v>46.970666999999999</v>
      </c>
      <c r="Q251">
        <v>-91.004499999999993</v>
      </c>
      <c r="R251">
        <v>1020.4776900000001</v>
      </c>
      <c r="S251">
        <v>20.9</v>
      </c>
      <c r="T251">
        <v>29.3</v>
      </c>
      <c r="U251">
        <v>0.5</v>
      </c>
      <c r="V251">
        <v>2</v>
      </c>
      <c r="W251">
        <v>8.5</v>
      </c>
      <c r="AA251">
        <v>10</v>
      </c>
      <c r="AB251">
        <v>0.42</v>
      </c>
      <c r="AC251">
        <v>217</v>
      </c>
      <c r="AD251">
        <v>6</v>
      </c>
    </row>
    <row r="252" spans="1:30" x14ac:dyDescent="0.55000000000000004">
      <c r="A252">
        <v>92400</v>
      </c>
      <c r="B252" s="19">
        <v>42157</v>
      </c>
      <c r="C252">
        <v>1048</v>
      </c>
      <c r="D252">
        <v>2015</v>
      </c>
      <c r="E252">
        <v>25</v>
      </c>
      <c r="F252">
        <v>546</v>
      </c>
      <c r="G252">
        <v>1</v>
      </c>
      <c r="H252">
        <v>184</v>
      </c>
      <c r="I252">
        <v>3</v>
      </c>
      <c r="J252">
        <v>4636.96</v>
      </c>
      <c r="K252">
        <v>9019.85</v>
      </c>
      <c r="L252">
        <v>4637.32</v>
      </c>
      <c r="M252">
        <v>9020</v>
      </c>
      <c r="N252">
        <v>46.616</v>
      </c>
      <c r="O252">
        <v>-90.330832999999998</v>
      </c>
      <c r="P252">
        <v>46.622</v>
      </c>
      <c r="Q252">
        <v>-90.333332999999996</v>
      </c>
      <c r="R252">
        <v>678.27412460000005</v>
      </c>
      <c r="S252">
        <v>22.8</v>
      </c>
      <c r="T252">
        <v>28.6</v>
      </c>
      <c r="U252">
        <v>0.5</v>
      </c>
      <c r="V252">
        <v>2</v>
      </c>
      <c r="W252">
        <v>7.5</v>
      </c>
      <c r="AA252">
        <v>10</v>
      </c>
      <c r="AB252">
        <v>0.43</v>
      </c>
      <c r="AC252">
        <v>217</v>
      </c>
      <c r="AD252">
        <v>10</v>
      </c>
    </row>
    <row r="253" spans="1:30" x14ac:dyDescent="0.55000000000000004">
      <c r="A253">
        <v>92401</v>
      </c>
      <c r="B253" s="19">
        <v>42157</v>
      </c>
      <c r="C253">
        <v>1048</v>
      </c>
      <c r="D253">
        <v>2015</v>
      </c>
      <c r="E253">
        <v>25</v>
      </c>
      <c r="F253">
        <v>547</v>
      </c>
      <c r="G253">
        <v>1</v>
      </c>
      <c r="H253">
        <v>184</v>
      </c>
      <c r="I253">
        <v>3</v>
      </c>
      <c r="J253">
        <v>4636.96</v>
      </c>
      <c r="K253">
        <v>9019.85</v>
      </c>
      <c r="L253">
        <v>4637.32</v>
      </c>
      <c r="M253">
        <v>9020</v>
      </c>
      <c r="N253">
        <v>46.616</v>
      </c>
      <c r="O253">
        <v>-90.330832999999998</v>
      </c>
      <c r="P253">
        <v>46.622</v>
      </c>
      <c r="Q253">
        <v>-90.333332999999996</v>
      </c>
      <c r="R253">
        <v>678.27412460000005</v>
      </c>
      <c r="S253">
        <v>22.8</v>
      </c>
      <c r="T253">
        <v>28.6</v>
      </c>
      <c r="U253">
        <v>0.5</v>
      </c>
      <c r="V253">
        <v>2</v>
      </c>
      <c r="W253">
        <v>7.5</v>
      </c>
      <c r="AA253">
        <v>10</v>
      </c>
      <c r="AB253">
        <v>0.43</v>
      </c>
      <c r="AC253">
        <v>217</v>
      </c>
      <c r="AD253">
        <v>2</v>
      </c>
    </row>
    <row r="254" spans="1:30" x14ac:dyDescent="0.55000000000000004">
      <c r="A254">
        <v>92402</v>
      </c>
      <c r="B254" s="19">
        <v>42157</v>
      </c>
      <c r="C254">
        <v>1312</v>
      </c>
      <c r="D254">
        <v>2015</v>
      </c>
      <c r="E254">
        <v>25</v>
      </c>
      <c r="F254">
        <v>548</v>
      </c>
      <c r="G254">
        <v>1</v>
      </c>
      <c r="H254">
        <v>192</v>
      </c>
      <c r="I254">
        <v>3</v>
      </c>
      <c r="J254">
        <v>4641.34</v>
      </c>
      <c r="K254">
        <v>9001.64</v>
      </c>
      <c r="L254">
        <v>4641.68</v>
      </c>
      <c r="M254">
        <v>9001.91</v>
      </c>
      <c r="N254">
        <v>46.689</v>
      </c>
      <c r="O254">
        <v>-90.027332999999999</v>
      </c>
      <c r="P254">
        <v>46.694667000000003</v>
      </c>
      <c r="Q254">
        <v>-90.031833000000006</v>
      </c>
      <c r="R254">
        <v>1206.208648</v>
      </c>
      <c r="S254">
        <v>17.2</v>
      </c>
      <c r="T254">
        <v>24.3</v>
      </c>
      <c r="U254">
        <v>0.5</v>
      </c>
      <c r="V254">
        <v>2</v>
      </c>
      <c r="W254">
        <v>5.4</v>
      </c>
      <c r="X254">
        <v>5.59</v>
      </c>
      <c r="Y254">
        <v>0.22889999999999999</v>
      </c>
      <c r="Z254">
        <v>84.390950000000004</v>
      </c>
      <c r="AA254">
        <v>10</v>
      </c>
      <c r="AB254">
        <v>0.43</v>
      </c>
      <c r="AC254">
        <v>217</v>
      </c>
      <c r="AD254">
        <v>1</v>
      </c>
    </row>
    <row r="255" spans="1:30" x14ac:dyDescent="0.55000000000000004">
      <c r="A255">
        <v>92403</v>
      </c>
      <c r="B255" s="19">
        <v>42157</v>
      </c>
      <c r="C255">
        <v>1312</v>
      </c>
      <c r="D255">
        <v>2015</v>
      </c>
      <c r="E255">
        <v>25</v>
      </c>
      <c r="F255">
        <v>549</v>
      </c>
      <c r="G255">
        <v>1</v>
      </c>
      <c r="H255">
        <v>192</v>
      </c>
      <c r="I255">
        <v>3</v>
      </c>
      <c r="J255">
        <v>4641.34</v>
      </c>
      <c r="K255">
        <v>9001.64</v>
      </c>
      <c r="L255">
        <v>4641.68</v>
      </c>
      <c r="M255">
        <v>9001.91</v>
      </c>
      <c r="N255">
        <v>46.689</v>
      </c>
      <c r="O255">
        <v>-90.027332999999999</v>
      </c>
      <c r="P255">
        <v>46.694667000000003</v>
      </c>
      <c r="Q255">
        <v>-90.031833000000006</v>
      </c>
      <c r="R255">
        <v>1206.208648</v>
      </c>
      <c r="S255">
        <v>17.2</v>
      </c>
      <c r="T255">
        <v>24.3</v>
      </c>
      <c r="U255">
        <v>0.5</v>
      </c>
      <c r="V255">
        <v>2</v>
      </c>
      <c r="W255">
        <v>5.4</v>
      </c>
      <c r="X255">
        <v>5.59</v>
      </c>
      <c r="Y255">
        <v>0.22889999999999999</v>
      </c>
      <c r="Z255">
        <v>84.390950000000004</v>
      </c>
      <c r="AA255">
        <v>10</v>
      </c>
      <c r="AB255">
        <v>0.43</v>
      </c>
      <c r="AC255">
        <v>0</v>
      </c>
      <c r="AD255">
        <v>0</v>
      </c>
    </row>
    <row r="256" spans="1:30" x14ac:dyDescent="0.55000000000000004">
      <c r="A256">
        <v>92407</v>
      </c>
      <c r="B256" s="19">
        <v>42157</v>
      </c>
      <c r="C256">
        <v>1707</v>
      </c>
      <c r="D256">
        <v>2015</v>
      </c>
      <c r="E256">
        <v>25</v>
      </c>
      <c r="F256">
        <v>550</v>
      </c>
      <c r="G256">
        <v>1</v>
      </c>
      <c r="H256">
        <v>57</v>
      </c>
      <c r="I256">
        <v>3</v>
      </c>
      <c r="J256">
        <v>4654.0600000000004</v>
      </c>
      <c r="K256">
        <v>8921.07</v>
      </c>
      <c r="L256">
        <v>4654.3599999999997</v>
      </c>
      <c r="M256">
        <v>8921.39</v>
      </c>
      <c r="N256">
        <v>46.901000000000003</v>
      </c>
      <c r="O256">
        <v>-89.351167000000004</v>
      </c>
      <c r="P256">
        <v>46.905999999999999</v>
      </c>
      <c r="Q256">
        <v>-89.356499999999997</v>
      </c>
      <c r="R256">
        <v>3061.657843</v>
      </c>
      <c r="S256">
        <v>19</v>
      </c>
      <c r="T256">
        <v>26.7</v>
      </c>
      <c r="U256">
        <v>0.5</v>
      </c>
      <c r="V256">
        <v>2</v>
      </c>
      <c r="W256">
        <v>6.4</v>
      </c>
      <c r="X256">
        <v>7.8589000000000002</v>
      </c>
      <c r="Y256">
        <v>0.31059999999999999</v>
      </c>
      <c r="Z256">
        <v>75.002300000000005</v>
      </c>
      <c r="AA256">
        <v>10</v>
      </c>
      <c r="AB256">
        <v>0.43</v>
      </c>
      <c r="AC256">
        <v>217</v>
      </c>
      <c r="AD256">
        <v>51</v>
      </c>
    </row>
    <row r="257" spans="1:30" x14ac:dyDescent="0.55000000000000004">
      <c r="A257">
        <v>92408</v>
      </c>
      <c r="B257" s="19">
        <v>42157</v>
      </c>
      <c r="C257">
        <v>1707</v>
      </c>
      <c r="D257">
        <v>2015</v>
      </c>
      <c r="E257">
        <v>25</v>
      </c>
      <c r="F257">
        <v>551</v>
      </c>
      <c r="G257">
        <v>1</v>
      </c>
      <c r="H257">
        <v>57</v>
      </c>
      <c r="I257">
        <v>3</v>
      </c>
      <c r="J257">
        <v>4654.0600000000004</v>
      </c>
      <c r="K257">
        <v>8921.07</v>
      </c>
      <c r="L257">
        <v>4654.3599999999997</v>
      </c>
      <c r="M257">
        <v>8921.39</v>
      </c>
      <c r="N257">
        <v>46.901000000000003</v>
      </c>
      <c r="O257">
        <v>-89.351167000000004</v>
      </c>
      <c r="P257">
        <v>46.905999999999999</v>
      </c>
      <c r="Q257">
        <v>-89.356499999999997</v>
      </c>
      <c r="R257">
        <v>3061.657843</v>
      </c>
      <c r="S257">
        <v>19</v>
      </c>
      <c r="T257">
        <v>26.7</v>
      </c>
      <c r="U257">
        <v>0.5</v>
      </c>
      <c r="V257">
        <v>2</v>
      </c>
      <c r="W257">
        <v>6.4</v>
      </c>
      <c r="X257">
        <v>7.8589000000000002</v>
      </c>
      <c r="Y257">
        <v>0.31059999999999999</v>
      </c>
      <c r="Z257">
        <v>75.002300000000005</v>
      </c>
      <c r="AA257">
        <v>10</v>
      </c>
      <c r="AB257">
        <v>0.43</v>
      </c>
      <c r="AC257">
        <v>217</v>
      </c>
      <c r="AD257">
        <v>36</v>
      </c>
    </row>
    <row r="258" spans="1:30" x14ac:dyDescent="0.55000000000000004">
      <c r="A258">
        <v>92409</v>
      </c>
      <c r="B258" s="19">
        <v>42158</v>
      </c>
      <c r="C258">
        <v>822</v>
      </c>
      <c r="D258">
        <v>2015</v>
      </c>
      <c r="E258">
        <v>25</v>
      </c>
      <c r="F258">
        <v>552</v>
      </c>
      <c r="G258">
        <v>1</v>
      </c>
      <c r="H258">
        <v>183</v>
      </c>
      <c r="I258">
        <v>3</v>
      </c>
      <c r="J258">
        <v>4659.8900000000003</v>
      </c>
      <c r="K258">
        <v>8908.9500000000007</v>
      </c>
      <c r="L258">
        <v>4700.01</v>
      </c>
      <c r="M258">
        <v>8909.43</v>
      </c>
      <c r="N258">
        <v>46.998167000000002</v>
      </c>
      <c r="O258">
        <v>-89.149167000000006</v>
      </c>
      <c r="P258">
        <v>47.000166999999998</v>
      </c>
      <c r="Q258">
        <v>-89.157167000000001</v>
      </c>
      <c r="R258">
        <v>1085.9954769999999</v>
      </c>
      <c r="S258">
        <v>20.5</v>
      </c>
      <c r="T258">
        <v>27.2</v>
      </c>
      <c r="U258">
        <v>0.5</v>
      </c>
      <c r="V258">
        <v>2</v>
      </c>
      <c r="W258">
        <v>7.3</v>
      </c>
      <c r="X258">
        <v>7.7190500000000002</v>
      </c>
      <c r="Y258">
        <v>0.84109999999999996</v>
      </c>
      <c r="Z258">
        <v>82.816050000000004</v>
      </c>
      <c r="AA258">
        <v>10</v>
      </c>
      <c r="AB258">
        <v>0.42</v>
      </c>
      <c r="AC258">
        <v>217</v>
      </c>
      <c r="AD258">
        <v>0</v>
      </c>
    </row>
    <row r="259" spans="1:30" x14ac:dyDescent="0.55000000000000004">
      <c r="A259">
        <v>92410</v>
      </c>
      <c r="B259" s="19">
        <v>42158</v>
      </c>
      <c r="C259">
        <v>822</v>
      </c>
      <c r="D259">
        <v>2015</v>
      </c>
      <c r="E259">
        <v>25</v>
      </c>
      <c r="F259">
        <v>553</v>
      </c>
      <c r="G259">
        <v>1</v>
      </c>
      <c r="H259">
        <v>183</v>
      </c>
      <c r="I259">
        <v>3</v>
      </c>
      <c r="J259">
        <v>4659.8900000000003</v>
      </c>
      <c r="K259">
        <v>8908.9500000000007</v>
      </c>
      <c r="L259">
        <v>4700.01</v>
      </c>
      <c r="M259">
        <v>8909.43</v>
      </c>
      <c r="N259">
        <v>46.998167000000002</v>
      </c>
      <c r="O259">
        <v>-89.149167000000006</v>
      </c>
      <c r="P259">
        <v>47.000166999999998</v>
      </c>
      <c r="Q259">
        <v>-89.157167000000001</v>
      </c>
      <c r="R259">
        <v>1085.9954769999999</v>
      </c>
      <c r="S259">
        <v>20.5</v>
      </c>
      <c r="T259">
        <v>27.2</v>
      </c>
      <c r="U259">
        <v>0.5</v>
      </c>
      <c r="V259">
        <v>2</v>
      </c>
      <c r="W259">
        <v>7.3</v>
      </c>
      <c r="X259">
        <v>7.7190500000000002</v>
      </c>
      <c r="Y259">
        <v>0.84109999999999996</v>
      </c>
      <c r="Z259">
        <v>82.816050000000004</v>
      </c>
      <c r="AA259">
        <v>10</v>
      </c>
      <c r="AB259">
        <v>0.42</v>
      </c>
      <c r="AC259">
        <v>217</v>
      </c>
      <c r="AD259">
        <v>77</v>
      </c>
    </row>
    <row r="260" spans="1:30" x14ac:dyDescent="0.55000000000000004">
      <c r="A260">
        <v>92412</v>
      </c>
      <c r="B260" s="19">
        <v>42158</v>
      </c>
      <c r="C260">
        <v>1133</v>
      </c>
      <c r="D260">
        <v>2015</v>
      </c>
      <c r="E260">
        <v>25</v>
      </c>
      <c r="F260">
        <v>554</v>
      </c>
      <c r="G260">
        <v>1</v>
      </c>
      <c r="H260">
        <v>182</v>
      </c>
      <c r="I260">
        <v>3</v>
      </c>
      <c r="J260">
        <v>4708.96</v>
      </c>
      <c r="K260">
        <v>8851.76</v>
      </c>
      <c r="L260">
        <v>4708.8500000000004</v>
      </c>
      <c r="M260">
        <v>8851.0499999999993</v>
      </c>
      <c r="N260">
        <v>47.149332999999999</v>
      </c>
      <c r="O260">
        <v>-88.862667000000002</v>
      </c>
      <c r="P260">
        <v>47.147500000000001</v>
      </c>
      <c r="Q260">
        <v>-88.850832999999994</v>
      </c>
      <c r="R260">
        <v>3033.4925290000001</v>
      </c>
      <c r="S260">
        <v>33.6</v>
      </c>
      <c r="T260">
        <v>27.2</v>
      </c>
      <c r="U260">
        <v>0.5</v>
      </c>
      <c r="V260">
        <v>2</v>
      </c>
      <c r="W260">
        <v>5.4</v>
      </c>
      <c r="X260">
        <v>6.0907499999999999</v>
      </c>
      <c r="Y260">
        <v>0.24829999999999999</v>
      </c>
      <c r="Z260">
        <v>82.763599999999997</v>
      </c>
      <c r="AA260">
        <v>10</v>
      </c>
      <c r="AB260">
        <v>0.55000000000000004</v>
      </c>
      <c r="AC260">
        <v>0</v>
      </c>
      <c r="AD260">
        <v>0</v>
      </c>
    </row>
    <row r="261" spans="1:30" x14ac:dyDescent="0.55000000000000004">
      <c r="A261">
        <v>92413</v>
      </c>
      <c r="B261" s="19">
        <v>42158</v>
      </c>
      <c r="C261">
        <v>1133</v>
      </c>
      <c r="D261">
        <v>2015</v>
      </c>
      <c r="E261">
        <v>25</v>
      </c>
      <c r="F261">
        <v>555</v>
      </c>
      <c r="G261">
        <v>1</v>
      </c>
      <c r="H261">
        <v>182</v>
      </c>
      <c r="I261">
        <v>3</v>
      </c>
      <c r="J261">
        <v>4708.96</v>
      </c>
      <c r="K261">
        <v>8851.76</v>
      </c>
      <c r="L261">
        <v>4708.8500000000004</v>
      </c>
      <c r="M261">
        <v>8851.0499999999993</v>
      </c>
      <c r="N261">
        <v>47.149332999999999</v>
      </c>
      <c r="O261">
        <v>-88.862667000000002</v>
      </c>
      <c r="P261">
        <v>47.147500000000001</v>
      </c>
      <c r="Q261">
        <v>-88.850832999999994</v>
      </c>
      <c r="R261">
        <v>3033.4925290000001</v>
      </c>
      <c r="S261">
        <v>33.6</v>
      </c>
      <c r="T261">
        <v>27.2</v>
      </c>
      <c r="U261">
        <v>0.5</v>
      </c>
      <c r="V261">
        <v>2</v>
      </c>
      <c r="W261">
        <v>5.4</v>
      </c>
      <c r="X261">
        <v>6.0907499999999999</v>
      </c>
      <c r="Y261">
        <v>0.24829999999999999</v>
      </c>
      <c r="Z261">
        <v>82.763599999999997</v>
      </c>
      <c r="AA261">
        <v>10</v>
      </c>
      <c r="AB261">
        <v>0.55000000000000004</v>
      </c>
      <c r="AC261">
        <v>217</v>
      </c>
      <c r="AD261">
        <v>2</v>
      </c>
    </row>
    <row r="262" spans="1:30" x14ac:dyDescent="0.55000000000000004">
      <c r="A262">
        <v>92414</v>
      </c>
      <c r="B262" s="19">
        <v>42158</v>
      </c>
      <c r="C262">
        <v>1346</v>
      </c>
      <c r="D262">
        <v>2015</v>
      </c>
      <c r="E262">
        <v>25</v>
      </c>
      <c r="F262">
        <v>556</v>
      </c>
      <c r="G262">
        <v>1</v>
      </c>
      <c r="H262">
        <v>181</v>
      </c>
      <c r="I262">
        <v>3</v>
      </c>
      <c r="J262">
        <v>4720.24</v>
      </c>
      <c r="K262">
        <v>8828.9500000000007</v>
      </c>
      <c r="L262">
        <v>4720.58</v>
      </c>
      <c r="M262">
        <v>8829.18</v>
      </c>
      <c r="N262">
        <v>47.337333000000001</v>
      </c>
      <c r="O262">
        <v>-88.482500000000002</v>
      </c>
      <c r="P262">
        <v>47.343000000000004</v>
      </c>
      <c r="Q262">
        <v>-88.486333000000002</v>
      </c>
      <c r="R262">
        <v>1103.1946</v>
      </c>
      <c r="S262">
        <v>26.7</v>
      </c>
      <c r="T262">
        <v>57.3</v>
      </c>
      <c r="U262">
        <v>0.5</v>
      </c>
      <c r="V262">
        <v>2</v>
      </c>
      <c r="W262">
        <v>5</v>
      </c>
      <c r="X262">
        <v>4.2697000000000003</v>
      </c>
      <c r="Y262">
        <v>0.20255000000000001</v>
      </c>
      <c r="Z262">
        <v>88.123450000000005</v>
      </c>
      <c r="AA262">
        <v>10</v>
      </c>
      <c r="AB262">
        <v>0.43</v>
      </c>
      <c r="AC262">
        <v>0</v>
      </c>
      <c r="AD262">
        <v>0</v>
      </c>
    </row>
    <row r="263" spans="1:30" x14ac:dyDescent="0.55000000000000004">
      <c r="A263">
        <v>92415</v>
      </c>
      <c r="B263" s="19">
        <v>42158</v>
      </c>
      <c r="C263">
        <v>1346</v>
      </c>
      <c r="D263">
        <v>2015</v>
      </c>
      <c r="E263">
        <v>25</v>
      </c>
      <c r="F263">
        <v>557</v>
      </c>
      <c r="G263">
        <v>1</v>
      </c>
      <c r="H263">
        <v>181</v>
      </c>
      <c r="I263">
        <v>3</v>
      </c>
      <c r="J263">
        <v>4720.24</v>
      </c>
      <c r="K263">
        <v>8828.9500000000007</v>
      </c>
      <c r="L263">
        <v>4720.58</v>
      </c>
      <c r="M263">
        <v>8829.18</v>
      </c>
      <c r="N263">
        <v>47.337333000000001</v>
      </c>
      <c r="O263">
        <v>-88.482500000000002</v>
      </c>
      <c r="P263">
        <v>47.343000000000004</v>
      </c>
      <c r="Q263">
        <v>-88.486333000000002</v>
      </c>
      <c r="R263">
        <v>1103.1946</v>
      </c>
      <c r="S263">
        <v>26.7</v>
      </c>
      <c r="T263">
        <v>57.3</v>
      </c>
      <c r="U263">
        <v>0.5</v>
      </c>
      <c r="V263">
        <v>2</v>
      </c>
      <c r="W263">
        <v>5</v>
      </c>
      <c r="X263">
        <v>4.2697000000000003</v>
      </c>
      <c r="Y263">
        <v>0.20255000000000001</v>
      </c>
      <c r="Z263">
        <v>88.123450000000005</v>
      </c>
      <c r="AA263">
        <v>10</v>
      </c>
      <c r="AB263">
        <v>0.43</v>
      </c>
      <c r="AC263">
        <v>0</v>
      </c>
      <c r="AD263">
        <v>0</v>
      </c>
    </row>
    <row r="264" spans="1:30" x14ac:dyDescent="0.55000000000000004">
      <c r="A264">
        <v>92417</v>
      </c>
      <c r="B264" s="19">
        <v>42159</v>
      </c>
      <c r="C264">
        <v>1026</v>
      </c>
      <c r="D264">
        <v>2015</v>
      </c>
      <c r="E264">
        <v>25</v>
      </c>
      <c r="F264">
        <v>558</v>
      </c>
      <c r="G264">
        <v>1</v>
      </c>
      <c r="H264">
        <v>82</v>
      </c>
      <c r="I264">
        <v>3</v>
      </c>
      <c r="J264">
        <v>4658.63</v>
      </c>
      <c r="K264">
        <v>8823.56</v>
      </c>
      <c r="L264">
        <v>4658.3999999999996</v>
      </c>
      <c r="M264">
        <v>8823.08</v>
      </c>
      <c r="N264">
        <v>46.977167000000001</v>
      </c>
      <c r="O264">
        <v>-88.392667000000003</v>
      </c>
      <c r="P264">
        <v>46.973332999999997</v>
      </c>
      <c r="Q264">
        <v>-88.384666999999993</v>
      </c>
      <c r="R264">
        <v>1045.25918</v>
      </c>
      <c r="S264">
        <v>20.7</v>
      </c>
      <c r="T264">
        <v>53</v>
      </c>
      <c r="U264">
        <v>0.5</v>
      </c>
      <c r="V264">
        <v>2</v>
      </c>
      <c r="W264">
        <v>7.9</v>
      </c>
      <c r="X264">
        <v>7.2815500000000002</v>
      </c>
      <c r="Y264">
        <v>0.29585</v>
      </c>
      <c r="Z264">
        <v>85.647149999999996</v>
      </c>
      <c r="AA264">
        <v>10</v>
      </c>
      <c r="AB264">
        <v>0.43</v>
      </c>
      <c r="AC264">
        <v>217</v>
      </c>
      <c r="AD264">
        <v>41</v>
      </c>
    </row>
    <row r="265" spans="1:30" x14ac:dyDescent="0.55000000000000004">
      <c r="A265">
        <v>92418</v>
      </c>
      <c r="B265" s="19">
        <v>42159</v>
      </c>
      <c r="C265">
        <v>1026</v>
      </c>
      <c r="D265">
        <v>2015</v>
      </c>
      <c r="E265">
        <v>25</v>
      </c>
      <c r="F265">
        <v>559</v>
      </c>
      <c r="G265">
        <v>1</v>
      </c>
      <c r="H265">
        <v>82</v>
      </c>
      <c r="I265">
        <v>3</v>
      </c>
      <c r="J265">
        <v>4658.63</v>
      </c>
      <c r="K265">
        <v>8823.56</v>
      </c>
      <c r="L265">
        <v>4658.3999999999996</v>
      </c>
      <c r="M265">
        <v>8823.08</v>
      </c>
      <c r="N265">
        <v>46.977167000000001</v>
      </c>
      <c r="O265">
        <v>-88.392667000000003</v>
      </c>
      <c r="P265">
        <v>46.973332999999997</v>
      </c>
      <c r="Q265">
        <v>-88.384666999999993</v>
      </c>
      <c r="R265">
        <v>1045.25918</v>
      </c>
      <c r="S265">
        <v>20.7</v>
      </c>
      <c r="T265">
        <v>53</v>
      </c>
      <c r="U265">
        <v>0.5</v>
      </c>
      <c r="V265">
        <v>2</v>
      </c>
      <c r="W265">
        <v>7.9</v>
      </c>
      <c r="X265">
        <v>7.2815500000000002</v>
      </c>
      <c r="Y265">
        <v>0.29585</v>
      </c>
      <c r="Z265">
        <v>85.647149999999996</v>
      </c>
      <c r="AA265">
        <v>10</v>
      </c>
      <c r="AB265">
        <v>0.43</v>
      </c>
      <c r="AC265">
        <v>217</v>
      </c>
      <c r="AD265">
        <v>28</v>
      </c>
    </row>
    <row r="266" spans="1:30" x14ac:dyDescent="0.55000000000000004">
      <c r="A266">
        <v>92422</v>
      </c>
      <c r="B266" s="19">
        <v>42159</v>
      </c>
      <c r="C266">
        <v>1213</v>
      </c>
      <c r="D266">
        <v>2015</v>
      </c>
      <c r="E266">
        <v>25</v>
      </c>
      <c r="F266">
        <v>560</v>
      </c>
      <c r="G266">
        <v>1</v>
      </c>
      <c r="H266">
        <v>84</v>
      </c>
      <c r="I266">
        <v>3</v>
      </c>
      <c r="J266">
        <v>4653.6499999999996</v>
      </c>
      <c r="K266">
        <v>8819.27</v>
      </c>
      <c r="L266">
        <v>4654.03</v>
      </c>
      <c r="M266">
        <v>8819.33</v>
      </c>
      <c r="N266">
        <v>46.894167000000003</v>
      </c>
      <c r="O266">
        <v>-88.321167000000003</v>
      </c>
      <c r="P266">
        <v>46.900500000000001</v>
      </c>
      <c r="Q266">
        <v>-88.322166999999993</v>
      </c>
      <c r="R266">
        <v>799.8589594</v>
      </c>
      <c r="S266">
        <v>23.8</v>
      </c>
      <c r="T266">
        <v>35</v>
      </c>
      <c r="U266">
        <v>0.5</v>
      </c>
      <c r="V266">
        <v>2</v>
      </c>
      <c r="W266">
        <v>7.6</v>
      </c>
      <c r="X266">
        <v>7.8851000000000004</v>
      </c>
      <c r="Y266">
        <v>0.38030000000000003</v>
      </c>
      <c r="Z266">
        <v>80.358149999999995</v>
      </c>
      <c r="AA266">
        <v>10</v>
      </c>
      <c r="AB266">
        <v>0.42</v>
      </c>
      <c r="AC266">
        <v>217</v>
      </c>
      <c r="AD266">
        <v>10</v>
      </c>
    </row>
    <row r="267" spans="1:30" x14ac:dyDescent="0.55000000000000004">
      <c r="A267">
        <v>92423</v>
      </c>
      <c r="B267" s="19">
        <v>42159</v>
      </c>
      <c r="C267">
        <v>1213</v>
      </c>
      <c r="D267">
        <v>2015</v>
      </c>
      <c r="E267">
        <v>25</v>
      </c>
      <c r="F267">
        <v>561</v>
      </c>
      <c r="G267">
        <v>1</v>
      </c>
      <c r="H267">
        <v>84</v>
      </c>
      <c r="I267">
        <v>3</v>
      </c>
      <c r="J267">
        <v>4653.6499999999996</v>
      </c>
      <c r="K267">
        <v>8819.27</v>
      </c>
      <c r="L267">
        <v>4654.03</v>
      </c>
      <c r="M267">
        <v>8819.33</v>
      </c>
      <c r="N267">
        <v>46.894167000000003</v>
      </c>
      <c r="O267">
        <v>-88.321167000000003</v>
      </c>
      <c r="P267">
        <v>46.900500000000001</v>
      </c>
      <c r="Q267">
        <v>-88.322166999999993</v>
      </c>
      <c r="R267">
        <v>799.8589594</v>
      </c>
      <c r="S267">
        <v>23.8</v>
      </c>
      <c r="T267">
        <v>35</v>
      </c>
      <c r="U267">
        <v>0.5</v>
      </c>
      <c r="V267">
        <v>2</v>
      </c>
      <c r="W267">
        <v>7.6</v>
      </c>
      <c r="X267">
        <v>7.8851000000000004</v>
      </c>
      <c r="Y267">
        <v>0.38030000000000003</v>
      </c>
      <c r="Z267">
        <v>80.358149999999995</v>
      </c>
      <c r="AA267">
        <v>10</v>
      </c>
      <c r="AB267">
        <v>0.42</v>
      </c>
      <c r="AC267">
        <v>217</v>
      </c>
      <c r="AD267">
        <v>6</v>
      </c>
    </row>
    <row r="268" spans="1:30" x14ac:dyDescent="0.55000000000000004">
      <c r="A268">
        <v>92424</v>
      </c>
      <c r="B268" s="19">
        <v>42159</v>
      </c>
      <c r="C268">
        <v>1435</v>
      </c>
      <c r="D268">
        <v>2015</v>
      </c>
      <c r="E268">
        <v>25</v>
      </c>
      <c r="F268">
        <v>562</v>
      </c>
      <c r="G268">
        <v>1</v>
      </c>
      <c r="H268">
        <v>100</v>
      </c>
      <c r="I268">
        <v>3</v>
      </c>
      <c r="J268">
        <v>4703.03</v>
      </c>
      <c r="K268">
        <v>8816</v>
      </c>
      <c r="L268">
        <v>4703.05</v>
      </c>
      <c r="M268">
        <v>8815.4699999999993</v>
      </c>
      <c r="N268">
        <v>47.0505</v>
      </c>
      <c r="O268">
        <v>-88.266666999999998</v>
      </c>
      <c r="P268">
        <v>47.050832999999997</v>
      </c>
      <c r="Q268">
        <v>-88.257833000000005</v>
      </c>
      <c r="R268">
        <v>2063.3587120000002</v>
      </c>
      <c r="S268">
        <v>29</v>
      </c>
      <c r="T268">
        <v>45</v>
      </c>
      <c r="U268">
        <v>0.5</v>
      </c>
      <c r="V268">
        <v>2</v>
      </c>
      <c r="W268">
        <v>4.8</v>
      </c>
      <c r="X268">
        <v>4.3137499999999998</v>
      </c>
      <c r="Y268">
        <v>9.4500000000000001E-2</v>
      </c>
      <c r="Z268">
        <v>79.661699999999996</v>
      </c>
      <c r="AA268">
        <v>10</v>
      </c>
      <c r="AB268">
        <v>0.42</v>
      </c>
      <c r="AC268">
        <v>217</v>
      </c>
      <c r="AD268">
        <v>1</v>
      </c>
    </row>
    <row r="269" spans="1:30" x14ac:dyDescent="0.55000000000000004">
      <c r="A269">
        <v>92425</v>
      </c>
      <c r="B269" s="19">
        <v>42159</v>
      </c>
      <c r="C269">
        <v>1435</v>
      </c>
      <c r="D269">
        <v>2015</v>
      </c>
      <c r="E269">
        <v>25</v>
      </c>
      <c r="F269">
        <v>563</v>
      </c>
      <c r="G269">
        <v>1</v>
      </c>
      <c r="H269">
        <v>100</v>
      </c>
      <c r="I269">
        <v>3</v>
      </c>
      <c r="J269">
        <v>4703.03</v>
      </c>
      <c r="K269">
        <v>8816</v>
      </c>
      <c r="L269">
        <v>4703.05</v>
      </c>
      <c r="M269">
        <v>8815.4699999999993</v>
      </c>
      <c r="N269">
        <v>47.0505</v>
      </c>
      <c r="O269">
        <v>-88.266666999999998</v>
      </c>
      <c r="P269">
        <v>47.050832999999997</v>
      </c>
      <c r="Q269">
        <v>-88.257833000000005</v>
      </c>
      <c r="R269">
        <v>2063.3587120000002</v>
      </c>
      <c r="S269">
        <v>29</v>
      </c>
      <c r="T269">
        <v>45</v>
      </c>
      <c r="U269">
        <v>0.5</v>
      </c>
      <c r="V269">
        <v>2</v>
      </c>
      <c r="W269">
        <v>4.8</v>
      </c>
      <c r="X269">
        <v>4.3137499999999998</v>
      </c>
      <c r="Y269">
        <v>9.4500000000000001E-2</v>
      </c>
      <c r="Z269">
        <v>79.661699999999996</v>
      </c>
      <c r="AA269">
        <v>10</v>
      </c>
      <c r="AB269">
        <v>0.42</v>
      </c>
      <c r="AC269">
        <v>0</v>
      </c>
      <c r="AD269">
        <v>0</v>
      </c>
    </row>
    <row r="270" spans="1:30" x14ac:dyDescent="0.55000000000000004">
      <c r="A270">
        <v>92426</v>
      </c>
      <c r="B270" s="19">
        <v>42159</v>
      </c>
      <c r="C270">
        <v>1623</v>
      </c>
      <c r="D270">
        <v>2015</v>
      </c>
      <c r="E270">
        <v>25</v>
      </c>
      <c r="F270">
        <v>564</v>
      </c>
      <c r="G270">
        <v>1</v>
      </c>
      <c r="H270">
        <v>85</v>
      </c>
      <c r="I270">
        <v>3</v>
      </c>
      <c r="J270">
        <v>4712.32</v>
      </c>
      <c r="K270">
        <v>8808.32</v>
      </c>
      <c r="L270">
        <v>4712.59</v>
      </c>
      <c r="M270">
        <v>8808.76</v>
      </c>
      <c r="N270">
        <v>47.205333000000003</v>
      </c>
      <c r="O270">
        <v>-88.138666999999998</v>
      </c>
      <c r="P270">
        <v>47.209833000000003</v>
      </c>
      <c r="Q270">
        <v>-88.146000000000001</v>
      </c>
      <c r="R270">
        <v>906.76383169999997</v>
      </c>
      <c r="S270">
        <v>52.2</v>
      </c>
      <c r="T270">
        <v>31.4</v>
      </c>
      <c r="U270">
        <v>0.5</v>
      </c>
      <c r="V270">
        <v>2</v>
      </c>
      <c r="W270">
        <v>6.1</v>
      </c>
      <c r="X270">
        <v>5.3825000000000003</v>
      </c>
      <c r="Y270">
        <v>9.9699999999999997E-2</v>
      </c>
      <c r="Z270">
        <v>72.077200000000005</v>
      </c>
      <c r="AA270">
        <v>10</v>
      </c>
      <c r="AB270">
        <v>0.45</v>
      </c>
      <c r="AC270">
        <v>217</v>
      </c>
      <c r="AD270">
        <v>13</v>
      </c>
    </row>
    <row r="271" spans="1:30" x14ac:dyDescent="0.55000000000000004">
      <c r="A271">
        <v>92427</v>
      </c>
      <c r="B271" s="19">
        <v>42159</v>
      </c>
      <c r="C271">
        <v>1623</v>
      </c>
      <c r="D271">
        <v>2015</v>
      </c>
      <c r="E271">
        <v>25</v>
      </c>
      <c r="F271">
        <v>565</v>
      </c>
      <c r="G271">
        <v>1</v>
      </c>
      <c r="H271">
        <v>85</v>
      </c>
      <c r="I271">
        <v>3</v>
      </c>
      <c r="J271">
        <v>4712.32</v>
      </c>
      <c r="K271">
        <v>8808.32</v>
      </c>
      <c r="L271">
        <v>4712.59</v>
      </c>
      <c r="M271">
        <v>8808.76</v>
      </c>
      <c r="N271">
        <v>47.205333000000003</v>
      </c>
      <c r="O271">
        <v>-88.138666999999998</v>
      </c>
      <c r="P271">
        <v>47.209833000000003</v>
      </c>
      <c r="Q271">
        <v>-88.146000000000001</v>
      </c>
      <c r="R271">
        <v>906.76383169999997</v>
      </c>
      <c r="S271">
        <v>52.2</v>
      </c>
      <c r="T271">
        <v>31.4</v>
      </c>
      <c r="U271">
        <v>0.5</v>
      </c>
      <c r="V271">
        <v>2</v>
      </c>
      <c r="W271">
        <v>6.1</v>
      </c>
      <c r="X271">
        <v>5.3825000000000003</v>
      </c>
      <c r="Y271">
        <v>9.9699999999999997E-2</v>
      </c>
      <c r="Z271">
        <v>72.077200000000005</v>
      </c>
      <c r="AA271">
        <v>10</v>
      </c>
      <c r="AB271">
        <v>0.45</v>
      </c>
      <c r="AC271">
        <v>217</v>
      </c>
      <c r="AD271">
        <v>25</v>
      </c>
    </row>
    <row r="272" spans="1:30" x14ac:dyDescent="0.55000000000000004">
      <c r="A272">
        <v>92428</v>
      </c>
      <c r="B272" s="19">
        <v>42159</v>
      </c>
      <c r="C272">
        <v>1928</v>
      </c>
      <c r="D272">
        <v>2015</v>
      </c>
      <c r="E272">
        <v>25</v>
      </c>
      <c r="F272">
        <v>566</v>
      </c>
      <c r="G272">
        <v>1</v>
      </c>
      <c r="H272">
        <v>101</v>
      </c>
      <c r="I272">
        <v>3</v>
      </c>
      <c r="J272">
        <v>4722.7299999999996</v>
      </c>
      <c r="K272">
        <v>8748.67</v>
      </c>
      <c r="L272">
        <v>4722.32</v>
      </c>
      <c r="M272">
        <v>8748.7800000000007</v>
      </c>
      <c r="N272">
        <v>47.378833</v>
      </c>
      <c r="O272">
        <v>-87.811166999999998</v>
      </c>
      <c r="P272">
        <v>47.372</v>
      </c>
      <c r="Q272">
        <v>-87.813000000000002</v>
      </c>
      <c r="R272">
        <v>1293.317943</v>
      </c>
      <c r="S272">
        <v>29.7</v>
      </c>
      <c r="T272">
        <v>48.5</v>
      </c>
      <c r="U272">
        <v>0.5</v>
      </c>
      <c r="V272">
        <v>2</v>
      </c>
      <c r="W272">
        <v>3.8</v>
      </c>
      <c r="X272">
        <v>3.9780000000000002</v>
      </c>
      <c r="Y272">
        <v>0.54484999999999995</v>
      </c>
      <c r="Z272">
        <v>83.287499999999994</v>
      </c>
      <c r="AA272">
        <v>10</v>
      </c>
      <c r="AB272">
        <v>0.45</v>
      </c>
      <c r="AC272">
        <v>217</v>
      </c>
      <c r="AD272">
        <v>164</v>
      </c>
    </row>
    <row r="273" spans="1:30" x14ac:dyDescent="0.55000000000000004">
      <c r="A273">
        <v>92429</v>
      </c>
      <c r="B273" s="19">
        <v>42159</v>
      </c>
      <c r="C273">
        <v>1928</v>
      </c>
      <c r="D273">
        <v>2015</v>
      </c>
      <c r="E273">
        <v>25</v>
      </c>
      <c r="F273">
        <v>567</v>
      </c>
      <c r="G273">
        <v>1</v>
      </c>
      <c r="H273">
        <v>101</v>
      </c>
      <c r="I273">
        <v>3</v>
      </c>
      <c r="J273">
        <v>4722.7299999999996</v>
      </c>
      <c r="K273">
        <v>8748.67</v>
      </c>
      <c r="L273">
        <v>4722.32</v>
      </c>
      <c r="M273">
        <v>8748.7800000000007</v>
      </c>
      <c r="N273">
        <v>47.378833</v>
      </c>
      <c r="O273">
        <v>-87.811166999999998</v>
      </c>
      <c r="P273">
        <v>47.372</v>
      </c>
      <c r="Q273">
        <v>-87.813000000000002</v>
      </c>
      <c r="R273">
        <v>1293.317943</v>
      </c>
      <c r="S273">
        <v>29.7</v>
      </c>
      <c r="T273">
        <v>48.5</v>
      </c>
      <c r="U273">
        <v>0.5</v>
      </c>
      <c r="V273">
        <v>2</v>
      </c>
      <c r="W273">
        <v>3.8</v>
      </c>
      <c r="X273">
        <v>3.9780000000000002</v>
      </c>
      <c r="Y273">
        <v>0.54484999999999995</v>
      </c>
      <c r="Z273">
        <v>83.287499999999994</v>
      </c>
      <c r="AA273">
        <v>10</v>
      </c>
      <c r="AB273">
        <v>0.45</v>
      </c>
      <c r="AC273">
        <v>217</v>
      </c>
      <c r="AD273">
        <v>180</v>
      </c>
    </row>
    <row r="274" spans="1:30" x14ac:dyDescent="0.55000000000000004">
      <c r="A274">
        <v>92431</v>
      </c>
      <c r="B274" s="19">
        <v>42160</v>
      </c>
      <c r="C274">
        <v>906</v>
      </c>
      <c r="D274">
        <v>2015</v>
      </c>
      <c r="E274">
        <v>25</v>
      </c>
      <c r="F274">
        <v>568</v>
      </c>
      <c r="G274">
        <v>1</v>
      </c>
      <c r="H274">
        <v>158</v>
      </c>
      <c r="I274">
        <v>3</v>
      </c>
      <c r="J274">
        <v>4656.2700000000004</v>
      </c>
      <c r="K274">
        <v>8808.17</v>
      </c>
      <c r="L274">
        <v>4656.21</v>
      </c>
      <c r="M274">
        <v>8807.6299999999992</v>
      </c>
      <c r="N274">
        <v>46.937832999999998</v>
      </c>
      <c r="O274">
        <v>-88.136167</v>
      </c>
      <c r="P274">
        <v>46.936833</v>
      </c>
      <c r="Q274">
        <v>-88.127167</v>
      </c>
      <c r="R274">
        <v>1642.18472</v>
      </c>
      <c r="S274">
        <v>17.600000000000001</v>
      </c>
      <c r="T274">
        <v>30.6</v>
      </c>
      <c r="U274">
        <v>0.5</v>
      </c>
      <c r="V274">
        <v>2</v>
      </c>
      <c r="W274">
        <v>9.3000000000000007</v>
      </c>
      <c r="X274">
        <v>9.4185499999999998</v>
      </c>
      <c r="Y274">
        <v>0.16569999999999999</v>
      </c>
      <c r="Z274">
        <v>74.693399999999997</v>
      </c>
      <c r="AA274">
        <v>10</v>
      </c>
      <c r="AB274">
        <v>0.43</v>
      </c>
      <c r="AC274">
        <v>217</v>
      </c>
      <c r="AD274">
        <v>8</v>
      </c>
    </row>
    <row r="275" spans="1:30" x14ac:dyDescent="0.55000000000000004">
      <c r="A275">
        <v>92432</v>
      </c>
      <c r="B275" s="19">
        <v>42160</v>
      </c>
      <c r="C275">
        <v>906</v>
      </c>
      <c r="D275">
        <v>2015</v>
      </c>
      <c r="E275">
        <v>25</v>
      </c>
      <c r="F275">
        <v>569</v>
      </c>
      <c r="G275">
        <v>1</v>
      </c>
      <c r="H275">
        <v>158</v>
      </c>
      <c r="I275">
        <v>3</v>
      </c>
      <c r="J275">
        <v>4656.2700000000004</v>
      </c>
      <c r="K275">
        <v>8808.17</v>
      </c>
      <c r="L275">
        <v>4656.21</v>
      </c>
      <c r="M275">
        <v>8807.6299999999992</v>
      </c>
      <c r="N275">
        <v>46.937832999999998</v>
      </c>
      <c r="O275">
        <v>-88.136167</v>
      </c>
      <c r="P275">
        <v>46.936833</v>
      </c>
      <c r="Q275">
        <v>-88.127167</v>
      </c>
      <c r="R275">
        <v>1642.18472</v>
      </c>
      <c r="S275">
        <v>17.600000000000001</v>
      </c>
      <c r="T275">
        <v>30.6</v>
      </c>
      <c r="U275">
        <v>0.5</v>
      </c>
      <c r="V275">
        <v>2</v>
      </c>
      <c r="W275">
        <v>9.3000000000000007</v>
      </c>
      <c r="X275">
        <v>9.4185499999999998</v>
      </c>
      <c r="Y275">
        <v>0.16569999999999999</v>
      </c>
      <c r="Z275">
        <v>74.693399999999997</v>
      </c>
      <c r="AA275">
        <v>10</v>
      </c>
      <c r="AB275">
        <v>0.43</v>
      </c>
      <c r="AC275">
        <v>217</v>
      </c>
      <c r="AD275">
        <v>5</v>
      </c>
    </row>
    <row r="276" spans="1:30" x14ac:dyDescent="0.55000000000000004">
      <c r="A276">
        <v>92436</v>
      </c>
      <c r="B276" s="19">
        <v>42160</v>
      </c>
      <c r="C276">
        <v>1210</v>
      </c>
      <c r="D276">
        <v>2015</v>
      </c>
      <c r="E276">
        <v>25</v>
      </c>
      <c r="F276">
        <v>570</v>
      </c>
      <c r="G276">
        <v>1</v>
      </c>
      <c r="H276">
        <v>142</v>
      </c>
      <c r="I276">
        <v>3</v>
      </c>
      <c r="J276">
        <v>4651.26</v>
      </c>
      <c r="K276">
        <v>8743.66</v>
      </c>
      <c r="L276">
        <v>4651.53</v>
      </c>
      <c r="M276">
        <v>8743.2900000000009</v>
      </c>
      <c r="N276">
        <v>46.854332999999997</v>
      </c>
      <c r="O276">
        <v>-87.727666999999997</v>
      </c>
      <c r="P276">
        <v>46.858832999999997</v>
      </c>
      <c r="Q276">
        <v>-87.721500000000006</v>
      </c>
      <c r="R276">
        <v>1281.0560129999999</v>
      </c>
      <c r="S276">
        <v>20.7</v>
      </c>
      <c r="T276">
        <v>43.7</v>
      </c>
      <c r="U276">
        <v>0.5</v>
      </c>
      <c r="V276">
        <v>2</v>
      </c>
      <c r="W276">
        <v>5.2</v>
      </c>
      <c r="X276">
        <v>4.8400999999999996</v>
      </c>
      <c r="Y276">
        <v>0.10664999999999999</v>
      </c>
      <c r="Z276">
        <v>61.393300000000004</v>
      </c>
      <c r="AA276">
        <v>10</v>
      </c>
      <c r="AB276">
        <v>0.42</v>
      </c>
      <c r="AC276">
        <v>217</v>
      </c>
      <c r="AD276">
        <v>15</v>
      </c>
    </row>
    <row r="277" spans="1:30" x14ac:dyDescent="0.55000000000000004">
      <c r="A277">
        <v>92437</v>
      </c>
      <c r="B277" s="19">
        <v>42160</v>
      </c>
      <c r="C277">
        <v>1210</v>
      </c>
      <c r="D277">
        <v>2015</v>
      </c>
      <c r="E277">
        <v>25</v>
      </c>
      <c r="F277">
        <v>571</v>
      </c>
      <c r="G277">
        <v>1</v>
      </c>
      <c r="H277">
        <v>142</v>
      </c>
      <c r="I277">
        <v>3</v>
      </c>
      <c r="J277">
        <v>4651.26</v>
      </c>
      <c r="K277">
        <v>8743.66</v>
      </c>
      <c r="L277">
        <v>4651.53</v>
      </c>
      <c r="M277">
        <v>8743.2900000000009</v>
      </c>
      <c r="N277">
        <v>46.854332999999997</v>
      </c>
      <c r="O277">
        <v>-87.727666999999997</v>
      </c>
      <c r="P277">
        <v>46.858832999999997</v>
      </c>
      <c r="Q277">
        <v>-87.721500000000006</v>
      </c>
      <c r="R277">
        <v>1281.0560129999999</v>
      </c>
      <c r="S277">
        <v>20.7</v>
      </c>
      <c r="T277">
        <v>43.7</v>
      </c>
      <c r="U277">
        <v>0.5</v>
      </c>
      <c r="V277">
        <v>2</v>
      </c>
      <c r="W277">
        <v>5.2</v>
      </c>
      <c r="X277">
        <v>4.8400999999999996</v>
      </c>
      <c r="Y277">
        <v>0.10664999999999999</v>
      </c>
      <c r="Z277">
        <v>61.393300000000004</v>
      </c>
      <c r="AA277">
        <v>10</v>
      </c>
      <c r="AB277">
        <v>0.42</v>
      </c>
      <c r="AC277">
        <v>217</v>
      </c>
      <c r="AD277">
        <v>12</v>
      </c>
    </row>
    <row r="278" spans="1:30" x14ac:dyDescent="0.55000000000000004">
      <c r="A278">
        <v>92438</v>
      </c>
      <c r="B278" s="19">
        <v>42160</v>
      </c>
      <c r="C278">
        <v>1405</v>
      </c>
      <c r="D278">
        <v>2015</v>
      </c>
      <c r="E278">
        <v>25</v>
      </c>
      <c r="F278">
        <v>572</v>
      </c>
      <c r="G278">
        <v>1</v>
      </c>
      <c r="H278">
        <v>196</v>
      </c>
      <c r="I278">
        <v>3</v>
      </c>
      <c r="J278">
        <v>4646.7</v>
      </c>
      <c r="K278">
        <v>8733.57</v>
      </c>
      <c r="L278">
        <v>4646.9799999999996</v>
      </c>
      <c r="M278">
        <v>8733.23</v>
      </c>
      <c r="N278">
        <v>46.778333000000003</v>
      </c>
      <c r="O278">
        <v>-87.5595</v>
      </c>
      <c r="P278">
        <v>46.783000000000001</v>
      </c>
      <c r="Q278">
        <v>-87.553832999999997</v>
      </c>
      <c r="R278">
        <v>2612.8436059999999</v>
      </c>
      <c r="S278">
        <v>30</v>
      </c>
      <c r="T278">
        <v>36.299999999999997</v>
      </c>
      <c r="U278">
        <v>0.5</v>
      </c>
      <c r="V278">
        <v>2</v>
      </c>
      <c r="W278">
        <v>3.5</v>
      </c>
      <c r="X278">
        <v>3.9499499999999999</v>
      </c>
      <c r="Y278">
        <v>0.15465000000000001</v>
      </c>
      <c r="Z278">
        <v>49.582149999999999</v>
      </c>
      <c r="AA278">
        <v>10</v>
      </c>
      <c r="AB278">
        <v>0.45</v>
      </c>
      <c r="AC278">
        <v>217</v>
      </c>
      <c r="AD278">
        <v>1</v>
      </c>
    </row>
    <row r="279" spans="1:30" x14ac:dyDescent="0.55000000000000004">
      <c r="A279">
        <v>92439</v>
      </c>
      <c r="B279" s="19">
        <v>42160</v>
      </c>
      <c r="C279">
        <v>1405</v>
      </c>
      <c r="D279">
        <v>2015</v>
      </c>
      <c r="E279">
        <v>25</v>
      </c>
      <c r="F279">
        <v>573</v>
      </c>
      <c r="G279">
        <v>1</v>
      </c>
      <c r="H279">
        <v>196</v>
      </c>
      <c r="I279">
        <v>3</v>
      </c>
      <c r="J279">
        <v>4646.7</v>
      </c>
      <c r="K279">
        <v>8733.57</v>
      </c>
      <c r="L279">
        <v>4646.9799999999996</v>
      </c>
      <c r="M279">
        <v>8733.23</v>
      </c>
      <c r="N279">
        <v>46.778333000000003</v>
      </c>
      <c r="O279">
        <v>-87.5595</v>
      </c>
      <c r="P279">
        <v>46.783000000000001</v>
      </c>
      <c r="Q279">
        <v>-87.553832999999997</v>
      </c>
      <c r="R279">
        <v>2612.8436059999999</v>
      </c>
      <c r="S279">
        <v>30</v>
      </c>
      <c r="T279">
        <v>36.299999999999997</v>
      </c>
      <c r="U279">
        <v>0.5</v>
      </c>
      <c r="V279">
        <v>2</v>
      </c>
      <c r="W279">
        <v>3.5</v>
      </c>
      <c r="X279">
        <v>3.9499499999999999</v>
      </c>
      <c r="Y279">
        <v>0.15465000000000001</v>
      </c>
      <c r="Z279">
        <v>49.582149999999999</v>
      </c>
      <c r="AA279">
        <v>10</v>
      </c>
      <c r="AB279">
        <v>0.45</v>
      </c>
      <c r="AC279">
        <v>217</v>
      </c>
      <c r="AD279">
        <v>2</v>
      </c>
    </row>
    <row r="280" spans="1:30" x14ac:dyDescent="0.55000000000000004">
      <c r="A280">
        <v>92440</v>
      </c>
      <c r="B280" s="19">
        <v>42161</v>
      </c>
      <c r="C280">
        <v>757</v>
      </c>
      <c r="D280">
        <v>2015</v>
      </c>
      <c r="E280">
        <v>25</v>
      </c>
      <c r="F280">
        <v>574</v>
      </c>
      <c r="G280">
        <v>1</v>
      </c>
      <c r="H280">
        <v>120</v>
      </c>
      <c r="I280">
        <v>3</v>
      </c>
      <c r="J280">
        <v>4630.4799999999996</v>
      </c>
      <c r="K280">
        <v>8713.94</v>
      </c>
      <c r="L280">
        <v>4630.8500000000004</v>
      </c>
      <c r="M280">
        <v>8713.85</v>
      </c>
      <c r="N280">
        <v>46.508000000000003</v>
      </c>
      <c r="O280">
        <v>-87.232332999999997</v>
      </c>
      <c r="P280">
        <v>46.514167</v>
      </c>
      <c r="Q280">
        <v>-87.230833000000004</v>
      </c>
      <c r="R280">
        <v>3733.016885</v>
      </c>
      <c r="S280">
        <v>20.3</v>
      </c>
      <c r="T280">
        <v>27.1</v>
      </c>
      <c r="U280">
        <v>0.5</v>
      </c>
      <c r="V280">
        <v>2</v>
      </c>
      <c r="W280">
        <v>5.2</v>
      </c>
      <c r="X280">
        <v>4.5124500000000003</v>
      </c>
      <c r="Y280">
        <v>0.35349999999999998</v>
      </c>
      <c r="Z280">
        <v>85.080550000000002</v>
      </c>
      <c r="AA280">
        <v>10</v>
      </c>
      <c r="AB280">
        <v>0.42</v>
      </c>
      <c r="AC280">
        <v>0</v>
      </c>
      <c r="AD280">
        <v>0</v>
      </c>
    </row>
    <row r="281" spans="1:30" x14ac:dyDescent="0.55000000000000004">
      <c r="A281">
        <v>92441</v>
      </c>
      <c r="B281" s="19">
        <v>42161</v>
      </c>
      <c r="C281">
        <v>757</v>
      </c>
      <c r="D281">
        <v>2015</v>
      </c>
      <c r="E281">
        <v>25</v>
      </c>
      <c r="F281">
        <v>575</v>
      </c>
      <c r="G281">
        <v>1</v>
      </c>
      <c r="H281">
        <v>120</v>
      </c>
      <c r="I281">
        <v>3</v>
      </c>
      <c r="J281">
        <v>4630.4799999999996</v>
      </c>
      <c r="K281">
        <v>8713.94</v>
      </c>
      <c r="L281">
        <v>4630.8500000000004</v>
      </c>
      <c r="M281">
        <v>8713.85</v>
      </c>
      <c r="N281">
        <v>46.508000000000003</v>
      </c>
      <c r="O281">
        <v>-87.232332999999997</v>
      </c>
      <c r="P281">
        <v>46.514167</v>
      </c>
      <c r="Q281">
        <v>-87.230833000000004</v>
      </c>
      <c r="R281">
        <v>3733.016885</v>
      </c>
      <c r="S281">
        <v>20.3</v>
      </c>
      <c r="T281">
        <v>27.1</v>
      </c>
      <c r="U281">
        <v>0.5</v>
      </c>
      <c r="V281">
        <v>2</v>
      </c>
      <c r="W281">
        <v>5.2</v>
      </c>
      <c r="X281">
        <v>4.5124500000000003</v>
      </c>
      <c r="Y281">
        <v>0.35349999999999998</v>
      </c>
      <c r="Z281">
        <v>85.080550000000002</v>
      </c>
      <c r="AA281">
        <v>10</v>
      </c>
      <c r="AB281">
        <v>0.42</v>
      </c>
      <c r="AC281">
        <v>217</v>
      </c>
      <c r="AD281">
        <v>1</v>
      </c>
    </row>
    <row r="282" spans="1:30" x14ac:dyDescent="0.55000000000000004">
      <c r="A282">
        <v>92444</v>
      </c>
      <c r="B282" s="19">
        <v>42161</v>
      </c>
      <c r="C282">
        <v>1040</v>
      </c>
      <c r="D282">
        <v>2015</v>
      </c>
      <c r="E282">
        <v>25</v>
      </c>
      <c r="F282">
        <v>577</v>
      </c>
      <c r="G282">
        <v>1</v>
      </c>
      <c r="H282">
        <v>88</v>
      </c>
      <c r="I282">
        <v>3</v>
      </c>
      <c r="J282">
        <v>4631.3900000000003</v>
      </c>
      <c r="K282">
        <v>8655.33</v>
      </c>
      <c r="L282">
        <v>4631.58</v>
      </c>
      <c r="M282">
        <v>8654.8700000000008</v>
      </c>
      <c r="N282">
        <v>46.523167000000001</v>
      </c>
      <c r="O282">
        <v>-86.922167000000002</v>
      </c>
      <c r="P282">
        <v>46.526333000000001</v>
      </c>
      <c r="Q282">
        <v>-86.914500000000004</v>
      </c>
      <c r="R282">
        <v>4575.3649349999996</v>
      </c>
      <c r="S282">
        <v>30.2</v>
      </c>
      <c r="T282">
        <v>43.3</v>
      </c>
      <c r="U282">
        <v>0.5</v>
      </c>
      <c r="V282">
        <v>2</v>
      </c>
      <c r="W282">
        <v>5.8</v>
      </c>
      <c r="X282">
        <v>4.4864499999999996</v>
      </c>
      <c r="Y282">
        <v>0.14485000000000001</v>
      </c>
      <c r="Z282">
        <v>79.898799999999994</v>
      </c>
      <c r="AA282">
        <v>10</v>
      </c>
      <c r="AB282">
        <v>0.43</v>
      </c>
      <c r="AC282">
        <v>217</v>
      </c>
      <c r="AD282">
        <v>3</v>
      </c>
    </row>
    <row r="283" spans="1:30" x14ac:dyDescent="0.55000000000000004">
      <c r="A283">
        <v>92445</v>
      </c>
      <c r="B283" s="19">
        <v>42161</v>
      </c>
      <c r="C283">
        <v>1302</v>
      </c>
      <c r="D283">
        <v>2015</v>
      </c>
      <c r="E283">
        <v>25</v>
      </c>
      <c r="F283">
        <v>578</v>
      </c>
      <c r="G283">
        <v>1</v>
      </c>
      <c r="H283">
        <v>209</v>
      </c>
      <c r="I283">
        <v>3</v>
      </c>
      <c r="J283">
        <v>4631.66</v>
      </c>
      <c r="K283">
        <v>8642.92</v>
      </c>
      <c r="L283">
        <v>4631.8599999999997</v>
      </c>
      <c r="M283">
        <v>8643.42</v>
      </c>
      <c r="N283">
        <v>46.527667000000001</v>
      </c>
      <c r="O283">
        <v>-86.715333000000001</v>
      </c>
      <c r="P283">
        <v>46.530999999999999</v>
      </c>
      <c r="Q283">
        <v>-86.723667000000006</v>
      </c>
      <c r="R283">
        <v>508.61472559999999</v>
      </c>
      <c r="S283">
        <v>51.6</v>
      </c>
      <c r="T283">
        <v>87.2</v>
      </c>
      <c r="U283">
        <v>0.5</v>
      </c>
      <c r="V283">
        <v>2</v>
      </c>
      <c r="W283">
        <v>6.6</v>
      </c>
      <c r="X283">
        <v>5.4307999999999996</v>
      </c>
      <c r="Y283">
        <v>0.18335000000000001</v>
      </c>
      <c r="Z283">
        <v>85.204549999999998</v>
      </c>
      <c r="AA283">
        <v>10</v>
      </c>
      <c r="AB283">
        <v>0.43</v>
      </c>
      <c r="AC283">
        <v>217</v>
      </c>
      <c r="AD283">
        <v>1</v>
      </c>
    </row>
    <row r="284" spans="1:30" x14ac:dyDescent="0.55000000000000004">
      <c r="A284">
        <v>92446</v>
      </c>
      <c r="B284" s="19">
        <v>42161</v>
      </c>
      <c r="C284">
        <v>1302</v>
      </c>
      <c r="D284">
        <v>2015</v>
      </c>
      <c r="E284">
        <v>25</v>
      </c>
      <c r="F284">
        <v>579</v>
      </c>
      <c r="G284">
        <v>1</v>
      </c>
      <c r="H284">
        <v>209</v>
      </c>
      <c r="I284">
        <v>3</v>
      </c>
      <c r="J284">
        <v>4631.66</v>
      </c>
      <c r="K284">
        <v>8642.92</v>
      </c>
      <c r="L284">
        <v>4631.8599999999997</v>
      </c>
      <c r="M284">
        <v>8643.42</v>
      </c>
      <c r="N284">
        <v>46.527667000000001</v>
      </c>
      <c r="O284">
        <v>-86.715333000000001</v>
      </c>
      <c r="P284">
        <v>46.530999999999999</v>
      </c>
      <c r="Q284">
        <v>-86.723667000000006</v>
      </c>
      <c r="R284">
        <v>508.61472559999999</v>
      </c>
      <c r="S284">
        <v>51.6</v>
      </c>
      <c r="T284">
        <v>87.2</v>
      </c>
      <c r="U284">
        <v>0.5</v>
      </c>
      <c r="V284">
        <v>2</v>
      </c>
      <c r="W284">
        <v>6.6</v>
      </c>
      <c r="X284">
        <v>5.4307999999999996</v>
      </c>
      <c r="Y284">
        <v>0.18335000000000001</v>
      </c>
      <c r="Z284">
        <v>85.204549999999998</v>
      </c>
      <c r="AA284">
        <v>10</v>
      </c>
      <c r="AB284">
        <v>0.43</v>
      </c>
      <c r="AC284">
        <v>217</v>
      </c>
      <c r="AD284">
        <v>4</v>
      </c>
    </row>
    <row r="285" spans="1:30" x14ac:dyDescent="0.55000000000000004">
      <c r="A285">
        <v>92449</v>
      </c>
      <c r="B285" s="19">
        <v>42161</v>
      </c>
      <c r="C285">
        <v>1555</v>
      </c>
      <c r="D285">
        <v>2015</v>
      </c>
      <c r="E285">
        <v>25</v>
      </c>
      <c r="F285">
        <v>580</v>
      </c>
      <c r="G285">
        <v>1</v>
      </c>
      <c r="H285">
        <v>178</v>
      </c>
      <c r="I285">
        <v>3</v>
      </c>
      <c r="J285">
        <v>4639.46</v>
      </c>
      <c r="K285">
        <v>8618.57</v>
      </c>
      <c r="L285">
        <v>4639.6899999999996</v>
      </c>
      <c r="M285">
        <v>8618.98</v>
      </c>
      <c r="N285">
        <v>46.657667000000004</v>
      </c>
      <c r="O285">
        <v>-86.3095</v>
      </c>
      <c r="P285">
        <v>46.661499999999997</v>
      </c>
      <c r="Q285">
        <v>-86.316333</v>
      </c>
      <c r="R285">
        <v>5623.3878450000002</v>
      </c>
      <c r="S285">
        <v>30.7</v>
      </c>
      <c r="T285">
        <v>38.200000000000003</v>
      </c>
      <c r="U285">
        <v>0.5</v>
      </c>
      <c r="V285">
        <v>2</v>
      </c>
      <c r="W285">
        <v>4.3</v>
      </c>
      <c r="X285">
        <v>3.8954499999999999</v>
      </c>
      <c r="Y285">
        <v>0.13514999999999999</v>
      </c>
      <c r="Z285">
        <v>83.258399999999995</v>
      </c>
      <c r="AA285">
        <v>10</v>
      </c>
      <c r="AB285">
        <v>0.4</v>
      </c>
      <c r="AC285">
        <v>0</v>
      </c>
      <c r="AD285">
        <v>0</v>
      </c>
    </row>
    <row r="286" spans="1:30" x14ac:dyDescent="0.55000000000000004">
      <c r="A286">
        <v>92450</v>
      </c>
      <c r="B286" s="19">
        <v>42161</v>
      </c>
      <c r="C286">
        <v>1555</v>
      </c>
      <c r="D286">
        <v>2015</v>
      </c>
      <c r="E286">
        <v>25</v>
      </c>
      <c r="F286">
        <v>581</v>
      </c>
      <c r="G286">
        <v>1</v>
      </c>
      <c r="H286">
        <v>178</v>
      </c>
      <c r="I286">
        <v>3</v>
      </c>
      <c r="J286">
        <v>4639.46</v>
      </c>
      <c r="K286">
        <v>8618.57</v>
      </c>
      <c r="L286">
        <v>4639.6899999999996</v>
      </c>
      <c r="M286">
        <v>8618.98</v>
      </c>
      <c r="N286">
        <v>46.657667000000004</v>
      </c>
      <c r="O286">
        <v>-86.3095</v>
      </c>
      <c r="P286">
        <v>46.661499999999997</v>
      </c>
      <c r="Q286">
        <v>-86.316333</v>
      </c>
      <c r="R286">
        <v>5623.3878450000002</v>
      </c>
      <c r="S286">
        <v>30.7</v>
      </c>
      <c r="T286">
        <v>38.200000000000003</v>
      </c>
      <c r="U286">
        <v>0.5</v>
      </c>
      <c r="V286">
        <v>2</v>
      </c>
      <c r="W286">
        <v>4.3</v>
      </c>
      <c r="X286">
        <v>3.8954499999999999</v>
      </c>
      <c r="Y286">
        <v>0.13514999999999999</v>
      </c>
      <c r="Z286">
        <v>83.258399999999995</v>
      </c>
      <c r="AA286">
        <v>10</v>
      </c>
      <c r="AB286">
        <v>0.4</v>
      </c>
      <c r="AC286">
        <v>0</v>
      </c>
      <c r="AD286">
        <v>0</v>
      </c>
    </row>
    <row r="287" spans="1:30" x14ac:dyDescent="0.55000000000000004">
      <c r="A287">
        <v>92452</v>
      </c>
      <c r="B287" s="19">
        <v>42162</v>
      </c>
      <c r="C287">
        <v>811</v>
      </c>
      <c r="D287">
        <v>2015</v>
      </c>
      <c r="E287">
        <v>25</v>
      </c>
      <c r="F287">
        <v>582</v>
      </c>
      <c r="G287">
        <v>1</v>
      </c>
      <c r="H287">
        <v>177</v>
      </c>
      <c r="I287">
        <v>3</v>
      </c>
      <c r="J287">
        <v>4643.57</v>
      </c>
      <c r="K287">
        <v>8546.1</v>
      </c>
      <c r="L287">
        <v>4643.9399999999996</v>
      </c>
      <c r="M287">
        <v>8546.11</v>
      </c>
      <c r="N287">
        <v>46.726166999999997</v>
      </c>
      <c r="O287">
        <v>-85.768332999999998</v>
      </c>
      <c r="P287">
        <v>46.732332999999997</v>
      </c>
      <c r="Q287">
        <v>-85.768500000000003</v>
      </c>
      <c r="R287">
        <v>4893.4349730000004</v>
      </c>
      <c r="S287">
        <v>20.2</v>
      </c>
      <c r="T287">
        <v>21.4</v>
      </c>
      <c r="U287">
        <v>0.5</v>
      </c>
      <c r="V287">
        <v>2</v>
      </c>
      <c r="W287">
        <v>5.3</v>
      </c>
      <c r="X287">
        <v>4.4859499999999999</v>
      </c>
      <c r="Y287">
        <v>0.56494999999999995</v>
      </c>
      <c r="Z287">
        <v>69.022649999999999</v>
      </c>
      <c r="AA287">
        <v>10</v>
      </c>
      <c r="AB287">
        <v>0.42</v>
      </c>
      <c r="AC287">
        <v>217</v>
      </c>
      <c r="AD287">
        <v>113</v>
      </c>
    </row>
    <row r="288" spans="1:30" x14ac:dyDescent="0.55000000000000004">
      <c r="A288">
        <v>92453</v>
      </c>
      <c r="B288" s="19">
        <v>42162</v>
      </c>
      <c r="C288">
        <v>811</v>
      </c>
      <c r="D288">
        <v>2015</v>
      </c>
      <c r="E288">
        <v>25</v>
      </c>
      <c r="F288">
        <v>583</v>
      </c>
      <c r="G288">
        <v>1</v>
      </c>
      <c r="H288">
        <v>177</v>
      </c>
      <c r="I288">
        <v>3</v>
      </c>
      <c r="J288">
        <v>4643.57</v>
      </c>
      <c r="K288">
        <v>8546.1</v>
      </c>
      <c r="L288">
        <v>4643.9399999999996</v>
      </c>
      <c r="M288">
        <v>8546.11</v>
      </c>
      <c r="N288">
        <v>46.726166999999997</v>
      </c>
      <c r="O288">
        <v>-85.768332999999998</v>
      </c>
      <c r="P288">
        <v>46.732332999999997</v>
      </c>
      <c r="Q288">
        <v>-85.768500000000003</v>
      </c>
      <c r="R288">
        <v>4893.4349730000004</v>
      </c>
      <c r="S288">
        <v>20.2</v>
      </c>
      <c r="T288">
        <v>21.4</v>
      </c>
      <c r="U288">
        <v>0.5</v>
      </c>
      <c r="V288">
        <v>2</v>
      </c>
      <c r="W288">
        <v>5.3</v>
      </c>
      <c r="X288">
        <v>4.4859499999999999</v>
      </c>
      <c r="Y288">
        <v>0.56494999999999995</v>
      </c>
      <c r="Z288">
        <v>69.022649999999999</v>
      </c>
      <c r="AA288">
        <v>10</v>
      </c>
      <c r="AB288">
        <v>0.42</v>
      </c>
      <c r="AC288">
        <v>217</v>
      </c>
      <c r="AD288">
        <v>111</v>
      </c>
    </row>
    <row r="289" spans="1:30" x14ac:dyDescent="0.55000000000000004">
      <c r="A289">
        <v>92455</v>
      </c>
      <c r="B289" s="19">
        <v>42162</v>
      </c>
      <c r="C289">
        <v>1119</v>
      </c>
      <c r="D289">
        <v>2015</v>
      </c>
      <c r="E289">
        <v>25</v>
      </c>
      <c r="F289">
        <v>584</v>
      </c>
      <c r="G289">
        <v>1</v>
      </c>
      <c r="H289">
        <v>176</v>
      </c>
      <c r="I289">
        <v>3</v>
      </c>
      <c r="J289">
        <v>4646.54</v>
      </c>
      <c r="K289">
        <v>8519.08</v>
      </c>
      <c r="L289">
        <v>4646.92</v>
      </c>
      <c r="M289">
        <v>8519.33</v>
      </c>
      <c r="N289">
        <v>46.775666999999999</v>
      </c>
      <c r="O289">
        <v>-85.317999999999998</v>
      </c>
      <c r="P289">
        <v>46.781999999999996</v>
      </c>
      <c r="Q289">
        <v>-85.322166999999993</v>
      </c>
      <c r="R289">
        <v>5180.0277290000004</v>
      </c>
      <c r="S289">
        <v>21.6</v>
      </c>
      <c r="T289">
        <v>39.799999999999997</v>
      </c>
      <c r="U289">
        <v>0.5</v>
      </c>
      <c r="V289">
        <v>2</v>
      </c>
      <c r="W289">
        <v>4.7</v>
      </c>
      <c r="X289">
        <v>4.9826499999999996</v>
      </c>
      <c r="Y289">
        <v>0.18095</v>
      </c>
      <c r="Z289">
        <v>36.028149999999997</v>
      </c>
      <c r="AA289">
        <v>10</v>
      </c>
      <c r="AB289">
        <v>0.45</v>
      </c>
      <c r="AC289">
        <v>217</v>
      </c>
      <c r="AD289">
        <v>16</v>
      </c>
    </row>
    <row r="290" spans="1:30" x14ac:dyDescent="0.55000000000000004">
      <c r="A290">
        <v>92456</v>
      </c>
      <c r="B290" s="19">
        <v>42162</v>
      </c>
      <c r="C290">
        <v>1119</v>
      </c>
      <c r="D290">
        <v>2015</v>
      </c>
      <c r="E290">
        <v>25</v>
      </c>
      <c r="F290">
        <v>585</v>
      </c>
      <c r="G290">
        <v>1</v>
      </c>
      <c r="H290">
        <v>176</v>
      </c>
      <c r="I290">
        <v>3</v>
      </c>
      <c r="J290">
        <v>4646.54</v>
      </c>
      <c r="K290">
        <v>8519.08</v>
      </c>
      <c r="L290">
        <v>4646.92</v>
      </c>
      <c r="M290">
        <v>8519.33</v>
      </c>
      <c r="N290">
        <v>46.775666999999999</v>
      </c>
      <c r="O290">
        <v>-85.317999999999998</v>
      </c>
      <c r="P290">
        <v>46.781999999999996</v>
      </c>
      <c r="Q290">
        <v>-85.322166999999993</v>
      </c>
      <c r="R290">
        <v>5180.0277290000004</v>
      </c>
      <c r="S290">
        <v>21.6</v>
      </c>
      <c r="T290">
        <v>39.799999999999997</v>
      </c>
      <c r="U290">
        <v>0.5</v>
      </c>
      <c r="V290">
        <v>2</v>
      </c>
      <c r="W290">
        <v>4.7</v>
      </c>
      <c r="X290">
        <v>4.9826499999999996</v>
      </c>
      <c r="Y290">
        <v>0.18095</v>
      </c>
      <c r="Z290">
        <v>36.028149999999997</v>
      </c>
      <c r="AA290">
        <v>10</v>
      </c>
      <c r="AB290">
        <v>0.45</v>
      </c>
      <c r="AC290">
        <v>217</v>
      </c>
      <c r="AD290">
        <v>6</v>
      </c>
    </row>
    <row r="291" spans="1:30" x14ac:dyDescent="0.55000000000000004">
      <c r="A291">
        <v>92459</v>
      </c>
      <c r="B291" s="19">
        <v>42162</v>
      </c>
      <c r="C291">
        <v>1526</v>
      </c>
      <c r="D291">
        <v>2015</v>
      </c>
      <c r="E291">
        <v>25</v>
      </c>
      <c r="F291">
        <v>586</v>
      </c>
      <c r="G291">
        <v>1</v>
      </c>
      <c r="H291">
        <v>175</v>
      </c>
      <c r="I291">
        <v>3</v>
      </c>
      <c r="J291">
        <v>4644.95</v>
      </c>
      <c r="K291">
        <v>8456.84</v>
      </c>
      <c r="L291">
        <v>4645.29</v>
      </c>
      <c r="M291">
        <v>8457.1299999999992</v>
      </c>
      <c r="N291">
        <v>46.749167</v>
      </c>
      <c r="O291">
        <v>-84.947333</v>
      </c>
      <c r="P291">
        <v>46.754832999999998</v>
      </c>
      <c r="Q291">
        <v>-84.952167000000003</v>
      </c>
      <c r="R291">
        <v>1824.613143</v>
      </c>
      <c r="S291">
        <v>51.4</v>
      </c>
      <c r="T291">
        <v>40.200000000000003</v>
      </c>
      <c r="U291">
        <v>0.5</v>
      </c>
      <c r="V291">
        <v>2</v>
      </c>
      <c r="W291">
        <v>5.4</v>
      </c>
      <c r="X291">
        <v>5.1363500000000002</v>
      </c>
      <c r="Y291">
        <v>0.3226</v>
      </c>
      <c r="Z291">
        <v>64.189800000000005</v>
      </c>
      <c r="AA291">
        <v>10</v>
      </c>
      <c r="AB291">
        <v>0.42</v>
      </c>
      <c r="AC291">
        <v>217</v>
      </c>
      <c r="AD291">
        <v>5</v>
      </c>
    </row>
    <row r="292" spans="1:30" x14ac:dyDescent="0.55000000000000004">
      <c r="A292">
        <v>92460</v>
      </c>
      <c r="B292" s="19">
        <v>42162</v>
      </c>
      <c r="C292">
        <v>1526</v>
      </c>
      <c r="D292">
        <v>2015</v>
      </c>
      <c r="E292">
        <v>25</v>
      </c>
      <c r="F292">
        <v>587</v>
      </c>
      <c r="G292">
        <v>1</v>
      </c>
      <c r="H292">
        <v>175</v>
      </c>
      <c r="I292">
        <v>3</v>
      </c>
      <c r="J292">
        <v>4644.95</v>
      </c>
      <c r="K292">
        <v>8456.84</v>
      </c>
      <c r="L292">
        <v>4645.29</v>
      </c>
      <c r="M292">
        <v>8457.1299999999992</v>
      </c>
      <c r="N292">
        <v>46.749167</v>
      </c>
      <c r="O292">
        <v>-84.947333</v>
      </c>
      <c r="P292">
        <v>46.754832999999998</v>
      </c>
      <c r="Q292">
        <v>-84.952167000000003</v>
      </c>
      <c r="R292">
        <v>1824.613143</v>
      </c>
      <c r="S292">
        <v>51.4</v>
      </c>
      <c r="T292">
        <v>40.200000000000003</v>
      </c>
      <c r="U292">
        <v>0.5</v>
      </c>
      <c r="V292">
        <v>2</v>
      </c>
      <c r="W292">
        <v>5.4</v>
      </c>
      <c r="X292">
        <v>5.1363500000000002</v>
      </c>
      <c r="Y292">
        <v>0.3226</v>
      </c>
      <c r="Z292">
        <v>64.189800000000005</v>
      </c>
      <c r="AA292">
        <v>10</v>
      </c>
      <c r="AB292">
        <v>0.42</v>
      </c>
      <c r="AC292">
        <v>217</v>
      </c>
      <c r="AD292">
        <v>4</v>
      </c>
    </row>
    <row r="293" spans="1:30" x14ac:dyDescent="0.55000000000000004">
      <c r="A293">
        <v>92461</v>
      </c>
      <c r="B293" s="19">
        <v>42163</v>
      </c>
      <c r="C293">
        <v>1017</v>
      </c>
      <c r="D293">
        <v>2015</v>
      </c>
      <c r="E293">
        <v>25</v>
      </c>
      <c r="F293">
        <v>588</v>
      </c>
      <c r="G293">
        <v>1</v>
      </c>
      <c r="H293">
        <v>194</v>
      </c>
      <c r="I293">
        <v>3</v>
      </c>
      <c r="J293">
        <v>4637.6400000000003</v>
      </c>
      <c r="K293">
        <v>8452.98</v>
      </c>
      <c r="L293">
        <v>4637.53</v>
      </c>
      <c r="M293">
        <v>8452.48</v>
      </c>
      <c r="N293">
        <v>46.627333</v>
      </c>
      <c r="O293">
        <v>-84.882999999999996</v>
      </c>
      <c r="P293">
        <v>46.625500000000002</v>
      </c>
      <c r="Q293">
        <v>-84.874667000000002</v>
      </c>
      <c r="R293">
        <v>10597.364310000001</v>
      </c>
      <c r="S293">
        <v>100</v>
      </c>
      <c r="T293">
        <v>76.3</v>
      </c>
      <c r="U293">
        <v>0.5</v>
      </c>
      <c r="V293">
        <v>2</v>
      </c>
      <c r="W293">
        <v>4.5</v>
      </c>
      <c r="X293">
        <v>4.3935000000000004</v>
      </c>
      <c r="Y293">
        <v>0.2457</v>
      </c>
      <c r="Z293">
        <v>86.759</v>
      </c>
      <c r="AA293">
        <v>10</v>
      </c>
      <c r="AB293">
        <v>0.42</v>
      </c>
      <c r="AC293">
        <v>217</v>
      </c>
      <c r="AD293">
        <v>2</v>
      </c>
    </row>
    <row r="294" spans="1:30" x14ac:dyDescent="0.55000000000000004">
      <c r="A294">
        <v>92462</v>
      </c>
      <c r="B294" s="19">
        <v>42163</v>
      </c>
      <c r="C294">
        <v>1017</v>
      </c>
      <c r="D294">
        <v>2015</v>
      </c>
      <c r="E294">
        <v>25</v>
      </c>
      <c r="F294">
        <v>589</v>
      </c>
      <c r="G294">
        <v>1</v>
      </c>
      <c r="H294">
        <v>194</v>
      </c>
      <c r="I294">
        <v>3</v>
      </c>
      <c r="J294">
        <v>4637.6400000000003</v>
      </c>
      <c r="K294">
        <v>8452.98</v>
      </c>
      <c r="L294">
        <v>4637.53</v>
      </c>
      <c r="M294">
        <v>8452.48</v>
      </c>
      <c r="N294">
        <v>46.627333</v>
      </c>
      <c r="O294">
        <v>-84.882999999999996</v>
      </c>
      <c r="P294">
        <v>46.625500000000002</v>
      </c>
      <c r="Q294">
        <v>-84.874667000000002</v>
      </c>
      <c r="R294">
        <v>10597.364310000001</v>
      </c>
      <c r="S294">
        <v>100</v>
      </c>
      <c r="T294">
        <v>76.3</v>
      </c>
      <c r="U294">
        <v>0.5</v>
      </c>
      <c r="V294">
        <v>2</v>
      </c>
      <c r="W294">
        <v>4.5</v>
      </c>
      <c r="X294">
        <v>4.3935000000000004</v>
      </c>
      <c r="Y294">
        <v>0.2457</v>
      </c>
      <c r="Z294">
        <v>86.759</v>
      </c>
      <c r="AA294">
        <v>10</v>
      </c>
      <c r="AB294">
        <v>0.42</v>
      </c>
      <c r="AC294">
        <v>0</v>
      </c>
      <c r="AD294">
        <v>0</v>
      </c>
    </row>
    <row r="295" spans="1:30" x14ac:dyDescent="0.55000000000000004">
      <c r="A295">
        <v>92463</v>
      </c>
      <c r="B295" s="19">
        <v>42163</v>
      </c>
      <c r="C295">
        <v>1110</v>
      </c>
      <c r="D295">
        <v>2015</v>
      </c>
      <c r="E295">
        <v>25</v>
      </c>
      <c r="F295">
        <v>590</v>
      </c>
      <c r="G295">
        <v>1</v>
      </c>
      <c r="H295">
        <v>79</v>
      </c>
      <c r="I295">
        <v>3</v>
      </c>
      <c r="J295">
        <v>4633.8500000000004</v>
      </c>
      <c r="K295">
        <v>8453.15</v>
      </c>
      <c r="L295">
        <v>4633.92</v>
      </c>
      <c r="M295">
        <v>8452.61</v>
      </c>
      <c r="N295">
        <v>46.564166999999998</v>
      </c>
      <c r="O295">
        <v>-84.885833000000005</v>
      </c>
      <c r="P295">
        <v>46.565333000000003</v>
      </c>
      <c r="Q295">
        <v>-84.876833000000005</v>
      </c>
      <c r="R295">
        <v>9346.6455089999999</v>
      </c>
      <c r="S295">
        <v>19.7</v>
      </c>
      <c r="T295">
        <v>40</v>
      </c>
      <c r="U295">
        <v>0.5</v>
      </c>
      <c r="V295">
        <v>2</v>
      </c>
      <c r="W295">
        <v>4</v>
      </c>
      <c r="X295">
        <v>4.0307500000000003</v>
      </c>
      <c r="Y295">
        <v>0.2215</v>
      </c>
      <c r="Z295">
        <v>79.92295</v>
      </c>
      <c r="AA295">
        <v>10</v>
      </c>
      <c r="AB295">
        <v>0.42</v>
      </c>
      <c r="AC295">
        <v>217</v>
      </c>
      <c r="AD295">
        <v>2</v>
      </c>
    </row>
    <row r="296" spans="1:30" x14ac:dyDescent="0.55000000000000004">
      <c r="A296">
        <v>92465</v>
      </c>
      <c r="B296" s="19">
        <v>42163</v>
      </c>
      <c r="C296">
        <v>1235</v>
      </c>
      <c r="D296">
        <v>2015</v>
      </c>
      <c r="E296">
        <v>25</v>
      </c>
      <c r="F296">
        <v>592</v>
      </c>
      <c r="G296">
        <v>1</v>
      </c>
      <c r="H296">
        <v>193</v>
      </c>
      <c r="I296">
        <v>3</v>
      </c>
      <c r="J296">
        <v>4630.34</v>
      </c>
      <c r="K296">
        <v>8452.2999999999993</v>
      </c>
      <c r="L296">
        <v>4630.6499999999996</v>
      </c>
      <c r="M296">
        <v>8452.0300000000007</v>
      </c>
      <c r="N296">
        <v>46.505667000000003</v>
      </c>
      <c r="O296">
        <v>-84.871667000000002</v>
      </c>
      <c r="P296">
        <v>46.510832999999998</v>
      </c>
      <c r="Q296">
        <v>-84.867166999999995</v>
      </c>
      <c r="R296">
        <v>4531.7732919999999</v>
      </c>
      <c r="S296">
        <v>23.7</v>
      </c>
      <c r="T296">
        <v>33.700000000000003</v>
      </c>
      <c r="U296">
        <v>0.5</v>
      </c>
      <c r="V296">
        <v>2</v>
      </c>
      <c r="W296">
        <v>3.8</v>
      </c>
      <c r="X296">
        <v>3.9896500000000001</v>
      </c>
      <c r="Y296">
        <v>0.23605000000000001</v>
      </c>
      <c r="Z296">
        <v>86.937550000000002</v>
      </c>
      <c r="AA296">
        <v>10</v>
      </c>
      <c r="AB296">
        <v>0.42</v>
      </c>
      <c r="AC296">
        <v>0</v>
      </c>
      <c r="AD296">
        <v>0</v>
      </c>
    </row>
    <row r="297" spans="1:30" x14ac:dyDescent="0.55000000000000004">
      <c r="A297">
        <v>92466</v>
      </c>
      <c r="B297" s="19">
        <v>42163</v>
      </c>
      <c r="C297">
        <v>1235</v>
      </c>
      <c r="D297">
        <v>2015</v>
      </c>
      <c r="E297">
        <v>25</v>
      </c>
      <c r="F297">
        <v>593</v>
      </c>
      <c r="G297">
        <v>1</v>
      </c>
      <c r="H297">
        <v>193</v>
      </c>
      <c r="I297">
        <v>3</v>
      </c>
      <c r="J297">
        <v>4630.34</v>
      </c>
      <c r="K297">
        <v>8452.2999999999993</v>
      </c>
      <c r="L297">
        <v>4630.6499999999996</v>
      </c>
      <c r="M297">
        <v>8452.0300000000007</v>
      </c>
      <c r="N297">
        <v>46.505667000000003</v>
      </c>
      <c r="O297">
        <v>-84.871667000000002</v>
      </c>
      <c r="P297">
        <v>46.510832999999998</v>
      </c>
      <c r="Q297">
        <v>-84.867166999999995</v>
      </c>
      <c r="R297">
        <v>4531.7732919999999</v>
      </c>
      <c r="S297">
        <v>23.7</v>
      </c>
      <c r="T297">
        <v>33.700000000000003</v>
      </c>
      <c r="U297">
        <v>0.5</v>
      </c>
      <c r="V297">
        <v>2</v>
      </c>
      <c r="W297">
        <v>3.8</v>
      </c>
      <c r="X297">
        <v>3.9896500000000001</v>
      </c>
      <c r="Y297">
        <v>0.23605000000000001</v>
      </c>
      <c r="Z297">
        <v>86.937550000000002</v>
      </c>
      <c r="AA297">
        <v>10</v>
      </c>
      <c r="AB297">
        <v>0.42</v>
      </c>
      <c r="AC297">
        <v>0</v>
      </c>
      <c r="AD297">
        <v>0</v>
      </c>
    </row>
    <row r="298" spans="1:30" x14ac:dyDescent="0.55000000000000004">
      <c r="A298">
        <v>92469</v>
      </c>
      <c r="B298" s="19">
        <v>42165</v>
      </c>
      <c r="C298">
        <v>1003</v>
      </c>
      <c r="D298">
        <v>2015</v>
      </c>
      <c r="E298">
        <v>25</v>
      </c>
      <c r="F298">
        <v>594</v>
      </c>
      <c r="G298">
        <v>1</v>
      </c>
      <c r="H298">
        <v>460</v>
      </c>
      <c r="I298">
        <v>3</v>
      </c>
      <c r="J298">
        <v>4640.6400000000003</v>
      </c>
      <c r="K298">
        <v>8433.5400000000009</v>
      </c>
      <c r="L298">
        <v>4640.32</v>
      </c>
      <c r="M298">
        <v>8433.8799999999992</v>
      </c>
      <c r="N298">
        <v>46.677332999999997</v>
      </c>
      <c r="O298">
        <v>-84.558999999999997</v>
      </c>
      <c r="P298">
        <v>46.671999999999997</v>
      </c>
      <c r="Q298">
        <v>-84.564667</v>
      </c>
      <c r="R298">
        <v>632.35152389999996</v>
      </c>
      <c r="S298">
        <v>18.899999999999999</v>
      </c>
      <c r="T298">
        <v>31.3</v>
      </c>
      <c r="U298">
        <v>0.5</v>
      </c>
      <c r="V298">
        <v>2</v>
      </c>
      <c r="W298">
        <v>9.6999999999999993</v>
      </c>
      <c r="X298">
        <v>8.6115999999999993</v>
      </c>
      <c r="Y298">
        <v>0.7016</v>
      </c>
      <c r="Z298">
        <v>77.566950000000006</v>
      </c>
      <c r="AA298">
        <v>10</v>
      </c>
      <c r="AB298">
        <v>0.42</v>
      </c>
      <c r="AC298">
        <v>217</v>
      </c>
      <c r="AD298">
        <v>3</v>
      </c>
    </row>
    <row r="299" spans="1:30" x14ac:dyDescent="0.55000000000000004">
      <c r="A299">
        <v>92470</v>
      </c>
      <c r="B299" s="19">
        <v>42165</v>
      </c>
      <c r="C299">
        <v>1003</v>
      </c>
      <c r="D299">
        <v>2015</v>
      </c>
      <c r="E299">
        <v>25</v>
      </c>
      <c r="F299">
        <v>595</v>
      </c>
      <c r="G299">
        <v>1</v>
      </c>
      <c r="H299">
        <v>460</v>
      </c>
      <c r="I299">
        <v>3</v>
      </c>
      <c r="J299">
        <v>4640.6400000000003</v>
      </c>
      <c r="K299">
        <v>8433.5400000000009</v>
      </c>
      <c r="L299">
        <v>4640.32</v>
      </c>
      <c r="M299">
        <v>8433.8799999999992</v>
      </c>
      <c r="N299">
        <v>46.677332999999997</v>
      </c>
      <c r="O299">
        <v>-84.558999999999997</v>
      </c>
      <c r="P299">
        <v>46.671999999999997</v>
      </c>
      <c r="Q299">
        <v>-84.564667</v>
      </c>
      <c r="R299">
        <v>632.35152389999996</v>
      </c>
      <c r="S299">
        <v>18.899999999999999</v>
      </c>
      <c r="T299">
        <v>31.3</v>
      </c>
      <c r="U299">
        <v>0.5</v>
      </c>
      <c r="V299">
        <v>2</v>
      </c>
      <c r="W299">
        <v>9.6999999999999993</v>
      </c>
      <c r="X299">
        <v>8.6115999999999993</v>
      </c>
      <c r="Y299">
        <v>0.7016</v>
      </c>
      <c r="Z299">
        <v>77.566950000000006</v>
      </c>
      <c r="AA299">
        <v>10</v>
      </c>
      <c r="AB299">
        <v>0.42</v>
      </c>
      <c r="AC299">
        <v>217</v>
      </c>
      <c r="AD299">
        <v>1</v>
      </c>
    </row>
    <row r="300" spans="1:30" x14ac:dyDescent="0.55000000000000004">
      <c r="A300">
        <v>92471</v>
      </c>
      <c r="B300" s="19">
        <v>42165</v>
      </c>
      <c r="C300">
        <v>1129</v>
      </c>
      <c r="D300">
        <v>2015</v>
      </c>
      <c r="E300">
        <v>25</v>
      </c>
      <c r="F300">
        <v>596</v>
      </c>
      <c r="G300">
        <v>1</v>
      </c>
      <c r="H300">
        <v>459</v>
      </c>
      <c r="I300">
        <v>3</v>
      </c>
      <c r="J300">
        <v>4646.32</v>
      </c>
      <c r="K300">
        <v>8435.6</v>
      </c>
      <c r="L300">
        <v>4646.22</v>
      </c>
      <c r="M300">
        <v>8436.1</v>
      </c>
      <c r="N300">
        <v>46.771999999999998</v>
      </c>
      <c r="O300">
        <v>-84.593333000000001</v>
      </c>
      <c r="P300">
        <v>46.770333000000001</v>
      </c>
      <c r="Q300">
        <v>-84.601667000000006</v>
      </c>
      <c r="R300">
        <v>2748.0519340000001</v>
      </c>
      <c r="S300">
        <v>18.2</v>
      </c>
      <c r="T300">
        <v>25.9</v>
      </c>
      <c r="U300">
        <v>0.5</v>
      </c>
      <c r="V300">
        <v>2</v>
      </c>
      <c r="W300">
        <v>7.2</v>
      </c>
      <c r="X300">
        <v>6.7468000000000004</v>
      </c>
      <c r="Y300">
        <v>2.1299999999999999E-2</v>
      </c>
      <c r="Z300">
        <v>51.710299999999997</v>
      </c>
      <c r="AA300">
        <v>10</v>
      </c>
      <c r="AB300">
        <v>0.4</v>
      </c>
      <c r="AC300">
        <v>217</v>
      </c>
      <c r="AD300">
        <v>5</v>
      </c>
    </row>
    <row r="301" spans="1:30" x14ac:dyDescent="0.55000000000000004">
      <c r="A301">
        <v>92472</v>
      </c>
      <c r="B301" s="19">
        <v>42165</v>
      </c>
      <c r="C301">
        <v>1129</v>
      </c>
      <c r="D301">
        <v>2015</v>
      </c>
      <c r="E301">
        <v>25</v>
      </c>
      <c r="F301">
        <v>597</v>
      </c>
      <c r="G301">
        <v>1</v>
      </c>
      <c r="H301">
        <v>459</v>
      </c>
      <c r="I301">
        <v>3</v>
      </c>
      <c r="J301">
        <v>4646.32</v>
      </c>
      <c r="K301">
        <v>8435.6</v>
      </c>
      <c r="L301">
        <v>4646.22</v>
      </c>
      <c r="M301">
        <v>8436.1</v>
      </c>
      <c r="N301">
        <v>46.771999999999998</v>
      </c>
      <c r="O301">
        <v>-84.593333000000001</v>
      </c>
      <c r="P301">
        <v>46.770333000000001</v>
      </c>
      <c r="Q301">
        <v>-84.601667000000006</v>
      </c>
      <c r="R301">
        <v>2748.0519340000001</v>
      </c>
      <c r="S301">
        <v>18.2</v>
      </c>
      <c r="T301">
        <v>25.9</v>
      </c>
      <c r="U301">
        <v>0.5</v>
      </c>
      <c r="V301">
        <v>2</v>
      </c>
      <c r="W301">
        <v>7.2</v>
      </c>
      <c r="X301">
        <v>6.7468000000000004</v>
      </c>
      <c r="Y301">
        <v>2.1299999999999999E-2</v>
      </c>
      <c r="Z301">
        <v>51.710299999999997</v>
      </c>
      <c r="AA301">
        <v>10</v>
      </c>
      <c r="AB301">
        <v>0.4</v>
      </c>
      <c r="AC301">
        <v>217</v>
      </c>
      <c r="AD301">
        <v>2</v>
      </c>
    </row>
    <row r="302" spans="1:30" x14ac:dyDescent="0.55000000000000004">
      <c r="A302">
        <v>92474</v>
      </c>
      <c r="B302" s="19">
        <v>42165</v>
      </c>
      <c r="C302">
        <v>1404</v>
      </c>
      <c r="D302">
        <v>2015</v>
      </c>
      <c r="E302">
        <v>25</v>
      </c>
      <c r="F302">
        <v>598</v>
      </c>
      <c r="G302">
        <v>1</v>
      </c>
      <c r="H302">
        <v>461</v>
      </c>
      <c r="I302">
        <v>3</v>
      </c>
      <c r="J302">
        <v>4656.5600000000004</v>
      </c>
      <c r="K302">
        <v>8443.61</v>
      </c>
      <c r="L302">
        <v>4656.1899999999996</v>
      </c>
      <c r="M302">
        <v>8443.65</v>
      </c>
      <c r="N302">
        <v>46.942667</v>
      </c>
      <c r="O302">
        <v>-84.726832999999999</v>
      </c>
      <c r="P302">
        <v>46.936500000000002</v>
      </c>
      <c r="Q302">
        <v>-84.727500000000006</v>
      </c>
      <c r="R302">
        <v>740.19289609999998</v>
      </c>
      <c r="S302">
        <v>54</v>
      </c>
      <c r="T302">
        <v>69.7</v>
      </c>
      <c r="U302">
        <v>0.5</v>
      </c>
      <c r="V302">
        <v>2</v>
      </c>
      <c r="W302">
        <v>5</v>
      </c>
      <c r="X302">
        <v>4.4143999999999997</v>
      </c>
      <c r="Y302">
        <v>6.3500000000000001E-2</v>
      </c>
      <c r="Z302">
        <v>47.480449999999998</v>
      </c>
      <c r="AA302">
        <v>10</v>
      </c>
      <c r="AB302">
        <v>0.42</v>
      </c>
      <c r="AC302">
        <v>217</v>
      </c>
      <c r="AD302">
        <v>2</v>
      </c>
    </row>
    <row r="303" spans="1:30" x14ac:dyDescent="0.55000000000000004">
      <c r="A303">
        <v>92475</v>
      </c>
      <c r="B303" s="19">
        <v>42165</v>
      </c>
      <c r="C303">
        <v>1404</v>
      </c>
      <c r="D303">
        <v>2015</v>
      </c>
      <c r="E303">
        <v>25</v>
      </c>
      <c r="F303">
        <v>599</v>
      </c>
      <c r="G303">
        <v>1</v>
      </c>
      <c r="H303">
        <v>461</v>
      </c>
      <c r="I303">
        <v>3</v>
      </c>
      <c r="J303">
        <v>4656.5600000000004</v>
      </c>
      <c r="K303">
        <v>8443.61</v>
      </c>
      <c r="L303">
        <v>4656.1899999999996</v>
      </c>
      <c r="M303">
        <v>8443.65</v>
      </c>
      <c r="N303">
        <v>46.942667</v>
      </c>
      <c r="O303">
        <v>-84.726832999999999</v>
      </c>
      <c r="P303">
        <v>46.936500000000002</v>
      </c>
      <c r="Q303">
        <v>-84.727500000000006</v>
      </c>
      <c r="R303">
        <v>740.19289609999998</v>
      </c>
      <c r="S303">
        <v>54</v>
      </c>
      <c r="T303">
        <v>69.7</v>
      </c>
      <c r="U303">
        <v>0.5</v>
      </c>
      <c r="V303">
        <v>2</v>
      </c>
      <c r="W303">
        <v>5</v>
      </c>
      <c r="X303">
        <v>4.4143999999999997</v>
      </c>
      <c r="Y303">
        <v>6.3500000000000001E-2</v>
      </c>
      <c r="Z303">
        <v>47.480449999999998</v>
      </c>
      <c r="AA303">
        <v>10</v>
      </c>
      <c r="AB303">
        <v>0.42</v>
      </c>
      <c r="AC303">
        <v>217</v>
      </c>
      <c r="AD303">
        <v>3</v>
      </c>
    </row>
    <row r="304" spans="1:30" x14ac:dyDescent="0.55000000000000004">
      <c r="A304">
        <v>92477</v>
      </c>
      <c r="B304" s="19">
        <v>42165</v>
      </c>
      <c r="C304">
        <v>1630</v>
      </c>
      <c r="D304">
        <v>2015</v>
      </c>
      <c r="E304">
        <v>25</v>
      </c>
      <c r="F304">
        <v>600</v>
      </c>
      <c r="G304">
        <v>1</v>
      </c>
      <c r="H304">
        <v>457</v>
      </c>
      <c r="I304">
        <v>3</v>
      </c>
      <c r="J304">
        <v>4709.8900000000003</v>
      </c>
      <c r="K304">
        <v>8443.2999999999993</v>
      </c>
      <c r="L304">
        <v>4709.8500000000004</v>
      </c>
      <c r="M304">
        <v>8442.7099999999991</v>
      </c>
      <c r="N304">
        <v>47.164833000000002</v>
      </c>
      <c r="O304">
        <v>-84.721666999999997</v>
      </c>
      <c r="P304">
        <v>47.164166999999999</v>
      </c>
      <c r="Q304">
        <v>-84.711832999999999</v>
      </c>
      <c r="R304">
        <v>404.23685260000002</v>
      </c>
      <c r="S304">
        <v>169</v>
      </c>
      <c r="T304">
        <v>67.099999999999994</v>
      </c>
      <c r="U304">
        <v>0.5</v>
      </c>
      <c r="V304">
        <v>2</v>
      </c>
      <c r="W304">
        <v>1.7</v>
      </c>
      <c r="X304">
        <v>2.4188499999999999</v>
      </c>
      <c r="Y304">
        <v>1.0149999999999999E-2</v>
      </c>
      <c r="Z304">
        <v>67.531850000000006</v>
      </c>
      <c r="AA304">
        <v>10</v>
      </c>
      <c r="AB304">
        <v>0.42</v>
      </c>
      <c r="AC304">
        <v>0</v>
      </c>
      <c r="AD304">
        <v>0</v>
      </c>
    </row>
    <row r="305" spans="1:30" x14ac:dyDescent="0.55000000000000004">
      <c r="A305">
        <v>92478</v>
      </c>
      <c r="B305" s="19">
        <v>42165</v>
      </c>
      <c r="C305">
        <v>1630</v>
      </c>
      <c r="D305">
        <v>2015</v>
      </c>
      <c r="E305">
        <v>25</v>
      </c>
      <c r="F305">
        <v>601</v>
      </c>
      <c r="G305">
        <v>1</v>
      </c>
      <c r="H305">
        <v>457</v>
      </c>
      <c r="I305">
        <v>3</v>
      </c>
      <c r="J305">
        <v>4709.8900000000003</v>
      </c>
      <c r="K305">
        <v>8443.2999999999993</v>
      </c>
      <c r="L305">
        <v>4709.8500000000004</v>
      </c>
      <c r="M305">
        <v>8442.7099999999991</v>
      </c>
      <c r="N305">
        <v>47.164833000000002</v>
      </c>
      <c r="O305">
        <v>-84.721666999999997</v>
      </c>
      <c r="P305">
        <v>47.164166999999999</v>
      </c>
      <c r="Q305">
        <v>-84.711832999999999</v>
      </c>
      <c r="R305">
        <v>404.23685260000002</v>
      </c>
      <c r="S305">
        <v>169</v>
      </c>
      <c r="T305">
        <v>67.099999999999994</v>
      </c>
      <c r="U305">
        <v>0.5</v>
      </c>
      <c r="V305">
        <v>2</v>
      </c>
      <c r="W305">
        <v>1.7</v>
      </c>
      <c r="X305">
        <v>2.4188499999999999</v>
      </c>
      <c r="Y305">
        <v>1.0149999999999999E-2</v>
      </c>
      <c r="Z305">
        <v>67.531850000000006</v>
      </c>
      <c r="AA305">
        <v>10</v>
      </c>
      <c r="AB305">
        <v>0.42</v>
      </c>
      <c r="AC305">
        <v>217</v>
      </c>
      <c r="AD305">
        <v>1</v>
      </c>
    </row>
    <row r="306" spans="1:30" x14ac:dyDescent="0.55000000000000004">
      <c r="A306">
        <v>92480</v>
      </c>
      <c r="B306" s="19">
        <v>42166</v>
      </c>
      <c r="C306">
        <v>737</v>
      </c>
      <c r="D306">
        <v>2015</v>
      </c>
      <c r="E306">
        <v>25</v>
      </c>
      <c r="F306">
        <v>602</v>
      </c>
      <c r="G306">
        <v>1</v>
      </c>
      <c r="H306">
        <v>456</v>
      </c>
      <c r="I306">
        <v>3</v>
      </c>
      <c r="J306">
        <v>4719.04</v>
      </c>
      <c r="K306">
        <v>8438.75</v>
      </c>
      <c r="L306">
        <v>4718.87</v>
      </c>
      <c r="M306">
        <v>8439.2199999999993</v>
      </c>
      <c r="N306">
        <v>47.317332999999998</v>
      </c>
      <c r="O306">
        <v>-84.645832999999996</v>
      </c>
      <c r="P306">
        <v>47.314500000000002</v>
      </c>
      <c r="Q306">
        <v>-84.653666999999999</v>
      </c>
      <c r="R306">
        <v>2445.814742</v>
      </c>
      <c r="S306">
        <v>24.5</v>
      </c>
      <c r="T306">
        <v>43.7</v>
      </c>
      <c r="U306">
        <v>0.5</v>
      </c>
      <c r="V306">
        <v>2</v>
      </c>
      <c r="W306">
        <v>2.7</v>
      </c>
      <c r="X306">
        <v>2.7551999999999999</v>
      </c>
      <c r="Y306">
        <v>0.60594999999999999</v>
      </c>
      <c r="Z306">
        <v>77.744050000000001</v>
      </c>
      <c r="AA306">
        <v>10</v>
      </c>
      <c r="AB306">
        <v>0.42</v>
      </c>
      <c r="AC306">
        <v>217</v>
      </c>
      <c r="AD306">
        <v>5</v>
      </c>
    </row>
    <row r="307" spans="1:30" x14ac:dyDescent="0.55000000000000004">
      <c r="A307">
        <v>92481</v>
      </c>
      <c r="B307" s="19">
        <v>42166</v>
      </c>
      <c r="C307">
        <v>737</v>
      </c>
      <c r="D307">
        <v>2015</v>
      </c>
      <c r="E307">
        <v>25</v>
      </c>
      <c r="F307">
        <v>603</v>
      </c>
      <c r="G307">
        <v>1</v>
      </c>
      <c r="H307">
        <v>456</v>
      </c>
      <c r="I307">
        <v>3</v>
      </c>
      <c r="J307">
        <v>4719.04</v>
      </c>
      <c r="K307">
        <v>8438.75</v>
      </c>
      <c r="L307">
        <v>4718.87</v>
      </c>
      <c r="M307">
        <v>8439.2199999999993</v>
      </c>
      <c r="N307">
        <v>47.317332999999998</v>
      </c>
      <c r="O307">
        <v>-84.645832999999996</v>
      </c>
      <c r="P307">
        <v>47.314500000000002</v>
      </c>
      <c r="Q307">
        <v>-84.653666999999999</v>
      </c>
      <c r="R307">
        <v>2445.814742</v>
      </c>
      <c r="S307">
        <v>24.5</v>
      </c>
      <c r="T307">
        <v>43.7</v>
      </c>
      <c r="U307">
        <v>0.5</v>
      </c>
      <c r="V307">
        <v>2</v>
      </c>
      <c r="W307">
        <v>2.7</v>
      </c>
      <c r="X307">
        <v>2.7551999999999999</v>
      </c>
      <c r="Y307">
        <v>0.60594999999999999</v>
      </c>
      <c r="Z307">
        <v>77.744050000000001</v>
      </c>
      <c r="AA307">
        <v>10</v>
      </c>
      <c r="AB307">
        <v>0.42</v>
      </c>
      <c r="AC307">
        <v>217</v>
      </c>
      <c r="AD307">
        <v>5</v>
      </c>
    </row>
    <row r="308" spans="1:30" x14ac:dyDescent="0.55000000000000004">
      <c r="A308">
        <v>92483</v>
      </c>
      <c r="B308" s="19">
        <v>42166</v>
      </c>
      <c r="C308">
        <v>1036</v>
      </c>
      <c r="D308">
        <v>2015</v>
      </c>
      <c r="E308">
        <v>25</v>
      </c>
      <c r="F308">
        <v>604</v>
      </c>
      <c r="G308">
        <v>1</v>
      </c>
      <c r="H308">
        <v>455</v>
      </c>
      <c r="I308">
        <v>3</v>
      </c>
      <c r="J308">
        <v>4733.2</v>
      </c>
      <c r="K308">
        <v>8457.51</v>
      </c>
      <c r="L308">
        <v>4733.04</v>
      </c>
      <c r="M308">
        <v>8458.02</v>
      </c>
      <c r="N308">
        <v>47.553333000000002</v>
      </c>
      <c r="O308">
        <v>-84.958500000000001</v>
      </c>
      <c r="P308">
        <v>47.550666999999997</v>
      </c>
      <c r="Q308">
        <v>-84.966999999999999</v>
      </c>
      <c r="R308">
        <v>505.07846460000002</v>
      </c>
      <c r="S308">
        <v>26.2</v>
      </c>
      <c r="T308">
        <v>76.8</v>
      </c>
      <c r="U308">
        <v>0.5</v>
      </c>
      <c r="V308">
        <v>2</v>
      </c>
      <c r="W308">
        <v>2.1</v>
      </c>
      <c r="X308">
        <v>2.51125</v>
      </c>
      <c r="Y308">
        <v>1.055E-2</v>
      </c>
      <c r="Z308">
        <v>48.0291</v>
      </c>
      <c r="AA308">
        <v>10</v>
      </c>
      <c r="AB308">
        <v>0.43</v>
      </c>
      <c r="AC308">
        <v>217</v>
      </c>
      <c r="AD308">
        <v>3</v>
      </c>
    </row>
    <row r="309" spans="1:30" x14ac:dyDescent="0.55000000000000004">
      <c r="A309">
        <v>92484</v>
      </c>
      <c r="B309" s="19">
        <v>42166</v>
      </c>
      <c r="C309">
        <v>1036</v>
      </c>
      <c r="D309">
        <v>2015</v>
      </c>
      <c r="E309">
        <v>25</v>
      </c>
      <c r="F309">
        <v>605</v>
      </c>
      <c r="G309">
        <v>1</v>
      </c>
      <c r="H309">
        <v>455</v>
      </c>
      <c r="I309">
        <v>3</v>
      </c>
      <c r="J309">
        <v>4733.2</v>
      </c>
      <c r="K309">
        <v>8457.51</v>
      </c>
      <c r="L309">
        <v>4733.04</v>
      </c>
      <c r="M309">
        <v>8458.02</v>
      </c>
      <c r="N309">
        <v>47.553333000000002</v>
      </c>
      <c r="O309">
        <v>-84.958500000000001</v>
      </c>
      <c r="P309">
        <v>47.550666999999997</v>
      </c>
      <c r="Q309">
        <v>-84.966999999999999</v>
      </c>
      <c r="R309">
        <v>505.07846460000002</v>
      </c>
      <c r="S309">
        <v>26.2</v>
      </c>
      <c r="T309">
        <v>76.8</v>
      </c>
      <c r="U309">
        <v>0.5</v>
      </c>
      <c r="V309">
        <v>2</v>
      </c>
      <c r="W309">
        <v>2.1</v>
      </c>
      <c r="X309">
        <v>2.51125</v>
      </c>
      <c r="Y309">
        <v>1.055E-2</v>
      </c>
      <c r="Z309">
        <v>48.0291</v>
      </c>
      <c r="AA309">
        <v>10</v>
      </c>
      <c r="AB309">
        <v>0.43</v>
      </c>
      <c r="AC309">
        <v>217</v>
      </c>
      <c r="AD309">
        <v>1</v>
      </c>
    </row>
    <row r="310" spans="1:30" x14ac:dyDescent="0.55000000000000004">
      <c r="A310">
        <v>92485</v>
      </c>
      <c r="B310" s="19">
        <v>42166</v>
      </c>
      <c r="C310">
        <v>1245</v>
      </c>
      <c r="D310">
        <v>2015</v>
      </c>
      <c r="E310">
        <v>25</v>
      </c>
      <c r="F310">
        <v>606</v>
      </c>
      <c r="G310">
        <v>1</v>
      </c>
      <c r="H310">
        <v>454</v>
      </c>
      <c r="I310">
        <v>3</v>
      </c>
      <c r="J310">
        <v>4740.53</v>
      </c>
      <c r="K310">
        <v>8459.1299999999992</v>
      </c>
      <c r="L310">
        <v>4740.53</v>
      </c>
      <c r="M310">
        <v>8459.7199999999993</v>
      </c>
      <c r="N310">
        <v>47.6755</v>
      </c>
      <c r="O310">
        <v>-84.985500000000002</v>
      </c>
      <c r="P310">
        <v>47.6755</v>
      </c>
      <c r="Q310">
        <v>-84.995333000000002</v>
      </c>
      <c r="R310">
        <v>392.59048360000003</v>
      </c>
      <c r="S310">
        <v>21.7</v>
      </c>
      <c r="T310">
        <v>84.3</v>
      </c>
      <c r="U310">
        <v>0.5</v>
      </c>
      <c r="V310">
        <v>2</v>
      </c>
      <c r="W310">
        <v>1.9</v>
      </c>
      <c r="X310">
        <v>2.3797999999999999</v>
      </c>
      <c r="Y310">
        <v>0.12395</v>
      </c>
      <c r="Z310">
        <v>55.747750000000003</v>
      </c>
      <c r="AA310">
        <v>10</v>
      </c>
      <c r="AB310">
        <v>0.43</v>
      </c>
      <c r="AC310">
        <v>0</v>
      </c>
      <c r="AD310">
        <v>0</v>
      </c>
    </row>
    <row r="311" spans="1:30" x14ac:dyDescent="0.55000000000000004">
      <c r="A311">
        <v>92486</v>
      </c>
      <c r="B311" s="19">
        <v>42166</v>
      </c>
      <c r="C311">
        <v>1245</v>
      </c>
      <c r="D311">
        <v>2015</v>
      </c>
      <c r="E311">
        <v>25</v>
      </c>
      <c r="F311">
        <v>607</v>
      </c>
      <c r="G311">
        <v>1</v>
      </c>
      <c r="H311">
        <v>454</v>
      </c>
      <c r="I311">
        <v>3</v>
      </c>
      <c r="J311">
        <v>4740.53</v>
      </c>
      <c r="K311">
        <v>8459.1299999999992</v>
      </c>
      <c r="L311">
        <v>4740.53</v>
      </c>
      <c r="M311">
        <v>8459.7199999999993</v>
      </c>
      <c r="N311">
        <v>47.6755</v>
      </c>
      <c r="O311">
        <v>-84.985500000000002</v>
      </c>
      <c r="P311">
        <v>47.6755</v>
      </c>
      <c r="Q311">
        <v>-84.995333000000002</v>
      </c>
      <c r="R311">
        <v>392.59048360000003</v>
      </c>
      <c r="S311">
        <v>21.7</v>
      </c>
      <c r="T311">
        <v>84.3</v>
      </c>
      <c r="U311">
        <v>0.5</v>
      </c>
      <c r="V311">
        <v>2</v>
      </c>
      <c r="W311">
        <v>1.9</v>
      </c>
      <c r="X311">
        <v>2.3797999999999999</v>
      </c>
      <c r="Y311">
        <v>0.12395</v>
      </c>
      <c r="Z311">
        <v>55.747750000000003</v>
      </c>
      <c r="AA311">
        <v>10</v>
      </c>
      <c r="AB311">
        <v>0.43</v>
      </c>
      <c r="AC311">
        <v>0</v>
      </c>
      <c r="AD311">
        <v>0</v>
      </c>
    </row>
    <row r="312" spans="1:30" x14ac:dyDescent="0.55000000000000004">
      <c r="A312">
        <v>92489</v>
      </c>
      <c r="B312" s="19">
        <v>42166</v>
      </c>
      <c r="C312">
        <v>1510</v>
      </c>
      <c r="D312">
        <v>2015</v>
      </c>
      <c r="E312">
        <v>25</v>
      </c>
      <c r="F312">
        <v>608</v>
      </c>
      <c r="G312">
        <v>1</v>
      </c>
      <c r="H312">
        <v>451</v>
      </c>
      <c r="I312">
        <v>3</v>
      </c>
      <c r="J312">
        <v>4756.8100000000004</v>
      </c>
      <c r="K312">
        <v>8511.1299999999992</v>
      </c>
      <c r="L312">
        <v>4756.46</v>
      </c>
      <c r="M312">
        <v>8510.9599999999991</v>
      </c>
      <c r="N312">
        <v>47.946832999999998</v>
      </c>
      <c r="O312">
        <v>-85.185500000000005</v>
      </c>
      <c r="P312">
        <v>47.941000000000003</v>
      </c>
      <c r="Q312">
        <v>-85.182666999999995</v>
      </c>
      <c r="R312">
        <v>1060.3185840000001</v>
      </c>
      <c r="S312">
        <v>17.8</v>
      </c>
      <c r="T312">
        <v>35.9</v>
      </c>
      <c r="U312">
        <v>0.5</v>
      </c>
      <c r="V312">
        <v>2</v>
      </c>
      <c r="W312">
        <v>3.3</v>
      </c>
      <c r="X312">
        <v>2.9813499999999999</v>
      </c>
      <c r="Y312">
        <v>0.13150000000000001</v>
      </c>
      <c r="Z312">
        <v>81.964600000000004</v>
      </c>
      <c r="AA312">
        <v>10</v>
      </c>
      <c r="AB312">
        <v>0.43</v>
      </c>
      <c r="AC312">
        <v>0</v>
      </c>
      <c r="AD312">
        <v>0</v>
      </c>
    </row>
    <row r="313" spans="1:30" x14ac:dyDescent="0.55000000000000004">
      <c r="A313">
        <v>92490</v>
      </c>
      <c r="B313" s="19">
        <v>42166</v>
      </c>
      <c r="C313">
        <v>1510</v>
      </c>
      <c r="D313">
        <v>2015</v>
      </c>
      <c r="E313">
        <v>25</v>
      </c>
      <c r="F313">
        <v>609</v>
      </c>
      <c r="G313">
        <v>1</v>
      </c>
      <c r="H313">
        <v>451</v>
      </c>
      <c r="I313">
        <v>3</v>
      </c>
      <c r="J313">
        <v>4756.8100000000004</v>
      </c>
      <c r="K313">
        <v>8511.1299999999992</v>
      </c>
      <c r="L313">
        <v>4756.46</v>
      </c>
      <c r="M313">
        <v>8510.9599999999991</v>
      </c>
      <c r="N313">
        <v>47.946832999999998</v>
      </c>
      <c r="O313">
        <v>-85.185500000000005</v>
      </c>
      <c r="P313">
        <v>47.941000000000003</v>
      </c>
      <c r="Q313">
        <v>-85.182666999999995</v>
      </c>
      <c r="R313">
        <v>1060.3185840000001</v>
      </c>
      <c r="S313">
        <v>17.8</v>
      </c>
      <c r="T313">
        <v>35.9</v>
      </c>
      <c r="U313">
        <v>0.5</v>
      </c>
      <c r="V313">
        <v>2</v>
      </c>
      <c r="W313">
        <v>3.3</v>
      </c>
      <c r="X313">
        <v>2.9813499999999999</v>
      </c>
      <c r="Y313">
        <v>0.13150000000000001</v>
      </c>
      <c r="Z313">
        <v>81.964600000000004</v>
      </c>
      <c r="AA313">
        <v>10</v>
      </c>
      <c r="AB313">
        <v>0.43</v>
      </c>
      <c r="AC313">
        <v>0</v>
      </c>
      <c r="AD313">
        <v>0</v>
      </c>
    </row>
    <row r="314" spans="1:30" x14ac:dyDescent="0.55000000000000004">
      <c r="A314">
        <v>92493</v>
      </c>
      <c r="B314" s="19">
        <v>42166</v>
      </c>
      <c r="C314">
        <v>1723</v>
      </c>
      <c r="D314">
        <v>2015</v>
      </c>
      <c r="E314">
        <v>25</v>
      </c>
      <c r="F314">
        <v>610</v>
      </c>
      <c r="G314">
        <v>1</v>
      </c>
      <c r="H314">
        <v>462</v>
      </c>
      <c r="I314">
        <v>3</v>
      </c>
      <c r="J314">
        <v>4757.22</v>
      </c>
      <c r="K314">
        <v>8456.86</v>
      </c>
      <c r="L314">
        <v>4756.84</v>
      </c>
      <c r="M314">
        <v>8456.76</v>
      </c>
      <c r="N314">
        <v>47.953667000000003</v>
      </c>
      <c r="O314">
        <v>-84.947666999999996</v>
      </c>
      <c r="P314">
        <v>47.947333</v>
      </c>
      <c r="Q314">
        <v>-84.945999999999998</v>
      </c>
      <c r="R314">
        <v>898.44834530000003</v>
      </c>
      <c r="S314">
        <v>20</v>
      </c>
      <c r="T314">
        <v>93.5</v>
      </c>
      <c r="U314">
        <v>0.5</v>
      </c>
      <c r="V314">
        <v>2</v>
      </c>
      <c r="W314">
        <v>2.6</v>
      </c>
      <c r="X314">
        <v>2.7611500000000002</v>
      </c>
      <c r="Y314">
        <v>2.3099999999999999E-2</v>
      </c>
      <c r="Z314">
        <v>76.420900000000003</v>
      </c>
      <c r="AA314">
        <v>10</v>
      </c>
      <c r="AB314">
        <v>0.43</v>
      </c>
      <c r="AC314">
        <v>217</v>
      </c>
      <c r="AD314">
        <v>1</v>
      </c>
    </row>
    <row r="315" spans="1:30" x14ac:dyDescent="0.55000000000000004">
      <c r="A315">
        <v>92494</v>
      </c>
      <c r="B315" s="19">
        <v>42166</v>
      </c>
      <c r="C315">
        <v>1723</v>
      </c>
      <c r="D315">
        <v>2015</v>
      </c>
      <c r="E315">
        <v>25</v>
      </c>
      <c r="F315">
        <v>611</v>
      </c>
      <c r="G315">
        <v>1</v>
      </c>
      <c r="H315">
        <v>462</v>
      </c>
      <c r="I315">
        <v>3</v>
      </c>
      <c r="J315">
        <v>4757.22</v>
      </c>
      <c r="K315">
        <v>8456.86</v>
      </c>
      <c r="L315">
        <v>4756.84</v>
      </c>
      <c r="M315">
        <v>8456.76</v>
      </c>
      <c r="N315">
        <v>47.953667000000003</v>
      </c>
      <c r="O315">
        <v>-84.947666999999996</v>
      </c>
      <c r="P315">
        <v>47.947333</v>
      </c>
      <c r="Q315">
        <v>-84.945999999999998</v>
      </c>
      <c r="R315">
        <v>898.44834530000003</v>
      </c>
      <c r="S315">
        <v>20</v>
      </c>
      <c r="T315">
        <v>93.5</v>
      </c>
      <c r="U315">
        <v>0.5</v>
      </c>
      <c r="V315">
        <v>2</v>
      </c>
      <c r="W315">
        <v>2.6</v>
      </c>
      <c r="X315">
        <v>2.7611500000000002</v>
      </c>
      <c r="Y315">
        <v>2.3099999999999999E-2</v>
      </c>
      <c r="Z315">
        <v>76.420900000000003</v>
      </c>
      <c r="AA315">
        <v>10</v>
      </c>
      <c r="AB315">
        <v>0.43</v>
      </c>
      <c r="AC315">
        <v>217</v>
      </c>
      <c r="AD315">
        <v>1</v>
      </c>
    </row>
    <row r="316" spans="1:30" x14ac:dyDescent="0.55000000000000004">
      <c r="A316">
        <v>92494</v>
      </c>
      <c r="B316" s="19">
        <v>42166</v>
      </c>
      <c r="C316">
        <v>1723</v>
      </c>
      <c r="D316">
        <v>2015</v>
      </c>
      <c r="E316">
        <v>25</v>
      </c>
      <c r="F316">
        <v>611</v>
      </c>
      <c r="G316">
        <v>1</v>
      </c>
      <c r="H316">
        <v>462</v>
      </c>
      <c r="I316">
        <v>3</v>
      </c>
      <c r="J316">
        <v>4757.22</v>
      </c>
      <c r="K316">
        <v>8456.86</v>
      </c>
      <c r="L316">
        <v>4756.84</v>
      </c>
      <c r="M316">
        <v>8456.76</v>
      </c>
      <c r="N316">
        <v>47.953667000000003</v>
      </c>
      <c r="O316">
        <v>-84.947666999999996</v>
      </c>
      <c r="P316">
        <v>47.947333</v>
      </c>
      <c r="Q316">
        <v>-84.945999999999998</v>
      </c>
      <c r="R316">
        <v>898.44834530000003</v>
      </c>
      <c r="S316">
        <v>20</v>
      </c>
      <c r="T316">
        <v>93.5</v>
      </c>
      <c r="U316">
        <v>0.5</v>
      </c>
      <c r="V316">
        <v>2</v>
      </c>
      <c r="W316">
        <v>2.6</v>
      </c>
      <c r="X316">
        <v>2.7611500000000002</v>
      </c>
      <c r="Y316">
        <v>2.3099999999999999E-2</v>
      </c>
      <c r="Z316">
        <v>76.420900000000003</v>
      </c>
      <c r="AA316">
        <v>10</v>
      </c>
      <c r="AB316">
        <v>0.43</v>
      </c>
      <c r="AC316">
        <v>300</v>
      </c>
      <c r="AD316">
        <v>1</v>
      </c>
    </row>
    <row r="317" spans="1:30" x14ac:dyDescent="0.55000000000000004">
      <c r="A317">
        <v>92496</v>
      </c>
      <c r="B317" s="19">
        <v>42167</v>
      </c>
      <c r="C317">
        <v>922</v>
      </c>
      <c r="D317">
        <v>2015</v>
      </c>
      <c r="E317">
        <v>25</v>
      </c>
      <c r="F317">
        <v>612</v>
      </c>
      <c r="G317">
        <v>1</v>
      </c>
      <c r="H317">
        <v>463</v>
      </c>
      <c r="I317">
        <v>3</v>
      </c>
      <c r="J317">
        <v>4755.08</v>
      </c>
      <c r="K317">
        <v>8525.61</v>
      </c>
      <c r="L317">
        <v>4754.7299999999996</v>
      </c>
      <c r="M317">
        <v>8525.86</v>
      </c>
      <c r="N317">
        <v>47.917999999999999</v>
      </c>
      <c r="O317">
        <v>-85.426833000000002</v>
      </c>
      <c r="P317">
        <v>47.912166999999997</v>
      </c>
      <c r="Q317">
        <v>-85.430999999999997</v>
      </c>
      <c r="R317">
        <v>487.48221030000002</v>
      </c>
      <c r="S317">
        <v>22</v>
      </c>
      <c r="T317">
        <v>57.7</v>
      </c>
      <c r="U317">
        <v>0.5</v>
      </c>
      <c r="V317">
        <v>2</v>
      </c>
      <c r="W317">
        <v>3</v>
      </c>
      <c r="X317">
        <v>3.2017000000000002</v>
      </c>
      <c r="Y317">
        <v>0.19485</v>
      </c>
      <c r="Z317">
        <v>76.634649999999993</v>
      </c>
      <c r="AA317">
        <v>10</v>
      </c>
      <c r="AB317">
        <v>0.42</v>
      </c>
      <c r="AC317">
        <v>0</v>
      </c>
      <c r="AD317">
        <v>0</v>
      </c>
    </row>
    <row r="318" spans="1:30" x14ac:dyDescent="0.55000000000000004">
      <c r="A318">
        <v>92497</v>
      </c>
      <c r="B318" s="19">
        <v>42167</v>
      </c>
      <c r="C318">
        <v>922</v>
      </c>
      <c r="D318">
        <v>2015</v>
      </c>
      <c r="E318">
        <v>25</v>
      </c>
      <c r="F318">
        <v>613</v>
      </c>
      <c r="G318">
        <v>1</v>
      </c>
      <c r="H318">
        <v>463</v>
      </c>
      <c r="I318">
        <v>3</v>
      </c>
      <c r="J318">
        <v>4755.08</v>
      </c>
      <c r="K318">
        <v>8525.61</v>
      </c>
      <c r="L318">
        <v>4754.7299999999996</v>
      </c>
      <c r="M318">
        <v>8525.86</v>
      </c>
      <c r="N318">
        <v>47.917999999999999</v>
      </c>
      <c r="O318">
        <v>-85.426833000000002</v>
      </c>
      <c r="P318">
        <v>47.912166999999997</v>
      </c>
      <c r="Q318">
        <v>-85.430999999999997</v>
      </c>
      <c r="R318">
        <v>487.48221030000002</v>
      </c>
      <c r="S318">
        <v>22</v>
      </c>
      <c r="T318">
        <v>57.7</v>
      </c>
      <c r="U318">
        <v>0.5</v>
      </c>
      <c r="V318">
        <v>2</v>
      </c>
      <c r="W318">
        <v>3</v>
      </c>
      <c r="X318">
        <v>3.2017000000000002</v>
      </c>
      <c r="Y318">
        <v>0.19485</v>
      </c>
      <c r="Z318">
        <v>76.634649999999993</v>
      </c>
      <c r="AA318">
        <v>10</v>
      </c>
      <c r="AB318">
        <v>0.42</v>
      </c>
      <c r="AC318">
        <v>0</v>
      </c>
      <c r="AD318">
        <v>0</v>
      </c>
    </row>
    <row r="319" spans="1:30" x14ac:dyDescent="0.55000000000000004">
      <c r="A319">
        <v>92498</v>
      </c>
      <c r="B319" s="19">
        <v>42167</v>
      </c>
      <c r="C319">
        <v>1158</v>
      </c>
      <c r="D319">
        <v>2015</v>
      </c>
      <c r="E319">
        <v>25</v>
      </c>
      <c r="F319">
        <v>614</v>
      </c>
      <c r="G319">
        <v>1</v>
      </c>
      <c r="H319">
        <v>464</v>
      </c>
      <c r="I319">
        <v>3</v>
      </c>
      <c r="J319">
        <v>4757.2700000000004</v>
      </c>
      <c r="K319">
        <v>8549.25</v>
      </c>
      <c r="L319">
        <v>4756.88</v>
      </c>
      <c r="M319">
        <v>8549.16</v>
      </c>
      <c r="N319">
        <v>47.954500000000003</v>
      </c>
      <c r="O319">
        <v>-85.820832999999993</v>
      </c>
      <c r="P319">
        <v>47.948</v>
      </c>
      <c r="Q319">
        <v>-85.819333</v>
      </c>
      <c r="R319">
        <v>368.7667161</v>
      </c>
      <c r="S319">
        <v>19.2</v>
      </c>
      <c r="T319">
        <v>70</v>
      </c>
      <c r="U319">
        <v>0.5</v>
      </c>
      <c r="V319">
        <v>2</v>
      </c>
      <c r="W319">
        <v>2.9</v>
      </c>
      <c r="X319">
        <v>2.9729999999999999</v>
      </c>
      <c r="Y319">
        <v>0.17230000000000001</v>
      </c>
      <c r="Z319">
        <v>81.463149999999999</v>
      </c>
      <c r="AA319">
        <v>10</v>
      </c>
      <c r="AB319">
        <v>0.43</v>
      </c>
      <c r="AC319">
        <v>0</v>
      </c>
      <c r="AD319">
        <v>0</v>
      </c>
    </row>
    <row r="320" spans="1:30" x14ac:dyDescent="0.55000000000000004">
      <c r="A320">
        <v>92499</v>
      </c>
      <c r="B320" s="19">
        <v>42167</v>
      </c>
      <c r="C320">
        <v>1158</v>
      </c>
      <c r="D320">
        <v>2015</v>
      </c>
      <c r="E320">
        <v>25</v>
      </c>
      <c r="F320">
        <v>615</v>
      </c>
      <c r="G320">
        <v>1</v>
      </c>
      <c r="H320">
        <v>464</v>
      </c>
      <c r="I320">
        <v>3</v>
      </c>
      <c r="J320">
        <v>4757.2700000000004</v>
      </c>
      <c r="K320">
        <v>8549.25</v>
      </c>
      <c r="L320">
        <v>4756.88</v>
      </c>
      <c r="M320">
        <v>8549.16</v>
      </c>
      <c r="N320">
        <v>47.954500000000003</v>
      </c>
      <c r="O320">
        <v>-85.820832999999993</v>
      </c>
      <c r="P320">
        <v>47.948</v>
      </c>
      <c r="Q320">
        <v>-85.819333</v>
      </c>
      <c r="R320">
        <v>368.7667161</v>
      </c>
      <c r="S320">
        <v>19.2</v>
      </c>
      <c r="T320">
        <v>70</v>
      </c>
      <c r="U320">
        <v>0.5</v>
      </c>
      <c r="V320">
        <v>2</v>
      </c>
      <c r="W320">
        <v>2.9</v>
      </c>
      <c r="X320">
        <v>2.9729999999999999</v>
      </c>
      <c r="Y320">
        <v>0.17230000000000001</v>
      </c>
      <c r="Z320">
        <v>81.463149999999999</v>
      </c>
      <c r="AA320">
        <v>10</v>
      </c>
      <c r="AB320">
        <v>0.43</v>
      </c>
      <c r="AC320">
        <v>300</v>
      </c>
      <c r="AD320">
        <v>1</v>
      </c>
    </row>
    <row r="321" spans="1:30" x14ac:dyDescent="0.55000000000000004">
      <c r="A321">
        <v>92502</v>
      </c>
      <c r="B321" s="19">
        <v>42167</v>
      </c>
      <c r="C321">
        <v>1441</v>
      </c>
      <c r="D321">
        <v>2015</v>
      </c>
      <c r="E321">
        <v>25</v>
      </c>
      <c r="F321">
        <v>616</v>
      </c>
      <c r="G321">
        <v>1</v>
      </c>
      <c r="H321">
        <v>465</v>
      </c>
      <c r="I321">
        <v>3</v>
      </c>
      <c r="J321">
        <v>4807.2700000000004</v>
      </c>
      <c r="K321">
        <v>8602.9699999999993</v>
      </c>
      <c r="L321">
        <v>4807.2700000000004</v>
      </c>
      <c r="M321">
        <v>8603.58</v>
      </c>
      <c r="N321">
        <v>48.121167</v>
      </c>
      <c r="O321">
        <v>-86.049499999999995</v>
      </c>
      <c r="P321">
        <v>48.121167</v>
      </c>
      <c r="Q321">
        <v>-86.059667000000005</v>
      </c>
      <c r="R321">
        <v>428.47106969999999</v>
      </c>
      <c r="S321">
        <v>15.7</v>
      </c>
      <c r="T321">
        <v>93.6</v>
      </c>
      <c r="U321">
        <v>0.5</v>
      </c>
      <c r="V321">
        <v>2</v>
      </c>
      <c r="W321">
        <v>3.6</v>
      </c>
      <c r="X321">
        <v>3.6036999999999999</v>
      </c>
      <c r="Y321">
        <v>0.13055</v>
      </c>
      <c r="Z321">
        <v>70.645750000000007</v>
      </c>
      <c r="AA321">
        <v>10</v>
      </c>
      <c r="AB321">
        <v>0.45</v>
      </c>
      <c r="AC321">
        <v>217</v>
      </c>
      <c r="AD321">
        <v>1</v>
      </c>
    </row>
    <row r="322" spans="1:30" x14ac:dyDescent="0.55000000000000004">
      <c r="A322">
        <v>92503</v>
      </c>
      <c r="B322" s="19">
        <v>42167</v>
      </c>
      <c r="C322">
        <v>1441</v>
      </c>
      <c r="D322">
        <v>2015</v>
      </c>
      <c r="E322">
        <v>25</v>
      </c>
      <c r="F322">
        <v>617</v>
      </c>
      <c r="G322">
        <v>1</v>
      </c>
      <c r="H322">
        <v>465</v>
      </c>
      <c r="I322">
        <v>3</v>
      </c>
      <c r="J322">
        <v>4807.2700000000004</v>
      </c>
      <c r="K322">
        <v>8602.9699999999993</v>
      </c>
      <c r="L322">
        <v>4807.2700000000004</v>
      </c>
      <c r="M322">
        <v>8603.58</v>
      </c>
      <c r="N322">
        <v>48.121167</v>
      </c>
      <c r="O322">
        <v>-86.049499999999995</v>
      </c>
      <c r="P322">
        <v>48.121167</v>
      </c>
      <c r="Q322">
        <v>-86.059667000000005</v>
      </c>
      <c r="R322">
        <v>428.47106969999999</v>
      </c>
      <c r="S322">
        <v>15.7</v>
      </c>
      <c r="T322">
        <v>93.6</v>
      </c>
      <c r="U322">
        <v>0.5</v>
      </c>
      <c r="V322">
        <v>2</v>
      </c>
      <c r="W322">
        <v>3.6</v>
      </c>
      <c r="X322">
        <v>3.6036999999999999</v>
      </c>
      <c r="Y322">
        <v>0.13055</v>
      </c>
      <c r="Z322">
        <v>70.645750000000007</v>
      </c>
      <c r="AA322">
        <v>10</v>
      </c>
      <c r="AB322">
        <v>0.45</v>
      </c>
      <c r="AC322">
        <v>217</v>
      </c>
      <c r="AD322">
        <v>2</v>
      </c>
    </row>
    <row r="323" spans="1:30" x14ac:dyDescent="0.55000000000000004">
      <c r="A323">
        <v>92504</v>
      </c>
      <c r="B323" s="19">
        <v>42168</v>
      </c>
      <c r="C323">
        <v>744</v>
      </c>
      <c r="D323">
        <v>2015</v>
      </c>
      <c r="E323">
        <v>25</v>
      </c>
      <c r="F323">
        <v>618</v>
      </c>
      <c r="G323">
        <v>1</v>
      </c>
      <c r="H323">
        <v>422</v>
      </c>
      <c r="I323">
        <v>3</v>
      </c>
      <c r="J323">
        <v>4838.1899999999996</v>
      </c>
      <c r="K323">
        <v>8620.9</v>
      </c>
      <c r="L323">
        <v>4838.43</v>
      </c>
      <c r="M323">
        <v>8620.4699999999993</v>
      </c>
      <c r="N323">
        <v>48.636499999999998</v>
      </c>
      <c r="O323">
        <v>-86.348332999999997</v>
      </c>
      <c r="P323">
        <v>48.640500000000003</v>
      </c>
      <c r="Q323">
        <v>-86.341166999999999</v>
      </c>
      <c r="R323">
        <v>443.99107350000003</v>
      </c>
      <c r="S323">
        <v>60.4</v>
      </c>
      <c r="T323">
        <v>27.4</v>
      </c>
      <c r="U323">
        <v>0.5</v>
      </c>
      <c r="V323">
        <v>2</v>
      </c>
      <c r="W323">
        <v>5.6</v>
      </c>
      <c r="X323">
        <v>4.7935499999999998</v>
      </c>
      <c r="Y323">
        <v>-7.3499999999999998E-3</v>
      </c>
      <c r="Z323">
        <v>69.726900000000001</v>
      </c>
      <c r="AA323">
        <v>10</v>
      </c>
      <c r="AB323">
        <v>0.4</v>
      </c>
      <c r="AC323">
        <v>217</v>
      </c>
      <c r="AD323">
        <v>25</v>
      </c>
    </row>
    <row r="324" spans="1:30" x14ac:dyDescent="0.55000000000000004">
      <c r="A324">
        <v>92505</v>
      </c>
      <c r="B324" s="19">
        <v>42168</v>
      </c>
      <c r="C324">
        <v>744</v>
      </c>
      <c r="D324">
        <v>2015</v>
      </c>
      <c r="E324">
        <v>25</v>
      </c>
      <c r="F324">
        <v>619</v>
      </c>
      <c r="G324">
        <v>1</v>
      </c>
      <c r="H324">
        <v>422</v>
      </c>
      <c r="I324">
        <v>3</v>
      </c>
      <c r="J324">
        <v>4838.1899999999996</v>
      </c>
      <c r="K324">
        <v>8620.9</v>
      </c>
      <c r="L324">
        <v>4838.43</v>
      </c>
      <c r="M324">
        <v>8620.4699999999993</v>
      </c>
      <c r="N324">
        <v>48.636499999999998</v>
      </c>
      <c r="O324">
        <v>-86.348332999999997</v>
      </c>
      <c r="P324">
        <v>48.640500000000003</v>
      </c>
      <c r="Q324">
        <v>-86.341166999999999</v>
      </c>
      <c r="R324">
        <v>443.99107350000003</v>
      </c>
      <c r="S324">
        <v>60.4</v>
      </c>
      <c r="T324">
        <v>27.4</v>
      </c>
      <c r="U324">
        <v>0.5</v>
      </c>
      <c r="V324">
        <v>2</v>
      </c>
      <c r="W324">
        <v>5.6</v>
      </c>
      <c r="X324">
        <v>4.7935499999999998</v>
      </c>
      <c r="Y324">
        <v>-7.3499999999999998E-3</v>
      </c>
      <c r="Z324">
        <v>69.726900000000001</v>
      </c>
      <c r="AA324">
        <v>10</v>
      </c>
      <c r="AB324">
        <v>0.4</v>
      </c>
      <c r="AC324">
        <v>217</v>
      </c>
      <c r="AD324">
        <v>0</v>
      </c>
    </row>
    <row r="325" spans="1:30" x14ac:dyDescent="0.55000000000000004">
      <c r="A325">
        <v>92508</v>
      </c>
      <c r="B325" s="19">
        <v>42168</v>
      </c>
      <c r="C325">
        <v>1029</v>
      </c>
      <c r="D325">
        <v>2015</v>
      </c>
      <c r="E325">
        <v>25</v>
      </c>
      <c r="F325">
        <v>620</v>
      </c>
      <c r="G325">
        <v>1</v>
      </c>
      <c r="H325">
        <v>420</v>
      </c>
      <c r="I325">
        <v>3</v>
      </c>
      <c r="J325">
        <v>4846.1499999999996</v>
      </c>
      <c r="K325">
        <v>8637.86</v>
      </c>
      <c r="L325">
        <v>4845.97</v>
      </c>
      <c r="M325">
        <v>8638.39</v>
      </c>
      <c r="N325">
        <v>48.769167000000003</v>
      </c>
      <c r="O325">
        <v>-86.631</v>
      </c>
      <c r="P325">
        <v>48.766167000000003</v>
      </c>
      <c r="Q325">
        <v>-86.639832999999996</v>
      </c>
      <c r="R325">
        <v>947.66548560000001</v>
      </c>
      <c r="S325">
        <v>15.3</v>
      </c>
      <c r="T325">
        <v>29.6</v>
      </c>
      <c r="U325">
        <v>0.5</v>
      </c>
      <c r="V325">
        <v>2</v>
      </c>
      <c r="W325">
        <v>3.1</v>
      </c>
      <c r="X325">
        <v>3.1218499999999998</v>
      </c>
      <c r="Y325">
        <v>0.15395</v>
      </c>
      <c r="Z325">
        <v>80.310199999999995</v>
      </c>
      <c r="AA325">
        <v>10</v>
      </c>
      <c r="AB325">
        <v>0.43</v>
      </c>
      <c r="AC325">
        <v>0</v>
      </c>
      <c r="AD325">
        <v>0</v>
      </c>
    </row>
    <row r="326" spans="1:30" x14ac:dyDescent="0.55000000000000004">
      <c r="A326">
        <v>92509</v>
      </c>
      <c r="B326" s="19">
        <v>42168</v>
      </c>
      <c r="C326">
        <v>1029</v>
      </c>
      <c r="D326">
        <v>2015</v>
      </c>
      <c r="E326">
        <v>25</v>
      </c>
      <c r="F326">
        <v>621</v>
      </c>
      <c r="G326">
        <v>1</v>
      </c>
      <c r="H326">
        <v>420</v>
      </c>
      <c r="I326">
        <v>3</v>
      </c>
      <c r="J326">
        <v>4846.1499999999996</v>
      </c>
      <c r="K326">
        <v>8637.86</v>
      </c>
      <c r="L326">
        <v>4845.97</v>
      </c>
      <c r="M326">
        <v>8638.39</v>
      </c>
      <c r="N326">
        <v>48.769167000000003</v>
      </c>
      <c r="O326">
        <v>-86.631</v>
      </c>
      <c r="P326">
        <v>48.766167000000003</v>
      </c>
      <c r="Q326">
        <v>-86.639832999999996</v>
      </c>
      <c r="R326">
        <v>947.66548560000001</v>
      </c>
      <c r="S326">
        <v>15.3</v>
      </c>
      <c r="T326">
        <v>29.6</v>
      </c>
      <c r="U326">
        <v>0.5</v>
      </c>
      <c r="V326">
        <v>2</v>
      </c>
      <c r="W326">
        <v>3.1</v>
      </c>
      <c r="X326">
        <v>3.1218499999999998</v>
      </c>
      <c r="Y326">
        <v>0.15395</v>
      </c>
      <c r="Z326">
        <v>80.310199999999995</v>
      </c>
      <c r="AA326">
        <v>10</v>
      </c>
      <c r="AB326">
        <v>0.43</v>
      </c>
      <c r="AC326">
        <v>0</v>
      </c>
      <c r="AD326">
        <v>0</v>
      </c>
    </row>
    <row r="327" spans="1:30" x14ac:dyDescent="0.55000000000000004">
      <c r="A327">
        <v>92511</v>
      </c>
      <c r="B327" s="19">
        <v>42168</v>
      </c>
      <c r="C327">
        <v>1231</v>
      </c>
      <c r="D327">
        <v>2015</v>
      </c>
      <c r="E327">
        <v>25</v>
      </c>
      <c r="F327">
        <v>622</v>
      </c>
      <c r="G327">
        <v>1</v>
      </c>
      <c r="H327">
        <v>419</v>
      </c>
      <c r="I327">
        <v>3</v>
      </c>
      <c r="J327">
        <v>4847.5200000000004</v>
      </c>
      <c r="K327">
        <v>8659.33</v>
      </c>
      <c r="L327">
        <v>4847.63</v>
      </c>
      <c r="M327">
        <v>8658.7999999999993</v>
      </c>
      <c r="N327">
        <v>48.792000000000002</v>
      </c>
      <c r="O327">
        <v>-86.988833</v>
      </c>
      <c r="P327">
        <v>48.793832999999999</v>
      </c>
      <c r="Q327">
        <v>-86.98</v>
      </c>
      <c r="R327">
        <v>305.36636490000001</v>
      </c>
      <c r="S327">
        <v>37.700000000000003</v>
      </c>
      <c r="T327">
        <v>42</v>
      </c>
      <c r="U327">
        <v>0.5</v>
      </c>
      <c r="V327">
        <v>2</v>
      </c>
      <c r="W327">
        <v>3.9</v>
      </c>
      <c r="X327">
        <v>4.5512499999999996</v>
      </c>
      <c r="Y327">
        <v>0.10965</v>
      </c>
      <c r="Z327">
        <v>53.894150000000003</v>
      </c>
      <c r="AA327">
        <v>10</v>
      </c>
      <c r="AB327">
        <v>0.42</v>
      </c>
      <c r="AC327">
        <v>217</v>
      </c>
      <c r="AD327">
        <v>26</v>
      </c>
    </row>
    <row r="328" spans="1:30" x14ac:dyDescent="0.55000000000000004">
      <c r="A328">
        <v>92512</v>
      </c>
      <c r="B328" s="19">
        <v>42168</v>
      </c>
      <c r="C328">
        <v>1231</v>
      </c>
      <c r="D328">
        <v>2015</v>
      </c>
      <c r="E328">
        <v>25</v>
      </c>
      <c r="F328">
        <v>623</v>
      </c>
      <c r="G328">
        <v>1</v>
      </c>
      <c r="H328">
        <v>419</v>
      </c>
      <c r="I328">
        <v>3</v>
      </c>
      <c r="J328">
        <v>4847.5200000000004</v>
      </c>
      <c r="K328">
        <v>8659.33</v>
      </c>
      <c r="L328">
        <v>4847.63</v>
      </c>
      <c r="M328">
        <v>8658.7999999999993</v>
      </c>
      <c r="N328">
        <v>48.792000000000002</v>
      </c>
      <c r="O328">
        <v>-86.988833</v>
      </c>
      <c r="P328">
        <v>48.793832999999999</v>
      </c>
      <c r="Q328">
        <v>-86.98</v>
      </c>
      <c r="R328">
        <v>305.36636490000001</v>
      </c>
      <c r="S328">
        <v>37.700000000000003</v>
      </c>
      <c r="T328">
        <v>42</v>
      </c>
      <c r="U328">
        <v>0.5</v>
      </c>
      <c r="V328">
        <v>2</v>
      </c>
      <c r="W328">
        <v>3.9</v>
      </c>
      <c r="X328">
        <v>4.5512499999999996</v>
      </c>
      <c r="Y328">
        <v>0.10965</v>
      </c>
      <c r="Z328">
        <v>53.894150000000003</v>
      </c>
      <c r="AA328">
        <v>10</v>
      </c>
      <c r="AB328">
        <v>0.42</v>
      </c>
      <c r="AC328">
        <v>217</v>
      </c>
      <c r="AD328">
        <v>12</v>
      </c>
    </row>
    <row r="329" spans="1:30" x14ac:dyDescent="0.55000000000000004">
      <c r="A329">
        <v>92514</v>
      </c>
      <c r="B329" s="19">
        <v>42168</v>
      </c>
      <c r="C329">
        <v>1422</v>
      </c>
      <c r="D329">
        <v>2015</v>
      </c>
      <c r="E329">
        <v>25</v>
      </c>
      <c r="F329">
        <v>624</v>
      </c>
      <c r="G329">
        <v>1</v>
      </c>
      <c r="H329">
        <v>418</v>
      </c>
      <c r="I329">
        <v>3</v>
      </c>
      <c r="J329">
        <v>4846.3100000000004</v>
      </c>
      <c r="K329">
        <v>8709.98</v>
      </c>
      <c r="L329">
        <v>4846.67</v>
      </c>
      <c r="M329">
        <v>8710.2000000000007</v>
      </c>
      <c r="N329">
        <v>48.771833000000001</v>
      </c>
      <c r="O329">
        <v>-87.166332999999995</v>
      </c>
      <c r="P329">
        <v>48.777833000000001</v>
      </c>
      <c r="Q329">
        <v>-87.17</v>
      </c>
      <c r="R329">
        <v>670.05564040000002</v>
      </c>
      <c r="S329">
        <v>43.4</v>
      </c>
      <c r="T329">
        <v>32.1</v>
      </c>
      <c r="U329">
        <v>0.5</v>
      </c>
      <c r="V329">
        <v>2</v>
      </c>
      <c r="W329">
        <v>11.8</v>
      </c>
      <c r="X329">
        <v>9.7574500000000004</v>
      </c>
      <c r="Y329">
        <v>0.35994999999999999</v>
      </c>
      <c r="Z329">
        <v>74.421949999999995</v>
      </c>
      <c r="AA329">
        <v>10</v>
      </c>
      <c r="AB329">
        <v>0.42</v>
      </c>
      <c r="AC329">
        <v>217</v>
      </c>
      <c r="AD329">
        <v>227</v>
      </c>
    </row>
    <row r="330" spans="1:30" x14ac:dyDescent="0.55000000000000004">
      <c r="A330">
        <v>92515</v>
      </c>
      <c r="B330" s="19">
        <v>42168</v>
      </c>
      <c r="C330">
        <v>1422</v>
      </c>
      <c r="D330">
        <v>2015</v>
      </c>
      <c r="E330">
        <v>25</v>
      </c>
      <c r="F330">
        <v>625</v>
      </c>
      <c r="G330">
        <v>1</v>
      </c>
      <c r="H330">
        <v>418</v>
      </c>
      <c r="I330">
        <v>3</v>
      </c>
      <c r="J330">
        <v>4846.3100000000004</v>
      </c>
      <c r="K330">
        <v>8709.98</v>
      </c>
      <c r="L330">
        <v>4846.67</v>
      </c>
      <c r="M330">
        <v>8710.2000000000007</v>
      </c>
      <c r="N330">
        <v>48.771833000000001</v>
      </c>
      <c r="O330">
        <v>-87.166332999999995</v>
      </c>
      <c r="P330">
        <v>48.777833000000001</v>
      </c>
      <c r="Q330">
        <v>-87.17</v>
      </c>
      <c r="R330">
        <v>670.05564040000002</v>
      </c>
      <c r="S330">
        <v>43.4</v>
      </c>
      <c r="T330">
        <v>32.1</v>
      </c>
      <c r="U330">
        <v>0.5</v>
      </c>
      <c r="V330">
        <v>2</v>
      </c>
      <c r="W330">
        <v>11.8</v>
      </c>
      <c r="X330">
        <v>9.7574500000000004</v>
      </c>
      <c r="Y330">
        <v>0.35994999999999999</v>
      </c>
      <c r="Z330">
        <v>74.421949999999995</v>
      </c>
      <c r="AA330">
        <v>10</v>
      </c>
      <c r="AB330">
        <v>0.42</v>
      </c>
      <c r="AC330">
        <v>217</v>
      </c>
      <c r="AD330">
        <v>116</v>
      </c>
    </row>
    <row r="331" spans="1:30" x14ac:dyDescent="0.55000000000000004">
      <c r="A331">
        <v>92515</v>
      </c>
      <c r="B331" s="19">
        <v>42168</v>
      </c>
      <c r="C331">
        <v>1422</v>
      </c>
      <c r="D331">
        <v>2015</v>
      </c>
      <c r="E331">
        <v>25</v>
      </c>
      <c r="F331">
        <v>625</v>
      </c>
      <c r="G331">
        <v>1</v>
      </c>
      <c r="H331">
        <v>418</v>
      </c>
      <c r="I331">
        <v>3</v>
      </c>
      <c r="J331">
        <v>4846.3100000000004</v>
      </c>
      <c r="K331">
        <v>8709.98</v>
      </c>
      <c r="L331">
        <v>4846.67</v>
      </c>
      <c r="M331">
        <v>8710.2000000000007</v>
      </c>
      <c r="N331">
        <v>48.771833000000001</v>
      </c>
      <c r="O331">
        <v>-87.166332999999995</v>
      </c>
      <c r="P331">
        <v>48.777833000000001</v>
      </c>
      <c r="Q331">
        <v>-87.17</v>
      </c>
      <c r="R331">
        <v>670.05564040000002</v>
      </c>
      <c r="S331">
        <v>43.4</v>
      </c>
      <c r="T331">
        <v>32.1</v>
      </c>
      <c r="U331">
        <v>0.5</v>
      </c>
      <c r="V331">
        <v>2</v>
      </c>
      <c r="W331">
        <v>11.8</v>
      </c>
      <c r="X331">
        <v>9.7574500000000004</v>
      </c>
      <c r="Y331">
        <v>0.35994999999999999</v>
      </c>
      <c r="Z331">
        <v>74.421949999999995</v>
      </c>
      <c r="AA331">
        <v>10</v>
      </c>
      <c r="AB331">
        <v>0.42</v>
      </c>
      <c r="AC331">
        <v>300</v>
      </c>
      <c r="AD331">
        <v>1</v>
      </c>
    </row>
    <row r="332" spans="1:30" x14ac:dyDescent="0.55000000000000004">
      <c r="A332">
        <v>92516</v>
      </c>
      <c r="B332" s="19">
        <v>42168</v>
      </c>
      <c r="C332">
        <v>1640</v>
      </c>
      <c r="D332">
        <v>2015</v>
      </c>
      <c r="E332">
        <v>25</v>
      </c>
      <c r="F332">
        <v>626</v>
      </c>
      <c r="G332">
        <v>1</v>
      </c>
      <c r="H332">
        <v>417</v>
      </c>
      <c r="I332">
        <v>3</v>
      </c>
      <c r="J332">
        <v>4849.84</v>
      </c>
      <c r="K332">
        <v>8728.32</v>
      </c>
      <c r="L332">
        <v>4850.0600000000004</v>
      </c>
      <c r="M332">
        <v>8728.7900000000009</v>
      </c>
      <c r="N332">
        <v>48.830666999999998</v>
      </c>
      <c r="O332">
        <v>-87.471999999999994</v>
      </c>
      <c r="P332">
        <v>48.834333000000001</v>
      </c>
      <c r="Q332">
        <v>-87.479832999999999</v>
      </c>
      <c r="R332">
        <v>436.81210759999999</v>
      </c>
      <c r="S332">
        <v>68.3</v>
      </c>
      <c r="T332">
        <v>46.3</v>
      </c>
      <c r="U332">
        <v>0.5</v>
      </c>
      <c r="V332">
        <v>2</v>
      </c>
      <c r="W332">
        <v>6.5</v>
      </c>
      <c r="X332">
        <v>7.6679500000000003</v>
      </c>
      <c r="Y332">
        <v>0.1318</v>
      </c>
      <c r="Z332">
        <v>69.893349999999998</v>
      </c>
      <c r="AA332">
        <v>10</v>
      </c>
      <c r="AB332">
        <v>0.42</v>
      </c>
      <c r="AC332">
        <v>217</v>
      </c>
      <c r="AD332">
        <v>149</v>
      </c>
    </row>
    <row r="333" spans="1:30" x14ac:dyDescent="0.55000000000000004">
      <c r="A333">
        <v>92517</v>
      </c>
      <c r="B333" s="19">
        <v>42168</v>
      </c>
      <c r="C333">
        <v>1640</v>
      </c>
      <c r="D333">
        <v>2015</v>
      </c>
      <c r="E333">
        <v>25</v>
      </c>
      <c r="F333">
        <v>627</v>
      </c>
      <c r="G333">
        <v>1</v>
      </c>
      <c r="H333">
        <v>417</v>
      </c>
      <c r="I333">
        <v>3</v>
      </c>
      <c r="J333">
        <v>4849.84</v>
      </c>
      <c r="K333">
        <v>8728.32</v>
      </c>
      <c r="L333">
        <v>4850.0600000000004</v>
      </c>
      <c r="M333">
        <v>8728.7900000000009</v>
      </c>
      <c r="N333">
        <v>48.830666999999998</v>
      </c>
      <c r="O333">
        <v>-87.471999999999994</v>
      </c>
      <c r="P333">
        <v>48.834333000000001</v>
      </c>
      <c r="Q333">
        <v>-87.479832999999999</v>
      </c>
      <c r="R333">
        <v>436.81210759999999</v>
      </c>
      <c r="S333">
        <v>68.3</v>
      </c>
      <c r="T333">
        <v>46.3</v>
      </c>
      <c r="U333">
        <v>0.5</v>
      </c>
      <c r="V333">
        <v>2</v>
      </c>
      <c r="W333">
        <v>6.5</v>
      </c>
      <c r="X333">
        <v>7.6679500000000003</v>
      </c>
      <c r="Y333">
        <v>0.1318</v>
      </c>
      <c r="Z333">
        <v>69.893349999999998</v>
      </c>
      <c r="AA333">
        <v>10</v>
      </c>
      <c r="AB333">
        <v>0.42</v>
      </c>
      <c r="AC333">
        <v>217</v>
      </c>
      <c r="AD333">
        <v>118</v>
      </c>
    </row>
    <row r="334" spans="1:30" x14ac:dyDescent="0.55000000000000004">
      <c r="A334">
        <v>92519</v>
      </c>
      <c r="B334" s="19">
        <v>42169</v>
      </c>
      <c r="C334">
        <v>811</v>
      </c>
      <c r="D334">
        <v>2015</v>
      </c>
      <c r="E334">
        <v>25</v>
      </c>
      <c r="F334">
        <v>628</v>
      </c>
      <c r="G334">
        <v>1</v>
      </c>
      <c r="H334">
        <v>415</v>
      </c>
      <c r="I334">
        <v>3</v>
      </c>
      <c r="J334">
        <v>4852.82</v>
      </c>
      <c r="K334">
        <v>8746.02</v>
      </c>
      <c r="L334">
        <v>4853.21</v>
      </c>
      <c r="M334">
        <v>8745.99</v>
      </c>
      <c r="N334">
        <v>48.880333</v>
      </c>
      <c r="O334">
        <v>-87.766999999999996</v>
      </c>
      <c r="P334">
        <v>48.886833000000003</v>
      </c>
      <c r="Q334">
        <v>-87.766499999999994</v>
      </c>
      <c r="R334">
        <v>368.87364580000002</v>
      </c>
      <c r="S334">
        <v>44</v>
      </c>
      <c r="T334">
        <v>42.6</v>
      </c>
      <c r="U334">
        <v>0.5</v>
      </c>
      <c r="V334">
        <v>2</v>
      </c>
      <c r="W334">
        <v>10.5</v>
      </c>
      <c r="X334">
        <v>8.9649000000000001</v>
      </c>
      <c r="Y334">
        <v>1.30715</v>
      </c>
      <c r="Z334">
        <v>81.579899999999995</v>
      </c>
      <c r="AA334">
        <v>10</v>
      </c>
      <c r="AB334">
        <v>0.42</v>
      </c>
      <c r="AC334">
        <v>217</v>
      </c>
      <c r="AD334">
        <v>8</v>
      </c>
    </row>
    <row r="335" spans="1:30" x14ac:dyDescent="0.55000000000000004">
      <c r="A335">
        <v>92520</v>
      </c>
      <c r="B335" s="19">
        <v>42169</v>
      </c>
      <c r="C335">
        <v>811</v>
      </c>
      <c r="D335">
        <v>2015</v>
      </c>
      <c r="E335">
        <v>25</v>
      </c>
      <c r="F335">
        <v>629</v>
      </c>
      <c r="G335">
        <v>1</v>
      </c>
      <c r="H335">
        <v>415</v>
      </c>
      <c r="I335">
        <v>3</v>
      </c>
      <c r="J335">
        <v>4852.82</v>
      </c>
      <c r="K335">
        <v>8746.02</v>
      </c>
      <c r="L335">
        <v>4853.21</v>
      </c>
      <c r="M335">
        <v>8745.99</v>
      </c>
      <c r="N335">
        <v>48.880333</v>
      </c>
      <c r="O335">
        <v>-87.766999999999996</v>
      </c>
      <c r="P335">
        <v>48.886833000000003</v>
      </c>
      <c r="Q335">
        <v>-87.766499999999994</v>
      </c>
      <c r="R335">
        <v>368.87364580000002</v>
      </c>
      <c r="S335">
        <v>44</v>
      </c>
      <c r="T335">
        <v>42.6</v>
      </c>
      <c r="U335">
        <v>0.5</v>
      </c>
      <c r="V335">
        <v>2</v>
      </c>
      <c r="W335">
        <v>10.5</v>
      </c>
      <c r="X335">
        <v>8.9649000000000001</v>
      </c>
      <c r="Y335">
        <v>1.30715</v>
      </c>
      <c r="Z335">
        <v>81.579899999999995</v>
      </c>
      <c r="AA335">
        <v>10</v>
      </c>
      <c r="AB335">
        <v>0.42</v>
      </c>
      <c r="AC335">
        <v>217</v>
      </c>
      <c r="AD335">
        <v>10</v>
      </c>
    </row>
    <row r="336" spans="1:30" x14ac:dyDescent="0.55000000000000004">
      <c r="A336">
        <v>92520</v>
      </c>
      <c r="B336" s="19">
        <v>42169</v>
      </c>
      <c r="C336">
        <v>811</v>
      </c>
      <c r="D336">
        <v>2015</v>
      </c>
      <c r="E336">
        <v>25</v>
      </c>
      <c r="F336">
        <v>629</v>
      </c>
      <c r="G336">
        <v>1</v>
      </c>
      <c r="H336">
        <v>415</v>
      </c>
      <c r="I336">
        <v>3</v>
      </c>
      <c r="J336">
        <v>4852.82</v>
      </c>
      <c r="K336">
        <v>8746.02</v>
      </c>
      <c r="L336">
        <v>4853.21</v>
      </c>
      <c r="M336">
        <v>8745.99</v>
      </c>
      <c r="N336">
        <v>48.880333</v>
      </c>
      <c r="O336">
        <v>-87.766999999999996</v>
      </c>
      <c r="P336">
        <v>48.886833000000003</v>
      </c>
      <c r="Q336">
        <v>-87.766499999999994</v>
      </c>
      <c r="R336">
        <v>368.87364580000002</v>
      </c>
      <c r="S336">
        <v>44</v>
      </c>
      <c r="T336">
        <v>42.6</v>
      </c>
      <c r="U336">
        <v>0.5</v>
      </c>
      <c r="V336">
        <v>2</v>
      </c>
      <c r="W336">
        <v>10.5</v>
      </c>
      <c r="X336">
        <v>8.9649000000000001</v>
      </c>
      <c r="Y336">
        <v>1.30715</v>
      </c>
      <c r="Z336">
        <v>81.579899999999995</v>
      </c>
      <c r="AA336">
        <v>10</v>
      </c>
      <c r="AB336">
        <v>0.42</v>
      </c>
      <c r="AC336">
        <v>300</v>
      </c>
      <c r="AD336">
        <v>1</v>
      </c>
    </row>
    <row r="337" spans="1:30" x14ac:dyDescent="0.55000000000000004">
      <c r="A337">
        <v>92525</v>
      </c>
      <c r="B337" s="19">
        <v>42169</v>
      </c>
      <c r="C337">
        <v>1007</v>
      </c>
      <c r="D337">
        <v>2015</v>
      </c>
      <c r="E337">
        <v>25</v>
      </c>
      <c r="F337">
        <v>630</v>
      </c>
      <c r="G337">
        <v>1</v>
      </c>
      <c r="H337">
        <v>414</v>
      </c>
      <c r="I337">
        <v>3</v>
      </c>
      <c r="J337">
        <v>4856.3999999999996</v>
      </c>
      <c r="K337">
        <v>8758.92</v>
      </c>
      <c r="L337">
        <v>4856.7700000000004</v>
      </c>
      <c r="M337">
        <v>8758.69</v>
      </c>
      <c r="N337">
        <v>48.94</v>
      </c>
      <c r="O337">
        <v>-87.981999999999999</v>
      </c>
      <c r="P337">
        <v>48.946167000000003</v>
      </c>
      <c r="Q337">
        <v>-87.978166999999999</v>
      </c>
      <c r="R337">
        <v>120.4588639</v>
      </c>
      <c r="S337">
        <v>25.6</v>
      </c>
      <c r="T337">
        <v>25</v>
      </c>
      <c r="U337">
        <v>0.5</v>
      </c>
      <c r="V337">
        <v>2</v>
      </c>
      <c r="W337">
        <v>11.6</v>
      </c>
      <c r="X337">
        <v>11.5443</v>
      </c>
      <c r="Y337">
        <v>0.10925</v>
      </c>
      <c r="Z337">
        <v>39.989699999999999</v>
      </c>
      <c r="AA337">
        <v>10</v>
      </c>
      <c r="AB337">
        <v>0.42</v>
      </c>
      <c r="AC337">
        <v>217</v>
      </c>
      <c r="AD337">
        <v>1559</v>
      </c>
    </row>
    <row r="338" spans="1:30" x14ac:dyDescent="0.55000000000000004">
      <c r="A338">
        <v>92526</v>
      </c>
      <c r="B338" s="19">
        <v>42169</v>
      </c>
      <c r="C338">
        <v>1007</v>
      </c>
      <c r="D338">
        <v>2015</v>
      </c>
      <c r="E338">
        <v>25</v>
      </c>
      <c r="F338">
        <v>631</v>
      </c>
      <c r="G338">
        <v>1</v>
      </c>
      <c r="H338">
        <v>414</v>
      </c>
      <c r="I338">
        <v>3</v>
      </c>
      <c r="J338">
        <v>4856.3999999999996</v>
      </c>
      <c r="K338">
        <v>8758.92</v>
      </c>
      <c r="L338">
        <v>4856.7700000000004</v>
      </c>
      <c r="M338">
        <v>8758.69</v>
      </c>
      <c r="N338">
        <v>48.94</v>
      </c>
      <c r="O338">
        <v>-87.981999999999999</v>
      </c>
      <c r="P338">
        <v>48.946167000000003</v>
      </c>
      <c r="Q338">
        <v>-87.978166999999999</v>
      </c>
      <c r="R338">
        <v>120.4588639</v>
      </c>
      <c r="S338">
        <v>25.6</v>
      </c>
      <c r="T338">
        <v>25</v>
      </c>
      <c r="U338">
        <v>0.5</v>
      </c>
      <c r="V338">
        <v>2</v>
      </c>
      <c r="W338">
        <v>11.6</v>
      </c>
      <c r="X338">
        <v>11.5443</v>
      </c>
      <c r="Y338">
        <v>0.10925</v>
      </c>
      <c r="Z338">
        <v>39.989699999999999</v>
      </c>
      <c r="AA338">
        <v>10</v>
      </c>
      <c r="AB338">
        <v>0.42</v>
      </c>
      <c r="AC338">
        <v>217</v>
      </c>
      <c r="AD338">
        <v>793</v>
      </c>
    </row>
    <row r="339" spans="1:30" x14ac:dyDescent="0.55000000000000004">
      <c r="A339">
        <v>92527</v>
      </c>
      <c r="B339" s="19">
        <v>42169</v>
      </c>
      <c r="C339">
        <v>1204</v>
      </c>
      <c r="D339">
        <v>2015</v>
      </c>
      <c r="E339">
        <v>25</v>
      </c>
      <c r="F339">
        <v>632</v>
      </c>
      <c r="G339">
        <v>1</v>
      </c>
      <c r="H339">
        <v>413</v>
      </c>
      <c r="I339">
        <v>3</v>
      </c>
      <c r="J339">
        <v>4856.01</v>
      </c>
      <c r="K339">
        <v>8813.0300000000007</v>
      </c>
      <c r="L339">
        <v>4856.1099999999997</v>
      </c>
      <c r="M339">
        <v>8813.5499999999993</v>
      </c>
      <c r="N339">
        <v>48.933500000000002</v>
      </c>
      <c r="O339">
        <v>-88.217167000000003</v>
      </c>
      <c r="P339">
        <v>48.935167</v>
      </c>
      <c r="Q339">
        <v>-88.225832999999994</v>
      </c>
      <c r="R339">
        <v>548.07993610000005</v>
      </c>
      <c r="S339">
        <v>22</v>
      </c>
      <c r="T339">
        <v>20.8</v>
      </c>
      <c r="U339">
        <v>0.5</v>
      </c>
      <c r="V339">
        <v>2</v>
      </c>
      <c r="W339">
        <v>13.6</v>
      </c>
      <c r="X339">
        <v>13.27</v>
      </c>
      <c r="Y339">
        <v>-0.81899999999999995</v>
      </c>
      <c r="Z339">
        <v>52.630400000000002</v>
      </c>
      <c r="AA339">
        <v>10</v>
      </c>
      <c r="AB339">
        <v>0.42</v>
      </c>
      <c r="AC339">
        <v>217</v>
      </c>
      <c r="AD339">
        <v>7</v>
      </c>
    </row>
    <row r="340" spans="1:30" x14ac:dyDescent="0.55000000000000004">
      <c r="A340">
        <v>92528</v>
      </c>
      <c r="B340" s="19">
        <v>42169</v>
      </c>
      <c r="C340">
        <v>1204</v>
      </c>
      <c r="D340">
        <v>2015</v>
      </c>
      <c r="E340">
        <v>25</v>
      </c>
      <c r="F340">
        <v>633</v>
      </c>
      <c r="G340">
        <v>1</v>
      </c>
      <c r="H340">
        <v>413</v>
      </c>
      <c r="I340">
        <v>3</v>
      </c>
      <c r="J340">
        <v>4856.01</v>
      </c>
      <c r="K340">
        <v>8813.0300000000007</v>
      </c>
      <c r="L340">
        <v>4856.1099999999997</v>
      </c>
      <c r="M340">
        <v>8813.5499999999993</v>
      </c>
      <c r="N340">
        <v>48.933500000000002</v>
      </c>
      <c r="O340">
        <v>-88.217167000000003</v>
      </c>
      <c r="P340">
        <v>48.935167</v>
      </c>
      <c r="Q340">
        <v>-88.225832999999994</v>
      </c>
      <c r="R340">
        <v>548.07993610000005</v>
      </c>
      <c r="S340">
        <v>22</v>
      </c>
      <c r="T340">
        <v>20.8</v>
      </c>
      <c r="U340">
        <v>0.5</v>
      </c>
      <c r="V340">
        <v>2</v>
      </c>
      <c r="W340">
        <v>13.6</v>
      </c>
      <c r="X340">
        <v>13.27</v>
      </c>
      <c r="Y340">
        <v>-0.81899999999999995</v>
      </c>
      <c r="Z340">
        <v>52.630400000000002</v>
      </c>
      <c r="AA340">
        <v>10</v>
      </c>
      <c r="AB340">
        <v>0.42</v>
      </c>
      <c r="AC340">
        <v>217</v>
      </c>
      <c r="AD340">
        <v>11</v>
      </c>
    </row>
    <row r="341" spans="1:30" x14ac:dyDescent="0.55000000000000004">
      <c r="A341">
        <v>92528</v>
      </c>
      <c r="B341" s="19">
        <v>42169</v>
      </c>
      <c r="C341">
        <v>1204</v>
      </c>
      <c r="D341">
        <v>2015</v>
      </c>
      <c r="E341">
        <v>25</v>
      </c>
      <c r="F341">
        <v>633</v>
      </c>
      <c r="G341">
        <v>1</v>
      </c>
      <c r="H341">
        <v>413</v>
      </c>
      <c r="I341">
        <v>3</v>
      </c>
      <c r="J341">
        <v>4856.01</v>
      </c>
      <c r="K341">
        <v>8813.0300000000007</v>
      </c>
      <c r="L341">
        <v>4856.1099999999997</v>
      </c>
      <c r="M341">
        <v>8813.5499999999993</v>
      </c>
      <c r="N341">
        <v>48.933500000000002</v>
      </c>
      <c r="O341">
        <v>-88.217167000000003</v>
      </c>
      <c r="P341">
        <v>48.935167</v>
      </c>
      <c r="Q341">
        <v>-88.225832999999994</v>
      </c>
      <c r="R341">
        <v>548.07993610000005</v>
      </c>
      <c r="S341">
        <v>22</v>
      </c>
      <c r="T341">
        <v>20.8</v>
      </c>
      <c r="U341">
        <v>0.5</v>
      </c>
      <c r="V341">
        <v>2</v>
      </c>
      <c r="W341">
        <v>13.6</v>
      </c>
      <c r="X341">
        <v>13.27</v>
      </c>
      <c r="Y341">
        <v>-0.81899999999999995</v>
      </c>
      <c r="Z341">
        <v>52.630400000000002</v>
      </c>
      <c r="AA341">
        <v>10</v>
      </c>
      <c r="AB341">
        <v>0.42</v>
      </c>
      <c r="AC341">
        <v>300</v>
      </c>
      <c r="AD341">
        <v>1</v>
      </c>
    </row>
    <row r="342" spans="1:30" x14ac:dyDescent="0.55000000000000004">
      <c r="A342">
        <v>92529</v>
      </c>
      <c r="B342" s="19">
        <v>42169</v>
      </c>
      <c r="C342">
        <v>1402</v>
      </c>
      <c r="D342">
        <v>2015</v>
      </c>
      <c r="E342">
        <v>25</v>
      </c>
      <c r="F342">
        <v>634</v>
      </c>
      <c r="G342">
        <v>1</v>
      </c>
      <c r="H342">
        <v>412</v>
      </c>
      <c r="I342">
        <v>3</v>
      </c>
      <c r="J342">
        <v>4849.62</v>
      </c>
      <c r="K342">
        <v>8805.7199999999993</v>
      </c>
      <c r="L342">
        <v>4849.6899999999996</v>
      </c>
      <c r="M342">
        <v>8806.2800000000007</v>
      </c>
      <c r="N342">
        <v>48.826999999999998</v>
      </c>
      <c r="O342">
        <v>-88.095332999999997</v>
      </c>
      <c r="P342">
        <v>48.828167000000001</v>
      </c>
      <c r="Q342">
        <v>-88.104667000000006</v>
      </c>
      <c r="R342">
        <v>2048.9014940000002</v>
      </c>
      <c r="S342">
        <v>25.9</v>
      </c>
      <c r="T342">
        <v>44.6</v>
      </c>
      <c r="U342">
        <v>0.5</v>
      </c>
      <c r="V342">
        <v>2</v>
      </c>
      <c r="W342">
        <v>13.1</v>
      </c>
      <c r="X342">
        <v>12.663349999999999</v>
      </c>
      <c r="Y342">
        <v>0.83455000000000001</v>
      </c>
      <c r="Z342">
        <v>58.299050000000001</v>
      </c>
      <c r="AA342">
        <v>10</v>
      </c>
      <c r="AB342">
        <v>0.42</v>
      </c>
      <c r="AC342">
        <v>0</v>
      </c>
      <c r="AD342">
        <v>0</v>
      </c>
    </row>
    <row r="343" spans="1:30" x14ac:dyDescent="0.55000000000000004">
      <c r="A343">
        <v>92530</v>
      </c>
      <c r="B343" s="19">
        <v>42169</v>
      </c>
      <c r="C343">
        <v>1402</v>
      </c>
      <c r="D343">
        <v>2015</v>
      </c>
      <c r="E343">
        <v>25</v>
      </c>
      <c r="F343">
        <v>635</v>
      </c>
      <c r="G343">
        <v>1</v>
      </c>
      <c r="H343">
        <v>412</v>
      </c>
      <c r="I343">
        <v>3</v>
      </c>
      <c r="J343">
        <v>4849.62</v>
      </c>
      <c r="K343">
        <v>8805.7199999999993</v>
      </c>
      <c r="L343">
        <v>4849.6899999999996</v>
      </c>
      <c r="M343">
        <v>8806.2800000000007</v>
      </c>
      <c r="N343">
        <v>48.826999999999998</v>
      </c>
      <c r="O343">
        <v>-88.095332999999997</v>
      </c>
      <c r="P343">
        <v>48.828167000000001</v>
      </c>
      <c r="Q343">
        <v>-88.104667000000006</v>
      </c>
      <c r="R343">
        <v>2048.9014940000002</v>
      </c>
      <c r="S343">
        <v>25.9</v>
      </c>
      <c r="T343">
        <v>44.6</v>
      </c>
      <c r="U343">
        <v>0.5</v>
      </c>
      <c r="V343">
        <v>2</v>
      </c>
      <c r="W343">
        <v>13.1</v>
      </c>
      <c r="X343">
        <v>12.663349999999999</v>
      </c>
      <c r="Y343">
        <v>0.83455000000000001</v>
      </c>
      <c r="Z343">
        <v>58.299050000000001</v>
      </c>
      <c r="AA343">
        <v>10</v>
      </c>
      <c r="AB343">
        <v>0.42</v>
      </c>
      <c r="AC343">
        <v>0</v>
      </c>
      <c r="AD343">
        <v>0</v>
      </c>
    </row>
    <row r="344" spans="1:30" x14ac:dyDescent="0.55000000000000004">
      <c r="A344">
        <v>92531</v>
      </c>
      <c r="B344" s="19">
        <v>42169</v>
      </c>
      <c r="C344">
        <v>1643</v>
      </c>
      <c r="D344">
        <v>2015</v>
      </c>
      <c r="E344">
        <v>25</v>
      </c>
      <c r="F344">
        <v>636</v>
      </c>
      <c r="G344">
        <v>1</v>
      </c>
      <c r="H344">
        <v>411</v>
      </c>
      <c r="I344">
        <v>3</v>
      </c>
      <c r="J344">
        <v>4835.92</v>
      </c>
      <c r="K344">
        <v>8818.09</v>
      </c>
      <c r="L344">
        <v>4835.6099999999997</v>
      </c>
      <c r="M344">
        <v>8818.35</v>
      </c>
      <c r="N344">
        <v>48.598666999999999</v>
      </c>
      <c r="O344">
        <v>-88.301500000000004</v>
      </c>
      <c r="P344">
        <v>48.593499999999999</v>
      </c>
      <c r="Q344">
        <v>-88.305833000000007</v>
      </c>
      <c r="R344">
        <v>586.42803460000005</v>
      </c>
      <c r="S344">
        <v>55.5</v>
      </c>
      <c r="T344">
        <v>29.2</v>
      </c>
      <c r="U344">
        <v>0.5</v>
      </c>
      <c r="V344">
        <v>2</v>
      </c>
      <c r="W344">
        <v>7.7</v>
      </c>
      <c r="X344">
        <v>7.9583000000000004</v>
      </c>
      <c r="Y344">
        <v>0.1608</v>
      </c>
      <c r="Z344">
        <v>87.589200000000005</v>
      </c>
      <c r="AA344">
        <v>10</v>
      </c>
      <c r="AB344">
        <v>0.42</v>
      </c>
      <c r="AC344">
        <v>217</v>
      </c>
      <c r="AD344">
        <v>67</v>
      </c>
    </row>
    <row r="345" spans="1:30" x14ac:dyDescent="0.55000000000000004">
      <c r="A345">
        <v>92532</v>
      </c>
      <c r="B345" s="19">
        <v>42169</v>
      </c>
      <c r="C345">
        <v>1643</v>
      </c>
      <c r="D345">
        <v>2015</v>
      </c>
      <c r="E345">
        <v>25</v>
      </c>
      <c r="F345">
        <v>637</v>
      </c>
      <c r="G345">
        <v>1</v>
      </c>
      <c r="H345">
        <v>411</v>
      </c>
      <c r="I345">
        <v>3</v>
      </c>
      <c r="J345">
        <v>4835.92</v>
      </c>
      <c r="K345">
        <v>8818.09</v>
      </c>
      <c r="L345">
        <v>4835.6099999999997</v>
      </c>
      <c r="M345">
        <v>8818.35</v>
      </c>
      <c r="N345">
        <v>48.598666999999999</v>
      </c>
      <c r="O345">
        <v>-88.301500000000004</v>
      </c>
      <c r="P345">
        <v>48.593499999999999</v>
      </c>
      <c r="Q345">
        <v>-88.305833000000007</v>
      </c>
      <c r="R345">
        <v>586.42803460000005</v>
      </c>
      <c r="S345">
        <v>55.5</v>
      </c>
      <c r="T345">
        <v>29.2</v>
      </c>
      <c r="U345">
        <v>0.5</v>
      </c>
      <c r="V345">
        <v>2</v>
      </c>
      <c r="W345">
        <v>7.7</v>
      </c>
      <c r="X345">
        <v>7.9583000000000004</v>
      </c>
      <c r="Y345">
        <v>0.1608</v>
      </c>
      <c r="Z345">
        <v>87.589200000000005</v>
      </c>
      <c r="AA345">
        <v>10</v>
      </c>
      <c r="AB345">
        <v>0.42</v>
      </c>
      <c r="AC345">
        <v>217</v>
      </c>
      <c r="AD345">
        <v>55</v>
      </c>
    </row>
    <row r="346" spans="1:30" x14ac:dyDescent="0.55000000000000004">
      <c r="A346">
        <v>92534</v>
      </c>
      <c r="B346" s="19">
        <v>42170</v>
      </c>
      <c r="C346">
        <v>923</v>
      </c>
      <c r="D346">
        <v>2015</v>
      </c>
      <c r="E346">
        <v>25</v>
      </c>
      <c r="F346">
        <v>638</v>
      </c>
      <c r="G346">
        <v>1</v>
      </c>
      <c r="H346">
        <v>408</v>
      </c>
      <c r="I346">
        <v>3</v>
      </c>
      <c r="J346">
        <v>4836.1400000000003</v>
      </c>
      <c r="K346">
        <v>8830.2999999999993</v>
      </c>
      <c r="L346">
        <v>4836.09</v>
      </c>
      <c r="M346">
        <v>8829.75</v>
      </c>
      <c r="N346">
        <v>48.602333000000002</v>
      </c>
      <c r="O346">
        <v>-88.504999999999995</v>
      </c>
      <c r="P346">
        <v>48.601500000000001</v>
      </c>
      <c r="Q346">
        <v>-88.495833000000005</v>
      </c>
      <c r="R346">
        <v>2578.7394789999998</v>
      </c>
      <c r="S346">
        <v>17.8</v>
      </c>
      <c r="T346">
        <v>19.2</v>
      </c>
      <c r="U346">
        <v>0.5</v>
      </c>
      <c r="V346">
        <v>2</v>
      </c>
      <c r="W346">
        <v>15.1</v>
      </c>
      <c r="X346">
        <v>15.131349999999999</v>
      </c>
      <c r="Y346">
        <v>0.22495000000000001</v>
      </c>
      <c r="Z346">
        <v>59.365949999999998</v>
      </c>
      <c r="AA346">
        <v>10</v>
      </c>
      <c r="AB346">
        <v>0.42</v>
      </c>
      <c r="AC346">
        <v>217</v>
      </c>
      <c r="AD346">
        <v>2</v>
      </c>
    </row>
    <row r="347" spans="1:30" x14ac:dyDescent="0.55000000000000004">
      <c r="A347">
        <v>92534</v>
      </c>
      <c r="B347" s="19">
        <v>42170</v>
      </c>
      <c r="C347">
        <v>923</v>
      </c>
      <c r="D347">
        <v>2015</v>
      </c>
      <c r="E347">
        <v>25</v>
      </c>
      <c r="F347">
        <v>638</v>
      </c>
      <c r="G347">
        <v>1</v>
      </c>
      <c r="H347">
        <v>408</v>
      </c>
      <c r="I347">
        <v>3</v>
      </c>
      <c r="J347">
        <v>4836.1400000000003</v>
      </c>
      <c r="K347">
        <v>8830.2999999999993</v>
      </c>
      <c r="L347">
        <v>4836.09</v>
      </c>
      <c r="M347">
        <v>8829.75</v>
      </c>
      <c r="N347">
        <v>48.602333000000002</v>
      </c>
      <c r="O347">
        <v>-88.504999999999995</v>
      </c>
      <c r="P347">
        <v>48.601500000000001</v>
      </c>
      <c r="Q347">
        <v>-88.495833000000005</v>
      </c>
      <c r="R347">
        <v>2578.7394789999998</v>
      </c>
      <c r="S347">
        <v>17.8</v>
      </c>
      <c r="T347">
        <v>19.2</v>
      </c>
      <c r="U347">
        <v>0.5</v>
      </c>
      <c r="V347">
        <v>2</v>
      </c>
      <c r="W347">
        <v>15.1</v>
      </c>
      <c r="X347">
        <v>15.131349999999999</v>
      </c>
      <c r="Y347">
        <v>0.22495000000000001</v>
      </c>
      <c r="Z347">
        <v>59.365949999999998</v>
      </c>
      <c r="AA347">
        <v>10</v>
      </c>
      <c r="AB347">
        <v>0.42</v>
      </c>
      <c r="AC347">
        <v>511</v>
      </c>
      <c r="AD347">
        <v>1</v>
      </c>
    </row>
    <row r="348" spans="1:30" x14ac:dyDescent="0.55000000000000004">
      <c r="A348">
        <v>92535</v>
      </c>
      <c r="B348" s="19">
        <v>42170</v>
      </c>
      <c r="C348">
        <v>923</v>
      </c>
      <c r="D348">
        <v>2015</v>
      </c>
      <c r="E348">
        <v>25</v>
      </c>
      <c r="F348">
        <v>639</v>
      </c>
      <c r="G348">
        <v>1</v>
      </c>
      <c r="H348">
        <v>408</v>
      </c>
      <c r="I348">
        <v>3</v>
      </c>
      <c r="J348">
        <v>4836.1400000000003</v>
      </c>
      <c r="K348">
        <v>8830.2999999999993</v>
      </c>
      <c r="L348">
        <v>4836.09</v>
      </c>
      <c r="M348">
        <v>8829.75</v>
      </c>
      <c r="N348">
        <v>48.602333000000002</v>
      </c>
      <c r="O348">
        <v>-88.504999999999995</v>
      </c>
      <c r="P348">
        <v>48.601500000000001</v>
      </c>
      <c r="Q348">
        <v>-88.495833000000005</v>
      </c>
      <c r="R348">
        <v>2578.7394789999998</v>
      </c>
      <c r="S348">
        <v>17.8</v>
      </c>
      <c r="T348">
        <v>19.2</v>
      </c>
      <c r="U348">
        <v>0.5</v>
      </c>
      <c r="V348">
        <v>2</v>
      </c>
      <c r="W348">
        <v>15.1</v>
      </c>
      <c r="X348">
        <v>15.131349999999999</v>
      </c>
      <c r="Y348">
        <v>0.22495000000000001</v>
      </c>
      <c r="Z348">
        <v>59.365949999999998</v>
      </c>
      <c r="AA348">
        <v>10</v>
      </c>
      <c r="AB348">
        <v>0.42</v>
      </c>
      <c r="AC348">
        <v>0</v>
      </c>
      <c r="AD348">
        <v>0</v>
      </c>
    </row>
    <row r="349" spans="1:30" x14ac:dyDescent="0.55000000000000004">
      <c r="A349">
        <v>92537</v>
      </c>
      <c r="B349" s="19">
        <v>42170</v>
      </c>
      <c r="C349">
        <v>1043</v>
      </c>
      <c r="D349">
        <v>2015</v>
      </c>
      <c r="E349">
        <v>25</v>
      </c>
      <c r="F349">
        <v>640</v>
      </c>
      <c r="G349">
        <v>1</v>
      </c>
      <c r="H349">
        <v>407</v>
      </c>
      <c r="I349">
        <v>3</v>
      </c>
      <c r="J349">
        <v>4833.57</v>
      </c>
      <c r="K349">
        <v>8834.5499999999993</v>
      </c>
      <c r="L349">
        <v>4833.6899999999996</v>
      </c>
      <c r="M349">
        <v>8835.06</v>
      </c>
      <c r="N349">
        <v>48.5595</v>
      </c>
      <c r="O349">
        <v>-88.575833000000003</v>
      </c>
      <c r="P349">
        <v>48.561500000000002</v>
      </c>
      <c r="Q349">
        <v>-88.584333000000001</v>
      </c>
      <c r="R349">
        <v>3435.6861610000001</v>
      </c>
      <c r="S349">
        <v>28.6</v>
      </c>
      <c r="T349">
        <v>22.1</v>
      </c>
      <c r="U349">
        <v>0.5</v>
      </c>
      <c r="V349">
        <v>2</v>
      </c>
      <c r="W349">
        <v>13.2</v>
      </c>
      <c r="X349">
        <v>13.389849999999999</v>
      </c>
      <c r="Y349">
        <v>0.56835000000000002</v>
      </c>
      <c r="Z349">
        <v>75.138099999999994</v>
      </c>
      <c r="AA349">
        <v>10</v>
      </c>
      <c r="AB349">
        <v>0.4</v>
      </c>
      <c r="AC349">
        <v>0</v>
      </c>
      <c r="AD349">
        <v>0</v>
      </c>
    </row>
    <row r="350" spans="1:30" x14ac:dyDescent="0.55000000000000004">
      <c r="A350">
        <v>92538</v>
      </c>
      <c r="B350" s="19">
        <v>42170</v>
      </c>
      <c r="C350">
        <v>1043</v>
      </c>
      <c r="D350">
        <v>2015</v>
      </c>
      <c r="E350">
        <v>25</v>
      </c>
      <c r="F350">
        <v>641</v>
      </c>
      <c r="G350">
        <v>1</v>
      </c>
      <c r="H350">
        <v>407</v>
      </c>
      <c r="I350">
        <v>3</v>
      </c>
      <c r="J350">
        <v>4833.57</v>
      </c>
      <c r="K350">
        <v>8834.5499999999993</v>
      </c>
      <c r="L350">
        <v>4833.6899999999996</v>
      </c>
      <c r="M350">
        <v>8835.06</v>
      </c>
      <c r="N350">
        <v>48.5595</v>
      </c>
      <c r="O350">
        <v>-88.575833000000003</v>
      </c>
      <c r="P350">
        <v>48.561500000000002</v>
      </c>
      <c r="Q350">
        <v>-88.584333000000001</v>
      </c>
      <c r="R350">
        <v>3435.6861610000001</v>
      </c>
      <c r="S350">
        <v>28.6</v>
      </c>
      <c r="T350">
        <v>22.1</v>
      </c>
      <c r="U350">
        <v>0.5</v>
      </c>
      <c r="V350">
        <v>2</v>
      </c>
      <c r="W350">
        <v>13.2</v>
      </c>
      <c r="X350">
        <v>13.389849999999999</v>
      </c>
      <c r="Y350">
        <v>0.56835000000000002</v>
      </c>
      <c r="Z350">
        <v>75.138099999999994</v>
      </c>
      <c r="AA350">
        <v>10</v>
      </c>
      <c r="AB350">
        <v>0.4</v>
      </c>
      <c r="AC350">
        <v>0</v>
      </c>
      <c r="AD350">
        <v>0</v>
      </c>
    </row>
    <row r="351" spans="1:30" x14ac:dyDescent="0.55000000000000004">
      <c r="A351">
        <v>92539</v>
      </c>
      <c r="B351" s="19">
        <v>42170</v>
      </c>
      <c r="C351">
        <v>1211</v>
      </c>
      <c r="D351">
        <v>2015</v>
      </c>
      <c r="E351">
        <v>25</v>
      </c>
      <c r="F351">
        <v>642</v>
      </c>
      <c r="G351">
        <v>1</v>
      </c>
      <c r="H351">
        <v>406</v>
      </c>
      <c r="I351">
        <v>3</v>
      </c>
      <c r="J351">
        <v>4829.46</v>
      </c>
      <c r="K351">
        <v>8837.41</v>
      </c>
      <c r="L351">
        <v>4829.58</v>
      </c>
      <c r="M351">
        <v>8836.91</v>
      </c>
      <c r="N351">
        <v>48.491</v>
      </c>
      <c r="O351">
        <v>-88.623500000000007</v>
      </c>
      <c r="P351">
        <v>48.493000000000002</v>
      </c>
      <c r="Q351">
        <v>-88.615167</v>
      </c>
      <c r="R351">
        <v>990.25055569999995</v>
      </c>
      <c r="S351">
        <v>32.700000000000003</v>
      </c>
      <c r="T351">
        <v>30.7</v>
      </c>
      <c r="U351">
        <v>0.5</v>
      </c>
      <c r="V351">
        <v>2</v>
      </c>
      <c r="W351">
        <v>12.6</v>
      </c>
      <c r="X351">
        <v>12.755050000000001</v>
      </c>
      <c r="Y351">
        <v>0.20935000000000001</v>
      </c>
      <c r="Z351">
        <v>68.938100000000006</v>
      </c>
      <c r="AA351">
        <v>10</v>
      </c>
      <c r="AB351">
        <v>0.45</v>
      </c>
      <c r="AC351">
        <v>217</v>
      </c>
      <c r="AD351">
        <v>3</v>
      </c>
    </row>
    <row r="352" spans="1:30" x14ac:dyDescent="0.55000000000000004">
      <c r="A352">
        <v>92540</v>
      </c>
      <c r="B352" s="19">
        <v>42170</v>
      </c>
      <c r="C352">
        <v>1211</v>
      </c>
      <c r="D352">
        <v>2015</v>
      </c>
      <c r="E352">
        <v>25</v>
      </c>
      <c r="F352">
        <v>643</v>
      </c>
      <c r="G352">
        <v>1</v>
      </c>
      <c r="H352">
        <v>406</v>
      </c>
      <c r="I352">
        <v>3</v>
      </c>
      <c r="J352">
        <v>4829.46</v>
      </c>
      <c r="K352">
        <v>8837.41</v>
      </c>
      <c r="L352">
        <v>4829.58</v>
      </c>
      <c r="M352">
        <v>8836.91</v>
      </c>
      <c r="N352">
        <v>48.491</v>
      </c>
      <c r="O352">
        <v>-88.623500000000007</v>
      </c>
      <c r="P352">
        <v>48.493000000000002</v>
      </c>
      <c r="Q352">
        <v>-88.615167</v>
      </c>
      <c r="R352">
        <v>990.25055569999995</v>
      </c>
      <c r="S352">
        <v>32.700000000000003</v>
      </c>
      <c r="T352">
        <v>30.7</v>
      </c>
      <c r="U352">
        <v>0.5</v>
      </c>
      <c r="V352">
        <v>2</v>
      </c>
      <c r="W352">
        <v>12.6</v>
      </c>
      <c r="X352">
        <v>12.755050000000001</v>
      </c>
      <c r="Y352">
        <v>0.20935000000000001</v>
      </c>
      <c r="Z352">
        <v>68.938100000000006</v>
      </c>
      <c r="AA352">
        <v>10</v>
      </c>
      <c r="AB352">
        <v>0.45</v>
      </c>
      <c r="AC352">
        <v>0</v>
      </c>
      <c r="AD352">
        <v>0</v>
      </c>
    </row>
    <row r="353" spans="1:30" x14ac:dyDescent="0.55000000000000004">
      <c r="A353">
        <v>92543</v>
      </c>
      <c r="B353" s="19">
        <v>42170</v>
      </c>
      <c r="C353">
        <v>1353</v>
      </c>
      <c r="D353">
        <v>2015</v>
      </c>
      <c r="E353">
        <v>25</v>
      </c>
      <c r="F353">
        <v>644</v>
      </c>
      <c r="G353">
        <v>1</v>
      </c>
      <c r="H353">
        <v>405</v>
      </c>
      <c r="I353">
        <v>3</v>
      </c>
      <c r="J353">
        <v>4824.46</v>
      </c>
      <c r="K353">
        <v>8840.91</v>
      </c>
      <c r="L353">
        <v>4824.58</v>
      </c>
      <c r="M353">
        <v>8841.4699999999993</v>
      </c>
      <c r="N353">
        <v>48.407667000000004</v>
      </c>
      <c r="O353">
        <v>-88.681832999999997</v>
      </c>
      <c r="P353">
        <v>48.409666999999999</v>
      </c>
      <c r="Q353">
        <v>-88.691166999999993</v>
      </c>
      <c r="R353">
        <v>793.36209940000003</v>
      </c>
      <c r="S353">
        <v>57</v>
      </c>
      <c r="T353">
        <v>31</v>
      </c>
      <c r="U353">
        <v>0.5</v>
      </c>
      <c r="V353">
        <v>2</v>
      </c>
      <c r="W353">
        <v>9.1999999999999993</v>
      </c>
      <c r="X353">
        <v>9.5877499999999998</v>
      </c>
      <c r="Y353">
        <v>0.22925000000000001</v>
      </c>
      <c r="Z353">
        <v>81.754900000000006</v>
      </c>
      <c r="AA353">
        <v>10</v>
      </c>
      <c r="AB353">
        <v>0.42</v>
      </c>
      <c r="AC353">
        <v>0</v>
      </c>
      <c r="AD353">
        <v>0</v>
      </c>
    </row>
    <row r="354" spans="1:30" x14ac:dyDescent="0.55000000000000004">
      <c r="A354">
        <v>92544</v>
      </c>
      <c r="B354" s="19">
        <v>42170</v>
      </c>
      <c r="C354">
        <v>1353</v>
      </c>
      <c r="D354">
        <v>2015</v>
      </c>
      <c r="E354">
        <v>25</v>
      </c>
      <c r="F354">
        <v>645</v>
      </c>
      <c r="G354">
        <v>1</v>
      </c>
      <c r="H354">
        <v>405</v>
      </c>
      <c r="I354">
        <v>3</v>
      </c>
      <c r="J354">
        <v>4824.46</v>
      </c>
      <c r="K354">
        <v>8840.91</v>
      </c>
      <c r="L354">
        <v>4824.58</v>
      </c>
      <c r="M354">
        <v>8841.4699999999993</v>
      </c>
      <c r="N354">
        <v>48.407667000000004</v>
      </c>
      <c r="O354">
        <v>-88.681832999999997</v>
      </c>
      <c r="P354">
        <v>48.409666999999999</v>
      </c>
      <c r="Q354">
        <v>-88.691166999999993</v>
      </c>
      <c r="R354">
        <v>793.36209940000003</v>
      </c>
      <c r="S354">
        <v>57</v>
      </c>
      <c r="T354">
        <v>31</v>
      </c>
      <c r="U354">
        <v>0.5</v>
      </c>
      <c r="V354">
        <v>2</v>
      </c>
      <c r="W354">
        <v>9.1999999999999993</v>
      </c>
      <c r="X354">
        <v>9.5877499999999998</v>
      </c>
      <c r="Y354">
        <v>0.22925000000000001</v>
      </c>
      <c r="Z354">
        <v>81.754900000000006</v>
      </c>
      <c r="AA354">
        <v>10</v>
      </c>
      <c r="AB354">
        <v>0.42</v>
      </c>
      <c r="AC354">
        <v>0</v>
      </c>
      <c r="AD354">
        <v>0</v>
      </c>
    </row>
    <row r="355" spans="1:30" x14ac:dyDescent="0.55000000000000004">
      <c r="A355">
        <v>92546</v>
      </c>
      <c r="B355" s="19">
        <v>42171</v>
      </c>
      <c r="C355">
        <v>1206</v>
      </c>
      <c r="D355">
        <v>2015</v>
      </c>
      <c r="E355">
        <v>25</v>
      </c>
      <c r="F355">
        <v>646</v>
      </c>
      <c r="G355">
        <v>1</v>
      </c>
      <c r="H355">
        <v>401</v>
      </c>
      <c r="I355">
        <v>3</v>
      </c>
      <c r="J355">
        <v>4830.2700000000004</v>
      </c>
      <c r="K355">
        <v>8855.67</v>
      </c>
      <c r="L355">
        <v>4830.57</v>
      </c>
      <c r="M355">
        <v>8856.0499999999993</v>
      </c>
      <c r="N355">
        <v>48.5045</v>
      </c>
      <c r="O355">
        <v>-88.927833000000007</v>
      </c>
      <c r="P355">
        <v>48.509500000000003</v>
      </c>
      <c r="Q355">
        <v>-88.934167000000002</v>
      </c>
      <c r="R355">
        <v>855.87547559999996</v>
      </c>
      <c r="S355">
        <v>44.3</v>
      </c>
      <c r="T355">
        <v>44.6</v>
      </c>
      <c r="U355">
        <v>0.5</v>
      </c>
      <c r="V355">
        <v>2</v>
      </c>
      <c r="W355">
        <v>9.9</v>
      </c>
      <c r="X355">
        <v>9.4913000000000007</v>
      </c>
      <c r="Y355">
        <v>0.24535000000000001</v>
      </c>
      <c r="Z355">
        <v>68.703199999999995</v>
      </c>
      <c r="AA355">
        <v>10</v>
      </c>
      <c r="AB355">
        <v>0.42</v>
      </c>
      <c r="AC355">
        <v>217</v>
      </c>
      <c r="AD355">
        <v>14</v>
      </c>
    </row>
    <row r="356" spans="1:30" x14ac:dyDescent="0.55000000000000004">
      <c r="A356">
        <v>92547</v>
      </c>
      <c r="B356" s="19">
        <v>42171</v>
      </c>
      <c r="C356">
        <v>1206</v>
      </c>
      <c r="D356">
        <v>2015</v>
      </c>
      <c r="E356">
        <v>25</v>
      </c>
      <c r="F356">
        <v>647</v>
      </c>
      <c r="G356">
        <v>1</v>
      </c>
      <c r="H356">
        <v>401</v>
      </c>
      <c r="I356">
        <v>3</v>
      </c>
      <c r="J356">
        <v>4830.2700000000004</v>
      </c>
      <c r="K356">
        <v>8855.67</v>
      </c>
      <c r="L356">
        <v>4830.57</v>
      </c>
      <c r="M356">
        <v>8856.0499999999993</v>
      </c>
      <c r="N356">
        <v>48.5045</v>
      </c>
      <c r="O356">
        <v>-88.927833000000007</v>
      </c>
      <c r="P356">
        <v>48.509500000000003</v>
      </c>
      <c r="Q356">
        <v>-88.934167000000002</v>
      </c>
      <c r="R356">
        <v>855.87547559999996</v>
      </c>
      <c r="S356">
        <v>44.3</v>
      </c>
      <c r="T356">
        <v>44.6</v>
      </c>
      <c r="U356">
        <v>0.5</v>
      </c>
      <c r="V356">
        <v>2</v>
      </c>
      <c r="W356">
        <v>9.9</v>
      </c>
      <c r="X356">
        <v>9.4913000000000007</v>
      </c>
      <c r="Y356">
        <v>0.24535000000000001</v>
      </c>
      <c r="Z356">
        <v>68.703199999999995</v>
      </c>
      <c r="AA356">
        <v>10</v>
      </c>
      <c r="AB356">
        <v>0.42</v>
      </c>
      <c r="AC356">
        <v>217</v>
      </c>
      <c r="AD356">
        <v>23</v>
      </c>
    </row>
    <row r="357" spans="1:30" x14ac:dyDescent="0.55000000000000004">
      <c r="A357">
        <v>92549</v>
      </c>
      <c r="B357" s="19">
        <v>42171</v>
      </c>
      <c r="C357">
        <v>1415</v>
      </c>
      <c r="D357">
        <v>2015</v>
      </c>
      <c r="E357">
        <v>25</v>
      </c>
      <c r="F357">
        <v>648</v>
      </c>
      <c r="G357">
        <v>1</v>
      </c>
      <c r="H357">
        <v>402</v>
      </c>
      <c r="I357">
        <v>3</v>
      </c>
      <c r="J357">
        <v>4822.09</v>
      </c>
      <c r="K357">
        <v>8852.56</v>
      </c>
      <c r="L357">
        <v>4822.3</v>
      </c>
      <c r="M357">
        <v>8853.0400000000009</v>
      </c>
      <c r="N357">
        <v>48.368167</v>
      </c>
      <c r="O357">
        <v>-88.876000000000005</v>
      </c>
      <c r="P357">
        <v>48.371667000000002</v>
      </c>
      <c r="Q357">
        <v>-88.884</v>
      </c>
      <c r="R357">
        <v>458.0191294</v>
      </c>
      <c r="S357">
        <v>17.600000000000001</v>
      </c>
      <c r="T357">
        <v>28.6</v>
      </c>
      <c r="U357">
        <v>0.5</v>
      </c>
      <c r="V357">
        <v>2</v>
      </c>
      <c r="W357">
        <v>13.2</v>
      </c>
      <c r="X357">
        <v>12.86755</v>
      </c>
      <c r="Y357">
        <v>-2.215E-2</v>
      </c>
      <c r="Z357">
        <v>55.153399999999998</v>
      </c>
      <c r="AA357">
        <v>10</v>
      </c>
      <c r="AB357">
        <v>0.42</v>
      </c>
      <c r="AC357">
        <v>217</v>
      </c>
      <c r="AD357">
        <v>254</v>
      </c>
    </row>
    <row r="358" spans="1:30" x14ac:dyDescent="0.55000000000000004">
      <c r="A358">
        <v>92550</v>
      </c>
      <c r="B358" s="19">
        <v>42171</v>
      </c>
      <c r="C358">
        <v>1415</v>
      </c>
      <c r="D358">
        <v>2015</v>
      </c>
      <c r="E358">
        <v>25</v>
      </c>
      <c r="F358">
        <v>649</v>
      </c>
      <c r="G358">
        <v>1</v>
      </c>
      <c r="H358">
        <v>402</v>
      </c>
      <c r="I358">
        <v>3</v>
      </c>
      <c r="J358">
        <v>4822.09</v>
      </c>
      <c r="K358">
        <v>8852.56</v>
      </c>
      <c r="L358">
        <v>4822.3</v>
      </c>
      <c r="M358">
        <v>8853.0400000000009</v>
      </c>
      <c r="N358">
        <v>48.368167</v>
      </c>
      <c r="O358">
        <v>-88.876000000000005</v>
      </c>
      <c r="P358">
        <v>48.371667000000002</v>
      </c>
      <c r="Q358">
        <v>-88.884</v>
      </c>
      <c r="R358">
        <v>458.0191294</v>
      </c>
      <c r="S358">
        <v>17.600000000000001</v>
      </c>
      <c r="T358">
        <v>28.6</v>
      </c>
      <c r="U358">
        <v>0.5</v>
      </c>
      <c r="V358">
        <v>2</v>
      </c>
      <c r="W358">
        <v>13.2</v>
      </c>
      <c r="X358">
        <v>12.86755</v>
      </c>
      <c r="Y358">
        <v>-2.215E-2</v>
      </c>
      <c r="Z358">
        <v>55.153399999999998</v>
      </c>
      <c r="AA358">
        <v>10</v>
      </c>
      <c r="AB358">
        <v>0.42</v>
      </c>
      <c r="AC358">
        <v>217</v>
      </c>
      <c r="AD358">
        <v>293</v>
      </c>
    </row>
    <row r="359" spans="1:30" x14ac:dyDescent="0.55000000000000004">
      <c r="A359">
        <v>92552</v>
      </c>
      <c r="B359" s="19">
        <v>42171</v>
      </c>
      <c r="C359">
        <v>1546</v>
      </c>
      <c r="D359">
        <v>2015</v>
      </c>
      <c r="E359">
        <v>25</v>
      </c>
      <c r="F359">
        <v>650</v>
      </c>
      <c r="G359">
        <v>1</v>
      </c>
      <c r="H359">
        <v>404</v>
      </c>
      <c r="I359">
        <v>3</v>
      </c>
      <c r="J359">
        <v>4818.32</v>
      </c>
      <c r="K359">
        <v>8854.5400000000009</v>
      </c>
      <c r="L359">
        <v>4818.72</v>
      </c>
      <c r="M359">
        <v>8854.2999999999993</v>
      </c>
      <c r="N359">
        <v>48.305332999999997</v>
      </c>
      <c r="O359">
        <v>-88.909000000000006</v>
      </c>
      <c r="P359">
        <v>48.311999999999998</v>
      </c>
      <c r="Q359">
        <v>-88.905000000000001</v>
      </c>
      <c r="R359">
        <v>463.59602719999998</v>
      </c>
      <c r="S359">
        <v>70.2</v>
      </c>
      <c r="T359">
        <v>46.2</v>
      </c>
      <c r="U359">
        <v>0.5</v>
      </c>
      <c r="V359">
        <v>2</v>
      </c>
      <c r="W359">
        <v>6.7</v>
      </c>
      <c r="X359">
        <v>6.5568499999999998</v>
      </c>
      <c r="Y359">
        <v>0.1444</v>
      </c>
      <c r="Z359">
        <v>61.737050000000004</v>
      </c>
      <c r="AA359">
        <v>10</v>
      </c>
      <c r="AB359">
        <v>0.49</v>
      </c>
      <c r="AC359">
        <v>0</v>
      </c>
      <c r="AD359">
        <v>0</v>
      </c>
    </row>
    <row r="360" spans="1:30" x14ac:dyDescent="0.55000000000000004">
      <c r="A360">
        <v>92553</v>
      </c>
      <c r="B360" s="19">
        <v>42171</v>
      </c>
      <c r="C360">
        <v>1546</v>
      </c>
      <c r="D360">
        <v>2015</v>
      </c>
      <c r="E360">
        <v>25</v>
      </c>
      <c r="F360">
        <v>651</v>
      </c>
      <c r="G360">
        <v>1</v>
      </c>
      <c r="H360">
        <v>404</v>
      </c>
      <c r="I360">
        <v>3</v>
      </c>
      <c r="J360">
        <v>4818.32</v>
      </c>
      <c r="K360">
        <v>8854.5400000000009</v>
      </c>
      <c r="L360">
        <v>4818.72</v>
      </c>
      <c r="M360">
        <v>8854.2999999999993</v>
      </c>
      <c r="N360">
        <v>48.305332999999997</v>
      </c>
      <c r="O360">
        <v>-88.909000000000006</v>
      </c>
      <c r="P360">
        <v>48.311999999999998</v>
      </c>
      <c r="Q360">
        <v>-88.905000000000001</v>
      </c>
      <c r="R360">
        <v>463.59602719999998</v>
      </c>
      <c r="S360">
        <v>70.2</v>
      </c>
      <c r="T360">
        <v>46.2</v>
      </c>
      <c r="U360">
        <v>0.5</v>
      </c>
      <c r="V360">
        <v>2</v>
      </c>
      <c r="W360">
        <v>6.7</v>
      </c>
      <c r="X360">
        <v>6.5568499999999998</v>
      </c>
      <c r="Y360">
        <v>0.1444</v>
      </c>
      <c r="Z360">
        <v>61.737050000000004</v>
      </c>
      <c r="AA360">
        <v>10</v>
      </c>
      <c r="AB360">
        <v>0.49</v>
      </c>
      <c r="AC360">
        <v>217</v>
      </c>
      <c r="AD360">
        <v>5</v>
      </c>
    </row>
    <row r="361" spans="1:30" x14ac:dyDescent="0.55000000000000004">
      <c r="A361">
        <v>92555</v>
      </c>
      <c r="B361" s="19">
        <v>42172</v>
      </c>
      <c r="C361">
        <v>804</v>
      </c>
      <c r="D361">
        <v>2015</v>
      </c>
      <c r="E361">
        <v>25</v>
      </c>
      <c r="F361">
        <v>652</v>
      </c>
      <c r="G361">
        <v>1</v>
      </c>
      <c r="H361">
        <v>403</v>
      </c>
      <c r="I361">
        <v>3</v>
      </c>
      <c r="J361">
        <v>4815.34</v>
      </c>
      <c r="K361">
        <v>8910.66</v>
      </c>
      <c r="L361">
        <v>4815.13</v>
      </c>
      <c r="M361">
        <v>8910.17</v>
      </c>
      <c r="N361">
        <v>48.255667000000003</v>
      </c>
      <c r="O361">
        <v>-89.177667</v>
      </c>
      <c r="P361">
        <v>48.252167</v>
      </c>
      <c r="Q361">
        <v>-89.169499999999999</v>
      </c>
      <c r="R361">
        <v>254.71853870000001</v>
      </c>
      <c r="S361">
        <v>42</v>
      </c>
      <c r="T361">
        <v>26.6</v>
      </c>
      <c r="U361">
        <v>0.5</v>
      </c>
      <c r="V361">
        <v>2</v>
      </c>
      <c r="W361">
        <v>7.9</v>
      </c>
      <c r="X361">
        <v>8.0851500000000005</v>
      </c>
      <c r="Y361">
        <v>0.38550000000000001</v>
      </c>
      <c r="Z361">
        <v>84.137100000000004</v>
      </c>
      <c r="AA361">
        <v>10</v>
      </c>
      <c r="AB361">
        <v>0.43</v>
      </c>
      <c r="AC361">
        <v>217</v>
      </c>
      <c r="AD361">
        <v>788</v>
      </c>
    </row>
    <row r="362" spans="1:30" x14ac:dyDescent="0.55000000000000004">
      <c r="A362">
        <v>92556</v>
      </c>
      <c r="B362" s="19">
        <v>42172</v>
      </c>
      <c r="C362">
        <v>804</v>
      </c>
      <c r="D362">
        <v>2015</v>
      </c>
      <c r="E362">
        <v>25</v>
      </c>
      <c r="F362">
        <v>653</v>
      </c>
      <c r="G362">
        <v>1</v>
      </c>
      <c r="H362">
        <v>403</v>
      </c>
      <c r="I362">
        <v>3</v>
      </c>
      <c r="J362">
        <v>4815.34</v>
      </c>
      <c r="K362">
        <v>8910.66</v>
      </c>
      <c r="L362">
        <v>4815.13</v>
      </c>
      <c r="M362">
        <v>8910.17</v>
      </c>
      <c r="N362">
        <v>48.255667000000003</v>
      </c>
      <c r="O362">
        <v>-89.177667</v>
      </c>
      <c r="P362">
        <v>48.252167</v>
      </c>
      <c r="Q362">
        <v>-89.169499999999999</v>
      </c>
      <c r="R362">
        <v>254.71853870000001</v>
      </c>
      <c r="S362">
        <v>42</v>
      </c>
      <c r="T362">
        <v>26.6</v>
      </c>
      <c r="U362">
        <v>0.5</v>
      </c>
      <c r="V362">
        <v>2</v>
      </c>
      <c r="W362">
        <v>7.9</v>
      </c>
      <c r="X362">
        <v>8.0851500000000005</v>
      </c>
      <c r="Y362">
        <v>0.38550000000000001</v>
      </c>
      <c r="Z362">
        <v>84.137100000000004</v>
      </c>
      <c r="AA362">
        <v>10</v>
      </c>
      <c r="AB362">
        <v>0.43</v>
      </c>
      <c r="AC362">
        <v>217</v>
      </c>
      <c r="AD362">
        <v>393</v>
      </c>
    </row>
    <row r="363" spans="1:30" x14ac:dyDescent="0.55000000000000004">
      <c r="A363">
        <v>92558</v>
      </c>
      <c r="B363" s="19">
        <v>42172</v>
      </c>
      <c r="C363">
        <v>1044</v>
      </c>
      <c r="D363">
        <v>2015</v>
      </c>
      <c r="E363">
        <v>25</v>
      </c>
      <c r="F363">
        <v>654</v>
      </c>
      <c r="G363">
        <v>1</v>
      </c>
      <c r="H363">
        <v>400</v>
      </c>
      <c r="I363">
        <v>3</v>
      </c>
      <c r="J363">
        <v>4804.83</v>
      </c>
      <c r="K363">
        <v>8925.31</v>
      </c>
      <c r="L363">
        <v>4804.66</v>
      </c>
      <c r="M363">
        <v>8924.82</v>
      </c>
      <c r="N363">
        <v>48.080500000000001</v>
      </c>
      <c r="O363">
        <v>-89.421833000000007</v>
      </c>
      <c r="P363">
        <v>48.077666999999998</v>
      </c>
      <c r="Q363">
        <v>-89.413667000000004</v>
      </c>
      <c r="R363">
        <v>199.16238820000001</v>
      </c>
      <c r="S363">
        <v>22.4</v>
      </c>
      <c r="T363">
        <v>40.4</v>
      </c>
      <c r="U363">
        <v>0.5</v>
      </c>
      <c r="V363">
        <v>2</v>
      </c>
      <c r="W363">
        <v>5.9</v>
      </c>
      <c r="X363">
        <v>6.4021999999999997</v>
      </c>
      <c r="Y363">
        <v>0.23574999999999999</v>
      </c>
      <c r="Z363">
        <v>62.184699999999999</v>
      </c>
      <c r="AA363">
        <v>10</v>
      </c>
      <c r="AB363">
        <v>0.42</v>
      </c>
      <c r="AC363">
        <v>217</v>
      </c>
      <c r="AD363">
        <v>44</v>
      </c>
    </row>
    <row r="364" spans="1:30" x14ac:dyDescent="0.55000000000000004">
      <c r="A364">
        <v>92559</v>
      </c>
      <c r="B364" s="19">
        <v>42172</v>
      </c>
      <c r="C364">
        <v>1044</v>
      </c>
      <c r="D364">
        <v>2015</v>
      </c>
      <c r="E364">
        <v>25</v>
      </c>
      <c r="F364">
        <v>655</v>
      </c>
      <c r="G364">
        <v>1</v>
      </c>
      <c r="H364">
        <v>400</v>
      </c>
      <c r="I364">
        <v>3</v>
      </c>
      <c r="J364">
        <v>4804.83</v>
      </c>
      <c r="K364">
        <v>8925.31</v>
      </c>
      <c r="L364">
        <v>4804.66</v>
      </c>
      <c r="M364">
        <v>8924.82</v>
      </c>
      <c r="N364">
        <v>48.080500000000001</v>
      </c>
      <c r="O364">
        <v>-89.421833000000007</v>
      </c>
      <c r="P364">
        <v>48.077666999999998</v>
      </c>
      <c r="Q364">
        <v>-89.413667000000004</v>
      </c>
      <c r="R364">
        <v>199.16238820000001</v>
      </c>
      <c r="S364">
        <v>22.4</v>
      </c>
      <c r="T364">
        <v>40.4</v>
      </c>
      <c r="U364">
        <v>0.5</v>
      </c>
      <c r="V364">
        <v>2</v>
      </c>
      <c r="W364">
        <v>5.9</v>
      </c>
      <c r="X364">
        <v>6.4021999999999997</v>
      </c>
      <c r="Y364">
        <v>0.23574999999999999</v>
      </c>
      <c r="Z364">
        <v>62.184699999999999</v>
      </c>
      <c r="AA364">
        <v>10</v>
      </c>
      <c r="AB364">
        <v>0.42</v>
      </c>
      <c r="AC364">
        <v>217</v>
      </c>
      <c r="AD364">
        <v>24</v>
      </c>
    </row>
    <row r="365" spans="1:30" x14ac:dyDescent="0.55000000000000004">
      <c r="A365">
        <v>92560</v>
      </c>
      <c r="B365" s="19">
        <v>42172</v>
      </c>
      <c r="C365">
        <v>1305</v>
      </c>
      <c r="D365">
        <v>2015</v>
      </c>
      <c r="E365">
        <v>25</v>
      </c>
      <c r="F365">
        <v>656</v>
      </c>
      <c r="G365">
        <v>1</v>
      </c>
      <c r="H365">
        <v>191</v>
      </c>
      <c r="I365">
        <v>3</v>
      </c>
      <c r="J365">
        <v>4758.78</v>
      </c>
      <c r="K365">
        <v>8937.73</v>
      </c>
      <c r="L365">
        <v>4758.3999999999996</v>
      </c>
      <c r="M365">
        <v>8937.5499999999993</v>
      </c>
      <c r="N365">
        <v>47.979666999999999</v>
      </c>
      <c r="O365">
        <v>-89.628833</v>
      </c>
      <c r="P365">
        <v>47.973332999999997</v>
      </c>
      <c r="Q365">
        <v>-89.625833</v>
      </c>
      <c r="R365">
        <v>1064.728022</v>
      </c>
      <c r="S365">
        <v>19.600000000000001</v>
      </c>
      <c r="T365">
        <v>25.7</v>
      </c>
      <c r="U365">
        <v>0.5</v>
      </c>
      <c r="V365">
        <v>2</v>
      </c>
      <c r="W365">
        <v>6</v>
      </c>
      <c r="X365">
        <v>5.8214499999999996</v>
      </c>
      <c r="Y365">
        <v>0.1198</v>
      </c>
      <c r="Z365">
        <v>88.231800000000007</v>
      </c>
      <c r="AA365">
        <v>10</v>
      </c>
      <c r="AB365">
        <v>0.42</v>
      </c>
      <c r="AC365">
        <v>217</v>
      </c>
      <c r="AD365">
        <v>34</v>
      </c>
    </row>
    <row r="366" spans="1:30" x14ac:dyDescent="0.55000000000000004">
      <c r="A366">
        <v>92561</v>
      </c>
      <c r="B366" s="19">
        <v>42172</v>
      </c>
      <c r="C366">
        <v>1305</v>
      </c>
      <c r="D366">
        <v>2015</v>
      </c>
      <c r="E366">
        <v>25</v>
      </c>
      <c r="F366">
        <v>657</v>
      </c>
      <c r="G366">
        <v>1</v>
      </c>
      <c r="H366">
        <v>191</v>
      </c>
      <c r="I366">
        <v>3</v>
      </c>
      <c r="J366">
        <v>4758.78</v>
      </c>
      <c r="K366">
        <v>8937.73</v>
      </c>
      <c r="L366">
        <v>4758.3999999999996</v>
      </c>
      <c r="M366">
        <v>8937.5499999999993</v>
      </c>
      <c r="N366">
        <v>47.979666999999999</v>
      </c>
      <c r="O366">
        <v>-89.628833</v>
      </c>
      <c r="P366">
        <v>47.973332999999997</v>
      </c>
      <c r="Q366">
        <v>-89.625833</v>
      </c>
      <c r="R366">
        <v>1064.728022</v>
      </c>
      <c r="S366">
        <v>19.600000000000001</v>
      </c>
      <c r="T366">
        <v>25.7</v>
      </c>
      <c r="U366">
        <v>0.5</v>
      </c>
      <c r="V366">
        <v>2</v>
      </c>
      <c r="W366">
        <v>6</v>
      </c>
      <c r="X366">
        <v>5.8214499999999996</v>
      </c>
      <c r="Y366">
        <v>0.1198</v>
      </c>
      <c r="Z366">
        <v>88.231800000000007</v>
      </c>
      <c r="AA366">
        <v>10</v>
      </c>
      <c r="AB366">
        <v>0.42</v>
      </c>
      <c r="AC366">
        <v>217</v>
      </c>
      <c r="AD366">
        <v>23</v>
      </c>
    </row>
    <row r="367" spans="1:30" x14ac:dyDescent="0.55000000000000004">
      <c r="A367">
        <v>92564</v>
      </c>
      <c r="B367" s="19">
        <v>42172</v>
      </c>
      <c r="C367">
        <v>1530</v>
      </c>
      <c r="D367">
        <v>2015</v>
      </c>
      <c r="E367">
        <v>25</v>
      </c>
      <c r="F367">
        <v>658</v>
      </c>
      <c r="G367">
        <v>1</v>
      </c>
      <c r="H367">
        <v>207</v>
      </c>
      <c r="I367">
        <v>3</v>
      </c>
      <c r="J367">
        <v>4749.75</v>
      </c>
      <c r="K367">
        <v>8957.64</v>
      </c>
      <c r="L367">
        <v>4750.13</v>
      </c>
      <c r="M367">
        <v>8957.58</v>
      </c>
      <c r="N367">
        <v>47.829166999999998</v>
      </c>
      <c r="O367">
        <v>-89.960667000000001</v>
      </c>
      <c r="P367">
        <v>47.835500000000003</v>
      </c>
      <c r="Q367">
        <v>-89.959666999999996</v>
      </c>
      <c r="R367">
        <v>448.52821749999998</v>
      </c>
      <c r="S367">
        <v>67.7</v>
      </c>
      <c r="T367">
        <v>32</v>
      </c>
      <c r="U367">
        <v>0.5</v>
      </c>
      <c r="V367">
        <v>2</v>
      </c>
      <c r="W367">
        <v>3.9</v>
      </c>
      <c r="X367">
        <v>3.8647</v>
      </c>
      <c r="Y367">
        <v>0.15165000000000001</v>
      </c>
      <c r="Z367">
        <v>91.281300000000002</v>
      </c>
      <c r="AA367">
        <v>10</v>
      </c>
      <c r="AB367">
        <v>0.42</v>
      </c>
      <c r="AC367">
        <v>217</v>
      </c>
      <c r="AD367">
        <v>1</v>
      </c>
    </row>
    <row r="368" spans="1:30" x14ac:dyDescent="0.55000000000000004">
      <c r="A368">
        <v>92565</v>
      </c>
      <c r="B368" s="19">
        <v>42172</v>
      </c>
      <c r="C368">
        <v>1530</v>
      </c>
      <c r="D368">
        <v>2015</v>
      </c>
      <c r="E368">
        <v>25</v>
      </c>
      <c r="F368">
        <v>659</v>
      </c>
      <c r="G368">
        <v>1</v>
      </c>
      <c r="H368">
        <v>207</v>
      </c>
      <c r="I368">
        <v>3</v>
      </c>
      <c r="J368">
        <v>4749.75</v>
      </c>
      <c r="K368">
        <v>8957.64</v>
      </c>
      <c r="L368">
        <v>4750.13</v>
      </c>
      <c r="M368">
        <v>8957.56</v>
      </c>
      <c r="N368">
        <v>47.829166999999998</v>
      </c>
      <c r="O368">
        <v>-89.960667000000001</v>
      </c>
      <c r="P368">
        <v>47.835500000000003</v>
      </c>
      <c r="Q368">
        <v>-89.959333000000001</v>
      </c>
      <c r="R368">
        <v>448.52821749999998</v>
      </c>
      <c r="S368">
        <v>67.7</v>
      </c>
      <c r="T368">
        <v>32</v>
      </c>
      <c r="U368">
        <v>0.5</v>
      </c>
      <c r="V368">
        <v>2</v>
      </c>
      <c r="W368">
        <v>3.9</v>
      </c>
      <c r="X368">
        <v>3.8647</v>
      </c>
      <c r="Y368">
        <v>0.15165000000000001</v>
      </c>
      <c r="Z368">
        <v>91.281300000000002</v>
      </c>
      <c r="AA368">
        <v>10</v>
      </c>
      <c r="AB368">
        <v>0.42</v>
      </c>
      <c r="AC368">
        <v>217</v>
      </c>
      <c r="AD368">
        <v>1</v>
      </c>
    </row>
    <row r="369" spans="1:30" x14ac:dyDescent="0.55000000000000004">
      <c r="A369">
        <v>92567</v>
      </c>
      <c r="B369" s="19">
        <v>42172</v>
      </c>
      <c r="C369">
        <v>1750</v>
      </c>
      <c r="D369">
        <v>2015</v>
      </c>
      <c r="E369">
        <v>25</v>
      </c>
      <c r="F369">
        <v>660</v>
      </c>
      <c r="G369">
        <v>1</v>
      </c>
      <c r="H369">
        <v>65</v>
      </c>
      <c r="I369">
        <v>3</v>
      </c>
      <c r="J369">
        <v>4744.91</v>
      </c>
      <c r="K369">
        <v>9018.65</v>
      </c>
      <c r="L369">
        <v>4744.7</v>
      </c>
      <c r="M369">
        <v>9019.09</v>
      </c>
      <c r="N369">
        <v>47.7485</v>
      </c>
      <c r="O369">
        <v>-90.310833000000002</v>
      </c>
      <c r="P369">
        <v>47.744999999999997</v>
      </c>
      <c r="Q369">
        <v>-90.318167000000003</v>
      </c>
      <c r="R369">
        <v>688.20263509999995</v>
      </c>
      <c r="S369">
        <v>40.700000000000003</v>
      </c>
      <c r="T369">
        <v>62.8</v>
      </c>
      <c r="U369">
        <v>0.5</v>
      </c>
      <c r="V369">
        <v>2</v>
      </c>
      <c r="W369">
        <v>4.5</v>
      </c>
      <c r="X369">
        <v>4.5087999999999999</v>
      </c>
      <c r="Y369">
        <v>0.16239999999999999</v>
      </c>
      <c r="Z369">
        <v>91.0565</v>
      </c>
      <c r="AA369">
        <v>10</v>
      </c>
      <c r="AB369">
        <v>0.42</v>
      </c>
      <c r="AC369">
        <v>217</v>
      </c>
      <c r="AD369">
        <v>1</v>
      </c>
    </row>
    <row r="370" spans="1:30" x14ac:dyDescent="0.55000000000000004">
      <c r="A370">
        <v>92567</v>
      </c>
      <c r="B370" s="19">
        <v>42172</v>
      </c>
      <c r="C370">
        <v>1750</v>
      </c>
      <c r="D370">
        <v>2015</v>
      </c>
      <c r="E370">
        <v>25</v>
      </c>
      <c r="F370">
        <v>660</v>
      </c>
      <c r="G370">
        <v>1</v>
      </c>
      <c r="H370">
        <v>65</v>
      </c>
      <c r="I370">
        <v>3</v>
      </c>
      <c r="J370">
        <v>4744.91</v>
      </c>
      <c r="K370">
        <v>9018.65</v>
      </c>
      <c r="L370">
        <v>4744.7</v>
      </c>
      <c r="M370">
        <v>9019.09</v>
      </c>
      <c r="N370">
        <v>47.7485</v>
      </c>
      <c r="O370">
        <v>-90.310833000000002</v>
      </c>
      <c r="P370">
        <v>47.744999999999997</v>
      </c>
      <c r="Q370">
        <v>-90.318167000000003</v>
      </c>
      <c r="R370">
        <v>688.20263509999995</v>
      </c>
      <c r="S370">
        <v>40.700000000000003</v>
      </c>
      <c r="T370">
        <v>62.8</v>
      </c>
      <c r="U370">
        <v>0.5</v>
      </c>
      <c r="V370">
        <v>2</v>
      </c>
      <c r="W370">
        <v>4.5</v>
      </c>
      <c r="X370">
        <v>4.5087999999999999</v>
      </c>
      <c r="Y370">
        <v>0.16239999999999999</v>
      </c>
      <c r="Z370">
        <v>91.0565</v>
      </c>
      <c r="AA370">
        <v>10</v>
      </c>
      <c r="AB370">
        <v>0.42</v>
      </c>
      <c r="AC370">
        <v>300</v>
      </c>
      <c r="AD370">
        <v>1</v>
      </c>
    </row>
    <row r="371" spans="1:30" x14ac:dyDescent="0.55000000000000004">
      <c r="A371">
        <v>92568</v>
      </c>
      <c r="B371" s="19">
        <v>42172</v>
      </c>
      <c r="C371">
        <v>1750</v>
      </c>
      <c r="D371">
        <v>2015</v>
      </c>
      <c r="E371">
        <v>25</v>
      </c>
      <c r="F371">
        <v>661</v>
      </c>
      <c r="G371">
        <v>1</v>
      </c>
      <c r="H371">
        <v>65</v>
      </c>
      <c r="I371">
        <v>3</v>
      </c>
      <c r="J371">
        <v>4744.91</v>
      </c>
      <c r="K371">
        <v>9018.65</v>
      </c>
      <c r="L371">
        <v>4744.7</v>
      </c>
      <c r="M371">
        <v>9019.09</v>
      </c>
      <c r="N371">
        <v>47.7485</v>
      </c>
      <c r="O371">
        <v>-90.310833000000002</v>
      </c>
      <c r="P371">
        <v>47.744999999999997</v>
      </c>
      <c r="Q371">
        <v>-90.318167000000003</v>
      </c>
      <c r="R371">
        <v>688.20263509999995</v>
      </c>
      <c r="S371">
        <v>40.700000000000003</v>
      </c>
      <c r="T371">
        <v>62.8</v>
      </c>
      <c r="U371">
        <v>0.5</v>
      </c>
      <c r="V371">
        <v>2</v>
      </c>
      <c r="W371">
        <v>4.5</v>
      </c>
      <c r="X371">
        <v>4.5087999999999999</v>
      </c>
      <c r="Y371">
        <v>0.16239999999999999</v>
      </c>
      <c r="Z371">
        <v>91.0565</v>
      </c>
      <c r="AA371">
        <v>10</v>
      </c>
      <c r="AB371">
        <v>0.42</v>
      </c>
      <c r="AC371">
        <v>217</v>
      </c>
      <c r="AD371">
        <v>3</v>
      </c>
    </row>
    <row r="372" spans="1:30" x14ac:dyDescent="0.55000000000000004">
      <c r="A372">
        <v>92570</v>
      </c>
      <c r="B372" s="19">
        <v>42179</v>
      </c>
      <c r="C372">
        <v>1129</v>
      </c>
      <c r="D372">
        <v>2015</v>
      </c>
      <c r="E372">
        <v>25</v>
      </c>
      <c r="F372">
        <v>662</v>
      </c>
      <c r="G372">
        <v>2</v>
      </c>
      <c r="H372">
        <v>736</v>
      </c>
      <c r="I372">
        <v>3</v>
      </c>
      <c r="J372">
        <v>4653.04</v>
      </c>
      <c r="K372">
        <v>9033.8799999999992</v>
      </c>
      <c r="L372">
        <v>4653.05</v>
      </c>
      <c r="M372">
        <v>9033.34</v>
      </c>
      <c r="N372">
        <v>46.884</v>
      </c>
      <c r="O372">
        <v>-90.564667</v>
      </c>
      <c r="P372">
        <v>46.884166999999998</v>
      </c>
      <c r="Q372">
        <v>-90.555667</v>
      </c>
      <c r="R372">
        <v>2085.6739750000002</v>
      </c>
      <c r="S372">
        <v>92.2</v>
      </c>
      <c r="T372">
        <v>90.8</v>
      </c>
      <c r="U372">
        <v>0.5</v>
      </c>
      <c r="V372">
        <v>2</v>
      </c>
      <c r="X372">
        <v>12.0806</v>
      </c>
      <c r="Y372">
        <v>0.1225</v>
      </c>
      <c r="Z372">
        <v>81.118799999999993</v>
      </c>
      <c r="AA372">
        <v>10</v>
      </c>
      <c r="AB372">
        <v>0.42</v>
      </c>
      <c r="AC372">
        <v>217</v>
      </c>
      <c r="AD372">
        <v>348</v>
      </c>
    </row>
    <row r="373" spans="1:30" x14ac:dyDescent="0.55000000000000004">
      <c r="A373">
        <v>92571</v>
      </c>
      <c r="B373" s="19">
        <v>42179</v>
      </c>
      <c r="C373">
        <v>1129</v>
      </c>
      <c r="D373">
        <v>2015</v>
      </c>
      <c r="E373">
        <v>25</v>
      </c>
      <c r="F373">
        <v>663</v>
      </c>
      <c r="G373">
        <v>2</v>
      </c>
      <c r="H373">
        <v>736</v>
      </c>
      <c r="I373">
        <v>3</v>
      </c>
      <c r="J373">
        <v>4653.04</v>
      </c>
      <c r="K373">
        <v>9033.8799999999992</v>
      </c>
      <c r="L373">
        <v>4653.05</v>
      </c>
      <c r="M373">
        <v>9033.34</v>
      </c>
      <c r="N373">
        <v>46.884</v>
      </c>
      <c r="O373">
        <v>-90.564667</v>
      </c>
      <c r="P373">
        <v>46.884166999999998</v>
      </c>
      <c r="Q373">
        <v>-90.555667</v>
      </c>
      <c r="R373">
        <v>2085.6739750000002</v>
      </c>
      <c r="S373">
        <v>92.2</v>
      </c>
      <c r="T373">
        <v>90.8</v>
      </c>
      <c r="U373">
        <v>0.5</v>
      </c>
      <c r="V373">
        <v>2</v>
      </c>
      <c r="X373">
        <v>12.0806</v>
      </c>
      <c r="Y373">
        <v>0.1225</v>
      </c>
      <c r="Z373">
        <v>81.118799999999993</v>
      </c>
      <c r="AA373">
        <v>10</v>
      </c>
      <c r="AB373">
        <v>0.42</v>
      </c>
      <c r="AC373">
        <v>217</v>
      </c>
      <c r="AD373">
        <v>224</v>
      </c>
    </row>
    <row r="374" spans="1:30" x14ac:dyDescent="0.55000000000000004">
      <c r="A374">
        <v>92572</v>
      </c>
      <c r="B374" s="19">
        <v>42192</v>
      </c>
      <c r="C374">
        <v>1226</v>
      </c>
      <c r="D374">
        <v>2015</v>
      </c>
      <c r="E374">
        <v>25</v>
      </c>
      <c r="F374">
        <v>664</v>
      </c>
      <c r="G374">
        <v>3</v>
      </c>
      <c r="H374">
        <v>2161</v>
      </c>
      <c r="I374">
        <v>3</v>
      </c>
      <c r="J374">
        <v>4658.75</v>
      </c>
      <c r="K374">
        <v>9114.7199999999993</v>
      </c>
      <c r="L374">
        <v>4658.9399999999996</v>
      </c>
      <c r="M374">
        <v>9114.24</v>
      </c>
      <c r="N374">
        <v>46.979166999999997</v>
      </c>
      <c r="O374">
        <v>-91.245333000000002</v>
      </c>
      <c r="P374">
        <v>46.982332999999997</v>
      </c>
      <c r="Q374">
        <v>-91.237333000000007</v>
      </c>
      <c r="R374">
        <v>11430.927079999999</v>
      </c>
      <c r="S374">
        <v>135</v>
      </c>
      <c r="T374">
        <v>136</v>
      </c>
      <c r="U374">
        <v>0.5</v>
      </c>
      <c r="V374">
        <v>2</v>
      </c>
      <c r="W374">
        <v>13.8</v>
      </c>
      <c r="X374">
        <v>14.168200000000001</v>
      </c>
      <c r="Y374">
        <v>8.4199999999999997E-2</v>
      </c>
      <c r="Z374">
        <v>75.259900000000002</v>
      </c>
      <c r="AA374">
        <v>10</v>
      </c>
      <c r="AB374">
        <v>0.42</v>
      </c>
      <c r="AC374">
        <v>0</v>
      </c>
      <c r="AD374">
        <v>0</v>
      </c>
    </row>
    <row r="375" spans="1:30" x14ac:dyDescent="0.55000000000000004">
      <c r="A375">
        <v>92573</v>
      </c>
      <c r="B375" s="19">
        <v>42192</v>
      </c>
      <c r="C375">
        <v>1226</v>
      </c>
      <c r="D375">
        <v>2015</v>
      </c>
      <c r="E375">
        <v>25</v>
      </c>
      <c r="F375">
        <v>665</v>
      </c>
      <c r="G375">
        <v>3</v>
      </c>
      <c r="H375">
        <v>2161</v>
      </c>
      <c r="I375">
        <v>3</v>
      </c>
      <c r="J375">
        <v>4658.75</v>
      </c>
      <c r="K375">
        <v>9114.7199999999993</v>
      </c>
      <c r="L375">
        <v>4658.9399999999996</v>
      </c>
      <c r="M375">
        <v>9114.24</v>
      </c>
      <c r="N375">
        <v>46.979166999999997</v>
      </c>
      <c r="O375">
        <v>-91.245333000000002</v>
      </c>
      <c r="P375">
        <v>46.982332999999997</v>
      </c>
      <c r="Q375">
        <v>-91.237333000000007</v>
      </c>
      <c r="R375">
        <v>11430.927079999999</v>
      </c>
      <c r="S375">
        <v>135</v>
      </c>
      <c r="T375">
        <v>136</v>
      </c>
      <c r="U375">
        <v>0.5</v>
      </c>
      <c r="V375">
        <v>2</v>
      </c>
      <c r="W375">
        <v>13.8</v>
      </c>
      <c r="X375">
        <v>14.168200000000001</v>
      </c>
      <c r="Y375">
        <v>8.4199999999999997E-2</v>
      </c>
      <c r="Z375">
        <v>75.259900000000002</v>
      </c>
      <c r="AA375">
        <v>10</v>
      </c>
      <c r="AB375">
        <v>0.42</v>
      </c>
      <c r="AC375">
        <v>217</v>
      </c>
      <c r="AD375">
        <v>2</v>
      </c>
    </row>
    <row r="376" spans="1:30" x14ac:dyDescent="0.55000000000000004">
      <c r="A376">
        <v>92574</v>
      </c>
      <c r="B376" s="19">
        <v>42192</v>
      </c>
      <c r="C376">
        <v>1618</v>
      </c>
      <c r="D376">
        <v>2015</v>
      </c>
      <c r="E376">
        <v>25</v>
      </c>
      <c r="F376">
        <v>666</v>
      </c>
      <c r="G376">
        <v>3</v>
      </c>
      <c r="H376">
        <v>2133</v>
      </c>
      <c r="I376">
        <v>3</v>
      </c>
      <c r="J376">
        <v>4731.8999999999996</v>
      </c>
      <c r="K376">
        <v>9032.9699999999993</v>
      </c>
      <c r="L376">
        <v>4732.08</v>
      </c>
      <c r="M376">
        <v>9032.5</v>
      </c>
      <c r="N376">
        <v>47.531666999999999</v>
      </c>
      <c r="O376">
        <v>-90.549499999999995</v>
      </c>
      <c r="P376">
        <v>47.534666999999999</v>
      </c>
      <c r="Q376">
        <v>-90.541667000000004</v>
      </c>
      <c r="R376">
        <v>15638.0867</v>
      </c>
      <c r="S376">
        <v>185</v>
      </c>
      <c r="T376">
        <v>183</v>
      </c>
      <c r="U376">
        <v>0.5</v>
      </c>
      <c r="V376">
        <v>2</v>
      </c>
      <c r="W376">
        <v>9.1999999999999993</v>
      </c>
      <c r="X376">
        <v>10.7645</v>
      </c>
      <c r="Y376">
        <v>3.0499999999999999E-2</v>
      </c>
      <c r="Z376">
        <v>67.4435</v>
      </c>
      <c r="AA376">
        <v>10</v>
      </c>
      <c r="AB376">
        <v>0.42</v>
      </c>
      <c r="AC376">
        <v>217</v>
      </c>
      <c r="AD376">
        <v>43</v>
      </c>
    </row>
    <row r="377" spans="1:30" x14ac:dyDescent="0.55000000000000004">
      <c r="A377">
        <v>92575</v>
      </c>
      <c r="B377" s="19">
        <v>42192</v>
      </c>
      <c r="C377">
        <v>1618</v>
      </c>
      <c r="D377">
        <v>2015</v>
      </c>
      <c r="E377">
        <v>25</v>
      </c>
      <c r="F377">
        <v>667</v>
      </c>
      <c r="G377">
        <v>3</v>
      </c>
      <c r="H377">
        <v>2133</v>
      </c>
      <c r="I377">
        <v>3</v>
      </c>
      <c r="J377">
        <v>4731.8999999999996</v>
      </c>
      <c r="K377">
        <v>9032.9699999999993</v>
      </c>
      <c r="L377">
        <v>4732.08</v>
      </c>
      <c r="M377">
        <v>9032.5</v>
      </c>
      <c r="N377">
        <v>47.531666999999999</v>
      </c>
      <c r="O377">
        <v>-90.549499999999995</v>
      </c>
      <c r="P377">
        <v>47.534666999999999</v>
      </c>
      <c r="Q377">
        <v>-90.541667000000004</v>
      </c>
      <c r="R377">
        <v>15638.0867</v>
      </c>
      <c r="S377">
        <v>185</v>
      </c>
      <c r="T377">
        <v>183</v>
      </c>
      <c r="U377">
        <v>0.5</v>
      </c>
      <c r="V377">
        <v>2</v>
      </c>
      <c r="W377">
        <v>9.1999999999999993</v>
      </c>
      <c r="X377">
        <v>10.7645</v>
      </c>
      <c r="Y377">
        <v>3.0499999999999999E-2</v>
      </c>
      <c r="Z377">
        <v>67.4435</v>
      </c>
      <c r="AA377">
        <v>10</v>
      </c>
      <c r="AB377">
        <v>0.42</v>
      </c>
      <c r="AC377">
        <v>217</v>
      </c>
      <c r="AD377">
        <v>29</v>
      </c>
    </row>
    <row r="378" spans="1:30" x14ac:dyDescent="0.55000000000000004">
      <c r="A378">
        <v>92577</v>
      </c>
      <c r="B378" s="19">
        <v>42193</v>
      </c>
      <c r="C378">
        <v>705</v>
      </c>
      <c r="D378">
        <v>2015</v>
      </c>
      <c r="E378">
        <v>25</v>
      </c>
      <c r="F378">
        <v>668</v>
      </c>
      <c r="G378">
        <v>3</v>
      </c>
      <c r="H378">
        <v>65</v>
      </c>
      <c r="I378">
        <v>3</v>
      </c>
      <c r="J378">
        <v>4744.47</v>
      </c>
      <c r="K378">
        <v>9020.26</v>
      </c>
      <c r="L378">
        <v>4744.16</v>
      </c>
      <c r="M378">
        <v>9019.8799999999992</v>
      </c>
      <c r="N378">
        <v>47.741166999999997</v>
      </c>
      <c r="O378">
        <v>-90.337666999999996</v>
      </c>
      <c r="P378">
        <v>47.735999999999997</v>
      </c>
      <c r="Q378">
        <v>-90.331333000000001</v>
      </c>
      <c r="R378">
        <v>688.20263509999995</v>
      </c>
      <c r="S378">
        <v>54.9</v>
      </c>
      <c r="T378">
        <v>71.3</v>
      </c>
      <c r="U378">
        <v>0.5</v>
      </c>
      <c r="V378">
        <v>2</v>
      </c>
      <c r="W378">
        <v>9.6999999999999993</v>
      </c>
      <c r="AA378">
        <v>10</v>
      </c>
      <c r="AB378">
        <v>0.43</v>
      </c>
      <c r="AC378">
        <v>217</v>
      </c>
      <c r="AD378">
        <v>16</v>
      </c>
    </row>
    <row r="379" spans="1:30" x14ac:dyDescent="0.55000000000000004">
      <c r="A379">
        <v>92578</v>
      </c>
      <c r="B379" s="19">
        <v>42193</v>
      </c>
      <c r="C379">
        <v>705</v>
      </c>
      <c r="D379">
        <v>2015</v>
      </c>
      <c r="E379">
        <v>25</v>
      </c>
      <c r="F379">
        <v>669</v>
      </c>
      <c r="G379">
        <v>3</v>
      </c>
      <c r="H379">
        <v>65</v>
      </c>
      <c r="I379">
        <v>3</v>
      </c>
      <c r="J379">
        <v>4744.47</v>
      </c>
      <c r="K379">
        <v>9020.26</v>
      </c>
      <c r="L379">
        <v>4744.16</v>
      </c>
      <c r="M379">
        <v>9019.8799999999992</v>
      </c>
      <c r="N379">
        <v>47.741166999999997</v>
      </c>
      <c r="O379">
        <v>-90.337666999999996</v>
      </c>
      <c r="P379">
        <v>47.735999999999997</v>
      </c>
      <c r="Q379">
        <v>-90.331333000000001</v>
      </c>
      <c r="R379">
        <v>688.20263509999995</v>
      </c>
      <c r="S379">
        <v>54.9</v>
      </c>
      <c r="T379">
        <v>71.3</v>
      </c>
      <c r="U379">
        <v>0.5</v>
      </c>
      <c r="V379">
        <v>2</v>
      </c>
      <c r="W379">
        <v>9.6999999999999993</v>
      </c>
      <c r="AA379">
        <v>10</v>
      </c>
      <c r="AB379">
        <v>0.43</v>
      </c>
      <c r="AC379">
        <v>217</v>
      </c>
      <c r="AD379">
        <v>18</v>
      </c>
    </row>
    <row r="380" spans="1:30" x14ac:dyDescent="0.55000000000000004">
      <c r="A380">
        <v>92580</v>
      </c>
      <c r="B380" s="19">
        <v>42193</v>
      </c>
      <c r="C380">
        <v>919</v>
      </c>
      <c r="D380">
        <v>2015</v>
      </c>
      <c r="E380">
        <v>25</v>
      </c>
      <c r="F380">
        <v>670</v>
      </c>
      <c r="G380">
        <v>3</v>
      </c>
      <c r="H380">
        <v>2124</v>
      </c>
      <c r="I380">
        <v>3</v>
      </c>
      <c r="J380">
        <v>4730.07</v>
      </c>
      <c r="K380">
        <v>8959.73</v>
      </c>
      <c r="L380">
        <v>4729.75</v>
      </c>
      <c r="M380">
        <v>8959.98</v>
      </c>
      <c r="N380">
        <v>47.501167000000002</v>
      </c>
      <c r="O380">
        <v>-89.995500000000007</v>
      </c>
      <c r="P380">
        <v>47.495832999999998</v>
      </c>
      <c r="Q380">
        <v>-89.999667000000002</v>
      </c>
      <c r="R380">
        <v>34414.230860000003</v>
      </c>
      <c r="S380">
        <v>153</v>
      </c>
      <c r="T380">
        <v>153</v>
      </c>
      <c r="U380">
        <v>0.5</v>
      </c>
      <c r="V380">
        <v>2</v>
      </c>
      <c r="W380">
        <v>9.4</v>
      </c>
      <c r="X380">
        <v>9.2179000000000002</v>
      </c>
      <c r="Y380">
        <v>7.85E-2</v>
      </c>
      <c r="Z380">
        <v>87.161900000000003</v>
      </c>
      <c r="AA380">
        <v>10</v>
      </c>
      <c r="AB380">
        <v>0.42</v>
      </c>
      <c r="AC380">
        <v>217</v>
      </c>
      <c r="AD380">
        <v>12</v>
      </c>
    </row>
    <row r="381" spans="1:30" x14ac:dyDescent="0.55000000000000004">
      <c r="A381">
        <v>92581</v>
      </c>
      <c r="B381" s="19">
        <v>42193</v>
      </c>
      <c r="C381">
        <v>919</v>
      </c>
      <c r="D381">
        <v>2015</v>
      </c>
      <c r="E381">
        <v>25</v>
      </c>
      <c r="F381">
        <v>671</v>
      </c>
      <c r="G381">
        <v>3</v>
      </c>
      <c r="H381">
        <v>2124</v>
      </c>
      <c r="I381">
        <v>3</v>
      </c>
      <c r="J381">
        <v>4730.07</v>
      </c>
      <c r="K381">
        <v>8959.73</v>
      </c>
      <c r="L381">
        <v>4729.75</v>
      </c>
      <c r="M381">
        <v>8959.98</v>
      </c>
      <c r="N381">
        <v>47.501167000000002</v>
      </c>
      <c r="O381">
        <v>-89.995500000000007</v>
      </c>
      <c r="P381">
        <v>47.495832999999998</v>
      </c>
      <c r="Q381">
        <v>-89.999667000000002</v>
      </c>
      <c r="R381">
        <v>34414.230860000003</v>
      </c>
      <c r="S381">
        <v>153</v>
      </c>
      <c r="T381">
        <v>153</v>
      </c>
      <c r="U381">
        <v>0.5</v>
      </c>
      <c r="V381">
        <v>2</v>
      </c>
      <c r="W381">
        <v>9.4</v>
      </c>
      <c r="X381">
        <v>9.2179000000000002</v>
      </c>
      <c r="Y381">
        <v>7.85E-2</v>
      </c>
      <c r="Z381">
        <v>87.161900000000003</v>
      </c>
      <c r="AA381">
        <v>10</v>
      </c>
      <c r="AB381">
        <v>0.42</v>
      </c>
      <c r="AC381">
        <v>217</v>
      </c>
      <c r="AD381">
        <v>16</v>
      </c>
    </row>
    <row r="382" spans="1:30" x14ac:dyDescent="0.55000000000000004">
      <c r="A382">
        <v>92582</v>
      </c>
      <c r="B382" s="19">
        <v>42193</v>
      </c>
      <c r="C382">
        <v>1210</v>
      </c>
      <c r="D382">
        <v>2015</v>
      </c>
      <c r="E382">
        <v>25</v>
      </c>
      <c r="F382">
        <v>672</v>
      </c>
      <c r="G382">
        <v>3</v>
      </c>
      <c r="H382">
        <v>2147</v>
      </c>
      <c r="I382">
        <v>3</v>
      </c>
      <c r="J382">
        <v>4709.62</v>
      </c>
      <c r="K382">
        <v>8957.81</v>
      </c>
      <c r="L382">
        <v>4709.3900000000003</v>
      </c>
      <c r="M382">
        <v>8958.17</v>
      </c>
      <c r="N382">
        <v>47.160333000000001</v>
      </c>
      <c r="O382">
        <v>-89.963499999999996</v>
      </c>
      <c r="P382">
        <v>47.156500000000001</v>
      </c>
      <c r="Q382">
        <v>-89.969499999999996</v>
      </c>
      <c r="R382">
        <v>33818.304250000001</v>
      </c>
      <c r="S382">
        <v>172</v>
      </c>
      <c r="T382">
        <v>172</v>
      </c>
      <c r="U382">
        <v>0.5</v>
      </c>
      <c r="V382">
        <v>2</v>
      </c>
      <c r="W382">
        <v>10.3</v>
      </c>
      <c r="X382">
        <v>10.229100000000001</v>
      </c>
      <c r="Y382">
        <v>0.10979999999999999</v>
      </c>
      <c r="Z382">
        <v>89.239500000000007</v>
      </c>
      <c r="AA382">
        <v>10</v>
      </c>
      <c r="AB382">
        <v>0.42</v>
      </c>
      <c r="AC382">
        <v>217</v>
      </c>
      <c r="AD382">
        <v>9</v>
      </c>
    </row>
    <row r="383" spans="1:30" x14ac:dyDescent="0.55000000000000004">
      <c r="A383">
        <v>92583</v>
      </c>
      <c r="B383" s="19">
        <v>42193</v>
      </c>
      <c r="C383">
        <v>1210</v>
      </c>
      <c r="D383">
        <v>2015</v>
      </c>
      <c r="E383">
        <v>25</v>
      </c>
      <c r="F383">
        <v>673</v>
      </c>
      <c r="G383">
        <v>3</v>
      </c>
      <c r="H383">
        <v>2147</v>
      </c>
      <c r="I383">
        <v>3</v>
      </c>
      <c r="J383">
        <v>4709.62</v>
      </c>
      <c r="K383">
        <v>8957.81</v>
      </c>
      <c r="L383">
        <v>4709.3900000000003</v>
      </c>
      <c r="M383">
        <v>8958.17</v>
      </c>
      <c r="N383">
        <v>47.160333000000001</v>
      </c>
      <c r="O383">
        <v>-89.963499999999996</v>
      </c>
      <c r="P383">
        <v>47.156500000000001</v>
      </c>
      <c r="Q383">
        <v>-89.969499999999996</v>
      </c>
      <c r="R383">
        <v>33818.304250000001</v>
      </c>
      <c r="S383">
        <v>172</v>
      </c>
      <c r="T383">
        <v>172</v>
      </c>
      <c r="U383">
        <v>0.5</v>
      </c>
      <c r="V383">
        <v>2</v>
      </c>
      <c r="W383">
        <v>10.3</v>
      </c>
      <c r="X383">
        <v>10.229100000000001</v>
      </c>
      <c r="Y383">
        <v>0.10979999999999999</v>
      </c>
      <c r="Z383">
        <v>89.239500000000007</v>
      </c>
      <c r="AA383">
        <v>10</v>
      </c>
      <c r="AB383">
        <v>0.42</v>
      </c>
      <c r="AC383">
        <v>217</v>
      </c>
      <c r="AD383">
        <v>25</v>
      </c>
    </row>
    <row r="384" spans="1:30" x14ac:dyDescent="0.55000000000000004">
      <c r="A384">
        <v>92585</v>
      </c>
      <c r="B384" s="19">
        <v>42193</v>
      </c>
      <c r="C384">
        <v>1441</v>
      </c>
      <c r="D384">
        <v>2015</v>
      </c>
      <c r="E384">
        <v>25</v>
      </c>
      <c r="F384">
        <v>674</v>
      </c>
      <c r="G384">
        <v>3</v>
      </c>
      <c r="H384">
        <v>2120</v>
      </c>
      <c r="I384">
        <v>3</v>
      </c>
      <c r="J384">
        <v>4704.96</v>
      </c>
      <c r="K384">
        <v>8939.16</v>
      </c>
      <c r="L384">
        <v>4704.6499999999996</v>
      </c>
      <c r="M384">
        <v>8939.4699999999993</v>
      </c>
      <c r="N384">
        <v>47.082667000000001</v>
      </c>
      <c r="O384">
        <v>-89.652666999999994</v>
      </c>
      <c r="P384">
        <v>47.077500000000001</v>
      </c>
      <c r="Q384">
        <v>-89.657832999999997</v>
      </c>
      <c r="R384">
        <v>27139.368109999999</v>
      </c>
      <c r="S384">
        <v>206</v>
      </c>
      <c r="T384">
        <v>209</v>
      </c>
      <c r="U384">
        <v>0.5</v>
      </c>
      <c r="V384">
        <v>2</v>
      </c>
      <c r="W384">
        <v>8.1</v>
      </c>
      <c r="X384">
        <v>6.9074</v>
      </c>
      <c r="Y384">
        <v>0.1326</v>
      </c>
      <c r="Z384">
        <v>80.435900000000004</v>
      </c>
      <c r="AA384">
        <v>10</v>
      </c>
      <c r="AB384">
        <v>0.43</v>
      </c>
      <c r="AC384">
        <v>217</v>
      </c>
      <c r="AD384">
        <v>2</v>
      </c>
    </row>
    <row r="385" spans="1:30" x14ac:dyDescent="0.55000000000000004">
      <c r="A385">
        <v>92586</v>
      </c>
      <c r="B385" s="19">
        <v>42193</v>
      </c>
      <c r="C385">
        <v>1441</v>
      </c>
      <c r="D385">
        <v>2015</v>
      </c>
      <c r="E385">
        <v>25</v>
      </c>
      <c r="F385">
        <v>675</v>
      </c>
      <c r="G385">
        <v>3</v>
      </c>
      <c r="H385">
        <v>2120</v>
      </c>
      <c r="I385">
        <v>3</v>
      </c>
      <c r="J385">
        <v>4704.96</v>
      </c>
      <c r="K385">
        <v>8939.16</v>
      </c>
      <c r="L385">
        <v>4704.6499999999996</v>
      </c>
      <c r="M385">
        <v>8939.4699999999993</v>
      </c>
      <c r="N385">
        <v>47.082667000000001</v>
      </c>
      <c r="O385">
        <v>-89.652666999999994</v>
      </c>
      <c r="P385">
        <v>47.077500000000001</v>
      </c>
      <c r="Q385">
        <v>-89.657832999999997</v>
      </c>
      <c r="R385">
        <v>27139.368109999999</v>
      </c>
      <c r="S385">
        <v>206</v>
      </c>
      <c r="T385">
        <v>209</v>
      </c>
      <c r="U385">
        <v>0.5</v>
      </c>
      <c r="V385">
        <v>2</v>
      </c>
      <c r="W385">
        <v>8.1</v>
      </c>
      <c r="X385">
        <v>6.9074</v>
      </c>
      <c r="Y385">
        <v>0.1326</v>
      </c>
      <c r="Z385">
        <v>80.435900000000004</v>
      </c>
      <c r="AA385">
        <v>10</v>
      </c>
      <c r="AB385">
        <v>0.43</v>
      </c>
      <c r="AC385">
        <v>217</v>
      </c>
      <c r="AD385">
        <v>5</v>
      </c>
    </row>
    <row r="386" spans="1:30" x14ac:dyDescent="0.55000000000000004">
      <c r="A386">
        <v>92588</v>
      </c>
      <c r="B386" s="19">
        <v>42194</v>
      </c>
      <c r="C386">
        <v>931</v>
      </c>
      <c r="D386">
        <v>2015</v>
      </c>
      <c r="E386">
        <v>25</v>
      </c>
      <c r="F386">
        <v>676</v>
      </c>
      <c r="G386">
        <v>3</v>
      </c>
      <c r="H386">
        <v>2136</v>
      </c>
      <c r="I386">
        <v>3</v>
      </c>
      <c r="J386">
        <v>4713.72</v>
      </c>
      <c r="K386">
        <v>8932.1</v>
      </c>
      <c r="L386">
        <v>4713.5200000000004</v>
      </c>
      <c r="M386">
        <v>8932.5499999999993</v>
      </c>
      <c r="N386">
        <v>47.228667000000002</v>
      </c>
      <c r="O386">
        <v>-89.534999999999997</v>
      </c>
      <c r="P386">
        <v>47.225332999999999</v>
      </c>
      <c r="Q386">
        <v>-89.542500000000004</v>
      </c>
      <c r="R386">
        <v>40355.932849999997</v>
      </c>
      <c r="S386">
        <v>203</v>
      </c>
      <c r="T386">
        <v>205</v>
      </c>
      <c r="U386">
        <v>0.5</v>
      </c>
      <c r="V386">
        <v>2</v>
      </c>
      <c r="W386">
        <v>5.5</v>
      </c>
      <c r="X386">
        <v>5.7129000000000003</v>
      </c>
      <c r="Y386">
        <v>0.10539999999999999</v>
      </c>
      <c r="Z386">
        <v>92.241100000000003</v>
      </c>
      <c r="AA386">
        <v>10</v>
      </c>
      <c r="AB386">
        <v>0.42</v>
      </c>
      <c r="AC386">
        <v>217</v>
      </c>
      <c r="AD386">
        <v>66</v>
      </c>
    </row>
    <row r="387" spans="1:30" x14ac:dyDescent="0.55000000000000004">
      <c r="A387">
        <v>92589</v>
      </c>
      <c r="B387" s="19">
        <v>42194</v>
      </c>
      <c r="C387">
        <v>931</v>
      </c>
      <c r="D387">
        <v>2015</v>
      </c>
      <c r="E387">
        <v>25</v>
      </c>
      <c r="F387">
        <v>677</v>
      </c>
      <c r="G387">
        <v>3</v>
      </c>
      <c r="H387">
        <v>2136</v>
      </c>
      <c r="I387">
        <v>3</v>
      </c>
      <c r="J387">
        <v>4713.72</v>
      </c>
      <c r="K387">
        <v>8932.1</v>
      </c>
      <c r="L387">
        <v>4713.5200000000004</v>
      </c>
      <c r="M387">
        <v>8932.5499999999993</v>
      </c>
      <c r="N387">
        <v>47.228667000000002</v>
      </c>
      <c r="O387">
        <v>-89.534999999999997</v>
      </c>
      <c r="P387">
        <v>47.225332999999999</v>
      </c>
      <c r="Q387">
        <v>-89.542500000000004</v>
      </c>
      <c r="R387">
        <v>40355.932849999997</v>
      </c>
      <c r="S387">
        <v>203</v>
      </c>
      <c r="T387">
        <v>205</v>
      </c>
      <c r="U387">
        <v>0.5</v>
      </c>
      <c r="V387">
        <v>2</v>
      </c>
      <c r="W387">
        <v>5.5</v>
      </c>
      <c r="X387">
        <v>5.7129000000000003</v>
      </c>
      <c r="Y387">
        <v>0.10539999999999999</v>
      </c>
      <c r="Z387">
        <v>92.241100000000003</v>
      </c>
      <c r="AA387">
        <v>10</v>
      </c>
      <c r="AB387">
        <v>0.42</v>
      </c>
      <c r="AC387">
        <v>217</v>
      </c>
      <c r="AD387">
        <v>43</v>
      </c>
    </row>
    <row r="388" spans="1:30" x14ac:dyDescent="0.55000000000000004">
      <c r="A388">
        <v>92590</v>
      </c>
      <c r="B388" s="19">
        <v>42194</v>
      </c>
      <c r="C388">
        <v>1142</v>
      </c>
      <c r="D388">
        <v>2015</v>
      </c>
      <c r="E388">
        <v>25</v>
      </c>
      <c r="F388">
        <v>678</v>
      </c>
      <c r="G388">
        <v>3</v>
      </c>
      <c r="H388">
        <v>2151</v>
      </c>
      <c r="I388">
        <v>3</v>
      </c>
      <c r="J388">
        <v>4709.2299999999996</v>
      </c>
      <c r="K388">
        <v>8917.8799999999992</v>
      </c>
      <c r="L388">
        <v>4709.1899999999996</v>
      </c>
      <c r="M388">
        <v>8917.35</v>
      </c>
      <c r="N388">
        <v>47.153832999999999</v>
      </c>
      <c r="O388">
        <v>-89.298000000000002</v>
      </c>
      <c r="P388">
        <v>47.153167000000003</v>
      </c>
      <c r="Q388">
        <v>-89.289167000000006</v>
      </c>
      <c r="R388">
        <v>22253.35642</v>
      </c>
      <c r="S388">
        <v>137</v>
      </c>
      <c r="T388">
        <v>140</v>
      </c>
      <c r="U388">
        <v>0.5</v>
      </c>
      <c r="V388">
        <v>2</v>
      </c>
      <c r="W388">
        <v>10.4</v>
      </c>
      <c r="X388">
        <v>10.9611</v>
      </c>
      <c r="Y388">
        <v>0.13350000000000001</v>
      </c>
      <c r="Z388">
        <v>88.533100000000005</v>
      </c>
      <c r="AA388">
        <v>10</v>
      </c>
      <c r="AB388">
        <v>0.42</v>
      </c>
      <c r="AC388">
        <v>217</v>
      </c>
      <c r="AD388">
        <v>23</v>
      </c>
    </row>
    <row r="389" spans="1:30" x14ac:dyDescent="0.55000000000000004">
      <c r="A389">
        <v>92591</v>
      </c>
      <c r="B389" s="19">
        <v>42194</v>
      </c>
      <c r="C389">
        <v>1142</v>
      </c>
      <c r="D389">
        <v>2015</v>
      </c>
      <c r="E389">
        <v>25</v>
      </c>
      <c r="F389">
        <v>679</v>
      </c>
      <c r="G389">
        <v>3</v>
      </c>
      <c r="H389">
        <v>2151</v>
      </c>
      <c r="I389">
        <v>3</v>
      </c>
      <c r="J389">
        <v>4709.2299999999996</v>
      </c>
      <c r="K389">
        <v>8917.8799999999992</v>
      </c>
      <c r="L389">
        <v>4709.1899999999996</v>
      </c>
      <c r="M389">
        <v>8917.35</v>
      </c>
      <c r="N389">
        <v>47.153832999999999</v>
      </c>
      <c r="O389">
        <v>-89.298000000000002</v>
      </c>
      <c r="P389">
        <v>47.153167000000003</v>
      </c>
      <c r="Q389">
        <v>-89.289167000000006</v>
      </c>
      <c r="R389">
        <v>22253.35642</v>
      </c>
      <c r="S389">
        <v>137</v>
      </c>
      <c r="T389">
        <v>140</v>
      </c>
      <c r="U389">
        <v>0.5</v>
      </c>
      <c r="V389">
        <v>2</v>
      </c>
      <c r="W389">
        <v>10.4</v>
      </c>
      <c r="X389">
        <v>10.9611</v>
      </c>
      <c r="Y389">
        <v>0.13350000000000001</v>
      </c>
      <c r="Z389">
        <v>88.533100000000005</v>
      </c>
      <c r="AA389">
        <v>10</v>
      </c>
      <c r="AB389">
        <v>0.42</v>
      </c>
      <c r="AC389">
        <v>217</v>
      </c>
      <c r="AD389">
        <v>11</v>
      </c>
    </row>
    <row r="390" spans="1:30" x14ac:dyDescent="0.55000000000000004">
      <c r="A390">
        <v>92594</v>
      </c>
      <c r="B390" s="19">
        <v>42195</v>
      </c>
      <c r="C390">
        <v>939</v>
      </c>
      <c r="D390">
        <v>2015</v>
      </c>
      <c r="E390">
        <v>25</v>
      </c>
      <c r="F390">
        <v>680</v>
      </c>
      <c r="G390">
        <v>3</v>
      </c>
      <c r="H390">
        <v>2115</v>
      </c>
      <c r="I390">
        <v>3</v>
      </c>
      <c r="J390">
        <v>4724.82</v>
      </c>
      <c r="K390">
        <v>8828.24</v>
      </c>
      <c r="L390">
        <v>4725.04</v>
      </c>
      <c r="M390">
        <v>8827.7800000000007</v>
      </c>
      <c r="N390">
        <v>47.413666999999997</v>
      </c>
      <c r="O390">
        <v>-88.470667000000006</v>
      </c>
      <c r="P390">
        <v>47.417332999999999</v>
      </c>
      <c r="Q390">
        <v>-88.462999999999994</v>
      </c>
      <c r="R390">
        <v>6021.3592170000002</v>
      </c>
      <c r="S390">
        <v>203</v>
      </c>
      <c r="T390">
        <v>208</v>
      </c>
      <c r="U390">
        <v>0.5</v>
      </c>
      <c r="V390">
        <v>2</v>
      </c>
      <c r="W390">
        <v>4.5</v>
      </c>
      <c r="X390">
        <v>5.0457000000000001</v>
      </c>
      <c r="Y390">
        <v>0.1167</v>
      </c>
      <c r="Z390">
        <v>91.919300000000007</v>
      </c>
      <c r="AA390">
        <v>10</v>
      </c>
      <c r="AB390">
        <v>0.43</v>
      </c>
      <c r="AC390">
        <v>217</v>
      </c>
      <c r="AD390">
        <v>9</v>
      </c>
    </row>
    <row r="391" spans="1:30" x14ac:dyDescent="0.55000000000000004">
      <c r="A391">
        <v>92595</v>
      </c>
      <c r="B391" s="19">
        <v>42195</v>
      </c>
      <c r="C391">
        <v>939</v>
      </c>
      <c r="D391">
        <v>2015</v>
      </c>
      <c r="E391">
        <v>25</v>
      </c>
      <c r="F391">
        <v>681</v>
      </c>
      <c r="G391">
        <v>3</v>
      </c>
      <c r="H391">
        <v>2115</v>
      </c>
      <c r="I391">
        <v>3</v>
      </c>
      <c r="J391">
        <v>4724.82</v>
      </c>
      <c r="K391">
        <v>8828.24</v>
      </c>
      <c r="L391">
        <v>4725.04</v>
      </c>
      <c r="M391">
        <v>8827.7800000000007</v>
      </c>
      <c r="N391">
        <v>47.413666999999997</v>
      </c>
      <c r="O391">
        <v>-88.470667000000006</v>
      </c>
      <c r="P391">
        <v>47.417332999999999</v>
      </c>
      <c r="Q391">
        <v>-88.462999999999994</v>
      </c>
      <c r="R391">
        <v>6021.3592170000002</v>
      </c>
      <c r="S391">
        <v>203</v>
      </c>
      <c r="T391">
        <v>208</v>
      </c>
      <c r="U391">
        <v>0.5</v>
      </c>
      <c r="V391">
        <v>2</v>
      </c>
      <c r="W391">
        <v>4.5</v>
      </c>
      <c r="X391">
        <v>5.0457000000000001</v>
      </c>
      <c r="Y391">
        <v>0.1167</v>
      </c>
      <c r="Z391">
        <v>91.919300000000007</v>
      </c>
      <c r="AA391">
        <v>10</v>
      </c>
      <c r="AB391">
        <v>0.43</v>
      </c>
      <c r="AC391">
        <v>217</v>
      </c>
      <c r="AD391">
        <v>1</v>
      </c>
    </row>
    <row r="392" spans="1:30" x14ac:dyDescent="0.55000000000000004">
      <c r="A392">
        <v>92600</v>
      </c>
      <c r="B392" s="19">
        <v>42195</v>
      </c>
      <c r="C392">
        <v>1658</v>
      </c>
      <c r="D392">
        <v>2015</v>
      </c>
      <c r="E392">
        <v>25</v>
      </c>
      <c r="F392">
        <v>684</v>
      </c>
      <c r="G392">
        <v>3</v>
      </c>
      <c r="H392">
        <v>2134</v>
      </c>
      <c r="I392">
        <v>3</v>
      </c>
      <c r="J392">
        <v>4802.8999999999996</v>
      </c>
      <c r="K392">
        <v>8814.99</v>
      </c>
      <c r="L392">
        <v>4802.95</v>
      </c>
      <c r="M392">
        <v>8815.48</v>
      </c>
      <c r="N392">
        <v>48.048333</v>
      </c>
      <c r="O392">
        <v>-88.249832999999995</v>
      </c>
      <c r="P392">
        <v>48.049166999999997</v>
      </c>
      <c r="Q392">
        <v>-88.257999999999996</v>
      </c>
      <c r="R392">
        <v>18309.673719999999</v>
      </c>
      <c r="S392">
        <v>254</v>
      </c>
      <c r="T392">
        <v>256</v>
      </c>
      <c r="U392">
        <v>0.5</v>
      </c>
      <c r="V392">
        <v>2</v>
      </c>
      <c r="X392">
        <v>3.9651000000000001</v>
      </c>
      <c r="Y392">
        <v>9.01E-2</v>
      </c>
      <c r="Z392">
        <v>39.316099999999999</v>
      </c>
      <c r="AA392">
        <v>10</v>
      </c>
      <c r="AB392">
        <v>0.4</v>
      </c>
      <c r="AC392">
        <v>217</v>
      </c>
      <c r="AD392">
        <v>3</v>
      </c>
    </row>
    <row r="393" spans="1:30" x14ac:dyDescent="0.55000000000000004">
      <c r="A393">
        <v>92601</v>
      </c>
      <c r="B393" s="19">
        <v>42195</v>
      </c>
      <c r="C393">
        <v>1658</v>
      </c>
      <c r="D393">
        <v>2015</v>
      </c>
      <c r="E393">
        <v>25</v>
      </c>
      <c r="F393">
        <v>685</v>
      </c>
      <c r="G393">
        <v>3</v>
      </c>
      <c r="H393">
        <v>2134</v>
      </c>
      <c r="I393">
        <v>3</v>
      </c>
      <c r="J393">
        <v>4802.8999999999996</v>
      </c>
      <c r="K393">
        <v>8814.99</v>
      </c>
      <c r="L393">
        <v>4802.95</v>
      </c>
      <c r="M393">
        <v>8815.48</v>
      </c>
      <c r="N393">
        <v>48.048333</v>
      </c>
      <c r="O393">
        <v>-88.249832999999995</v>
      </c>
      <c r="P393">
        <v>48.049166999999997</v>
      </c>
      <c r="Q393">
        <v>-88.257999999999996</v>
      </c>
      <c r="R393">
        <v>18309.673719999999</v>
      </c>
      <c r="S393">
        <v>254</v>
      </c>
      <c r="T393">
        <v>256</v>
      </c>
      <c r="U393">
        <v>0.5</v>
      </c>
      <c r="V393">
        <v>2</v>
      </c>
      <c r="X393">
        <v>3.9651000000000001</v>
      </c>
      <c r="Y393">
        <v>9.01E-2</v>
      </c>
      <c r="Z393">
        <v>39.316099999999999</v>
      </c>
      <c r="AA393">
        <v>10</v>
      </c>
      <c r="AB393">
        <v>0.4</v>
      </c>
      <c r="AC393">
        <v>217</v>
      </c>
      <c r="AD393">
        <v>1</v>
      </c>
    </row>
    <row r="394" spans="1:30" x14ac:dyDescent="0.55000000000000004">
      <c r="A394">
        <v>92603</v>
      </c>
      <c r="B394" s="19">
        <v>42196</v>
      </c>
      <c r="C394">
        <v>947</v>
      </c>
      <c r="D394">
        <v>2015</v>
      </c>
      <c r="E394">
        <v>25</v>
      </c>
      <c r="F394">
        <v>686</v>
      </c>
      <c r="G394">
        <v>3</v>
      </c>
      <c r="H394">
        <v>2118</v>
      </c>
      <c r="I394">
        <v>3</v>
      </c>
      <c r="J394">
        <v>4752.45</v>
      </c>
      <c r="K394">
        <v>8804.07</v>
      </c>
      <c r="L394">
        <v>4752.46</v>
      </c>
      <c r="M394">
        <v>8803.5400000000009</v>
      </c>
      <c r="N394">
        <v>47.874167</v>
      </c>
      <c r="O394">
        <v>-88.067832999999993</v>
      </c>
      <c r="P394">
        <v>47.874333</v>
      </c>
      <c r="Q394">
        <v>-88.058999999999997</v>
      </c>
      <c r="R394">
        <v>42823.20031</v>
      </c>
      <c r="S394">
        <v>251</v>
      </c>
      <c r="T394">
        <v>247</v>
      </c>
      <c r="U394">
        <v>0.5</v>
      </c>
      <c r="V394">
        <v>2</v>
      </c>
      <c r="W394">
        <v>3.2</v>
      </c>
      <c r="X394">
        <v>4.1188000000000002</v>
      </c>
      <c r="Y394">
        <v>0.15060000000000001</v>
      </c>
      <c r="Z394">
        <v>92.685900000000004</v>
      </c>
      <c r="AA394">
        <v>10</v>
      </c>
      <c r="AB394">
        <v>0.4</v>
      </c>
      <c r="AC394">
        <v>217</v>
      </c>
      <c r="AD394">
        <v>14</v>
      </c>
    </row>
    <row r="395" spans="1:30" x14ac:dyDescent="0.55000000000000004">
      <c r="A395">
        <v>92604</v>
      </c>
      <c r="B395" s="19">
        <v>42196</v>
      </c>
      <c r="C395">
        <v>947</v>
      </c>
      <c r="D395">
        <v>2015</v>
      </c>
      <c r="E395">
        <v>25</v>
      </c>
      <c r="F395">
        <v>687</v>
      </c>
      <c r="G395">
        <v>3</v>
      </c>
      <c r="H395">
        <v>2118</v>
      </c>
      <c r="I395">
        <v>3</v>
      </c>
      <c r="J395">
        <v>4752.45</v>
      </c>
      <c r="K395">
        <v>8804.07</v>
      </c>
      <c r="L395">
        <v>4752.46</v>
      </c>
      <c r="M395">
        <v>8803.5400000000009</v>
      </c>
      <c r="N395">
        <v>47.874167</v>
      </c>
      <c r="O395">
        <v>-88.067832999999993</v>
      </c>
      <c r="P395">
        <v>47.874333</v>
      </c>
      <c r="Q395">
        <v>-88.058999999999997</v>
      </c>
      <c r="R395">
        <v>42823.20031</v>
      </c>
      <c r="S395">
        <v>251</v>
      </c>
      <c r="T395">
        <v>247</v>
      </c>
      <c r="U395">
        <v>0.5</v>
      </c>
      <c r="V395">
        <v>2</v>
      </c>
      <c r="W395">
        <v>3.2</v>
      </c>
      <c r="X395">
        <v>4.1188000000000002</v>
      </c>
      <c r="Y395">
        <v>0.15060000000000001</v>
      </c>
      <c r="Z395">
        <v>92.685900000000004</v>
      </c>
      <c r="AA395">
        <v>10</v>
      </c>
      <c r="AB395">
        <v>0.4</v>
      </c>
      <c r="AC395">
        <v>217</v>
      </c>
      <c r="AD395">
        <v>14</v>
      </c>
    </row>
    <row r="396" spans="1:30" x14ac:dyDescent="0.55000000000000004">
      <c r="A396">
        <v>92606</v>
      </c>
      <c r="B396" s="19">
        <v>42196</v>
      </c>
      <c r="C396">
        <v>1445</v>
      </c>
      <c r="D396">
        <v>2015</v>
      </c>
      <c r="E396">
        <v>25</v>
      </c>
      <c r="F396">
        <v>688</v>
      </c>
      <c r="G396">
        <v>3</v>
      </c>
      <c r="H396">
        <v>2138</v>
      </c>
      <c r="I396">
        <v>3</v>
      </c>
      <c r="J396">
        <v>4730.6000000000004</v>
      </c>
      <c r="K396">
        <v>8713.67</v>
      </c>
      <c r="L396">
        <v>4730.6000000000004</v>
      </c>
      <c r="M396">
        <v>8713.09</v>
      </c>
      <c r="N396">
        <v>47.51</v>
      </c>
      <c r="O396">
        <v>-87.227833000000004</v>
      </c>
      <c r="P396">
        <v>47.51</v>
      </c>
      <c r="Q396">
        <v>-87.218166999999994</v>
      </c>
      <c r="R396">
        <v>29316.039809999998</v>
      </c>
      <c r="S396">
        <v>299</v>
      </c>
      <c r="T396">
        <v>307</v>
      </c>
      <c r="U396">
        <v>0.5</v>
      </c>
      <c r="V396">
        <v>2</v>
      </c>
      <c r="W396">
        <v>3.5</v>
      </c>
      <c r="X396">
        <v>3.8573</v>
      </c>
      <c r="Y396">
        <v>0.1336</v>
      </c>
      <c r="Z396">
        <v>92.908799999999999</v>
      </c>
      <c r="AA396">
        <v>10</v>
      </c>
      <c r="AB396">
        <v>0.4</v>
      </c>
      <c r="AC396">
        <v>217</v>
      </c>
      <c r="AD396">
        <v>6</v>
      </c>
    </row>
    <row r="397" spans="1:30" x14ac:dyDescent="0.55000000000000004">
      <c r="A397">
        <v>92607</v>
      </c>
      <c r="B397" s="19">
        <v>42197</v>
      </c>
      <c r="C397">
        <v>945</v>
      </c>
      <c r="D397">
        <v>2015</v>
      </c>
      <c r="E397">
        <v>25</v>
      </c>
      <c r="F397">
        <v>689</v>
      </c>
      <c r="G397">
        <v>3</v>
      </c>
      <c r="H397">
        <v>2150</v>
      </c>
      <c r="I397">
        <v>3</v>
      </c>
      <c r="J397">
        <v>4708.45</v>
      </c>
      <c r="K397">
        <v>8723.2800000000007</v>
      </c>
      <c r="L397">
        <v>4708.22</v>
      </c>
      <c r="M397">
        <v>8722.9</v>
      </c>
      <c r="N397">
        <v>47.140833000000001</v>
      </c>
      <c r="O397">
        <v>-87.388000000000005</v>
      </c>
      <c r="P397">
        <v>47.137</v>
      </c>
      <c r="Q397">
        <v>-87.381666999999993</v>
      </c>
      <c r="R397">
        <v>34208.448069999999</v>
      </c>
      <c r="S397">
        <v>136</v>
      </c>
      <c r="T397">
        <v>134</v>
      </c>
      <c r="U397">
        <v>0.5</v>
      </c>
      <c r="V397">
        <v>2</v>
      </c>
      <c r="W397">
        <v>6.4</v>
      </c>
      <c r="X397">
        <v>6.0776000000000003</v>
      </c>
      <c r="Y397">
        <v>9.6100000000000005E-2</v>
      </c>
      <c r="Z397">
        <v>90.606099999999998</v>
      </c>
      <c r="AA397">
        <v>10</v>
      </c>
      <c r="AB397">
        <v>0.4</v>
      </c>
      <c r="AC397">
        <v>217</v>
      </c>
      <c r="AD397">
        <v>6</v>
      </c>
    </row>
    <row r="398" spans="1:30" x14ac:dyDescent="0.55000000000000004">
      <c r="A398">
        <v>92608</v>
      </c>
      <c r="B398" s="19">
        <v>42197</v>
      </c>
      <c r="C398">
        <v>945</v>
      </c>
      <c r="D398">
        <v>2015</v>
      </c>
      <c r="E398">
        <v>25</v>
      </c>
      <c r="F398">
        <v>690</v>
      </c>
      <c r="G398">
        <v>3</v>
      </c>
      <c r="H398">
        <v>2150</v>
      </c>
      <c r="I398">
        <v>3</v>
      </c>
      <c r="J398">
        <v>4708.45</v>
      </c>
      <c r="K398">
        <v>8723.2800000000007</v>
      </c>
      <c r="L398">
        <v>4708.22</v>
      </c>
      <c r="M398">
        <v>8722.9</v>
      </c>
      <c r="N398">
        <v>47.140833000000001</v>
      </c>
      <c r="O398">
        <v>-87.388000000000005</v>
      </c>
      <c r="P398">
        <v>47.137</v>
      </c>
      <c r="Q398">
        <v>-87.381666999999993</v>
      </c>
      <c r="R398">
        <v>34208.448069999999</v>
      </c>
      <c r="S398">
        <v>136</v>
      </c>
      <c r="T398">
        <v>134</v>
      </c>
      <c r="U398">
        <v>0.5</v>
      </c>
      <c r="V398">
        <v>2</v>
      </c>
      <c r="W398">
        <v>6.4</v>
      </c>
      <c r="X398">
        <v>6.0776000000000003</v>
      </c>
      <c r="Y398">
        <v>9.6100000000000005E-2</v>
      </c>
      <c r="Z398">
        <v>90.606099999999998</v>
      </c>
      <c r="AA398">
        <v>10</v>
      </c>
      <c r="AB398">
        <v>0.4</v>
      </c>
      <c r="AC398">
        <v>217</v>
      </c>
      <c r="AD398">
        <v>7</v>
      </c>
    </row>
    <row r="399" spans="1:30" x14ac:dyDescent="0.55000000000000004">
      <c r="A399">
        <v>92612</v>
      </c>
      <c r="B399" s="19">
        <v>42197</v>
      </c>
      <c r="C399">
        <v>1140</v>
      </c>
      <c r="D399">
        <v>2015</v>
      </c>
      <c r="E399">
        <v>25</v>
      </c>
      <c r="F399">
        <v>691</v>
      </c>
      <c r="G399">
        <v>3</v>
      </c>
      <c r="H399">
        <v>2154</v>
      </c>
      <c r="I399">
        <v>3</v>
      </c>
      <c r="J399">
        <v>4704.29</v>
      </c>
      <c r="K399">
        <v>8709.93</v>
      </c>
      <c r="L399">
        <v>4703.88</v>
      </c>
      <c r="M399">
        <v>8709.92</v>
      </c>
      <c r="N399">
        <v>47.0715</v>
      </c>
      <c r="O399">
        <v>-87.165499999999994</v>
      </c>
      <c r="P399">
        <v>47.064667</v>
      </c>
      <c r="Q399">
        <v>-87.165333000000004</v>
      </c>
      <c r="R399">
        <v>47021.675719999999</v>
      </c>
      <c r="S399">
        <v>178</v>
      </c>
      <c r="T399">
        <v>182</v>
      </c>
      <c r="U399">
        <v>0.5</v>
      </c>
      <c r="V399">
        <v>2</v>
      </c>
      <c r="W399">
        <v>4.8</v>
      </c>
      <c r="X399">
        <v>5.0968</v>
      </c>
      <c r="Y399">
        <v>8.6800000000000002E-2</v>
      </c>
      <c r="Z399">
        <v>31.098299999999998</v>
      </c>
      <c r="AA399">
        <v>10</v>
      </c>
      <c r="AB399">
        <v>0.42</v>
      </c>
      <c r="AC399">
        <v>0</v>
      </c>
      <c r="AD399">
        <v>0</v>
      </c>
    </row>
    <row r="400" spans="1:30" x14ac:dyDescent="0.55000000000000004">
      <c r="A400">
        <v>92613</v>
      </c>
      <c r="B400" s="19">
        <v>42197</v>
      </c>
      <c r="C400">
        <v>1140</v>
      </c>
      <c r="D400">
        <v>2015</v>
      </c>
      <c r="E400">
        <v>25</v>
      </c>
      <c r="F400">
        <v>692</v>
      </c>
      <c r="G400">
        <v>3</v>
      </c>
      <c r="H400">
        <v>2154</v>
      </c>
      <c r="I400">
        <v>3</v>
      </c>
      <c r="J400">
        <v>4704.29</v>
      </c>
      <c r="K400">
        <v>8709.93</v>
      </c>
      <c r="L400">
        <v>4703.88</v>
      </c>
      <c r="M400">
        <v>8709.92</v>
      </c>
      <c r="N400">
        <v>47.0715</v>
      </c>
      <c r="O400">
        <v>-87.165499999999994</v>
      </c>
      <c r="P400">
        <v>47.064667</v>
      </c>
      <c r="Q400">
        <v>-87.165333000000004</v>
      </c>
      <c r="R400">
        <v>47021.675719999999</v>
      </c>
      <c r="S400">
        <v>178</v>
      </c>
      <c r="T400">
        <v>182</v>
      </c>
      <c r="U400">
        <v>0.5</v>
      </c>
      <c r="V400">
        <v>2</v>
      </c>
      <c r="W400">
        <v>4.8</v>
      </c>
      <c r="X400">
        <v>5.0968</v>
      </c>
      <c r="Y400">
        <v>8.6800000000000002E-2</v>
      </c>
      <c r="Z400">
        <v>31.098299999999998</v>
      </c>
      <c r="AA400">
        <v>10</v>
      </c>
      <c r="AB400">
        <v>0.42</v>
      </c>
      <c r="AC400">
        <v>0</v>
      </c>
      <c r="AD400">
        <v>0</v>
      </c>
    </row>
    <row r="401" spans="1:30" x14ac:dyDescent="0.55000000000000004">
      <c r="A401">
        <v>92614</v>
      </c>
      <c r="B401" s="19">
        <v>42197</v>
      </c>
      <c r="C401">
        <v>1410</v>
      </c>
      <c r="D401">
        <v>2015</v>
      </c>
      <c r="E401">
        <v>25</v>
      </c>
      <c r="F401">
        <v>693</v>
      </c>
      <c r="G401">
        <v>3</v>
      </c>
      <c r="H401">
        <v>2152</v>
      </c>
      <c r="I401">
        <v>3</v>
      </c>
      <c r="J401">
        <v>4648.63</v>
      </c>
      <c r="K401">
        <v>8701.91</v>
      </c>
      <c r="L401">
        <v>4648.3100000000004</v>
      </c>
      <c r="M401">
        <v>8701.7099999999991</v>
      </c>
      <c r="N401">
        <v>46.810499999999998</v>
      </c>
      <c r="O401">
        <v>-87.031833000000006</v>
      </c>
      <c r="P401">
        <v>46.805166999999997</v>
      </c>
      <c r="Q401">
        <v>-87.028499999999994</v>
      </c>
      <c r="R401">
        <v>30091.805219999998</v>
      </c>
      <c r="S401">
        <v>147</v>
      </c>
      <c r="T401">
        <v>146</v>
      </c>
      <c r="U401">
        <v>0.5</v>
      </c>
      <c r="V401">
        <v>2</v>
      </c>
      <c r="W401">
        <v>3.9</v>
      </c>
      <c r="X401">
        <v>3.8409</v>
      </c>
      <c r="Y401">
        <v>0.1321</v>
      </c>
      <c r="Z401">
        <v>90.108599999999996</v>
      </c>
      <c r="AA401">
        <v>10</v>
      </c>
      <c r="AB401">
        <v>0.4</v>
      </c>
      <c r="AC401">
        <v>0</v>
      </c>
      <c r="AD401">
        <v>0</v>
      </c>
    </row>
    <row r="402" spans="1:30" x14ac:dyDescent="0.55000000000000004">
      <c r="A402">
        <v>92615</v>
      </c>
      <c r="B402" s="19">
        <v>42197</v>
      </c>
      <c r="C402">
        <v>1410</v>
      </c>
      <c r="D402">
        <v>2015</v>
      </c>
      <c r="E402">
        <v>25</v>
      </c>
      <c r="F402">
        <v>694</v>
      </c>
      <c r="G402">
        <v>3</v>
      </c>
      <c r="H402">
        <v>2152</v>
      </c>
      <c r="I402">
        <v>3</v>
      </c>
      <c r="J402">
        <v>4648.63</v>
      </c>
      <c r="K402">
        <v>8701.91</v>
      </c>
      <c r="L402">
        <v>4648.3100000000004</v>
      </c>
      <c r="M402">
        <v>8701.7099999999991</v>
      </c>
      <c r="N402">
        <v>46.810499999999998</v>
      </c>
      <c r="O402">
        <v>-87.031833000000006</v>
      </c>
      <c r="P402">
        <v>46.805166999999997</v>
      </c>
      <c r="Q402">
        <v>-87.028499999999994</v>
      </c>
      <c r="R402">
        <v>30091.805219999998</v>
      </c>
      <c r="S402">
        <v>147</v>
      </c>
      <c r="T402">
        <v>146</v>
      </c>
      <c r="U402">
        <v>0.5</v>
      </c>
      <c r="V402">
        <v>2</v>
      </c>
      <c r="W402">
        <v>3.9</v>
      </c>
      <c r="X402">
        <v>3.8409</v>
      </c>
      <c r="Y402">
        <v>0.1321</v>
      </c>
      <c r="Z402">
        <v>90.108599999999996</v>
      </c>
      <c r="AA402">
        <v>10</v>
      </c>
      <c r="AB402">
        <v>0.4</v>
      </c>
      <c r="AC402">
        <v>0</v>
      </c>
      <c r="AD402">
        <v>0</v>
      </c>
    </row>
    <row r="403" spans="1:30" x14ac:dyDescent="0.55000000000000004">
      <c r="A403">
        <v>92616</v>
      </c>
      <c r="B403" s="19">
        <v>42198</v>
      </c>
      <c r="C403">
        <v>918</v>
      </c>
      <c r="D403">
        <v>2015</v>
      </c>
      <c r="E403">
        <v>25</v>
      </c>
      <c r="F403">
        <v>695</v>
      </c>
      <c r="G403">
        <v>3</v>
      </c>
      <c r="H403">
        <v>2116</v>
      </c>
      <c r="I403">
        <v>3</v>
      </c>
      <c r="J403">
        <v>4645.05</v>
      </c>
      <c r="K403">
        <v>8631.8799999999992</v>
      </c>
      <c r="L403">
        <v>4644.97</v>
      </c>
      <c r="M403">
        <v>8632.34</v>
      </c>
      <c r="N403">
        <v>46.750833</v>
      </c>
      <c r="O403">
        <v>-86.531333000000004</v>
      </c>
      <c r="P403">
        <v>46.749499999999998</v>
      </c>
      <c r="Q403">
        <v>-86.539000000000001</v>
      </c>
      <c r="R403">
        <v>22714.790079999999</v>
      </c>
      <c r="S403">
        <v>179</v>
      </c>
      <c r="T403">
        <v>174</v>
      </c>
      <c r="U403">
        <v>0.5</v>
      </c>
      <c r="V403">
        <v>2</v>
      </c>
      <c r="W403">
        <v>4.3</v>
      </c>
      <c r="X403">
        <v>4.5014000000000003</v>
      </c>
      <c r="Y403">
        <v>0.19339999999999999</v>
      </c>
      <c r="Z403">
        <v>91.484300000000005</v>
      </c>
      <c r="AA403">
        <v>10</v>
      </c>
      <c r="AB403">
        <v>0.4</v>
      </c>
      <c r="AC403">
        <v>217</v>
      </c>
      <c r="AD403">
        <v>15</v>
      </c>
    </row>
    <row r="404" spans="1:30" x14ac:dyDescent="0.55000000000000004">
      <c r="A404">
        <v>92617</v>
      </c>
      <c r="B404" s="19">
        <v>42198</v>
      </c>
      <c r="C404">
        <v>918</v>
      </c>
      <c r="D404">
        <v>2015</v>
      </c>
      <c r="E404">
        <v>25</v>
      </c>
      <c r="F404">
        <v>696</v>
      </c>
      <c r="G404">
        <v>3</v>
      </c>
      <c r="H404">
        <v>2116</v>
      </c>
      <c r="I404">
        <v>3</v>
      </c>
      <c r="J404">
        <v>4645.05</v>
      </c>
      <c r="K404">
        <v>8631.8799999999992</v>
      </c>
      <c r="L404">
        <v>4644.97</v>
      </c>
      <c r="M404">
        <v>8632.34</v>
      </c>
      <c r="N404">
        <v>46.750833</v>
      </c>
      <c r="O404">
        <v>-86.531333000000004</v>
      </c>
      <c r="P404">
        <v>46.749499999999998</v>
      </c>
      <c r="Q404">
        <v>-86.539000000000001</v>
      </c>
      <c r="R404">
        <v>22714.790079999999</v>
      </c>
      <c r="S404">
        <v>179</v>
      </c>
      <c r="T404">
        <v>174</v>
      </c>
      <c r="U404">
        <v>0.5</v>
      </c>
      <c r="V404">
        <v>2</v>
      </c>
      <c r="W404">
        <v>4.3</v>
      </c>
      <c r="X404">
        <v>4.5014000000000003</v>
      </c>
      <c r="Y404">
        <v>0.19339999999999999</v>
      </c>
      <c r="Z404">
        <v>91.484300000000005</v>
      </c>
      <c r="AA404">
        <v>10</v>
      </c>
      <c r="AB404">
        <v>0.4</v>
      </c>
      <c r="AC404">
        <v>217</v>
      </c>
      <c r="AD404">
        <v>8</v>
      </c>
    </row>
    <row r="405" spans="1:30" x14ac:dyDescent="0.55000000000000004">
      <c r="A405">
        <v>92619</v>
      </c>
      <c r="B405" s="19">
        <v>42198</v>
      </c>
      <c r="C405">
        <v>1327</v>
      </c>
      <c r="D405">
        <v>2015</v>
      </c>
      <c r="E405">
        <v>25</v>
      </c>
      <c r="F405">
        <v>697</v>
      </c>
      <c r="G405">
        <v>3</v>
      </c>
      <c r="H405">
        <v>2125</v>
      </c>
      <c r="I405">
        <v>3</v>
      </c>
      <c r="J405">
        <v>4706.18</v>
      </c>
      <c r="K405">
        <v>8558.2999999999993</v>
      </c>
      <c r="L405">
        <v>4705.8500000000004</v>
      </c>
      <c r="M405">
        <v>8558.09</v>
      </c>
      <c r="N405">
        <v>47.103000000000002</v>
      </c>
      <c r="O405">
        <v>-85.971666999999997</v>
      </c>
      <c r="P405">
        <v>47.097499999999997</v>
      </c>
      <c r="Q405">
        <v>-85.968166999999994</v>
      </c>
      <c r="R405">
        <v>28316.628680000002</v>
      </c>
      <c r="S405">
        <v>187</v>
      </c>
      <c r="T405">
        <v>192</v>
      </c>
      <c r="U405">
        <v>0.5</v>
      </c>
      <c r="V405">
        <v>2</v>
      </c>
      <c r="W405">
        <v>3.2</v>
      </c>
      <c r="X405">
        <v>3.9407000000000001</v>
      </c>
      <c r="Y405">
        <v>0.47360000000000002</v>
      </c>
      <c r="Z405">
        <v>94.979600000000005</v>
      </c>
      <c r="AA405">
        <v>10</v>
      </c>
      <c r="AB405">
        <v>0.4</v>
      </c>
      <c r="AC405">
        <v>217</v>
      </c>
      <c r="AD405">
        <v>8</v>
      </c>
    </row>
    <row r="406" spans="1:30" x14ac:dyDescent="0.55000000000000004">
      <c r="A406">
        <v>92620</v>
      </c>
      <c r="B406" s="19">
        <v>42198</v>
      </c>
      <c r="C406">
        <v>1327</v>
      </c>
      <c r="D406">
        <v>2015</v>
      </c>
      <c r="E406">
        <v>25</v>
      </c>
      <c r="F406">
        <v>698</v>
      </c>
      <c r="G406">
        <v>3</v>
      </c>
      <c r="H406">
        <v>2125</v>
      </c>
      <c r="I406">
        <v>3</v>
      </c>
      <c r="J406">
        <v>4706.18</v>
      </c>
      <c r="K406">
        <v>8558.2999999999993</v>
      </c>
      <c r="L406">
        <v>4705.8500000000004</v>
      </c>
      <c r="M406">
        <v>8558.09</v>
      </c>
      <c r="N406">
        <v>47.103000000000002</v>
      </c>
      <c r="O406">
        <v>-85.971666999999997</v>
      </c>
      <c r="P406">
        <v>47.097499999999997</v>
      </c>
      <c r="Q406">
        <v>-85.968166999999994</v>
      </c>
      <c r="R406">
        <v>28316.628680000002</v>
      </c>
      <c r="S406">
        <v>187</v>
      </c>
      <c r="T406">
        <v>192</v>
      </c>
      <c r="U406">
        <v>0.5</v>
      </c>
      <c r="V406">
        <v>2</v>
      </c>
      <c r="W406">
        <v>3.2</v>
      </c>
      <c r="X406">
        <v>3.9407000000000001</v>
      </c>
      <c r="Y406">
        <v>0.47360000000000002</v>
      </c>
      <c r="Z406">
        <v>94.979600000000005</v>
      </c>
      <c r="AA406">
        <v>10</v>
      </c>
      <c r="AB406">
        <v>0.4</v>
      </c>
      <c r="AC406">
        <v>217</v>
      </c>
      <c r="AD406">
        <v>6</v>
      </c>
    </row>
    <row r="407" spans="1:30" x14ac:dyDescent="0.55000000000000004">
      <c r="A407">
        <v>92622</v>
      </c>
      <c r="B407" s="19">
        <v>42199</v>
      </c>
      <c r="C407">
        <v>930</v>
      </c>
      <c r="D407">
        <v>2015</v>
      </c>
      <c r="E407">
        <v>25</v>
      </c>
      <c r="F407">
        <v>699</v>
      </c>
      <c r="G407">
        <v>3</v>
      </c>
      <c r="H407">
        <v>2148</v>
      </c>
      <c r="I407">
        <v>3</v>
      </c>
      <c r="J407">
        <v>4654.16</v>
      </c>
      <c r="K407">
        <v>8531.94</v>
      </c>
      <c r="L407">
        <v>4653.74</v>
      </c>
      <c r="M407">
        <v>8531.91</v>
      </c>
      <c r="N407">
        <v>46.902667000000001</v>
      </c>
      <c r="O407">
        <v>-85.532332999999994</v>
      </c>
      <c r="P407">
        <v>46.895667000000003</v>
      </c>
      <c r="Q407">
        <v>-85.531833000000006</v>
      </c>
      <c r="R407">
        <v>23830.26771</v>
      </c>
      <c r="S407">
        <v>158</v>
      </c>
      <c r="T407">
        <v>157</v>
      </c>
      <c r="U407">
        <v>0.5</v>
      </c>
      <c r="V407">
        <v>2</v>
      </c>
      <c r="W407">
        <v>3.5</v>
      </c>
      <c r="X407">
        <v>4.5615500000000004</v>
      </c>
      <c r="Y407">
        <v>0.13014999999999999</v>
      </c>
      <c r="Z407">
        <v>63.330550000000002</v>
      </c>
      <c r="AA407">
        <v>10</v>
      </c>
      <c r="AB407">
        <v>0.49</v>
      </c>
      <c r="AC407">
        <v>217</v>
      </c>
      <c r="AD407">
        <v>60</v>
      </c>
    </row>
    <row r="408" spans="1:30" x14ac:dyDescent="0.55000000000000004">
      <c r="A408">
        <v>92623</v>
      </c>
      <c r="B408" s="19">
        <v>42199</v>
      </c>
      <c r="C408">
        <v>930</v>
      </c>
      <c r="D408">
        <v>2015</v>
      </c>
      <c r="E408">
        <v>25</v>
      </c>
      <c r="F408">
        <v>700</v>
      </c>
      <c r="G408">
        <v>3</v>
      </c>
      <c r="H408">
        <v>2148</v>
      </c>
      <c r="I408">
        <v>3</v>
      </c>
      <c r="J408">
        <v>4654.16</v>
      </c>
      <c r="K408">
        <v>8531.94</v>
      </c>
      <c r="L408">
        <v>4653.74</v>
      </c>
      <c r="M408">
        <v>8531.91</v>
      </c>
      <c r="N408">
        <v>46.902667000000001</v>
      </c>
      <c r="O408">
        <v>-85.532332999999994</v>
      </c>
      <c r="P408">
        <v>46.895667000000003</v>
      </c>
      <c r="Q408">
        <v>-85.531833000000006</v>
      </c>
      <c r="R408">
        <v>23830.26771</v>
      </c>
      <c r="S408">
        <v>158</v>
      </c>
      <c r="T408">
        <v>157</v>
      </c>
      <c r="U408">
        <v>0.5</v>
      </c>
      <c r="V408">
        <v>2</v>
      </c>
      <c r="W408">
        <v>3.5</v>
      </c>
      <c r="X408">
        <v>4.5615500000000004</v>
      </c>
      <c r="Y408">
        <v>0.13014999999999999</v>
      </c>
      <c r="Z408">
        <v>63.330550000000002</v>
      </c>
      <c r="AA408">
        <v>10</v>
      </c>
      <c r="AB408">
        <v>0.49</v>
      </c>
      <c r="AC408">
        <v>217</v>
      </c>
      <c r="AD408">
        <v>42</v>
      </c>
    </row>
    <row r="409" spans="1:30" x14ac:dyDescent="0.55000000000000004">
      <c r="A409">
        <v>92624</v>
      </c>
      <c r="B409" s="19">
        <v>42199</v>
      </c>
      <c r="C409">
        <v>1138</v>
      </c>
      <c r="D409">
        <v>2015</v>
      </c>
      <c r="E409">
        <v>25</v>
      </c>
      <c r="F409">
        <v>701</v>
      </c>
      <c r="G409">
        <v>3</v>
      </c>
      <c r="H409">
        <v>2039</v>
      </c>
      <c r="I409">
        <v>3</v>
      </c>
      <c r="J409">
        <v>4653.74</v>
      </c>
      <c r="K409">
        <v>8525.0300000000007</v>
      </c>
      <c r="L409">
        <v>4653.45</v>
      </c>
      <c r="M409">
        <v>8525.23</v>
      </c>
      <c r="N409">
        <v>46.895667000000003</v>
      </c>
      <c r="O409">
        <v>-85.417167000000006</v>
      </c>
      <c r="P409">
        <v>46.890833000000001</v>
      </c>
      <c r="Q409">
        <v>-85.420500000000004</v>
      </c>
      <c r="R409">
        <v>21237.73359</v>
      </c>
      <c r="S409">
        <v>36.299999999999997</v>
      </c>
      <c r="T409">
        <v>33</v>
      </c>
      <c r="U409">
        <v>0.5</v>
      </c>
      <c r="V409">
        <v>2</v>
      </c>
      <c r="W409">
        <v>4.5999999999999996</v>
      </c>
      <c r="AA409">
        <v>10</v>
      </c>
      <c r="AB409">
        <v>0.43</v>
      </c>
      <c r="AC409">
        <v>217</v>
      </c>
      <c r="AD409">
        <v>4</v>
      </c>
    </row>
    <row r="410" spans="1:30" x14ac:dyDescent="0.55000000000000004">
      <c r="A410">
        <v>92625</v>
      </c>
      <c r="B410" s="19">
        <v>42199</v>
      </c>
      <c r="C410">
        <v>1138</v>
      </c>
      <c r="D410">
        <v>2015</v>
      </c>
      <c r="E410">
        <v>25</v>
      </c>
      <c r="F410">
        <v>702</v>
      </c>
      <c r="G410">
        <v>3</v>
      </c>
      <c r="H410">
        <v>2039</v>
      </c>
      <c r="I410">
        <v>3</v>
      </c>
      <c r="J410">
        <v>4653.74</v>
      </c>
      <c r="K410">
        <v>8525.0300000000007</v>
      </c>
      <c r="L410">
        <v>4653.45</v>
      </c>
      <c r="M410">
        <v>8525.23</v>
      </c>
      <c r="N410">
        <v>46.895667000000003</v>
      </c>
      <c r="O410">
        <v>-85.417167000000006</v>
      </c>
      <c r="P410">
        <v>46.890833000000001</v>
      </c>
      <c r="Q410">
        <v>-85.420500000000004</v>
      </c>
      <c r="R410">
        <v>21237.73359</v>
      </c>
      <c r="S410">
        <v>36.299999999999997</v>
      </c>
      <c r="T410">
        <v>33</v>
      </c>
      <c r="U410">
        <v>0.5</v>
      </c>
      <c r="V410">
        <v>2</v>
      </c>
      <c r="W410">
        <v>4.5999999999999996</v>
      </c>
      <c r="AA410">
        <v>10</v>
      </c>
      <c r="AB410">
        <v>0.43</v>
      </c>
      <c r="AC410">
        <v>217</v>
      </c>
      <c r="AD410">
        <v>2</v>
      </c>
    </row>
    <row r="411" spans="1:30" x14ac:dyDescent="0.55000000000000004">
      <c r="A411">
        <v>92631</v>
      </c>
      <c r="B411" s="19">
        <v>42201</v>
      </c>
      <c r="C411">
        <v>1625</v>
      </c>
      <c r="D411">
        <v>2015</v>
      </c>
      <c r="E411">
        <v>25</v>
      </c>
      <c r="F411">
        <v>705</v>
      </c>
      <c r="G411">
        <v>3</v>
      </c>
      <c r="H411">
        <v>2121</v>
      </c>
      <c r="I411">
        <v>3</v>
      </c>
      <c r="J411">
        <v>4727.3599999999997</v>
      </c>
      <c r="K411">
        <v>8515.94</v>
      </c>
      <c r="L411">
        <v>4727.71</v>
      </c>
      <c r="M411">
        <v>8515.81</v>
      </c>
      <c r="N411">
        <v>47.456000000000003</v>
      </c>
      <c r="O411">
        <v>-85.265666999999993</v>
      </c>
      <c r="P411">
        <v>47.461832999999999</v>
      </c>
      <c r="Q411">
        <v>-85.263499999999993</v>
      </c>
      <c r="R411">
        <v>22827.845590000001</v>
      </c>
      <c r="S411">
        <v>281</v>
      </c>
      <c r="T411">
        <v>293</v>
      </c>
      <c r="U411">
        <v>0.5</v>
      </c>
      <c r="V411">
        <v>2</v>
      </c>
      <c r="W411">
        <v>2.9</v>
      </c>
      <c r="X411">
        <v>3.968</v>
      </c>
      <c r="Y411">
        <v>-4.6300000000000001E-2</v>
      </c>
      <c r="Z411">
        <v>81.171300000000002</v>
      </c>
      <c r="AA411">
        <v>10</v>
      </c>
      <c r="AB411">
        <v>0.43</v>
      </c>
      <c r="AC411">
        <v>217</v>
      </c>
      <c r="AD411">
        <v>1</v>
      </c>
    </row>
    <row r="412" spans="1:30" x14ac:dyDescent="0.55000000000000004">
      <c r="A412">
        <v>92632</v>
      </c>
      <c r="B412" s="19">
        <v>42201</v>
      </c>
      <c r="C412">
        <v>1625</v>
      </c>
      <c r="D412">
        <v>2015</v>
      </c>
      <c r="E412">
        <v>25</v>
      </c>
      <c r="F412">
        <v>706</v>
      </c>
      <c r="G412">
        <v>3</v>
      </c>
      <c r="H412">
        <v>2121</v>
      </c>
      <c r="I412">
        <v>3</v>
      </c>
      <c r="J412">
        <v>4727.3599999999997</v>
      </c>
      <c r="K412">
        <v>8515.94</v>
      </c>
      <c r="L412">
        <v>4727.71</v>
      </c>
      <c r="M412">
        <v>8515.81</v>
      </c>
      <c r="N412">
        <v>47.456000000000003</v>
      </c>
      <c r="O412">
        <v>-85.265666999999993</v>
      </c>
      <c r="P412">
        <v>47.461832999999999</v>
      </c>
      <c r="Q412">
        <v>-85.263499999999993</v>
      </c>
      <c r="R412">
        <v>22827.845590000001</v>
      </c>
      <c r="S412">
        <v>281</v>
      </c>
      <c r="T412">
        <v>293</v>
      </c>
      <c r="U412">
        <v>0.5</v>
      </c>
      <c r="V412">
        <v>2</v>
      </c>
      <c r="W412">
        <v>2.9</v>
      </c>
      <c r="X412">
        <v>3.968</v>
      </c>
      <c r="Y412">
        <v>-4.6300000000000001E-2</v>
      </c>
      <c r="Z412">
        <v>81.171300000000002</v>
      </c>
      <c r="AA412">
        <v>10</v>
      </c>
      <c r="AB412">
        <v>0.43</v>
      </c>
      <c r="AC412">
        <v>217</v>
      </c>
      <c r="AD412">
        <v>1</v>
      </c>
    </row>
    <row r="413" spans="1:30" x14ac:dyDescent="0.55000000000000004">
      <c r="A413">
        <v>92635</v>
      </c>
      <c r="B413" s="19">
        <v>42202</v>
      </c>
      <c r="C413">
        <v>727</v>
      </c>
      <c r="D413">
        <v>2015</v>
      </c>
      <c r="E413">
        <v>25</v>
      </c>
      <c r="F413">
        <v>707</v>
      </c>
      <c r="G413">
        <v>3</v>
      </c>
      <c r="H413">
        <v>2059</v>
      </c>
      <c r="I413">
        <v>3</v>
      </c>
      <c r="J413">
        <v>4742.22</v>
      </c>
      <c r="K413">
        <v>8557.9599999999991</v>
      </c>
      <c r="L413">
        <v>4742.07</v>
      </c>
      <c r="M413">
        <v>8557.4</v>
      </c>
      <c r="N413">
        <v>47.703667000000003</v>
      </c>
      <c r="O413">
        <v>-85.965999999999994</v>
      </c>
      <c r="P413">
        <v>47.701166999999998</v>
      </c>
      <c r="Q413">
        <v>-85.956666999999996</v>
      </c>
      <c r="R413">
        <v>1797.424289</v>
      </c>
      <c r="S413">
        <v>105</v>
      </c>
      <c r="T413">
        <v>109</v>
      </c>
      <c r="U413">
        <v>0.5</v>
      </c>
      <c r="V413">
        <v>2</v>
      </c>
      <c r="W413">
        <v>3.7</v>
      </c>
      <c r="X413">
        <v>4.1147</v>
      </c>
      <c r="Y413">
        <v>0.66759999999999997</v>
      </c>
      <c r="Z413">
        <v>90.414599999999993</v>
      </c>
      <c r="AA413">
        <v>10</v>
      </c>
      <c r="AB413">
        <v>0.42</v>
      </c>
      <c r="AC413">
        <v>217</v>
      </c>
      <c r="AD413">
        <v>32</v>
      </c>
    </row>
    <row r="414" spans="1:30" x14ac:dyDescent="0.55000000000000004">
      <c r="A414">
        <v>92636</v>
      </c>
      <c r="B414" s="19">
        <v>42202</v>
      </c>
      <c r="C414">
        <v>727</v>
      </c>
      <c r="D414">
        <v>2015</v>
      </c>
      <c r="E414">
        <v>25</v>
      </c>
      <c r="F414">
        <v>708</v>
      </c>
      <c r="G414">
        <v>3</v>
      </c>
      <c r="H414">
        <v>2059</v>
      </c>
      <c r="I414">
        <v>3</v>
      </c>
      <c r="J414">
        <v>4742.22</v>
      </c>
      <c r="K414">
        <v>8557.9599999999991</v>
      </c>
      <c r="L414">
        <v>4742.07</v>
      </c>
      <c r="M414">
        <v>8557.4</v>
      </c>
      <c r="N414">
        <v>47.703667000000003</v>
      </c>
      <c r="O414">
        <v>-85.965999999999994</v>
      </c>
      <c r="P414">
        <v>47.701166999999998</v>
      </c>
      <c r="Q414">
        <v>-85.956666999999996</v>
      </c>
      <c r="R414">
        <v>1797.424289</v>
      </c>
      <c r="S414">
        <v>105</v>
      </c>
      <c r="T414">
        <v>109</v>
      </c>
      <c r="U414">
        <v>0.5</v>
      </c>
      <c r="V414">
        <v>2</v>
      </c>
      <c r="W414">
        <v>3.7</v>
      </c>
      <c r="X414">
        <v>4.1147</v>
      </c>
      <c r="Y414">
        <v>0.66759999999999997</v>
      </c>
      <c r="Z414">
        <v>90.414599999999993</v>
      </c>
      <c r="AA414">
        <v>10</v>
      </c>
      <c r="AB414">
        <v>0.42</v>
      </c>
      <c r="AC414">
        <v>217</v>
      </c>
      <c r="AD414">
        <v>34</v>
      </c>
    </row>
    <row r="415" spans="1:30" x14ac:dyDescent="0.55000000000000004">
      <c r="A415">
        <v>92637</v>
      </c>
      <c r="B415" s="19">
        <v>42202</v>
      </c>
      <c r="C415">
        <v>1025</v>
      </c>
      <c r="D415">
        <v>2015</v>
      </c>
      <c r="E415">
        <v>25</v>
      </c>
      <c r="F415">
        <v>709</v>
      </c>
      <c r="G415">
        <v>3</v>
      </c>
      <c r="H415">
        <v>2153</v>
      </c>
      <c r="I415">
        <v>3</v>
      </c>
      <c r="J415">
        <v>4724.51</v>
      </c>
      <c r="K415">
        <v>8539.92</v>
      </c>
      <c r="L415">
        <v>4724.8900000000003</v>
      </c>
      <c r="M415">
        <v>8539.98</v>
      </c>
      <c r="N415">
        <v>47.408499999999997</v>
      </c>
      <c r="O415">
        <v>-85.665333000000004</v>
      </c>
      <c r="P415">
        <v>47.414833000000002</v>
      </c>
      <c r="Q415">
        <v>-85.666332999999995</v>
      </c>
      <c r="R415">
        <v>9802.0663349999995</v>
      </c>
      <c r="S415">
        <v>149</v>
      </c>
      <c r="T415">
        <v>151</v>
      </c>
      <c r="U415">
        <v>0.5</v>
      </c>
      <c r="V415">
        <v>2</v>
      </c>
      <c r="W415">
        <v>3.1</v>
      </c>
      <c r="X415">
        <v>3.5177</v>
      </c>
      <c r="Y415">
        <v>-1.0025999999999999</v>
      </c>
      <c r="Z415">
        <v>66.727599999999995</v>
      </c>
      <c r="AA415">
        <v>10</v>
      </c>
      <c r="AB415">
        <v>0.42</v>
      </c>
      <c r="AC415">
        <v>217</v>
      </c>
      <c r="AD415">
        <v>79</v>
      </c>
    </row>
    <row r="416" spans="1:30" x14ac:dyDescent="0.55000000000000004">
      <c r="A416">
        <v>92638</v>
      </c>
      <c r="B416" s="19">
        <v>42202</v>
      </c>
      <c r="C416">
        <v>1025</v>
      </c>
      <c r="D416">
        <v>2015</v>
      </c>
      <c r="E416">
        <v>25</v>
      </c>
      <c r="F416">
        <v>710</v>
      </c>
      <c r="G416">
        <v>3</v>
      </c>
      <c r="H416">
        <v>2153</v>
      </c>
      <c r="I416">
        <v>3</v>
      </c>
      <c r="J416">
        <v>4724.51</v>
      </c>
      <c r="K416">
        <v>8539.92</v>
      </c>
      <c r="L416">
        <v>4724.8900000000003</v>
      </c>
      <c r="M416">
        <v>8539.98</v>
      </c>
      <c r="N416">
        <v>47.408499999999997</v>
      </c>
      <c r="O416">
        <v>-85.665333000000004</v>
      </c>
      <c r="P416">
        <v>47.414833000000002</v>
      </c>
      <c r="Q416">
        <v>-85.666332999999995</v>
      </c>
      <c r="R416">
        <v>9802.0663349999995</v>
      </c>
      <c r="S416">
        <v>149</v>
      </c>
      <c r="T416">
        <v>151</v>
      </c>
      <c r="U416">
        <v>0.5</v>
      </c>
      <c r="V416">
        <v>2</v>
      </c>
      <c r="W416">
        <v>3.1</v>
      </c>
      <c r="X416">
        <v>3.5177</v>
      </c>
      <c r="Y416">
        <v>-1.0025999999999999</v>
      </c>
      <c r="Z416">
        <v>66.727599999999995</v>
      </c>
      <c r="AA416">
        <v>10</v>
      </c>
      <c r="AB416">
        <v>0.42</v>
      </c>
      <c r="AC416">
        <v>217</v>
      </c>
      <c r="AD416">
        <v>60</v>
      </c>
    </row>
    <row r="417" spans="1:30" x14ac:dyDescent="0.55000000000000004">
      <c r="A417">
        <v>92640</v>
      </c>
      <c r="B417" s="19">
        <v>42202</v>
      </c>
      <c r="C417">
        <v>1241</v>
      </c>
      <c r="D417">
        <v>2015</v>
      </c>
      <c r="E417">
        <v>25</v>
      </c>
      <c r="F417">
        <v>711</v>
      </c>
      <c r="G417">
        <v>3</v>
      </c>
      <c r="H417">
        <v>2129</v>
      </c>
      <c r="I417">
        <v>3</v>
      </c>
      <c r="J417">
        <v>4738.82</v>
      </c>
      <c r="K417">
        <v>8533.6299999999992</v>
      </c>
      <c r="L417">
        <v>4739.21</v>
      </c>
      <c r="M417">
        <v>8533.4599999999991</v>
      </c>
      <c r="N417">
        <v>47.646999999999998</v>
      </c>
      <c r="O417">
        <v>-85.560500000000005</v>
      </c>
      <c r="P417">
        <v>47.653500000000001</v>
      </c>
      <c r="Q417">
        <v>-85.557666999999995</v>
      </c>
      <c r="R417">
        <v>9854.5266200000005</v>
      </c>
      <c r="S417">
        <v>193</v>
      </c>
      <c r="T417">
        <v>201</v>
      </c>
      <c r="U417">
        <v>0.5</v>
      </c>
      <c r="V417">
        <v>2</v>
      </c>
      <c r="W417">
        <v>3.1</v>
      </c>
      <c r="X417">
        <v>3.7946</v>
      </c>
      <c r="Y417">
        <v>-3.2399999999999998E-2</v>
      </c>
      <c r="Z417">
        <v>46.083100000000002</v>
      </c>
      <c r="AA417">
        <v>10</v>
      </c>
      <c r="AB417">
        <v>0.42</v>
      </c>
      <c r="AC417">
        <v>217</v>
      </c>
      <c r="AD417">
        <v>29</v>
      </c>
    </row>
    <row r="418" spans="1:30" x14ac:dyDescent="0.55000000000000004">
      <c r="A418">
        <v>92641</v>
      </c>
      <c r="B418" s="19">
        <v>42202</v>
      </c>
      <c r="C418">
        <v>1241</v>
      </c>
      <c r="D418">
        <v>2015</v>
      </c>
      <c r="E418">
        <v>25</v>
      </c>
      <c r="F418">
        <v>712</v>
      </c>
      <c r="G418">
        <v>3</v>
      </c>
      <c r="H418">
        <v>2129</v>
      </c>
      <c r="I418">
        <v>3</v>
      </c>
      <c r="J418">
        <v>4738.82</v>
      </c>
      <c r="K418">
        <v>8533.6299999999992</v>
      </c>
      <c r="L418">
        <v>4739.21</v>
      </c>
      <c r="M418">
        <v>8533.4599999999991</v>
      </c>
      <c r="N418">
        <v>47.646999999999998</v>
      </c>
      <c r="O418">
        <v>-85.560500000000005</v>
      </c>
      <c r="P418">
        <v>47.653500000000001</v>
      </c>
      <c r="Q418">
        <v>-85.557666999999995</v>
      </c>
      <c r="R418">
        <v>9854.5266200000005</v>
      </c>
      <c r="S418">
        <v>193</v>
      </c>
      <c r="T418">
        <v>201</v>
      </c>
      <c r="U418">
        <v>0.5</v>
      </c>
      <c r="V418">
        <v>2</v>
      </c>
      <c r="W418">
        <v>3.1</v>
      </c>
      <c r="X418">
        <v>3.7946</v>
      </c>
      <c r="Y418">
        <v>-3.2399999999999998E-2</v>
      </c>
      <c r="Z418">
        <v>46.083100000000002</v>
      </c>
      <c r="AA418">
        <v>10</v>
      </c>
      <c r="AB418">
        <v>0.42</v>
      </c>
      <c r="AC418">
        <v>217</v>
      </c>
      <c r="AD418">
        <v>28</v>
      </c>
    </row>
    <row r="419" spans="1:30" x14ac:dyDescent="0.55000000000000004">
      <c r="A419">
        <v>92643</v>
      </c>
      <c r="B419" s="19">
        <v>42203</v>
      </c>
      <c r="C419">
        <v>846</v>
      </c>
      <c r="D419">
        <v>2015</v>
      </c>
      <c r="E419">
        <v>25</v>
      </c>
      <c r="F419">
        <v>713</v>
      </c>
      <c r="G419">
        <v>3</v>
      </c>
      <c r="H419">
        <v>2145</v>
      </c>
      <c r="I419">
        <v>3</v>
      </c>
      <c r="J419">
        <v>4738.22</v>
      </c>
      <c r="K419">
        <v>8606.2900000000009</v>
      </c>
      <c r="L419">
        <v>4737.9399999999996</v>
      </c>
      <c r="M419">
        <v>8606.73</v>
      </c>
      <c r="N419">
        <v>47.637</v>
      </c>
      <c r="O419">
        <v>-86.104832999999999</v>
      </c>
      <c r="P419">
        <v>47.632333000000003</v>
      </c>
      <c r="Q419">
        <v>-86.112166999999999</v>
      </c>
      <c r="R419">
        <v>15028.34283</v>
      </c>
      <c r="S419">
        <v>149</v>
      </c>
      <c r="T419">
        <v>141</v>
      </c>
      <c r="U419">
        <v>0.5</v>
      </c>
      <c r="V419">
        <v>2</v>
      </c>
      <c r="W419">
        <v>3.6</v>
      </c>
      <c r="X419">
        <v>3.9731999999999998</v>
      </c>
      <c r="Y419">
        <v>0.15759999999999999</v>
      </c>
      <c r="Z419">
        <v>89.9636</v>
      </c>
      <c r="AA419">
        <v>10</v>
      </c>
      <c r="AB419">
        <v>0.4</v>
      </c>
      <c r="AC419">
        <v>0</v>
      </c>
      <c r="AD419">
        <v>0</v>
      </c>
    </row>
    <row r="420" spans="1:30" x14ac:dyDescent="0.55000000000000004">
      <c r="A420">
        <v>92644</v>
      </c>
      <c r="B420" s="19">
        <v>42203</v>
      </c>
      <c r="C420">
        <v>846</v>
      </c>
      <c r="D420">
        <v>2015</v>
      </c>
      <c r="E420">
        <v>25</v>
      </c>
      <c r="F420">
        <v>714</v>
      </c>
      <c r="G420">
        <v>3</v>
      </c>
      <c r="H420">
        <v>2145</v>
      </c>
      <c r="I420">
        <v>3</v>
      </c>
      <c r="J420">
        <v>4738.22</v>
      </c>
      <c r="K420">
        <v>8606.2900000000009</v>
      </c>
      <c r="L420">
        <v>4737.9399999999996</v>
      </c>
      <c r="M420">
        <v>8606.73</v>
      </c>
      <c r="N420">
        <v>47.637</v>
      </c>
      <c r="O420">
        <v>-86.104832999999999</v>
      </c>
      <c r="P420">
        <v>47.632333000000003</v>
      </c>
      <c r="Q420">
        <v>-86.112166999999999</v>
      </c>
      <c r="R420">
        <v>15028.34283</v>
      </c>
      <c r="S420">
        <v>149</v>
      </c>
      <c r="T420">
        <v>141</v>
      </c>
      <c r="U420">
        <v>0.5</v>
      </c>
      <c r="V420">
        <v>2</v>
      </c>
      <c r="W420">
        <v>3.6</v>
      </c>
      <c r="X420">
        <v>3.9731999999999998</v>
      </c>
      <c r="Y420">
        <v>0.15759999999999999</v>
      </c>
      <c r="Z420">
        <v>89.9636</v>
      </c>
      <c r="AA420">
        <v>10</v>
      </c>
      <c r="AB420">
        <v>0.4</v>
      </c>
      <c r="AC420">
        <v>217</v>
      </c>
      <c r="AD420">
        <v>3</v>
      </c>
    </row>
    <row r="421" spans="1:30" x14ac:dyDescent="0.55000000000000004">
      <c r="A421">
        <v>92646</v>
      </c>
      <c r="B421" s="19">
        <v>42203</v>
      </c>
      <c r="C421">
        <v>1010</v>
      </c>
      <c r="D421">
        <v>2015</v>
      </c>
      <c r="E421">
        <v>25</v>
      </c>
      <c r="F421">
        <v>715</v>
      </c>
      <c r="G421">
        <v>3</v>
      </c>
      <c r="H421">
        <v>2165</v>
      </c>
      <c r="I421">
        <v>3</v>
      </c>
      <c r="J421">
        <v>4735.97</v>
      </c>
      <c r="K421">
        <v>8613.49</v>
      </c>
      <c r="L421">
        <v>4735.58</v>
      </c>
      <c r="M421">
        <v>8613.5</v>
      </c>
      <c r="N421">
        <v>47.599499999999999</v>
      </c>
      <c r="O421">
        <v>-86.224833000000004</v>
      </c>
      <c r="P421">
        <v>47.593000000000004</v>
      </c>
      <c r="Q421">
        <v>-86.224999999999994</v>
      </c>
      <c r="R421">
        <v>24345.13019</v>
      </c>
      <c r="S421">
        <v>130</v>
      </c>
      <c r="T421">
        <v>132</v>
      </c>
      <c r="U421">
        <v>0.5</v>
      </c>
      <c r="V421">
        <v>2</v>
      </c>
      <c r="W421">
        <v>3.7</v>
      </c>
      <c r="X421">
        <v>4.0330000000000004</v>
      </c>
      <c r="Y421">
        <v>0.1484</v>
      </c>
      <c r="Z421">
        <v>87.247799999999998</v>
      </c>
      <c r="AA421">
        <v>10</v>
      </c>
      <c r="AB421">
        <v>0.43</v>
      </c>
      <c r="AC421">
        <v>0</v>
      </c>
      <c r="AD421">
        <v>0</v>
      </c>
    </row>
    <row r="422" spans="1:30" x14ac:dyDescent="0.55000000000000004">
      <c r="A422">
        <v>92647</v>
      </c>
      <c r="B422" s="19">
        <v>42203</v>
      </c>
      <c r="C422">
        <v>1010</v>
      </c>
      <c r="D422">
        <v>2015</v>
      </c>
      <c r="E422">
        <v>25</v>
      </c>
      <c r="F422">
        <v>716</v>
      </c>
      <c r="G422">
        <v>3</v>
      </c>
      <c r="H422">
        <v>2165</v>
      </c>
      <c r="I422">
        <v>3</v>
      </c>
      <c r="J422">
        <v>4735.97</v>
      </c>
      <c r="K422">
        <v>8613.49</v>
      </c>
      <c r="L422">
        <v>4735.58</v>
      </c>
      <c r="M422">
        <v>8613.5</v>
      </c>
      <c r="N422">
        <v>47.599499999999999</v>
      </c>
      <c r="O422">
        <v>-86.224833000000004</v>
      </c>
      <c r="P422">
        <v>47.593000000000004</v>
      </c>
      <c r="Q422">
        <v>-86.224999999999994</v>
      </c>
      <c r="R422">
        <v>24345.13019</v>
      </c>
      <c r="S422">
        <v>130</v>
      </c>
      <c r="T422">
        <v>132</v>
      </c>
      <c r="U422">
        <v>0.5</v>
      </c>
      <c r="V422">
        <v>2</v>
      </c>
      <c r="W422">
        <v>3.7</v>
      </c>
      <c r="X422">
        <v>4.0330000000000004</v>
      </c>
      <c r="Y422">
        <v>0.1484</v>
      </c>
      <c r="Z422">
        <v>87.247799999999998</v>
      </c>
      <c r="AA422">
        <v>10</v>
      </c>
      <c r="AB422">
        <v>0.43</v>
      </c>
      <c r="AC422">
        <v>0</v>
      </c>
      <c r="AD422">
        <v>0</v>
      </c>
    </row>
    <row r="423" spans="1:30" x14ac:dyDescent="0.55000000000000004">
      <c r="A423">
        <v>92649</v>
      </c>
      <c r="B423" s="19">
        <v>42203</v>
      </c>
      <c r="C423">
        <v>1248</v>
      </c>
      <c r="D423">
        <v>2015</v>
      </c>
      <c r="E423">
        <v>25</v>
      </c>
      <c r="F423">
        <v>717</v>
      </c>
      <c r="G423">
        <v>3</v>
      </c>
      <c r="H423">
        <v>2126</v>
      </c>
      <c r="I423">
        <v>3</v>
      </c>
      <c r="J423">
        <v>4723.8100000000004</v>
      </c>
      <c r="K423">
        <v>8628.15</v>
      </c>
      <c r="L423">
        <v>4724.1499999999996</v>
      </c>
      <c r="M423">
        <v>8628.25</v>
      </c>
      <c r="N423">
        <v>47.396833000000001</v>
      </c>
      <c r="O423">
        <v>-86.469166999999999</v>
      </c>
      <c r="P423">
        <v>47.402500000000003</v>
      </c>
      <c r="Q423">
        <v>-86.470832999999999</v>
      </c>
      <c r="R423">
        <v>48597.18664</v>
      </c>
      <c r="S423">
        <v>312</v>
      </c>
      <c r="T423">
        <v>318</v>
      </c>
      <c r="U423">
        <v>0.5</v>
      </c>
      <c r="V423">
        <v>2</v>
      </c>
      <c r="W423">
        <v>3.4</v>
      </c>
      <c r="X423">
        <v>3.8687</v>
      </c>
      <c r="Y423">
        <v>0.1426</v>
      </c>
      <c r="Z423">
        <v>90.567800000000005</v>
      </c>
      <c r="AA423">
        <v>10</v>
      </c>
      <c r="AB423">
        <v>0.4</v>
      </c>
      <c r="AC423">
        <v>217</v>
      </c>
      <c r="AD423">
        <v>5</v>
      </c>
    </row>
    <row r="424" spans="1:30" x14ac:dyDescent="0.55000000000000004">
      <c r="A424">
        <v>92650</v>
      </c>
      <c r="B424" s="19">
        <v>42203</v>
      </c>
      <c r="C424">
        <v>1248</v>
      </c>
      <c r="D424">
        <v>2015</v>
      </c>
      <c r="E424">
        <v>25</v>
      </c>
      <c r="F424">
        <v>718</v>
      </c>
      <c r="G424">
        <v>3</v>
      </c>
      <c r="H424">
        <v>2126</v>
      </c>
      <c r="I424">
        <v>3</v>
      </c>
      <c r="J424">
        <v>4723.8100000000004</v>
      </c>
      <c r="K424">
        <v>8628.15</v>
      </c>
      <c r="L424">
        <v>4724.1499999999996</v>
      </c>
      <c r="M424">
        <v>8628.25</v>
      </c>
      <c r="N424">
        <v>47.396833000000001</v>
      </c>
      <c r="O424">
        <v>-86.469166999999999</v>
      </c>
      <c r="P424">
        <v>47.402500000000003</v>
      </c>
      <c r="Q424">
        <v>-86.470832999999999</v>
      </c>
      <c r="R424">
        <v>48597.18664</v>
      </c>
      <c r="S424">
        <v>312</v>
      </c>
      <c r="T424">
        <v>318</v>
      </c>
      <c r="U424">
        <v>0.5</v>
      </c>
      <c r="V424">
        <v>2</v>
      </c>
      <c r="W424">
        <v>3.4</v>
      </c>
      <c r="X424">
        <v>3.8687</v>
      </c>
      <c r="Y424">
        <v>0.1426</v>
      </c>
      <c r="Z424">
        <v>90.567800000000005</v>
      </c>
      <c r="AA424">
        <v>10</v>
      </c>
      <c r="AB424">
        <v>0.4</v>
      </c>
      <c r="AC424">
        <v>217</v>
      </c>
      <c r="AD424">
        <v>1</v>
      </c>
    </row>
    <row r="425" spans="1:30" x14ac:dyDescent="0.55000000000000004">
      <c r="A425">
        <v>92652</v>
      </c>
      <c r="B425" s="19">
        <v>42204</v>
      </c>
      <c r="C425">
        <v>1106</v>
      </c>
      <c r="D425">
        <v>2015</v>
      </c>
      <c r="E425">
        <v>25</v>
      </c>
      <c r="F425">
        <v>719</v>
      </c>
      <c r="G425">
        <v>3</v>
      </c>
      <c r="H425">
        <v>2119</v>
      </c>
      <c r="I425">
        <v>3</v>
      </c>
      <c r="J425">
        <v>4749.2700000000004</v>
      </c>
      <c r="K425">
        <v>8641.76</v>
      </c>
      <c r="L425">
        <v>4749.6400000000003</v>
      </c>
      <c r="M425">
        <v>8641.9</v>
      </c>
      <c r="N425">
        <v>47.821167000000003</v>
      </c>
      <c r="O425">
        <v>-86.695999999999998</v>
      </c>
      <c r="P425">
        <v>47.827333000000003</v>
      </c>
      <c r="Q425">
        <v>-86.698333000000005</v>
      </c>
      <c r="R425">
        <v>56390.372300000003</v>
      </c>
      <c r="S425">
        <v>270</v>
      </c>
      <c r="T425">
        <v>270</v>
      </c>
      <c r="U425">
        <v>0.5</v>
      </c>
      <c r="V425">
        <v>2</v>
      </c>
      <c r="W425">
        <v>3.4</v>
      </c>
      <c r="X425">
        <v>4.0670000000000002</v>
      </c>
      <c r="Y425">
        <v>8.3599999999999994E-2</v>
      </c>
      <c r="Z425">
        <v>38.164099999999998</v>
      </c>
      <c r="AA425">
        <v>10</v>
      </c>
      <c r="AB425">
        <v>0.42</v>
      </c>
      <c r="AC425">
        <v>217</v>
      </c>
      <c r="AD425">
        <v>1</v>
      </c>
    </row>
    <row r="426" spans="1:30" x14ac:dyDescent="0.55000000000000004">
      <c r="A426">
        <v>92653</v>
      </c>
      <c r="B426" s="19">
        <v>42204</v>
      </c>
      <c r="C426">
        <v>1106</v>
      </c>
      <c r="D426">
        <v>2015</v>
      </c>
      <c r="E426">
        <v>25</v>
      </c>
      <c r="F426">
        <v>720</v>
      </c>
      <c r="G426">
        <v>3</v>
      </c>
      <c r="H426">
        <v>2119</v>
      </c>
      <c r="I426">
        <v>3</v>
      </c>
      <c r="J426">
        <v>4749.2700000000004</v>
      </c>
      <c r="K426">
        <v>8641.76</v>
      </c>
      <c r="L426">
        <v>4749.6400000000003</v>
      </c>
      <c r="M426">
        <v>8641.9</v>
      </c>
      <c r="N426">
        <v>47.821167000000003</v>
      </c>
      <c r="O426">
        <v>-86.695999999999998</v>
      </c>
      <c r="P426">
        <v>47.827333000000003</v>
      </c>
      <c r="Q426">
        <v>-86.698333000000005</v>
      </c>
      <c r="R426">
        <v>56390.372300000003</v>
      </c>
      <c r="S426">
        <v>270</v>
      </c>
      <c r="T426">
        <v>270</v>
      </c>
      <c r="U426">
        <v>0.5</v>
      </c>
      <c r="V426">
        <v>2</v>
      </c>
      <c r="W426">
        <v>3.4</v>
      </c>
      <c r="X426">
        <v>4.0670000000000002</v>
      </c>
      <c r="Y426">
        <v>8.3599999999999994E-2</v>
      </c>
      <c r="Z426">
        <v>38.164099999999998</v>
      </c>
      <c r="AA426">
        <v>10</v>
      </c>
      <c r="AB426">
        <v>0.42</v>
      </c>
      <c r="AC426">
        <v>0</v>
      </c>
      <c r="AD426">
        <v>0</v>
      </c>
    </row>
    <row r="427" spans="1:30" x14ac:dyDescent="0.55000000000000004">
      <c r="A427">
        <v>92655</v>
      </c>
      <c r="B427" s="19">
        <v>42204</v>
      </c>
      <c r="C427">
        <v>1322</v>
      </c>
      <c r="D427">
        <v>2015</v>
      </c>
      <c r="E427">
        <v>25</v>
      </c>
      <c r="F427">
        <v>721</v>
      </c>
      <c r="G427">
        <v>3</v>
      </c>
      <c r="H427">
        <v>2135</v>
      </c>
      <c r="I427">
        <v>3</v>
      </c>
      <c r="J427">
        <v>4801.38</v>
      </c>
      <c r="K427">
        <v>8638.18</v>
      </c>
      <c r="L427">
        <v>4801.38</v>
      </c>
      <c r="M427">
        <v>8637.52</v>
      </c>
      <c r="N427">
        <v>48.023000000000003</v>
      </c>
      <c r="O427">
        <v>-86.636332999999993</v>
      </c>
      <c r="P427">
        <v>48.023000000000003</v>
      </c>
      <c r="Q427">
        <v>-86.625332999999998</v>
      </c>
      <c r="R427">
        <v>43796.03703</v>
      </c>
      <c r="S427">
        <v>142</v>
      </c>
      <c r="T427">
        <v>145</v>
      </c>
      <c r="U427">
        <v>0.5</v>
      </c>
      <c r="V427">
        <v>2</v>
      </c>
      <c r="W427">
        <v>3.3</v>
      </c>
      <c r="X427">
        <v>3.8803000000000001</v>
      </c>
      <c r="Y427">
        <v>8.2199999999999995E-2</v>
      </c>
      <c r="Z427">
        <v>64.722800000000007</v>
      </c>
      <c r="AA427">
        <v>10</v>
      </c>
      <c r="AB427">
        <v>0.43</v>
      </c>
      <c r="AC427">
        <v>0</v>
      </c>
      <c r="AD427">
        <v>0</v>
      </c>
    </row>
    <row r="428" spans="1:30" x14ac:dyDescent="0.55000000000000004">
      <c r="A428">
        <v>92656</v>
      </c>
      <c r="B428" s="19">
        <v>42204</v>
      </c>
      <c r="C428">
        <v>1322</v>
      </c>
      <c r="D428">
        <v>2015</v>
      </c>
      <c r="E428">
        <v>25</v>
      </c>
      <c r="F428">
        <v>722</v>
      </c>
      <c r="G428">
        <v>3</v>
      </c>
      <c r="H428">
        <v>2135</v>
      </c>
      <c r="I428">
        <v>3</v>
      </c>
      <c r="J428">
        <v>4801.38</v>
      </c>
      <c r="K428">
        <v>8638.18</v>
      </c>
      <c r="L428">
        <v>4801.38</v>
      </c>
      <c r="M428">
        <v>8637.52</v>
      </c>
      <c r="N428">
        <v>48.023000000000003</v>
      </c>
      <c r="O428">
        <v>-86.636332999999993</v>
      </c>
      <c r="P428">
        <v>48.023000000000003</v>
      </c>
      <c r="Q428">
        <v>-86.625332999999998</v>
      </c>
      <c r="R428">
        <v>43796.03703</v>
      </c>
      <c r="S428">
        <v>142</v>
      </c>
      <c r="T428">
        <v>145</v>
      </c>
      <c r="U428">
        <v>0.5</v>
      </c>
      <c r="V428">
        <v>2</v>
      </c>
      <c r="W428">
        <v>3.3</v>
      </c>
      <c r="X428">
        <v>3.8803000000000001</v>
      </c>
      <c r="Y428">
        <v>8.2199999999999995E-2</v>
      </c>
      <c r="Z428">
        <v>64.722800000000007</v>
      </c>
      <c r="AA428">
        <v>10</v>
      </c>
      <c r="AB428">
        <v>0.43</v>
      </c>
      <c r="AC428">
        <v>0</v>
      </c>
      <c r="AD428">
        <v>0</v>
      </c>
    </row>
    <row r="429" spans="1:30" x14ac:dyDescent="0.55000000000000004">
      <c r="A429">
        <v>92660</v>
      </c>
      <c r="B429" s="19">
        <v>42205</v>
      </c>
      <c r="C429">
        <v>1031</v>
      </c>
      <c r="D429">
        <v>2015</v>
      </c>
      <c r="E429">
        <v>25</v>
      </c>
      <c r="F429">
        <v>723</v>
      </c>
      <c r="G429">
        <v>3</v>
      </c>
      <c r="H429">
        <v>2139</v>
      </c>
      <c r="I429">
        <v>3</v>
      </c>
      <c r="J429">
        <v>4821.25</v>
      </c>
      <c r="K429">
        <v>8658.89</v>
      </c>
      <c r="L429">
        <v>4821.4799999999996</v>
      </c>
      <c r="M429">
        <v>8658.39</v>
      </c>
      <c r="N429">
        <v>48.354166999999997</v>
      </c>
      <c r="O429">
        <v>-86.981499999999997</v>
      </c>
      <c r="P429">
        <v>48.357999999999997</v>
      </c>
      <c r="Q429">
        <v>-86.973167000000004</v>
      </c>
      <c r="R429">
        <v>29798.95262</v>
      </c>
      <c r="S429">
        <v>187</v>
      </c>
      <c r="T429">
        <v>193</v>
      </c>
      <c r="U429">
        <v>0.5</v>
      </c>
      <c r="V429">
        <v>2</v>
      </c>
      <c r="W429">
        <v>3.9</v>
      </c>
      <c r="X429">
        <v>3.9659</v>
      </c>
      <c r="Y429">
        <v>8.8999999999999999E-3</v>
      </c>
      <c r="Z429">
        <v>71.2744</v>
      </c>
      <c r="AA429">
        <v>10</v>
      </c>
      <c r="AB429">
        <v>0.43</v>
      </c>
      <c r="AC429">
        <v>217</v>
      </c>
      <c r="AD429">
        <v>2</v>
      </c>
    </row>
    <row r="430" spans="1:30" x14ac:dyDescent="0.55000000000000004">
      <c r="A430">
        <v>92661</v>
      </c>
      <c r="B430" s="19">
        <v>42205</v>
      </c>
      <c r="C430">
        <v>1031</v>
      </c>
      <c r="D430">
        <v>2015</v>
      </c>
      <c r="E430">
        <v>25</v>
      </c>
      <c r="F430">
        <v>724</v>
      </c>
      <c r="G430">
        <v>3</v>
      </c>
      <c r="H430">
        <v>2139</v>
      </c>
      <c r="I430">
        <v>3</v>
      </c>
      <c r="J430">
        <v>4821.25</v>
      </c>
      <c r="K430">
        <v>8658.89</v>
      </c>
      <c r="L430">
        <v>4821.4799999999996</v>
      </c>
      <c r="M430">
        <v>8658.39</v>
      </c>
      <c r="N430">
        <v>48.354166999999997</v>
      </c>
      <c r="O430">
        <v>-86.981499999999997</v>
      </c>
      <c r="P430">
        <v>48.357999999999997</v>
      </c>
      <c r="Q430">
        <v>-86.973167000000004</v>
      </c>
      <c r="R430">
        <v>29798.95262</v>
      </c>
      <c r="S430">
        <v>187</v>
      </c>
      <c r="T430">
        <v>193</v>
      </c>
      <c r="U430">
        <v>0.5</v>
      </c>
      <c r="V430">
        <v>2</v>
      </c>
      <c r="W430">
        <v>3.9</v>
      </c>
      <c r="X430">
        <v>3.9659</v>
      </c>
      <c r="Y430">
        <v>8.8999999999999999E-3</v>
      </c>
      <c r="Z430">
        <v>71.2744</v>
      </c>
      <c r="AA430">
        <v>10</v>
      </c>
      <c r="AB430">
        <v>0.43</v>
      </c>
      <c r="AC430">
        <v>217</v>
      </c>
      <c r="AD430">
        <v>1</v>
      </c>
    </row>
    <row r="431" spans="1:30" x14ac:dyDescent="0.55000000000000004">
      <c r="A431">
        <v>92662</v>
      </c>
      <c r="B431" s="19">
        <v>42205</v>
      </c>
      <c r="C431">
        <v>1355</v>
      </c>
      <c r="D431">
        <v>2015</v>
      </c>
      <c r="E431">
        <v>25</v>
      </c>
      <c r="F431">
        <v>725</v>
      </c>
      <c r="G431">
        <v>3</v>
      </c>
      <c r="H431">
        <v>753</v>
      </c>
      <c r="I431">
        <v>3</v>
      </c>
      <c r="J431">
        <v>4842.71</v>
      </c>
      <c r="K431">
        <v>8717.49</v>
      </c>
      <c r="L431">
        <v>4842.95</v>
      </c>
      <c r="M431">
        <v>8717.9599999999991</v>
      </c>
      <c r="N431">
        <v>48.711832999999999</v>
      </c>
      <c r="O431">
        <v>-87.291499999999999</v>
      </c>
      <c r="P431">
        <v>48.715833000000003</v>
      </c>
      <c r="Q431">
        <v>-87.299333000000004</v>
      </c>
      <c r="R431">
        <v>4431.155127</v>
      </c>
      <c r="S431">
        <v>163</v>
      </c>
      <c r="T431">
        <v>166</v>
      </c>
      <c r="U431">
        <v>0.5</v>
      </c>
      <c r="V431">
        <v>2</v>
      </c>
      <c r="W431">
        <v>5.0999999999999996</v>
      </c>
      <c r="X431">
        <v>5.9889000000000001</v>
      </c>
      <c r="Y431">
        <v>4.41E-2</v>
      </c>
      <c r="Z431">
        <v>66.619900000000001</v>
      </c>
      <c r="AA431">
        <v>10</v>
      </c>
      <c r="AB431">
        <v>0.43</v>
      </c>
      <c r="AC431">
        <v>217</v>
      </c>
      <c r="AD431">
        <v>2</v>
      </c>
    </row>
    <row r="432" spans="1:30" x14ac:dyDescent="0.55000000000000004">
      <c r="A432">
        <v>92663</v>
      </c>
      <c r="B432" s="19">
        <v>42205</v>
      </c>
      <c r="C432">
        <v>1355</v>
      </c>
      <c r="D432">
        <v>2015</v>
      </c>
      <c r="E432">
        <v>25</v>
      </c>
      <c r="F432">
        <v>726</v>
      </c>
      <c r="G432">
        <v>3</v>
      </c>
      <c r="H432">
        <v>753</v>
      </c>
      <c r="I432">
        <v>3</v>
      </c>
      <c r="J432">
        <v>4842.71</v>
      </c>
      <c r="K432">
        <v>8717.49</v>
      </c>
      <c r="L432">
        <v>4842.95</v>
      </c>
      <c r="M432">
        <v>8717.9599999999991</v>
      </c>
      <c r="N432">
        <v>48.711832999999999</v>
      </c>
      <c r="O432">
        <v>-87.291499999999999</v>
      </c>
      <c r="P432">
        <v>48.715833000000003</v>
      </c>
      <c r="Q432">
        <v>-87.299333000000004</v>
      </c>
      <c r="R432">
        <v>4431.155127</v>
      </c>
      <c r="S432">
        <v>163</v>
      </c>
      <c r="T432">
        <v>166</v>
      </c>
      <c r="U432">
        <v>0.5</v>
      </c>
      <c r="V432">
        <v>2</v>
      </c>
      <c r="W432">
        <v>5.0999999999999996</v>
      </c>
      <c r="X432">
        <v>5.9889000000000001</v>
      </c>
      <c r="Y432">
        <v>4.41E-2</v>
      </c>
      <c r="Z432">
        <v>66.619900000000001</v>
      </c>
      <c r="AA432">
        <v>10</v>
      </c>
      <c r="AB432">
        <v>0.43</v>
      </c>
      <c r="AC432">
        <v>217</v>
      </c>
      <c r="AD432">
        <v>1</v>
      </c>
    </row>
    <row r="433" spans="1:30" x14ac:dyDescent="0.55000000000000004">
      <c r="A433">
        <v>92664</v>
      </c>
      <c r="B433" s="19">
        <v>42206</v>
      </c>
      <c r="C433">
        <v>903</v>
      </c>
      <c r="D433">
        <v>2015</v>
      </c>
      <c r="E433">
        <v>25</v>
      </c>
      <c r="F433">
        <v>727</v>
      </c>
      <c r="G433">
        <v>3</v>
      </c>
      <c r="H433">
        <v>2155</v>
      </c>
      <c r="I433">
        <v>3</v>
      </c>
      <c r="J433">
        <v>4833.7700000000004</v>
      </c>
      <c r="K433">
        <v>8745.5400000000009</v>
      </c>
      <c r="L433">
        <v>4833.49</v>
      </c>
      <c r="M433">
        <v>8745.93</v>
      </c>
      <c r="N433">
        <v>48.562832999999998</v>
      </c>
      <c r="O433">
        <v>-87.759</v>
      </c>
      <c r="P433">
        <v>48.558166999999997</v>
      </c>
      <c r="Q433">
        <v>-87.765500000000003</v>
      </c>
      <c r="R433">
        <v>19095.496640000001</v>
      </c>
      <c r="S433">
        <v>152</v>
      </c>
      <c r="T433">
        <v>149</v>
      </c>
      <c r="U433">
        <v>0.5</v>
      </c>
      <c r="V433">
        <v>2</v>
      </c>
      <c r="W433">
        <v>4.0999999999999996</v>
      </c>
      <c r="X433">
        <v>4.6744000000000003</v>
      </c>
      <c r="Y433">
        <v>0.16689999999999999</v>
      </c>
      <c r="Z433">
        <v>85.919700000000006</v>
      </c>
      <c r="AA433">
        <v>10</v>
      </c>
      <c r="AB433">
        <v>0.43</v>
      </c>
      <c r="AC433">
        <v>217</v>
      </c>
      <c r="AD433">
        <v>10</v>
      </c>
    </row>
    <row r="434" spans="1:30" x14ac:dyDescent="0.55000000000000004">
      <c r="A434">
        <v>92665</v>
      </c>
      <c r="B434" s="19">
        <v>42206</v>
      </c>
      <c r="C434">
        <v>903</v>
      </c>
      <c r="D434">
        <v>2015</v>
      </c>
      <c r="E434">
        <v>25</v>
      </c>
      <c r="F434">
        <v>728</v>
      </c>
      <c r="G434">
        <v>3</v>
      </c>
      <c r="H434">
        <v>2155</v>
      </c>
      <c r="I434">
        <v>3</v>
      </c>
      <c r="J434">
        <v>4833.7700000000004</v>
      </c>
      <c r="K434">
        <v>8745.5400000000009</v>
      </c>
      <c r="L434">
        <v>4833.49</v>
      </c>
      <c r="M434">
        <v>8745.93</v>
      </c>
      <c r="N434">
        <v>48.562832999999998</v>
      </c>
      <c r="O434">
        <v>-87.759</v>
      </c>
      <c r="P434">
        <v>48.558166999999997</v>
      </c>
      <c r="Q434">
        <v>-87.765500000000003</v>
      </c>
      <c r="R434">
        <v>19095.496640000001</v>
      </c>
      <c r="S434">
        <v>152</v>
      </c>
      <c r="T434">
        <v>149</v>
      </c>
      <c r="U434">
        <v>0.5</v>
      </c>
      <c r="V434">
        <v>2</v>
      </c>
      <c r="W434">
        <v>4.0999999999999996</v>
      </c>
      <c r="X434">
        <v>4.6744000000000003</v>
      </c>
      <c r="Y434">
        <v>0.16689999999999999</v>
      </c>
      <c r="Z434">
        <v>85.919700000000006</v>
      </c>
      <c r="AA434">
        <v>10</v>
      </c>
      <c r="AB434">
        <v>0.43</v>
      </c>
      <c r="AC434">
        <v>217</v>
      </c>
      <c r="AD434">
        <v>4</v>
      </c>
    </row>
    <row r="435" spans="1:30" x14ac:dyDescent="0.55000000000000004">
      <c r="A435">
        <v>92667</v>
      </c>
      <c r="B435" s="19">
        <v>42206</v>
      </c>
      <c r="C435">
        <v>1135</v>
      </c>
      <c r="D435">
        <v>2015</v>
      </c>
      <c r="E435">
        <v>25</v>
      </c>
      <c r="F435">
        <v>729</v>
      </c>
      <c r="G435">
        <v>3</v>
      </c>
      <c r="H435">
        <v>2127</v>
      </c>
      <c r="I435">
        <v>3</v>
      </c>
      <c r="J435">
        <v>4817.66</v>
      </c>
      <c r="K435">
        <v>8739.5499999999993</v>
      </c>
      <c r="L435">
        <v>4817.29</v>
      </c>
      <c r="M435">
        <v>8739.66</v>
      </c>
      <c r="N435">
        <v>48.294333000000002</v>
      </c>
      <c r="O435">
        <v>-87.659166999999997</v>
      </c>
      <c r="P435">
        <v>48.288167000000001</v>
      </c>
      <c r="Q435">
        <v>-87.661000000000001</v>
      </c>
      <c r="R435">
        <v>48653.205670000003</v>
      </c>
      <c r="S435">
        <v>230</v>
      </c>
      <c r="T435">
        <v>236</v>
      </c>
      <c r="U435">
        <v>0.5</v>
      </c>
      <c r="V435">
        <v>2</v>
      </c>
      <c r="W435">
        <v>3.4</v>
      </c>
      <c r="X435">
        <v>3.8856999999999999</v>
      </c>
      <c r="Y435">
        <v>0.1552</v>
      </c>
      <c r="Z435">
        <v>41.635800000000003</v>
      </c>
      <c r="AA435">
        <v>10</v>
      </c>
      <c r="AB435">
        <v>0.42</v>
      </c>
      <c r="AC435">
        <v>0</v>
      </c>
      <c r="AD435">
        <v>0</v>
      </c>
    </row>
    <row r="436" spans="1:30" x14ac:dyDescent="0.55000000000000004">
      <c r="A436">
        <v>92668</v>
      </c>
      <c r="B436" s="19">
        <v>42206</v>
      </c>
      <c r="C436">
        <v>1135</v>
      </c>
      <c r="D436">
        <v>2015</v>
      </c>
      <c r="E436">
        <v>25</v>
      </c>
      <c r="F436">
        <v>730</v>
      </c>
      <c r="G436">
        <v>3</v>
      </c>
      <c r="H436">
        <v>2127</v>
      </c>
      <c r="I436">
        <v>3</v>
      </c>
      <c r="J436">
        <v>4817.66</v>
      </c>
      <c r="K436">
        <v>8739.5499999999993</v>
      </c>
      <c r="L436">
        <v>4817.29</v>
      </c>
      <c r="M436">
        <v>8739.66</v>
      </c>
      <c r="N436">
        <v>48.294333000000002</v>
      </c>
      <c r="O436">
        <v>-87.659166999999997</v>
      </c>
      <c r="P436">
        <v>48.288167000000001</v>
      </c>
      <c r="Q436">
        <v>-87.661000000000001</v>
      </c>
      <c r="R436">
        <v>48653.205670000003</v>
      </c>
      <c r="S436">
        <v>230</v>
      </c>
      <c r="T436">
        <v>236</v>
      </c>
      <c r="U436">
        <v>0.5</v>
      </c>
      <c r="V436">
        <v>2</v>
      </c>
      <c r="W436">
        <v>2.2999999999999998</v>
      </c>
      <c r="X436">
        <v>3.8856999999999999</v>
      </c>
      <c r="Y436">
        <v>0.1552</v>
      </c>
      <c r="Z436">
        <v>41.635800000000003</v>
      </c>
      <c r="AA436">
        <v>10</v>
      </c>
      <c r="AB436">
        <v>0.42</v>
      </c>
      <c r="AC436">
        <v>0</v>
      </c>
      <c r="AD436">
        <v>0</v>
      </c>
    </row>
    <row r="437" spans="1:30" x14ac:dyDescent="0.55000000000000004">
      <c r="A437">
        <v>92671</v>
      </c>
      <c r="B437" s="19">
        <v>42207</v>
      </c>
      <c r="C437">
        <v>944</v>
      </c>
      <c r="D437">
        <v>2015</v>
      </c>
      <c r="E437">
        <v>25</v>
      </c>
      <c r="F437">
        <v>731</v>
      </c>
      <c r="G437">
        <v>3</v>
      </c>
      <c r="H437">
        <v>2140</v>
      </c>
      <c r="I437">
        <v>3</v>
      </c>
      <c r="J437">
        <v>4806.74</v>
      </c>
      <c r="K437">
        <v>8845.74</v>
      </c>
      <c r="L437">
        <v>4806.96</v>
      </c>
      <c r="M437">
        <v>8845.2099999999991</v>
      </c>
      <c r="N437">
        <v>48.112333</v>
      </c>
      <c r="O437">
        <v>-88.762332999999998</v>
      </c>
      <c r="P437">
        <v>48.116</v>
      </c>
      <c r="Q437">
        <v>-88.753500000000003</v>
      </c>
      <c r="R437">
        <v>2539.5985660000001</v>
      </c>
      <c r="S437">
        <v>149</v>
      </c>
      <c r="T437">
        <v>156</v>
      </c>
      <c r="U437">
        <v>0.5</v>
      </c>
      <c r="V437">
        <v>2</v>
      </c>
      <c r="W437">
        <v>12.4</v>
      </c>
      <c r="X437">
        <v>12.4107</v>
      </c>
      <c r="Y437">
        <v>0.50949999999999995</v>
      </c>
      <c r="Z437">
        <v>86.5672</v>
      </c>
      <c r="AA437">
        <v>10</v>
      </c>
      <c r="AB437">
        <v>0.42</v>
      </c>
      <c r="AC437">
        <v>217</v>
      </c>
      <c r="AD437">
        <v>48</v>
      </c>
    </row>
    <row r="438" spans="1:30" x14ac:dyDescent="0.55000000000000004">
      <c r="A438">
        <v>92672</v>
      </c>
      <c r="B438" s="19">
        <v>42207</v>
      </c>
      <c r="C438">
        <v>944</v>
      </c>
      <c r="D438">
        <v>2015</v>
      </c>
      <c r="E438">
        <v>25</v>
      </c>
      <c r="F438">
        <v>732</v>
      </c>
      <c r="G438">
        <v>3</v>
      </c>
      <c r="H438">
        <v>2140</v>
      </c>
      <c r="I438">
        <v>3</v>
      </c>
      <c r="J438">
        <v>4806.74</v>
      </c>
      <c r="K438">
        <v>8845.74</v>
      </c>
      <c r="L438">
        <v>4806.96</v>
      </c>
      <c r="M438">
        <v>8845.2099999999991</v>
      </c>
      <c r="N438">
        <v>48.112333</v>
      </c>
      <c r="O438">
        <v>-88.762332999999998</v>
      </c>
      <c r="P438">
        <v>48.116</v>
      </c>
      <c r="Q438">
        <v>-88.753500000000003</v>
      </c>
      <c r="R438">
        <v>2539.5985660000001</v>
      </c>
      <c r="S438">
        <v>149</v>
      </c>
      <c r="T438">
        <v>156</v>
      </c>
      <c r="U438">
        <v>0.5</v>
      </c>
      <c r="V438">
        <v>2</v>
      </c>
      <c r="W438">
        <v>12.4</v>
      </c>
      <c r="X438">
        <v>12.4107</v>
      </c>
      <c r="Y438">
        <v>0.50949999999999995</v>
      </c>
      <c r="Z438">
        <v>86.5672</v>
      </c>
      <c r="AA438">
        <v>10</v>
      </c>
      <c r="AB438">
        <v>0.42</v>
      </c>
      <c r="AC438">
        <v>217</v>
      </c>
      <c r="AD438">
        <v>132</v>
      </c>
    </row>
    <row r="439" spans="1:30" x14ac:dyDescent="0.55000000000000004">
      <c r="A439">
        <v>92673</v>
      </c>
      <c r="B439" s="19">
        <v>42207</v>
      </c>
      <c r="C439">
        <v>1653</v>
      </c>
      <c r="D439">
        <v>2015</v>
      </c>
      <c r="E439">
        <v>25</v>
      </c>
      <c r="F439">
        <v>733</v>
      </c>
      <c r="G439">
        <v>3</v>
      </c>
      <c r="H439">
        <v>65</v>
      </c>
      <c r="I439">
        <v>3</v>
      </c>
      <c r="J439">
        <v>4744.87</v>
      </c>
      <c r="K439">
        <v>9019.07</v>
      </c>
      <c r="L439">
        <v>4744.59</v>
      </c>
      <c r="M439">
        <v>9019.51</v>
      </c>
      <c r="N439">
        <v>47.747833</v>
      </c>
      <c r="O439">
        <v>-90.317832999999993</v>
      </c>
      <c r="P439">
        <v>47.743167</v>
      </c>
      <c r="Q439">
        <v>-90.325166999999993</v>
      </c>
      <c r="R439">
        <v>688.20263509999995</v>
      </c>
      <c r="S439">
        <v>37</v>
      </c>
      <c r="T439">
        <v>23</v>
      </c>
      <c r="U439">
        <v>0.5</v>
      </c>
      <c r="V439">
        <v>2</v>
      </c>
      <c r="W439">
        <v>8.1999999999999993</v>
      </c>
      <c r="AA439">
        <v>10</v>
      </c>
      <c r="AB439">
        <v>0.4</v>
      </c>
      <c r="AC439">
        <v>0</v>
      </c>
      <c r="AD439">
        <v>0</v>
      </c>
    </row>
    <row r="440" spans="1:30" x14ac:dyDescent="0.55000000000000004">
      <c r="A440">
        <v>92674</v>
      </c>
      <c r="B440" s="19">
        <v>42207</v>
      </c>
      <c r="C440">
        <v>1653</v>
      </c>
      <c r="D440">
        <v>2015</v>
      </c>
      <c r="E440">
        <v>25</v>
      </c>
      <c r="F440">
        <v>734</v>
      </c>
      <c r="G440">
        <v>3</v>
      </c>
      <c r="H440">
        <v>65</v>
      </c>
      <c r="I440">
        <v>3</v>
      </c>
      <c r="J440">
        <v>4744.87</v>
      </c>
      <c r="K440">
        <v>9019.07</v>
      </c>
      <c r="L440">
        <v>4744.59</v>
      </c>
      <c r="M440">
        <v>9019.51</v>
      </c>
      <c r="N440">
        <v>47.747833</v>
      </c>
      <c r="O440">
        <v>-90.317832999999993</v>
      </c>
      <c r="P440">
        <v>47.743167</v>
      </c>
      <c r="Q440">
        <v>-90.325166999999993</v>
      </c>
      <c r="R440">
        <v>688.20263509999995</v>
      </c>
      <c r="S440">
        <v>37</v>
      </c>
      <c r="T440">
        <v>24</v>
      </c>
      <c r="U440">
        <v>0.5</v>
      </c>
      <c r="V440">
        <v>2</v>
      </c>
      <c r="W440">
        <v>8.1999999999999993</v>
      </c>
      <c r="AA440">
        <v>10</v>
      </c>
      <c r="AB440">
        <v>0.4</v>
      </c>
      <c r="AC440">
        <v>0</v>
      </c>
      <c r="AD440">
        <v>0</v>
      </c>
    </row>
    <row r="441" spans="1:30" x14ac:dyDescent="0.55000000000000004">
      <c r="A441">
        <v>92675</v>
      </c>
      <c r="B441" s="19">
        <v>42215</v>
      </c>
      <c r="C441">
        <v>1154</v>
      </c>
      <c r="D441">
        <v>2015</v>
      </c>
      <c r="E441">
        <v>25</v>
      </c>
      <c r="F441">
        <v>735</v>
      </c>
      <c r="G441">
        <v>4</v>
      </c>
      <c r="H441">
        <v>301</v>
      </c>
      <c r="I441">
        <v>3</v>
      </c>
      <c r="J441">
        <v>4643.4399999999996</v>
      </c>
      <c r="K441">
        <v>9050.82</v>
      </c>
      <c r="L441">
        <v>4643.78</v>
      </c>
      <c r="M441">
        <v>9050.91</v>
      </c>
      <c r="N441">
        <v>46.723999999999997</v>
      </c>
      <c r="O441">
        <v>-90.846999999999994</v>
      </c>
      <c r="P441">
        <v>46.729666999999999</v>
      </c>
      <c r="Q441">
        <v>-90.848500000000001</v>
      </c>
      <c r="R441">
        <v>903.72856449999995</v>
      </c>
      <c r="S441">
        <v>20.6</v>
      </c>
      <c r="T441">
        <v>19.899999999999999</v>
      </c>
      <c r="U441">
        <v>0.5</v>
      </c>
      <c r="V441">
        <v>2</v>
      </c>
      <c r="W441">
        <v>19</v>
      </c>
      <c r="AA441">
        <v>10</v>
      </c>
      <c r="AB441">
        <v>0.42</v>
      </c>
      <c r="AC441">
        <v>217</v>
      </c>
      <c r="AD441">
        <v>2</v>
      </c>
    </row>
    <row r="442" spans="1:30" x14ac:dyDescent="0.55000000000000004">
      <c r="A442">
        <v>92676</v>
      </c>
      <c r="B442" s="19">
        <v>42215</v>
      </c>
      <c r="C442">
        <v>1154</v>
      </c>
      <c r="D442">
        <v>2015</v>
      </c>
      <c r="E442">
        <v>25</v>
      </c>
      <c r="F442">
        <v>736</v>
      </c>
      <c r="G442">
        <v>4</v>
      </c>
      <c r="H442">
        <v>301</v>
      </c>
      <c r="I442">
        <v>3</v>
      </c>
      <c r="J442">
        <v>4643.4399999999996</v>
      </c>
      <c r="K442">
        <v>9050.82</v>
      </c>
      <c r="L442">
        <v>4643.78</v>
      </c>
      <c r="M442">
        <v>9050.91</v>
      </c>
      <c r="N442">
        <v>46.723999999999997</v>
      </c>
      <c r="O442">
        <v>-90.846999999999994</v>
      </c>
      <c r="P442">
        <v>46.729666999999999</v>
      </c>
      <c r="Q442">
        <v>-90.848500000000001</v>
      </c>
      <c r="R442">
        <v>903.72856449999995</v>
      </c>
      <c r="S442">
        <v>20.6</v>
      </c>
      <c r="T442">
        <v>19.899999999999999</v>
      </c>
      <c r="U442">
        <v>0.5</v>
      </c>
      <c r="V442">
        <v>2</v>
      </c>
      <c r="W442">
        <v>19</v>
      </c>
      <c r="AA442">
        <v>10</v>
      </c>
      <c r="AB442">
        <v>0.42</v>
      </c>
      <c r="AC442">
        <v>217</v>
      </c>
      <c r="AD442">
        <v>2</v>
      </c>
    </row>
    <row r="443" spans="1:30" x14ac:dyDescent="0.55000000000000004">
      <c r="A443">
        <v>92677</v>
      </c>
      <c r="B443" s="19">
        <v>42216</v>
      </c>
      <c r="C443">
        <v>919</v>
      </c>
      <c r="D443">
        <v>2015</v>
      </c>
      <c r="E443">
        <v>25</v>
      </c>
      <c r="F443">
        <v>737</v>
      </c>
      <c r="G443">
        <v>5</v>
      </c>
      <c r="H443">
        <v>736</v>
      </c>
      <c r="I443">
        <v>3</v>
      </c>
      <c r="J443">
        <v>4652.34</v>
      </c>
      <c r="K443">
        <v>9033.74</v>
      </c>
      <c r="L443">
        <v>4652.32</v>
      </c>
      <c r="M443">
        <v>9033.19</v>
      </c>
      <c r="N443">
        <v>46.872332999999998</v>
      </c>
      <c r="O443">
        <v>-90.562332999999995</v>
      </c>
      <c r="P443">
        <v>46.872</v>
      </c>
      <c r="Q443">
        <v>-90.553167000000002</v>
      </c>
      <c r="R443">
        <v>2085.6739750000002</v>
      </c>
      <c r="S443">
        <v>76.2</v>
      </c>
      <c r="T443">
        <v>77.099999999999994</v>
      </c>
      <c r="U443">
        <v>0.5</v>
      </c>
      <c r="V443">
        <v>2</v>
      </c>
      <c r="W443">
        <v>17.3</v>
      </c>
      <c r="X443">
        <v>17.7163</v>
      </c>
      <c r="Y443">
        <v>0.27910000000000001</v>
      </c>
      <c r="Z443">
        <v>84.869699999999995</v>
      </c>
      <c r="AA443">
        <v>10</v>
      </c>
      <c r="AB443">
        <v>0.43</v>
      </c>
      <c r="AC443">
        <v>217</v>
      </c>
      <c r="AD443">
        <v>7</v>
      </c>
    </row>
    <row r="444" spans="1:30" x14ac:dyDescent="0.55000000000000004">
      <c r="A444">
        <v>92677</v>
      </c>
      <c r="B444" s="19">
        <v>42216</v>
      </c>
      <c r="C444">
        <v>919</v>
      </c>
      <c r="D444">
        <v>2015</v>
      </c>
      <c r="E444">
        <v>25</v>
      </c>
      <c r="F444">
        <v>737</v>
      </c>
      <c r="G444">
        <v>5</v>
      </c>
      <c r="H444">
        <v>736</v>
      </c>
      <c r="I444">
        <v>3</v>
      </c>
      <c r="J444">
        <v>4652.34</v>
      </c>
      <c r="K444">
        <v>9033.74</v>
      </c>
      <c r="L444">
        <v>4652.32</v>
      </c>
      <c r="M444">
        <v>9033.19</v>
      </c>
      <c r="N444">
        <v>46.872332999999998</v>
      </c>
      <c r="O444">
        <v>-90.562332999999995</v>
      </c>
      <c r="P444">
        <v>46.872</v>
      </c>
      <c r="Q444">
        <v>-90.553167000000002</v>
      </c>
      <c r="R444">
        <v>2085.6739750000002</v>
      </c>
      <c r="S444">
        <v>76.2</v>
      </c>
      <c r="T444">
        <v>77.099999999999994</v>
      </c>
      <c r="U444">
        <v>0.5</v>
      </c>
      <c r="V444">
        <v>2</v>
      </c>
      <c r="W444">
        <v>17.3</v>
      </c>
      <c r="X444">
        <v>17.7163</v>
      </c>
      <c r="Y444">
        <v>0.27910000000000001</v>
      </c>
      <c r="Z444">
        <v>84.869699999999995</v>
      </c>
      <c r="AA444">
        <v>10</v>
      </c>
      <c r="AB444">
        <v>0.43</v>
      </c>
      <c r="AC444">
        <v>129</v>
      </c>
      <c r="AD444">
        <v>1</v>
      </c>
    </row>
    <row r="445" spans="1:30" x14ac:dyDescent="0.55000000000000004">
      <c r="A445">
        <v>92678</v>
      </c>
      <c r="B445" s="19">
        <v>42216</v>
      </c>
      <c r="C445">
        <v>919</v>
      </c>
      <c r="D445">
        <v>2015</v>
      </c>
      <c r="E445">
        <v>25</v>
      </c>
      <c r="F445">
        <v>738</v>
      </c>
      <c r="G445">
        <v>5</v>
      </c>
      <c r="H445">
        <v>736</v>
      </c>
      <c r="I445">
        <v>3</v>
      </c>
      <c r="J445">
        <v>4652.34</v>
      </c>
      <c r="K445">
        <v>9033.74</v>
      </c>
      <c r="L445">
        <v>4652.32</v>
      </c>
      <c r="M445">
        <v>9033.19</v>
      </c>
      <c r="N445">
        <v>46.872332999999998</v>
      </c>
      <c r="O445">
        <v>-90.562332999999995</v>
      </c>
      <c r="P445">
        <v>46.872</v>
      </c>
      <c r="Q445">
        <v>-90.553167000000002</v>
      </c>
      <c r="R445">
        <v>2085.6739750000002</v>
      </c>
      <c r="S445">
        <v>76.2</v>
      </c>
      <c r="T445">
        <v>77.099999999999994</v>
      </c>
      <c r="U445">
        <v>0.5</v>
      </c>
      <c r="V445">
        <v>2</v>
      </c>
      <c r="W445">
        <v>17.3</v>
      </c>
      <c r="X445">
        <v>17.7163</v>
      </c>
      <c r="Y445">
        <v>0.27910000000000001</v>
      </c>
      <c r="Z445">
        <v>84.869699999999995</v>
      </c>
      <c r="AA445">
        <v>10</v>
      </c>
      <c r="AB445">
        <v>0.43</v>
      </c>
      <c r="AC445">
        <v>217</v>
      </c>
      <c r="AD445">
        <v>5</v>
      </c>
    </row>
    <row r="446" spans="1:30" x14ac:dyDescent="0.55000000000000004">
      <c r="A446">
        <v>92679</v>
      </c>
      <c r="B446" s="19">
        <v>42216</v>
      </c>
      <c r="C446">
        <v>1146</v>
      </c>
      <c r="D446">
        <v>2015</v>
      </c>
      <c r="E446">
        <v>25</v>
      </c>
      <c r="F446">
        <v>739</v>
      </c>
      <c r="G446">
        <v>5</v>
      </c>
      <c r="H446">
        <v>736</v>
      </c>
      <c r="I446">
        <v>3</v>
      </c>
      <c r="J446">
        <v>4653.07</v>
      </c>
      <c r="K446">
        <v>9031.77</v>
      </c>
      <c r="L446">
        <v>4652.55</v>
      </c>
      <c r="M446">
        <v>9031.57</v>
      </c>
      <c r="N446">
        <v>46.884500000000003</v>
      </c>
      <c r="O446">
        <v>-90.529499999999999</v>
      </c>
      <c r="P446">
        <v>46.875833</v>
      </c>
      <c r="Q446">
        <v>-90.526167000000001</v>
      </c>
      <c r="R446">
        <v>2085.6739750000002</v>
      </c>
      <c r="S446">
        <v>103</v>
      </c>
      <c r="T446">
        <v>78</v>
      </c>
      <c r="U446">
        <v>0.5</v>
      </c>
      <c r="V446">
        <v>2</v>
      </c>
      <c r="X446">
        <v>17.7163</v>
      </c>
      <c r="Y446">
        <v>0.27910000000000001</v>
      </c>
      <c r="Z446">
        <v>84.869699999999995</v>
      </c>
      <c r="AA446">
        <v>10</v>
      </c>
      <c r="AB446">
        <v>0.5</v>
      </c>
      <c r="AC446">
        <v>217</v>
      </c>
      <c r="AD446">
        <v>3</v>
      </c>
    </row>
    <row r="447" spans="1:30" x14ac:dyDescent="0.55000000000000004">
      <c r="A447">
        <v>92680</v>
      </c>
      <c r="B447" s="19">
        <v>42216</v>
      </c>
      <c r="C447">
        <v>1146</v>
      </c>
      <c r="D447">
        <v>2015</v>
      </c>
      <c r="E447">
        <v>25</v>
      </c>
      <c r="F447">
        <v>740</v>
      </c>
      <c r="G447">
        <v>5</v>
      </c>
      <c r="H447">
        <v>736</v>
      </c>
      <c r="I447">
        <v>3</v>
      </c>
      <c r="J447">
        <v>4653.07</v>
      </c>
      <c r="K447">
        <v>9031.77</v>
      </c>
      <c r="L447">
        <v>4652.55</v>
      </c>
      <c r="M447">
        <v>9031.57</v>
      </c>
      <c r="N447">
        <v>46.884500000000003</v>
      </c>
      <c r="O447">
        <v>-90.529499999999999</v>
      </c>
      <c r="P447">
        <v>46.875833</v>
      </c>
      <c r="Q447">
        <v>-90.526167000000001</v>
      </c>
      <c r="R447">
        <v>2085.6739750000002</v>
      </c>
      <c r="S447">
        <v>103</v>
      </c>
      <c r="T447">
        <v>78</v>
      </c>
      <c r="U447">
        <v>0.5</v>
      </c>
      <c r="V447">
        <v>2</v>
      </c>
      <c r="X447">
        <v>17.7163</v>
      </c>
      <c r="Y447">
        <v>0.27910000000000001</v>
      </c>
      <c r="Z447">
        <v>84.869699999999995</v>
      </c>
      <c r="AA447">
        <v>10</v>
      </c>
      <c r="AB447">
        <v>0.5</v>
      </c>
      <c r="AC447">
        <v>217</v>
      </c>
      <c r="AD447">
        <v>3</v>
      </c>
    </row>
    <row r="448" spans="1:30" x14ac:dyDescent="0.55000000000000004">
      <c r="A448">
        <v>92680</v>
      </c>
      <c r="B448" s="19">
        <v>42216</v>
      </c>
      <c r="C448">
        <v>1146</v>
      </c>
      <c r="D448">
        <v>2015</v>
      </c>
      <c r="E448">
        <v>25</v>
      </c>
      <c r="F448">
        <v>740</v>
      </c>
      <c r="G448">
        <v>5</v>
      </c>
      <c r="H448">
        <v>736</v>
      </c>
      <c r="I448">
        <v>3</v>
      </c>
      <c r="J448">
        <v>4653.07</v>
      </c>
      <c r="K448">
        <v>9031.77</v>
      </c>
      <c r="L448">
        <v>4652.55</v>
      </c>
      <c r="M448">
        <v>9031.57</v>
      </c>
      <c r="N448">
        <v>46.884500000000003</v>
      </c>
      <c r="O448">
        <v>-90.529499999999999</v>
      </c>
      <c r="P448">
        <v>46.875833</v>
      </c>
      <c r="Q448">
        <v>-90.526167000000001</v>
      </c>
      <c r="R448">
        <v>2085.6739750000002</v>
      </c>
      <c r="S448">
        <v>103</v>
      </c>
      <c r="T448">
        <v>78</v>
      </c>
      <c r="U448">
        <v>0.5</v>
      </c>
      <c r="V448">
        <v>2</v>
      </c>
      <c r="X448">
        <v>17.7163</v>
      </c>
      <c r="Y448">
        <v>0.27910000000000001</v>
      </c>
      <c r="Z448">
        <v>84.869699999999995</v>
      </c>
      <c r="AA448">
        <v>10</v>
      </c>
      <c r="AB448">
        <v>0.5</v>
      </c>
      <c r="AC448">
        <v>131</v>
      </c>
      <c r="AD448">
        <v>1</v>
      </c>
    </row>
    <row r="449" spans="1:30" x14ac:dyDescent="0.55000000000000004">
      <c r="A449">
        <v>94462</v>
      </c>
      <c r="B449" s="19">
        <v>42494</v>
      </c>
      <c r="C449">
        <v>1046</v>
      </c>
      <c r="D449">
        <v>2016</v>
      </c>
      <c r="E449">
        <v>25</v>
      </c>
      <c r="F449">
        <v>500</v>
      </c>
      <c r="G449">
        <v>2</v>
      </c>
      <c r="H449">
        <v>468</v>
      </c>
      <c r="I449">
        <v>3</v>
      </c>
      <c r="J449">
        <v>4644.74</v>
      </c>
      <c r="K449">
        <v>9045.18</v>
      </c>
      <c r="L449">
        <v>4644.45</v>
      </c>
      <c r="M449">
        <v>9045.5400000000009</v>
      </c>
      <c r="N449">
        <v>46.745666999999997</v>
      </c>
      <c r="O449">
        <v>-90.753</v>
      </c>
      <c r="P449">
        <v>46.740833000000002</v>
      </c>
      <c r="Q449">
        <v>-90.759</v>
      </c>
      <c r="S449">
        <v>32.299999999999997</v>
      </c>
      <c r="T449">
        <v>34.299999999999997</v>
      </c>
      <c r="U449">
        <v>0.5</v>
      </c>
      <c r="V449">
        <v>2</v>
      </c>
      <c r="W449">
        <v>4.7</v>
      </c>
      <c r="X449">
        <v>4.4503500000000003</v>
      </c>
      <c r="Y449">
        <v>0.4526</v>
      </c>
      <c r="Z449">
        <v>78.028300000000002</v>
      </c>
      <c r="AA449">
        <v>10</v>
      </c>
      <c r="AB449">
        <v>0.42</v>
      </c>
      <c r="AC449">
        <v>217</v>
      </c>
      <c r="AD449">
        <v>474</v>
      </c>
    </row>
    <row r="450" spans="1:30" x14ac:dyDescent="0.55000000000000004">
      <c r="A450">
        <v>94463</v>
      </c>
      <c r="B450" s="19">
        <v>42494</v>
      </c>
      <c r="C450">
        <v>1046</v>
      </c>
      <c r="D450">
        <v>2016</v>
      </c>
      <c r="E450">
        <v>25</v>
      </c>
      <c r="F450">
        <v>501</v>
      </c>
      <c r="G450">
        <v>2</v>
      </c>
      <c r="H450">
        <v>468</v>
      </c>
      <c r="I450">
        <v>3</v>
      </c>
      <c r="J450">
        <v>4644.74</v>
      </c>
      <c r="K450">
        <v>9045.18</v>
      </c>
      <c r="L450">
        <v>4644.45</v>
      </c>
      <c r="M450">
        <v>9045.5400000000009</v>
      </c>
      <c r="N450">
        <v>46.745666999999997</v>
      </c>
      <c r="O450">
        <v>-90.753</v>
      </c>
      <c r="P450">
        <v>46.740833000000002</v>
      </c>
      <c r="Q450">
        <v>-90.759</v>
      </c>
      <c r="S450">
        <v>32.299999999999997</v>
      </c>
      <c r="T450">
        <v>34.299999999999997</v>
      </c>
      <c r="U450">
        <v>0.5</v>
      </c>
      <c r="V450">
        <v>2</v>
      </c>
      <c r="W450">
        <v>4.7</v>
      </c>
      <c r="X450">
        <v>4.4503500000000003</v>
      </c>
      <c r="Y450">
        <v>0.4526</v>
      </c>
      <c r="Z450">
        <v>78.028300000000002</v>
      </c>
      <c r="AA450">
        <v>10</v>
      </c>
      <c r="AB450">
        <v>0.42</v>
      </c>
      <c r="AC450">
        <v>217</v>
      </c>
      <c r="AD450">
        <v>437</v>
      </c>
    </row>
    <row r="451" spans="1:30" x14ac:dyDescent="0.55000000000000004">
      <c r="A451">
        <v>94464</v>
      </c>
      <c r="B451" s="19">
        <v>42494</v>
      </c>
      <c r="C451">
        <v>1126</v>
      </c>
      <c r="D451">
        <v>2016</v>
      </c>
      <c r="E451">
        <v>25</v>
      </c>
      <c r="F451">
        <v>502</v>
      </c>
      <c r="G451">
        <v>1</v>
      </c>
      <c r="H451">
        <v>468</v>
      </c>
      <c r="I451">
        <v>3</v>
      </c>
      <c r="J451">
        <v>4645.5200000000004</v>
      </c>
      <c r="K451">
        <v>9048.74</v>
      </c>
      <c r="L451">
        <v>4645.24</v>
      </c>
      <c r="M451">
        <v>9049.16</v>
      </c>
      <c r="N451">
        <v>46.758667000000003</v>
      </c>
      <c r="O451">
        <v>-90.812332999999995</v>
      </c>
      <c r="P451">
        <v>46.753999999999998</v>
      </c>
      <c r="Q451">
        <v>-90.819333</v>
      </c>
      <c r="S451">
        <v>28.4</v>
      </c>
      <c r="T451">
        <v>34.6</v>
      </c>
      <c r="U451">
        <v>0.5</v>
      </c>
      <c r="V451">
        <v>2</v>
      </c>
      <c r="W451">
        <v>4.5</v>
      </c>
      <c r="X451">
        <v>4.4503500000000003</v>
      </c>
      <c r="Y451">
        <v>0.4526</v>
      </c>
      <c r="Z451">
        <v>78.028300000000002</v>
      </c>
      <c r="AA451">
        <v>10</v>
      </c>
      <c r="AB451">
        <v>0.42</v>
      </c>
      <c r="AC451">
        <v>217</v>
      </c>
      <c r="AD451">
        <v>229</v>
      </c>
    </row>
    <row r="452" spans="1:30" x14ac:dyDescent="0.55000000000000004">
      <c r="A452">
        <v>94465</v>
      </c>
      <c r="B452" s="19">
        <v>42494</v>
      </c>
      <c r="C452">
        <v>1126</v>
      </c>
      <c r="D452">
        <v>2016</v>
      </c>
      <c r="E452">
        <v>25</v>
      </c>
      <c r="F452">
        <v>503</v>
      </c>
      <c r="G452">
        <v>1</v>
      </c>
      <c r="H452">
        <v>468</v>
      </c>
      <c r="I452">
        <v>3</v>
      </c>
      <c r="J452">
        <v>4645.5200000000004</v>
      </c>
      <c r="K452">
        <v>9048.74</v>
      </c>
      <c r="L452">
        <v>4645.24</v>
      </c>
      <c r="M452">
        <v>9049.16</v>
      </c>
      <c r="N452">
        <v>46.758667000000003</v>
      </c>
      <c r="O452">
        <v>-90.812332999999995</v>
      </c>
      <c r="P452">
        <v>46.753999999999998</v>
      </c>
      <c r="Q452">
        <v>-90.819333</v>
      </c>
      <c r="S452">
        <v>28.4</v>
      </c>
      <c r="T452">
        <v>34.6</v>
      </c>
      <c r="U452">
        <v>0.5</v>
      </c>
      <c r="V452">
        <v>2</v>
      </c>
      <c r="W452">
        <v>4.5</v>
      </c>
      <c r="X452">
        <v>4.4503500000000003</v>
      </c>
      <c r="Y452">
        <v>0.4526</v>
      </c>
      <c r="Z452">
        <v>78.028300000000002</v>
      </c>
      <c r="AA452">
        <v>10</v>
      </c>
      <c r="AB452">
        <v>0.42</v>
      </c>
      <c r="AC452">
        <v>217</v>
      </c>
      <c r="AD452">
        <v>152</v>
      </c>
    </row>
    <row r="453" spans="1:30" x14ac:dyDescent="0.55000000000000004">
      <c r="A453">
        <v>94466</v>
      </c>
      <c r="B453" s="19">
        <v>42502</v>
      </c>
      <c r="C453">
        <v>1306</v>
      </c>
      <c r="D453">
        <v>2016</v>
      </c>
      <c r="E453">
        <v>25</v>
      </c>
      <c r="F453">
        <v>504</v>
      </c>
      <c r="G453">
        <v>1</v>
      </c>
      <c r="H453">
        <v>736</v>
      </c>
      <c r="I453">
        <v>3</v>
      </c>
      <c r="J453">
        <v>4655.4799999999996</v>
      </c>
      <c r="K453">
        <v>9030.15</v>
      </c>
      <c r="L453">
        <v>4655.16</v>
      </c>
      <c r="M453">
        <v>9030.35</v>
      </c>
      <c r="N453">
        <v>46.924666999999999</v>
      </c>
      <c r="O453">
        <v>-90.502499999999998</v>
      </c>
      <c r="P453">
        <v>46.919333000000002</v>
      </c>
      <c r="Q453">
        <v>-90.505832999999996</v>
      </c>
      <c r="R453">
        <v>2085.6739750000002</v>
      </c>
      <c r="S453">
        <v>106</v>
      </c>
      <c r="T453">
        <v>117</v>
      </c>
      <c r="U453">
        <v>0.5</v>
      </c>
      <c r="V453">
        <v>2</v>
      </c>
      <c r="W453">
        <v>4.5999999999999996</v>
      </c>
      <c r="X453">
        <v>5.7351000000000001</v>
      </c>
      <c r="Y453">
        <v>9.8199999999999996E-2</v>
      </c>
      <c r="Z453">
        <v>33.889699999999998</v>
      </c>
      <c r="AA453">
        <v>10</v>
      </c>
      <c r="AB453">
        <v>0.42</v>
      </c>
      <c r="AC453">
        <v>217</v>
      </c>
      <c r="AD453">
        <v>65</v>
      </c>
    </row>
    <row r="454" spans="1:30" x14ac:dyDescent="0.55000000000000004">
      <c r="A454">
        <v>94467</v>
      </c>
      <c r="B454" s="19">
        <v>42502</v>
      </c>
      <c r="C454">
        <v>1306</v>
      </c>
      <c r="D454">
        <v>2016</v>
      </c>
      <c r="E454">
        <v>25</v>
      </c>
      <c r="F454">
        <v>505</v>
      </c>
      <c r="G454">
        <v>1</v>
      </c>
      <c r="H454">
        <v>736</v>
      </c>
      <c r="I454">
        <v>3</v>
      </c>
      <c r="J454">
        <v>4655.4799999999996</v>
      </c>
      <c r="K454">
        <v>9030.15</v>
      </c>
      <c r="L454">
        <v>4655.16</v>
      </c>
      <c r="M454">
        <v>9030.35</v>
      </c>
      <c r="N454">
        <v>46.924666999999999</v>
      </c>
      <c r="O454">
        <v>-90.502499999999998</v>
      </c>
      <c r="P454">
        <v>46.919333000000002</v>
      </c>
      <c r="Q454">
        <v>-90.505832999999996</v>
      </c>
      <c r="R454">
        <v>2085.6739750000002</v>
      </c>
      <c r="S454">
        <v>106</v>
      </c>
      <c r="T454">
        <v>117</v>
      </c>
      <c r="U454">
        <v>0.5</v>
      </c>
      <c r="V454">
        <v>2</v>
      </c>
      <c r="W454">
        <v>4.5999999999999996</v>
      </c>
      <c r="X454">
        <v>5.7351000000000001</v>
      </c>
      <c r="Y454">
        <v>9.8199999999999996E-2</v>
      </c>
      <c r="Z454">
        <v>33.889699999999998</v>
      </c>
      <c r="AA454">
        <v>10</v>
      </c>
      <c r="AB454">
        <v>0.42</v>
      </c>
      <c r="AC454">
        <v>217</v>
      </c>
      <c r="AD454">
        <v>60</v>
      </c>
    </row>
    <row r="455" spans="1:30" x14ac:dyDescent="0.55000000000000004">
      <c r="A455">
        <v>94468</v>
      </c>
      <c r="B455" s="19">
        <v>42506</v>
      </c>
      <c r="C455">
        <v>913</v>
      </c>
      <c r="D455">
        <v>2016</v>
      </c>
      <c r="E455">
        <v>25</v>
      </c>
      <c r="F455">
        <v>506</v>
      </c>
      <c r="G455">
        <v>2</v>
      </c>
      <c r="H455">
        <v>71</v>
      </c>
      <c r="I455">
        <v>3</v>
      </c>
      <c r="J455">
        <v>4656.45</v>
      </c>
      <c r="K455">
        <v>9046.7099999999991</v>
      </c>
      <c r="L455">
        <v>4656.3500000000004</v>
      </c>
      <c r="M455">
        <v>9047.2000000000007</v>
      </c>
      <c r="N455">
        <v>46.940832999999998</v>
      </c>
      <c r="O455">
        <v>-90.778499999999994</v>
      </c>
      <c r="P455">
        <v>46.939166999999998</v>
      </c>
      <c r="Q455">
        <v>-90.786666999999994</v>
      </c>
      <c r="R455">
        <v>249.6721489</v>
      </c>
      <c r="S455">
        <v>36.299999999999997</v>
      </c>
      <c r="T455">
        <v>35.4</v>
      </c>
      <c r="U455">
        <v>0.5</v>
      </c>
      <c r="V455">
        <v>2</v>
      </c>
      <c r="W455">
        <v>5.9</v>
      </c>
      <c r="X455">
        <v>6.0399500000000002</v>
      </c>
      <c r="Y455">
        <v>0.26185000000000003</v>
      </c>
      <c r="Z455">
        <v>81.613</v>
      </c>
      <c r="AA455">
        <v>10</v>
      </c>
      <c r="AB455">
        <v>0.42</v>
      </c>
      <c r="AC455">
        <v>217</v>
      </c>
      <c r="AD455">
        <v>502</v>
      </c>
    </row>
    <row r="456" spans="1:30" x14ac:dyDescent="0.55000000000000004">
      <c r="A456">
        <v>94469</v>
      </c>
      <c r="B456" s="19">
        <v>42506</v>
      </c>
      <c r="C456">
        <v>913</v>
      </c>
      <c r="D456">
        <v>2016</v>
      </c>
      <c r="E456">
        <v>25</v>
      </c>
      <c r="F456">
        <v>507</v>
      </c>
      <c r="G456">
        <v>2</v>
      </c>
      <c r="H456">
        <v>71</v>
      </c>
      <c r="I456">
        <v>3</v>
      </c>
      <c r="J456">
        <v>4656.45</v>
      </c>
      <c r="K456">
        <v>9046.7099999999991</v>
      </c>
      <c r="L456">
        <v>4656.3500000000004</v>
      </c>
      <c r="M456">
        <v>9047.2000000000007</v>
      </c>
      <c r="N456">
        <v>46.940832999999998</v>
      </c>
      <c r="O456">
        <v>-90.778499999999994</v>
      </c>
      <c r="P456">
        <v>46.939166999999998</v>
      </c>
      <c r="Q456">
        <v>-90.786666999999994</v>
      </c>
      <c r="R456">
        <v>249.6721489</v>
      </c>
      <c r="S456">
        <v>36.299999999999997</v>
      </c>
      <c r="T456">
        <v>35.4</v>
      </c>
      <c r="U456">
        <v>0.5</v>
      </c>
      <c r="V456">
        <v>2</v>
      </c>
      <c r="W456">
        <v>5.9</v>
      </c>
      <c r="X456">
        <v>6.0399500000000002</v>
      </c>
      <c r="Y456">
        <v>0.26185000000000003</v>
      </c>
      <c r="Z456">
        <v>81.613</v>
      </c>
      <c r="AA456">
        <v>10</v>
      </c>
      <c r="AB456">
        <v>0.42</v>
      </c>
      <c r="AC456">
        <v>217</v>
      </c>
      <c r="AD456">
        <v>401</v>
      </c>
    </row>
    <row r="457" spans="1:30" x14ac:dyDescent="0.55000000000000004">
      <c r="A457">
        <v>94470</v>
      </c>
      <c r="B457" s="19">
        <v>42506</v>
      </c>
      <c r="C457">
        <v>1039</v>
      </c>
      <c r="D457">
        <v>2016</v>
      </c>
      <c r="E457">
        <v>25</v>
      </c>
      <c r="F457">
        <v>508</v>
      </c>
      <c r="G457">
        <v>2</v>
      </c>
      <c r="H457">
        <v>75</v>
      </c>
      <c r="I457">
        <v>3</v>
      </c>
      <c r="J457">
        <v>4700.0200000000004</v>
      </c>
      <c r="K457">
        <v>9043.4699999999993</v>
      </c>
      <c r="L457">
        <v>4700.09</v>
      </c>
      <c r="M457">
        <v>9044</v>
      </c>
      <c r="N457">
        <v>47.000332999999998</v>
      </c>
      <c r="O457">
        <v>-90.724500000000006</v>
      </c>
      <c r="P457">
        <v>47.0015</v>
      </c>
      <c r="Q457">
        <v>-90.733333000000002</v>
      </c>
      <c r="R457">
        <v>246.12315290000001</v>
      </c>
      <c r="S457">
        <v>45.9</v>
      </c>
      <c r="T457">
        <v>41.2</v>
      </c>
      <c r="U457">
        <v>0.5</v>
      </c>
      <c r="V457">
        <v>2</v>
      </c>
      <c r="W457">
        <v>5.2</v>
      </c>
      <c r="X457">
        <v>5.6154000000000002</v>
      </c>
      <c r="Y457">
        <v>-2.2550000000000001E-2</v>
      </c>
      <c r="Z457">
        <v>21.548449999999999</v>
      </c>
      <c r="AA457">
        <v>10</v>
      </c>
      <c r="AB457">
        <v>0.42</v>
      </c>
      <c r="AC457">
        <v>217</v>
      </c>
      <c r="AD457">
        <v>65</v>
      </c>
    </row>
    <row r="458" spans="1:30" x14ac:dyDescent="0.55000000000000004">
      <c r="A458">
        <v>94471</v>
      </c>
      <c r="B458" s="19">
        <v>42506</v>
      </c>
      <c r="C458">
        <v>1039</v>
      </c>
      <c r="D458">
        <v>2016</v>
      </c>
      <c r="E458">
        <v>25</v>
      </c>
      <c r="F458">
        <v>509</v>
      </c>
      <c r="G458">
        <v>2</v>
      </c>
      <c r="H458">
        <v>75</v>
      </c>
      <c r="I458">
        <v>3</v>
      </c>
      <c r="J458">
        <v>4700.0200000000004</v>
      </c>
      <c r="K458">
        <v>9043.4699999999993</v>
      </c>
      <c r="L458">
        <v>4700.09</v>
      </c>
      <c r="M458">
        <v>9044</v>
      </c>
      <c r="N458">
        <v>47.000332999999998</v>
      </c>
      <c r="O458">
        <v>-90.724500000000006</v>
      </c>
      <c r="P458">
        <v>47.0015</v>
      </c>
      <c r="Q458">
        <v>-90.733333000000002</v>
      </c>
      <c r="R458">
        <v>246.12315290000001</v>
      </c>
      <c r="S458">
        <v>45.9</v>
      </c>
      <c r="T458">
        <v>41.2</v>
      </c>
      <c r="U458">
        <v>0.5</v>
      </c>
      <c r="V458">
        <v>2</v>
      </c>
      <c r="W458">
        <v>5.2</v>
      </c>
      <c r="X458">
        <v>5.6154000000000002</v>
      </c>
      <c r="Y458">
        <v>-2.2550000000000001E-2</v>
      </c>
      <c r="Z458">
        <v>21.548449999999999</v>
      </c>
      <c r="AA458">
        <v>10</v>
      </c>
      <c r="AB458">
        <v>0.42</v>
      </c>
      <c r="AC458">
        <v>217</v>
      </c>
      <c r="AD458">
        <v>75</v>
      </c>
    </row>
    <row r="459" spans="1:30" x14ac:dyDescent="0.55000000000000004">
      <c r="A459">
        <v>94472</v>
      </c>
      <c r="B459" s="19">
        <v>42506</v>
      </c>
      <c r="C459">
        <v>1237</v>
      </c>
      <c r="D459">
        <v>2016</v>
      </c>
      <c r="E459">
        <v>25</v>
      </c>
      <c r="F459">
        <v>510</v>
      </c>
      <c r="G459">
        <v>2</v>
      </c>
      <c r="H459">
        <v>86</v>
      </c>
      <c r="I459">
        <v>3</v>
      </c>
      <c r="J459">
        <v>4650.1000000000004</v>
      </c>
      <c r="K459">
        <v>9043.2000000000007</v>
      </c>
      <c r="L459">
        <v>4650.24</v>
      </c>
      <c r="M459">
        <v>9043.67</v>
      </c>
      <c r="N459">
        <v>46.835000000000001</v>
      </c>
      <c r="O459">
        <v>-90.72</v>
      </c>
      <c r="P459">
        <v>46.837333000000001</v>
      </c>
      <c r="Q459">
        <v>-90.727833000000004</v>
      </c>
      <c r="R459">
        <v>365.93498879999999</v>
      </c>
      <c r="S459">
        <v>54.9</v>
      </c>
      <c r="T459">
        <v>46.1</v>
      </c>
      <c r="U459">
        <v>0.5</v>
      </c>
      <c r="V459">
        <v>2</v>
      </c>
      <c r="W459">
        <v>6.9</v>
      </c>
      <c r="X459">
        <v>6.5263499999999999</v>
      </c>
      <c r="Y459">
        <v>-0.2205</v>
      </c>
      <c r="Z459">
        <v>70.138300000000001</v>
      </c>
      <c r="AA459">
        <v>10</v>
      </c>
      <c r="AB459">
        <v>0.42</v>
      </c>
      <c r="AC459">
        <v>109</v>
      </c>
      <c r="AD459">
        <v>77</v>
      </c>
    </row>
    <row r="460" spans="1:30" x14ac:dyDescent="0.55000000000000004">
      <c r="A460">
        <v>94473</v>
      </c>
      <c r="B460" s="19">
        <v>42506</v>
      </c>
      <c r="C460">
        <v>1237</v>
      </c>
      <c r="D460">
        <v>2016</v>
      </c>
      <c r="E460">
        <v>25</v>
      </c>
      <c r="F460">
        <v>511</v>
      </c>
      <c r="G460">
        <v>2</v>
      </c>
      <c r="H460">
        <v>86</v>
      </c>
      <c r="I460">
        <v>3</v>
      </c>
      <c r="J460">
        <v>4650.1000000000004</v>
      </c>
      <c r="K460">
        <v>9043.2000000000007</v>
      </c>
      <c r="L460">
        <v>4650.24</v>
      </c>
      <c r="M460">
        <v>9043.67</v>
      </c>
      <c r="N460">
        <v>46.835000000000001</v>
      </c>
      <c r="O460">
        <v>-90.72</v>
      </c>
      <c r="P460">
        <v>46.837333000000001</v>
      </c>
      <c r="Q460">
        <v>-90.727833000000004</v>
      </c>
      <c r="R460">
        <v>365.93498879999999</v>
      </c>
      <c r="S460">
        <v>54.9</v>
      </c>
      <c r="T460">
        <v>46.1</v>
      </c>
      <c r="U460">
        <v>0.5</v>
      </c>
      <c r="V460">
        <v>2</v>
      </c>
      <c r="W460">
        <v>6.9</v>
      </c>
      <c r="X460">
        <v>6.5263499999999999</v>
      </c>
      <c r="Y460">
        <v>-0.2205</v>
      </c>
      <c r="Z460">
        <v>70.138300000000001</v>
      </c>
      <c r="AA460">
        <v>10</v>
      </c>
      <c r="AB460">
        <v>0.42</v>
      </c>
      <c r="AC460">
        <v>217</v>
      </c>
      <c r="AD460">
        <v>56</v>
      </c>
    </row>
    <row r="461" spans="1:30" x14ac:dyDescent="0.55000000000000004">
      <c r="A461">
        <v>94474</v>
      </c>
      <c r="B461" s="19">
        <v>42507</v>
      </c>
      <c r="C461">
        <v>928</v>
      </c>
      <c r="D461">
        <v>2016</v>
      </c>
      <c r="E461">
        <v>25</v>
      </c>
      <c r="F461">
        <v>512</v>
      </c>
      <c r="G461">
        <v>2</v>
      </c>
      <c r="H461">
        <v>24</v>
      </c>
      <c r="I461">
        <v>3</v>
      </c>
      <c r="J461">
        <v>4650.62</v>
      </c>
      <c r="K461">
        <v>9027.89</v>
      </c>
      <c r="L461">
        <v>4650.93</v>
      </c>
      <c r="M461">
        <v>9028.17</v>
      </c>
      <c r="N461">
        <v>46.843667000000003</v>
      </c>
      <c r="O461">
        <v>-90.464832999999999</v>
      </c>
      <c r="P461">
        <v>46.848832999999999</v>
      </c>
      <c r="Q461">
        <v>-90.469499999999996</v>
      </c>
      <c r="R461">
        <v>2120.1913869999998</v>
      </c>
      <c r="S461">
        <v>63.7</v>
      </c>
      <c r="T461">
        <v>35.9</v>
      </c>
      <c r="U461">
        <v>0.5</v>
      </c>
      <c r="V461">
        <v>2</v>
      </c>
      <c r="W461">
        <v>4.5999999999999996</v>
      </c>
      <c r="X461">
        <v>5.3589500000000001</v>
      </c>
      <c r="Y461">
        <v>6.6400000000000001E-2</v>
      </c>
      <c r="Z461">
        <v>44.47495</v>
      </c>
      <c r="AA461">
        <v>10</v>
      </c>
      <c r="AB461">
        <v>0.42</v>
      </c>
      <c r="AC461">
        <v>109</v>
      </c>
      <c r="AD461">
        <v>16</v>
      </c>
    </row>
    <row r="462" spans="1:30" x14ac:dyDescent="0.55000000000000004">
      <c r="A462">
        <v>94475</v>
      </c>
      <c r="B462" s="19">
        <v>42507</v>
      </c>
      <c r="C462">
        <v>928</v>
      </c>
      <c r="D462">
        <v>2016</v>
      </c>
      <c r="E462">
        <v>25</v>
      </c>
      <c r="F462">
        <v>513</v>
      </c>
      <c r="G462">
        <v>2</v>
      </c>
      <c r="H462">
        <v>24</v>
      </c>
      <c r="I462">
        <v>3</v>
      </c>
      <c r="J462">
        <v>4650.62</v>
      </c>
      <c r="K462">
        <v>9027.89</v>
      </c>
      <c r="L462">
        <v>4650.93</v>
      </c>
      <c r="M462">
        <v>9028.17</v>
      </c>
      <c r="N462">
        <v>46.843667000000003</v>
      </c>
      <c r="O462">
        <v>-90.464832999999999</v>
      </c>
      <c r="P462">
        <v>46.848832999999999</v>
      </c>
      <c r="Q462">
        <v>-90.469499999999996</v>
      </c>
      <c r="R462">
        <v>2120.1913869999998</v>
      </c>
      <c r="S462">
        <v>63.7</v>
      </c>
      <c r="T462">
        <v>35.9</v>
      </c>
      <c r="U462">
        <v>0.5</v>
      </c>
      <c r="V462">
        <v>2</v>
      </c>
      <c r="W462">
        <v>4.5999999999999996</v>
      </c>
      <c r="X462">
        <v>5.3589500000000001</v>
      </c>
      <c r="Y462">
        <v>6.6400000000000001E-2</v>
      </c>
      <c r="Z462">
        <v>44.47495</v>
      </c>
      <c r="AA462">
        <v>10</v>
      </c>
      <c r="AB462">
        <v>0.42</v>
      </c>
      <c r="AC462">
        <v>217</v>
      </c>
      <c r="AD462">
        <v>19</v>
      </c>
    </row>
    <row r="463" spans="1:30" x14ac:dyDescent="0.55000000000000004">
      <c r="A463">
        <v>94476</v>
      </c>
      <c r="B463" s="19">
        <v>42507</v>
      </c>
      <c r="C463">
        <v>1125</v>
      </c>
      <c r="D463">
        <v>2016</v>
      </c>
      <c r="E463">
        <v>25</v>
      </c>
      <c r="F463">
        <v>514</v>
      </c>
      <c r="G463">
        <v>2</v>
      </c>
      <c r="H463">
        <v>2</v>
      </c>
      <c r="I463">
        <v>3</v>
      </c>
      <c r="J463">
        <v>4654.95</v>
      </c>
      <c r="K463">
        <v>9033.73</v>
      </c>
      <c r="L463">
        <v>4654.6000000000004</v>
      </c>
      <c r="M463">
        <v>9033.8700000000008</v>
      </c>
      <c r="N463">
        <v>46.915832999999999</v>
      </c>
      <c r="O463">
        <v>-90.562167000000002</v>
      </c>
      <c r="P463">
        <v>46.91</v>
      </c>
      <c r="Q463">
        <v>-90.564499999999995</v>
      </c>
      <c r="R463">
        <v>500.98315270000001</v>
      </c>
      <c r="S463">
        <v>26.5</v>
      </c>
      <c r="T463">
        <v>47</v>
      </c>
      <c r="U463">
        <v>0.5</v>
      </c>
      <c r="V463">
        <v>2</v>
      </c>
      <c r="W463">
        <v>5.4</v>
      </c>
      <c r="X463">
        <v>6.4692499999999997</v>
      </c>
      <c r="Y463">
        <v>4.5350000000000001E-2</v>
      </c>
      <c r="Z463">
        <v>45.435600000000001</v>
      </c>
      <c r="AA463">
        <v>10</v>
      </c>
      <c r="AB463">
        <v>0.42</v>
      </c>
      <c r="AC463">
        <v>217</v>
      </c>
      <c r="AD463">
        <v>231</v>
      </c>
    </row>
    <row r="464" spans="1:30" x14ac:dyDescent="0.55000000000000004">
      <c r="A464">
        <v>94477</v>
      </c>
      <c r="B464" s="19">
        <v>42507</v>
      </c>
      <c r="C464">
        <v>1125</v>
      </c>
      <c r="D464">
        <v>2016</v>
      </c>
      <c r="E464">
        <v>25</v>
      </c>
      <c r="F464">
        <v>515</v>
      </c>
      <c r="G464">
        <v>2</v>
      </c>
      <c r="H464">
        <v>2</v>
      </c>
      <c r="I464">
        <v>3</v>
      </c>
      <c r="J464">
        <v>4654.95</v>
      </c>
      <c r="K464">
        <v>9033.73</v>
      </c>
      <c r="L464">
        <v>4654.6000000000004</v>
      </c>
      <c r="M464">
        <v>9033.8700000000008</v>
      </c>
      <c r="N464">
        <v>46.915832999999999</v>
      </c>
      <c r="O464">
        <v>-90.562167000000002</v>
      </c>
      <c r="P464">
        <v>46.91</v>
      </c>
      <c r="Q464">
        <v>-90.564499999999995</v>
      </c>
      <c r="R464">
        <v>500.98315270000001</v>
      </c>
      <c r="S464">
        <v>26.5</v>
      </c>
      <c r="T464">
        <v>47</v>
      </c>
      <c r="U464">
        <v>0.5</v>
      </c>
      <c r="V464">
        <v>2</v>
      </c>
      <c r="W464">
        <v>5.4</v>
      </c>
      <c r="X464">
        <v>6.4692499999999997</v>
      </c>
      <c r="Y464">
        <v>4.5350000000000001E-2</v>
      </c>
      <c r="Z464">
        <v>45.435600000000001</v>
      </c>
      <c r="AA464">
        <v>10</v>
      </c>
      <c r="AB464">
        <v>0.42</v>
      </c>
      <c r="AC464">
        <v>217</v>
      </c>
      <c r="AD464">
        <v>197</v>
      </c>
    </row>
    <row r="465" spans="1:30" x14ac:dyDescent="0.55000000000000004">
      <c r="A465">
        <v>94478</v>
      </c>
      <c r="B465" s="19">
        <v>42507</v>
      </c>
      <c r="C465">
        <v>1300</v>
      </c>
      <c r="D465">
        <v>2016</v>
      </c>
      <c r="E465">
        <v>25</v>
      </c>
      <c r="F465">
        <v>516</v>
      </c>
      <c r="G465">
        <v>2</v>
      </c>
      <c r="H465">
        <v>87</v>
      </c>
      <c r="I465">
        <v>3</v>
      </c>
      <c r="J465">
        <v>4656.63</v>
      </c>
      <c r="K465">
        <v>9039.0499999999993</v>
      </c>
      <c r="L465">
        <v>4656.2700000000004</v>
      </c>
      <c r="M465">
        <v>9038.86</v>
      </c>
      <c r="N465">
        <v>46.943832999999998</v>
      </c>
      <c r="O465">
        <v>-90.650833000000006</v>
      </c>
      <c r="P465">
        <v>46.937832999999998</v>
      </c>
      <c r="Q465">
        <v>-90.647666999999998</v>
      </c>
      <c r="R465">
        <v>171.78592839999999</v>
      </c>
      <c r="S465">
        <v>60.7</v>
      </c>
      <c r="T465">
        <v>47</v>
      </c>
      <c r="U465">
        <v>0.5</v>
      </c>
      <c r="V465">
        <v>2</v>
      </c>
      <c r="W465">
        <v>7.3</v>
      </c>
      <c r="X465">
        <v>7.2880500000000001</v>
      </c>
      <c r="Y465">
        <v>7.7200000000000005E-2</v>
      </c>
      <c r="Z465">
        <v>81.057749999999999</v>
      </c>
      <c r="AA465">
        <v>10</v>
      </c>
      <c r="AB465">
        <v>0.43</v>
      </c>
      <c r="AC465">
        <v>109</v>
      </c>
      <c r="AD465">
        <v>65</v>
      </c>
    </row>
    <row r="466" spans="1:30" x14ac:dyDescent="0.55000000000000004">
      <c r="A466">
        <v>94479</v>
      </c>
      <c r="B466" s="19">
        <v>42507</v>
      </c>
      <c r="C466">
        <v>1300</v>
      </c>
      <c r="D466">
        <v>2016</v>
      </c>
      <c r="E466">
        <v>25</v>
      </c>
      <c r="F466">
        <v>517</v>
      </c>
      <c r="G466">
        <v>2</v>
      </c>
      <c r="H466">
        <v>87</v>
      </c>
      <c r="I466">
        <v>3</v>
      </c>
      <c r="J466">
        <v>4656.63</v>
      </c>
      <c r="K466">
        <v>9039.0499999999993</v>
      </c>
      <c r="L466">
        <v>4656.2700000000004</v>
      </c>
      <c r="M466">
        <v>9038.86</v>
      </c>
      <c r="N466">
        <v>46.943832999999998</v>
      </c>
      <c r="O466">
        <v>-90.650833000000006</v>
      </c>
      <c r="P466">
        <v>46.937832999999998</v>
      </c>
      <c r="Q466">
        <v>-90.647666999999998</v>
      </c>
      <c r="R466">
        <v>171.78592839999999</v>
      </c>
      <c r="S466">
        <v>60.7</v>
      </c>
      <c r="T466">
        <v>47</v>
      </c>
      <c r="U466">
        <v>0.5</v>
      </c>
      <c r="V466">
        <v>2</v>
      </c>
      <c r="W466">
        <v>7.3</v>
      </c>
      <c r="X466">
        <v>7.2880500000000001</v>
      </c>
      <c r="Y466">
        <v>7.7200000000000005E-2</v>
      </c>
      <c r="Z466">
        <v>81.057749999999999</v>
      </c>
      <c r="AA466">
        <v>10</v>
      </c>
      <c r="AB466">
        <v>0.43</v>
      </c>
      <c r="AC466">
        <v>217</v>
      </c>
      <c r="AD466">
        <v>40</v>
      </c>
    </row>
    <row r="467" spans="1:30" x14ac:dyDescent="0.55000000000000004">
      <c r="A467">
        <v>94480</v>
      </c>
      <c r="B467" s="19">
        <v>42508</v>
      </c>
      <c r="C467">
        <v>942</v>
      </c>
      <c r="D467">
        <v>2016</v>
      </c>
      <c r="E467">
        <v>25</v>
      </c>
      <c r="F467">
        <v>518</v>
      </c>
      <c r="G467">
        <v>2</v>
      </c>
      <c r="H467">
        <v>45</v>
      </c>
      <c r="I467">
        <v>3</v>
      </c>
      <c r="J467">
        <v>4658.75</v>
      </c>
      <c r="K467">
        <v>9033.07</v>
      </c>
      <c r="L467">
        <v>4659.0600000000004</v>
      </c>
      <c r="M467">
        <v>9033.36</v>
      </c>
      <c r="N467">
        <v>46.979166999999997</v>
      </c>
      <c r="O467">
        <v>-90.551167000000007</v>
      </c>
      <c r="P467">
        <v>46.984332999999999</v>
      </c>
      <c r="Q467">
        <v>-90.555999999999997</v>
      </c>
      <c r="R467">
        <v>979.68868829999997</v>
      </c>
      <c r="S467">
        <v>67</v>
      </c>
      <c r="T467">
        <v>46.8</v>
      </c>
      <c r="U467">
        <v>0.5</v>
      </c>
      <c r="V467">
        <v>2</v>
      </c>
      <c r="W467">
        <v>5.0999999999999996</v>
      </c>
      <c r="X467">
        <v>6.4671500000000002</v>
      </c>
      <c r="Y467">
        <v>5.6550000000000003E-2</v>
      </c>
      <c r="Z467">
        <v>47.456600000000002</v>
      </c>
      <c r="AA467">
        <v>10</v>
      </c>
      <c r="AB467">
        <v>0.42</v>
      </c>
      <c r="AC467">
        <v>217</v>
      </c>
      <c r="AD467">
        <v>3</v>
      </c>
    </row>
    <row r="468" spans="1:30" x14ac:dyDescent="0.55000000000000004">
      <c r="A468">
        <v>94481</v>
      </c>
      <c r="B468" s="19">
        <v>42508</v>
      </c>
      <c r="C468">
        <v>942</v>
      </c>
      <c r="D468">
        <v>2016</v>
      </c>
      <c r="E468">
        <v>25</v>
      </c>
      <c r="F468">
        <v>519</v>
      </c>
      <c r="G468">
        <v>2</v>
      </c>
      <c r="H468">
        <v>45</v>
      </c>
      <c r="I468">
        <v>3</v>
      </c>
      <c r="J468">
        <v>4658.75</v>
      </c>
      <c r="K468">
        <v>9033.07</v>
      </c>
      <c r="L468">
        <v>4659.0600000000004</v>
      </c>
      <c r="M468">
        <v>9033.36</v>
      </c>
      <c r="N468">
        <v>46.979166999999997</v>
      </c>
      <c r="O468">
        <v>-90.551167000000007</v>
      </c>
      <c r="P468">
        <v>46.984332999999999</v>
      </c>
      <c r="Q468">
        <v>-90.555999999999997</v>
      </c>
      <c r="R468">
        <v>979.68868829999997</v>
      </c>
      <c r="S468">
        <v>67</v>
      </c>
      <c r="T468">
        <v>46.8</v>
      </c>
      <c r="U468">
        <v>0.5</v>
      </c>
      <c r="V468">
        <v>2</v>
      </c>
      <c r="W468">
        <v>5.0999999999999996</v>
      </c>
      <c r="X468">
        <v>6.4671500000000002</v>
      </c>
      <c r="Y468">
        <v>5.6550000000000003E-2</v>
      </c>
      <c r="Z468">
        <v>47.456600000000002</v>
      </c>
      <c r="AA468">
        <v>10</v>
      </c>
      <c r="AB468">
        <v>0.42</v>
      </c>
      <c r="AC468">
        <v>217</v>
      </c>
      <c r="AD468">
        <v>2</v>
      </c>
    </row>
    <row r="469" spans="1:30" x14ac:dyDescent="0.55000000000000004">
      <c r="A469">
        <v>94483</v>
      </c>
      <c r="B469" s="19">
        <v>42508</v>
      </c>
      <c r="C469">
        <v>1104</v>
      </c>
      <c r="D469">
        <v>2016</v>
      </c>
      <c r="E469">
        <v>25</v>
      </c>
      <c r="F469">
        <v>521</v>
      </c>
      <c r="G469">
        <v>2</v>
      </c>
      <c r="H469">
        <v>44</v>
      </c>
      <c r="I469">
        <v>3</v>
      </c>
      <c r="J469">
        <v>4702</v>
      </c>
      <c r="K469">
        <v>9029.93</v>
      </c>
      <c r="L469">
        <v>4702.08</v>
      </c>
      <c r="M469">
        <v>9029.4</v>
      </c>
      <c r="N469">
        <v>47.033332999999999</v>
      </c>
      <c r="O469">
        <v>-90.498833000000005</v>
      </c>
      <c r="P469">
        <v>47.034666999999999</v>
      </c>
      <c r="Q469">
        <v>-90.49</v>
      </c>
      <c r="R469">
        <v>1990.952313</v>
      </c>
      <c r="S469">
        <v>56.3</v>
      </c>
      <c r="T469">
        <v>48.3</v>
      </c>
      <c r="U469">
        <v>0.5</v>
      </c>
      <c r="V469">
        <v>2</v>
      </c>
      <c r="W469">
        <v>7.3</v>
      </c>
      <c r="X469">
        <v>5.8321500000000004</v>
      </c>
      <c r="Y469">
        <v>9.0749999999999997E-2</v>
      </c>
      <c r="Z469">
        <v>72.570549999999997</v>
      </c>
      <c r="AA469">
        <v>10</v>
      </c>
      <c r="AB469">
        <v>0.42</v>
      </c>
      <c r="AC469">
        <v>0</v>
      </c>
      <c r="AD469">
        <v>0</v>
      </c>
    </row>
    <row r="470" spans="1:30" x14ac:dyDescent="0.55000000000000004">
      <c r="A470">
        <v>94484</v>
      </c>
      <c r="B470" s="19">
        <v>42508</v>
      </c>
      <c r="C470">
        <v>1236</v>
      </c>
      <c r="D470">
        <v>2016</v>
      </c>
      <c r="E470">
        <v>25</v>
      </c>
      <c r="F470">
        <v>522</v>
      </c>
      <c r="G470">
        <v>2</v>
      </c>
      <c r="H470">
        <v>52</v>
      </c>
      <c r="I470">
        <v>3</v>
      </c>
      <c r="J470">
        <v>4658.24</v>
      </c>
      <c r="K470">
        <v>9027.15</v>
      </c>
      <c r="L470">
        <v>4658.5600000000004</v>
      </c>
      <c r="M470">
        <v>9027.17</v>
      </c>
      <c r="N470">
        <v>46.970666999999999</v>
      </c>
      <c r="O470">
        <v>-90.452500000000001</v>
      </c>
      <c r="P470">
        <v>46.975999999999999</v>
      </c>
      <c r="Q470">
        <v>-90.452832999999998</v>
      </c>
      <c r="R470">
        <v>1238.123083</v>
      </c>
      <c r="S470">
        <v>82.5</v>
      </c>
      <c r="T470">
        <v>38.9</v>
      </c>
      <c r="U470">
        <v>0.5</v>
      </c>
      <c r="V470">
        <v>2</v>
      </c>
      <c r="W470">
        <v>7.4</v>
      </c>
      <c r="X470">
        <v>7.9316500000000003</v>
      </c>
      <c r="Y470">
        <v>3.6749999999999998E-2</v>
      </c>
      <c r="Z470">
        <v>61.257449999999999</v>
      </c>
      <c r="AA470">
        <v>10</v>
      </c>
      <c r="AB470">
        <v>0.42</v>
      </c>
      <c r="AC470">
        <v>109</v>
      </c>
      <c r="AD470">
        <v>64</v>
      </c>
    </row>
    <row r="471" spans="1:30" x14ac:dyDescent="0.55000000000000004">
      <c r="A471">
        <v>94485</v>
      </c>
      <c r="B471" s="19">
        <v>42508</v>
      </c>
      <c r="C471">
        <v>1236</v>
      </c>
      <c r="D471">
        <v>2016</v>
      </c>
      <c r="E471">
        <v>25</v>
      </c>
      <c r="F471">
        <v>523</v>
      </c>
      <c r="G471">
        <v>2</v>
      </c>
      <c r="H471">
        <v>52</v>
      </c>
      <c r="I471">
        <v>3</v>
      </c>
      <c r="J471">
        <v>4658.24</v>
      </c>
      <c r="K471">
        <v>9027.15</v>
      </c>
      <c r="L471">
        <v>4658.5600000000004</v>
      </c>
      <c r="M471">
        <v>9027.17</v>
      </c>
      <c r="N471">
        <v>46.970666999999999</v>
      </c>
      <c r="O471">
        <v>-90.452500000000001</v>
      </c>
      <c r="P471">
        <v>46.975999999999999</v>
      </c>
      <c r="Q471">
        <v>-90.452832999999998</v>
      </c>
      <c r="R471">
        <v>1238.123083</v>
      </c>
      <c r="S471">
        <v>82.5</v>
      </c>
      <c r="T471">
        <v>38.9</v>
      </c>
      <c r="U471">
        <v>0.5</v>
      </c>
      <c r="V471">
        <v>2</v>
      </c>
      <c r="W471">
        <v>7.4</v>
      </c>
      <c r="X471">
        <v>7.9316500000000003</v>
      </c>
      <c r="Y471">
        <v>3.6749999999999998E-2</v>
      </c>
      <c r="Z471">
        <v>61.257449999999999</v>
      </c>
      <c r="AA471">
        <v>10</v>
      </c>
      <c r="AB471">
        <v>0.42</v>
      </c>
      <c r="AC471">
        <v>217</v>
      </c>
      <c r="AD471">
        <v>40</v>
      </c>
    </row>
    <row r="472" spans="1:30" x14ac:dyDescent="0.55000000000000004">
      <c r="A472">
        <v>94486</v>
      </c>
      <c r="B472" s="19">
        <v>42509</v>
      </c>
      <c r="C472">
        <v>1015</v>
      </c>
      <c r="D472">
        <v>2016</v>
      </c>
      <c r="E472">
        <v>25</v>
      </c>
      <c r="F472">
        <v>524</v>
      </c>
      <c r="G472">
        <v>1</v>
      </c>
      <c r="H472">
        <v>2</v>
      </c>
      <c r="I472">
        <v>3</v>
      </c>
      <c r="J472">
        <v>4653.3999999999996</v>
      </c>
      <c r="K472">
        <v>9034.52</v>
      </c>
      <c r="L472">
        <v>4653.74</v>
      </c>
      <c r="M472">
        <v>9034.39</v>
      </c>
      <c r="N472">
        <v>46.89</v>
      </c>
      <c r="O472">
        <v>-90.575333000000001</v>
      </c>
      <c r="P472">
        <v>46.895667000000003</v>
      </c>
      <c r="Q472">
        <v>-90.573166999999998</v>
      </c>
      <c r="R472">
        <v>500.98315270000001</v>
      </c>
      <c r="S472">
        <v>94</v>
      </c>
      <c r="T472">
        <v>98.3</v>
      </c>
      <c r="U472">
        <v>0.5</v>
      </c>
      <c r="V472">
        <v>2</v>
      </c>
      <c r="W472">
        <v>7.7</v>
      </c>
      <c r="X472">
        <v>7.8268000000000004</v>
      </c>
      <c r="Y472">
        <v>0.1143</v>
      </c>
      <c r="Z472">
        <v>89.386899999999997</v>
      </c>
      <c r="AA472">
        <v>10</v>
      </c>
      <c r="AB472">
        <v>0.42</v>
      </c>
      <c r="AC472">
        <v>217</v>
      </c>
      <c r="AD472">
        <v>605</v>
      </c>
    </row>
    <row r="473" spans="1:30" x14ac:dyDescent="0.55000000000000004">
      <c r="A473">
        <v>94487</v>
      </c>
      <c r="B473" s="19">
        <v>42509</v>
      </c>
      <c r="C473">
        <v>1015</v>
      </c>
      <c r="D473">
        <v>2016</v>
      </c>
      <c r="E473">
        <v>25</v>
      </c>
      <c r="F473">
        <v>525</v>
      </c>
      <c r="G473">
        <v>1</v>
      </c>
      <c r="H473">
        <v>2</v>
      </c>
      <c r="I473">
        <v>3</v>
      </c>
      <c r="J473">
        <v>4653.3999999999996</v>
      </c>
      <c r="K473">
        <v>9034.52</v>
      </c>
      <c r="L473">
        <v>4653.74</v>
      </c>
      <c r="M473">
        <v>9034.39</v>
      </c>
      <c r="N473">
        <v>46.89</v>
      </c>
      <c r="O473">
        <v>-90.575333000000001</v>
      </c>
      <c r="P473">
        <v>46.895667000000003</v>
      </c>
      <c r="Q473">
        <v>-90.573166999999998</v>
      </c>
      <c r="R473">
        <v>500.98315270000001</v>
      </c>
      <c r="S473">
        <v>94</v>
      </c>
      <c r="T473">
        <v>98.3</v>
      </c>
      <c r="U473">
        <v>0.5</v>
      </c>
      <c r="V473">
        <v>2</v>
      </c>
      <c r="W473">
        <v>7.7</v>
      </c>
      <c r="X473">
        <v>7.8268000000000004</v>
      </c>
      <c r="Y473">
        <v>0.1143</v>
      </c>
      <c r="Z473">
        <v>89.386899999999997</v>
      </c>
      <c r="AA473">
        <v>10</v>
      </c>
      <c r="AB473">
        <v>0.42</v>
      </c>
      <c r="AC473">
        <v>217</v>
      </c>
      <c r="AD473">
        <v>341</v>
      </c>
    </row>
    <row r="474" spans="1:30" x14ac:dyDescent="0.55000000000000004">
      <c r="A474">
        <v>94488</v>
      </c>
      <c r="B474" s="19">
        <v>42513</v>
      </c>
      <c r="C474">
        <v>1256</v>
      </c>
      <c r="D474">
        <v>2016</v>
      </c>
      <c r="E474">
        <v>25</v>
      </c>
      <c r="F474">
        <v>526</v>
      </c>
      <c r="G474">
        <v>2</v>
      </c>
      <c r="H474">
        <v>190</v>
      </c>
      <c r="I474">
        <v>3</v>
      </c>
      <c r="J474">
        <v>4737.1499999999996</v>
      </c>
      <c r="K474">
        <v>9043.11</v>
      </c>
      <c r="L474">
        <v>4737.4399999999996</v>
      </c>
      <c r="M474">
        <v>9042.81</v>
      </c>
      <c r="N474">
        <v>47.619166999999997</v>
      </c>
      <c r="O474">
        <v>-90.718500000000006</v>
      </c>
      <c r="P474">
        <v>47.624000000000002</v>
      </c>
      <c r="Q474">
        <v>-90.713499999999996</v>
      </c>
      <c r="R474">
        <v>603.31760629999997</v>
      </c>
      <c r="S474">
        <v>68.900000000000006</v>
      </c>
      <c r="T474">
        <v>47.9</v>
      </c>
      <c r="U474">
        <v>0.5</v>
      </c>
      <c r="V474">
        <v>2</v>
      </c>
      <c r="W474">
        <v>3.3</v>
      </c>
      <c r="X474">
        <v>3.5815999999999999</v>
      </c>
      <c r="Y474">
        <v>0.15905</v>
      </c>
      <c r="Z474">
        <v>88.911199999999994</v>
      </c>
      <c r="AA474">
        <v>10</v>
      </c>
      <c r="AB474">
        <v>0.42</v>
      </c>
      <c r="AC474">
        <v>217</v>
      </c>
      <c r="AD474">
        <v>37</v>
      </c>
    </row>
    <row r="475" spans="1:30" x14ac:dyDescent="0.55000000000000004">
      <c r="A475">
        <v>94489</v>
      </c>
      <c r="B475" s="19">
        <v>42513</v>
      </c>
      <c r="C475">
        <v>1256</v>
      </c>
      <c r="D475">
        <v>2016</v>
      </c>
      <c r="E475">
        <v>25</v>
      </c>
      <c r="F475">
        <v>527</v>
      </c>
      <c r="G475">
        <v>2</v>
      </c>
      <c r="H475">
        <v>190</v>
      </c>
      <c r="I475">
        <v>3</v>
      </c>
      <c r="J475">
        <v>4737.1499999999996</v>
      </c>
      <c r="K475">
        <v>9043.11</v>
      </c>
      <c r="L475">
        <v>4737.4399999999996</v>
      </c>
      <c r="M475">
        <v>9042.81</v>
      </c>
      <c r="N475">
        <v>47.619166999999997</v>
      </c>
      <c r="O475">
        <v>-90.718500000000006</v>
      </c>
      <c r="P475">
        <v>47.624000000000002</v>
      </c>
      <c r="Q475">
        <v>-90.713499999999996</v>
      </c>
      <c r="R475">
        <v>603.31760629999997</v>
      </c>
      <c r="S475">
        <v>68.900000000000006</v>
      </c>
      <c r="T475">
        <v>47.9</v>
      </c>
      <c r="U475">
        <v>0.5</v>
      </c>
      <c r="V475">
        <v>2</v>
      </c>
      <c r="W475">
        <v>3.3</v>
      </c>
      <c r="X475">
        <v>3.5815999999999999</v>
      </c>
      <c r="Y475">
        <v>0.15905</v>
      </c>
      <c r="Z475">
        <v>88.911199999999994</v>
      </c>
      <c r="AA475">
        <v>10</v>
      </c>
      <c r="AB475">
        <v>0.42</v>
      </c>
      <c r="AC475">
        <v>217</v>
      </c>
      <c r="AD475">
        <v>38</v>
      </c>
    </row>
    <row r="476" spans="1:30" x14ac:dyDescent="0.55000000000000004">
      <c r="A476">
        <v>94490</v>
      </c>
      <c r="B476" s="19">
        <v>42513</v>
      </c>
      <c r="C476">
        <v>1458</v>
      </c>
      <c r="D476">
        <v>2016</v>
      </c>
      <c r="E476">
        <v>25</v>
      </c>
      <c r="F476">
        <v>528</v>
      </c>
      <c r="G476">
        <v>2</v>
      </c>
      <c r="H476">
        <v>208</v>
      </c>
      <c r="I476">
        <v>3</v>
      </c>
      <c r="J476">
        <v>4741.41</v>
      </c>
      <c r="K476">
        <v>9031.4699999999993</v>
      </c>
      <c r="L476">
        <v>4741.6400000000003</v>
      </c>
      <c r="M476">
        <v>9031.89</v>
      </c>
      <c r="N476">
        <v>47.690167000000002</v>
      </c>
      <c r="O476">
        <v>-90.524500000000003</v>
      </c>
      <c r="P476">
        <v>47.694000000000003</v>
      </c>
      <c r="Q476">
        <v>-90.531499999999994</v>
      </c>
      <c r="R476">
        <v>707.46760229999995</v>
      </c>
      <c r="S476">
        <v>100</v>
      </c>
      <c r="T476">
        <v>44.9</v>
      </c>
      <c r="U476">
        <v>0.5</v>
      </c>
      <c r="V476">
        <v>2</v>
      </c>
      <c r="W476">
        <v>5.2</v>
      </c>
      <c r="X476">
        <v>3.9698500000000001</v>
      </c>
      <c r="Y476">
        <v>0.18515000000000001</v>
      </c>
      <c r="Z476">
        <v>90.424149999999997</v>
      </c>
      <c r="AA476">
        <v>10</v>
      </c>
      <c r="AB476">
        <v>0.42</v>
      </c>
      <c r="AC476">
        <v>217</v>
      </c>
      <c r="AD476">
        <v>9</v>
      </c>
    </row>
    <row r="477" spans="1:30" x14ac:dyDescent="0.55000000000000004">
      <c r="A477">
        <v>94491</v>
      </c>
      <c r="B477" s="19">
        <v>42513</v>
      </c>
      <c r="C477">
        <v>1458</v>
      </c>
      <c r="D477">
        <v>2016</v>
      </c>
      <c r="E477">
        <v>25</v>
      </c>
      <c r="F477">
        <v>529</v>
      </c>
      <c r="G477">
        <v>2</v>
      </c>
      <c r="H477">
        <v>208</v>
      </c>
      <c r="I477">
        <v>3</v>
      </c>
      <c r="J477">
        <v>4741.41</v>
      </c>
      <c r="K477">
        <v>9031.4699999999993</v>
      </c>
      <c r="L477">
        <v>4741.6400000000003</v>
      </c>
      <c r="M477">
        <v>9031.89</v>
      </c>
      <c r="N477">
        <v>47.690167000000002</v>
      </c>
      <c r="O477">
        <v>-90.524500000000003</v>
      </c>
      <c r="P477">
        <v>47.694000000000003</v>
      </c>
      <c r="Q477">
        <v>-90.531499999999994</v>
      </c>
      <c r="R477">
        <v>707.46760229999995</v>
      </c>
      <c r="S477">
        <v>100</v>
      </c>
      <c r="T477">
        <v>44.9</v>
      </c>
      <c r="U477">
        <v>0.5</v>
      </c>
      <c r="V477">
        <v>2</v>
      </c>
      <c r="W477">
        <v>5.2</v>
      </c>
      <c r="X477">
        <v>3.9698500000000001</v>
      </c>
      <c r="Y477">
        <v>0.18515000000000001</v>
      </c>
      <c r="Z477">
        <v>90.424149999999997</v>
      </c>
      <c r="AA477">
        <v>10</v>
      </c>
      <c r="AB477">
        <v>0.42</v>
      </c>
      <c r="AC477">
        <v>217</v>
      </c>
      <c r="AD477">
        <v>3</v>
      </c>
    </row>
    <row r="478" spans="1:30" x14ac:dyDescent="0.55000000000000004">
      <c r="A478">
        <v>94492</v>
      </c>
      <c r="B478" s="19">
        <v>42513</v>
      </c>
      <c r="C478">
        <v>1653</v>
      </c>
      <c r="D478">
        <v>2016</v>
      </c>
      <c r="E478">
        <v>25</v>
      </c>
      <c r="F478">
        <v>530</v>
      </c>
      <c r="G478">
        <v>2</v>
      </c>
      <c r="H478">
        <v>65</v>
      </c>
      <c r="I478">
        <v>3</v>
      </c>
      <c r="J478">
        <v>4744.68</v>
      </c>
      <c r="K478">
        <v>9018.56</v>
      </c>
      <c r="L478">
        <v>4744.76</v>
      </c>
      <c r="M478">
        <v>9019.11</v>
      </c>
      <c r="N478">
        <v>47.744667</v>
      </c>
      <c r="O478">
        <v>-90.309332999999995</v>
      </c>
      <c r="P478">
        <v>47.746000000000002</v>
      </c>
      <c r="Q478">
        <v>-90.3185</v>
      </c>
      <c r="R478">
        <v>688.20263509999995</v>
      </c>
      <c r="S478">
        <v>89.3</v>
      </c>
      <c r="T478">
        <v>55</v>
      </c>
      <c r="U478">
        <v>0.5</v>
      </c>
      <c r="V478">
        <v>2</v>
      </c>
      <c r="W478">
        <v>3.1</v>
      </c>
      <c r="X478">
        <v>3.5127000000000002</v>
      </c>
      <c r="Y478">
        <v>0.41880000000000001</v>
      </c>
      <c r="Z478">
        <v>86.395750000000007</v>
      </c>
      <c r="AA478">
        <v>10</v>
      </c>
      <c r="AB478">
        <v>0.42</v>
      </c>
      <c r="AC478">
        <v>217</v>
      </c>
      <c r="AD478">
        <v>97</v>
      </c>
    </row>
    <row r="479" spans="1:30" x14ac:dyDescent="0.55000000000000004">
      <c r="A479">
        <v>94493</v>
      </c>
      <c r="B479" s="19">
        <v>42513</v>
      </c>
      <c r="C479">
        <v>1653</v>
      </c>
      <c r="D479">
        <v>2016</v>
      </c>
      <c r="E479">
        <v>25</v>
      </c>
      <c r="F479">
        <v>531</v>
      </c>
      <c r="G479">
        <v>2</v>
      </c>
      <c r="H479">
        <v>65</v>
      </c>
      <c r="I479">
        <v>3</v>
      </c>
      <c r="J479">
        <v>4744.68</v>
      </c>
      <c r="K479">
        <v>9018.56</v>
      </c>
      <c r="L479">
        <v>4744.76</v>
      </c>
      <c r="M479">
        <v>9019.11</v>
      </c>
      <c r="N479">
        <v>47.744667</v>
      </c>
      <c r="O479">
        <v>-90.309332999999995</v>
      </c>
      <c r="P479">
        <v>47.746000000000002</v>
      </c>
      <c r="Q479">
        <v>-90.3185</v>
      </c>
      <c r="R479">
        <v>688.20263509999995</v>
      </c>
      <c r="S479">
        <v>89.3</v>
      </c>
      <c r="T479">
        <v>55</v>
      </c>
      <c r="U479">
        <v>0.5</v>
      </c>
      <c r="V479">
        <v>2</v>
      </c>
      <c r="W479">
        <v>3.1</v>
      </c>
      <c r="X479">
        <v>3.5127000000000002</v>
      </c>
      <c r="Y479">
        <v>0.41880000000000001</v>
      </c>
      <c r="Z479">
        <v>86.395750000000007</v>
      </c>
      <c r="AA479">
        <v>10</v>
      </c>
      <c r="AB479">
        <v>0.42</v>
      </c>
      <c r="AC479">
        <v>217</v>
      </c>
      <c r="AD479">
        <v>89</v>
      </c>
    </row>
    <row r="480" spans="1:30" x14ac:dyDescent="0.55000000000000004">
      <c r="A480">
        <v>94494</v>
      </c>
      <c r="B480" s="19">
        <v>42514</v>
      </c>
      <c r="C480">
        <v>1105</v>
      </c>
      <c r="D480">
        <v>2016</v>
      </c>
      <c r="E480">
        <v>25</v>
      </c>
      <c r="F480">
        <v>532</v>
      </c>
      <c r="G480">
        <v>2</v>
      </c>
      <c r="H480">
        <v>172</v>
      </c>
      <c r="I480">
        <v>3</v>
      </c>
      <c r="J480">
        <v>4719.6099999999997</v>
      </c>
      <c r="K480">
        <v>9111.7099999999991</v>
      </c>
      <c r="L480">
        <v>4719.9799999999996</v>
      </c>
      <c r="M480">
        <v>9111.66</v>
      </c>
      <c r="N480">
        <v>47.326833000000001</v>
      </c>
      <c r="O480">
        <v>-91.195166999999998</v>
      </c>
      <c r="P480">
        <v>47.332999999999998</v>
      </c>
      <c r="Q480">
        <v>-91.194333</v>
      </c>
      <c r="R480">
        <v>370.65774320000003</v>
      </c>
      <c r="S480">
        <v>112</v>
      </c>
      <c r="T480">
        <v>24</v>
      </c>
      <c r="U480">
        <v>0.5</v>
      </c>
      <c r="V480">
        <v>2</v>
      </c>
      <c r="W480">
        <v>3</v>
      </c>
      <c r="X480">
        <v>3.6090499999999999</v>
      </c>
      <c r="Y480">
        <v>0.1159</v>
      </c>
      <c r="Z480">
        <v>76.699650000000005</v>
      </c>
      <c r="AA480">
        <v>10</v>
      </c>
      <c r="AB480">
        <v>0.42</v>
      </c>
      <c r="AC480">
        <v>217</v>
      </c>
      <c r="AD480">
        <v>107</v>
      </c>
    </row>
    <row r="481" spans="1:30" x14ac:dyDescent="0.55000000000000004">
      <c r="A481">
        <v>94495</v>
      </c>
      <c r="B481" s="19">
        <v>42514</v>
      </c>
      <c r="C481">
        <v>1105</v>
      </c>
      <c r="D481">
        <v>2016</v>
      </c>
      <c r="E481">
        <v>25</v>
      </c>
      <c r="F481">
        <v>533</v>
      </c>
      <c r="G481">
        <v>2</v>
      </c>
      <c r="H481">
        <v>172</v>
      </c>
      <c r="I481">
        <v>3</v>
      </c>
      <c r="J481">
        <v>4719.6099999999997</v>
      </c>
      <c r="K481">
        <v>9111.7099999999991</v>
      </c>
      <c r="L481">
        <v>4719.9799999999996</v>
      </c>
      <c r="M481">
        <v>9111.66</v>
      </c>
      <c r="N481">
        <v>47.326833000000001</v>
      </c>
      <c r="O481">
        <v>-91.195166999999998</v>
      </c>
      <c r="P481">
        <v>47.332999999999998</v>
      </c>
      <c r="Q481">
        <v>-91.194333</v>
      </c>
      <c r="R481">
        <v>370.65774320000003</v>
      </c>
      <c r="S481">
        <v>112</v>
      </c>
      <c r="T481">
        <v>24</v>
      </c>
      <c r="U481">
        <v>0.5</v>
      </c>
      <c r="V481">
        <v>2</v>
      </c>
      <c r="W481">
        <v>3</v>
      </c>
      <c r="X481">
        <v>3.6090499999999999</v>
      </c>
      <c r="Y481">
        <v>0.1159</v>
      </c>
      <c r="Z481">
        <v>76.699650000000005</v>
      </c>
      <c r="AA481">
        <v>10</v>
      </c>
      <c r="AB481">
        <v>0.42</v>
      </c>
      <c r="AC481">
        <v>217</v>
      </c>
      <c r="AD481">
        <v>94</v>
      </c>
    </row>
    <row r="482" spans="1:30" x14ac:dyDescent="0.55000000000000004">
      <c r="A482">
        <v>94496</v>
      </c>
      <c r="B482" s="19">
        <v>42514</v>
      </c>
      <c r="C482">
        <v>1406</v>
      </c>
      <c r="D482">
        <v>2016</v>
      </c>
      <c r="E482">
        <v>25</v>
      </c>
      <c r="F482">
        <v>534</v>
      </c>
      <c r="G482">
        <v>2</v>
      </c>
      <c r="H482">
        <v>188</v>
      </c>
      <c r="I482">
        <v>3</v>
      </c>
      <c r="J482">
        <v>4704.6400000000003</v>
      </c>
      <c r="K482">
        <v>9134.2999999999993</v>
      </c>
      <c r="L482">
        <v>4705</v>
      </c>
      <c r="M482">
        <v>9134.19</v>
      </c>
      <c r="N482">
        <v>47.077333000000003</v>
      </c>
      <c r="O482">
        <v>-91.571667000000005</v>
      </c>
      <c r="P482">
        <v>47.083333000000003</v>
      </c>
      <c r="Q482">
        <v>-91.569833000000003</v>
      </c>
      <c r="R482">
        <v>1203.670781</v>
      </c>
      <c r="S482">
        <v>90.4</v>
      </c>
      <c r="T482">
        <v>24.5</v>
      </c>
      <c r="U482">
        <v>0.5</v>
      </c>
      <c r="V482">
        <v>2</v>
      </c>
      <c r="W482">
        <v>5.9</v>
      </c>
      <c r="X482">
        <v>5.0385999999999997</v>
      </c>
      <c r="Y482">
        <v>0.12275</v>
      </c>
      <c r="Z482">
        <v>77.71875</v>
      </c>
      <c r="AA482">
        <v>10</v>
      </c>
      <c r="AB482">
        <v>0.42</v>
      </c>
      <c r="AC482">
        <v>217</v>
      </c>
      <c r="AD482">
        <v>598</v>
      </c>
    </row>
    <row r="483" spans="1:30" x14ac:dyDescent="0.55000000000000004">
      <c r="A483">
        <v>94497</v>
      </c>
      <c r="B483" s="19">
        <v>42514</v>
      </c>
      <c r="C483">
        <v>1406</v>
      </c>
      <c r="D483">
        <v>2016</v>
      </c>
      <c r="E483">
        <v>25</v>
      </c>
      <c r="F483">
        <v>535</v>
      </c>
      <c r="G483">
        <v>2</v>
      </c>
      <c r="H483">
        <v>188</v>
      </c>
      <c r="I483">
        <v>3</v>
      </c>
      <c r="J483">
        <v>4704.6400000000003</v>
      </c>
      <c r="K483">
        <v>9134.2999999999993</v>
      </c>
      <c r="L483">
        <v>4705</v>
      </c>
      <c r="M483">
        <v>9134.19</v>
      </c>
      <c r="N483">
        <v>47.077333000000003</v>
      </c>
      <c r="O483">
        <v>-91.571667000000005</v>
      </c>
      <c r="P483">
        <v>47.083333000000003</v>
      </c>
      <c r="Q483">
        <v>-91.569833000000003</v>
      </c>
      <c r="R483">
        <v>1203.670781</v>
      </c>
      <c r="S483">
        <v>90.4</v>
      </c>
      <c r="T483">
        <v>24.5</v>
      </c>
      <c r="U483">
        <v>0.5</v>
      </c>
      <c r="V483">
        <v>2</v>
      </c>
      <c r="W483">
        <v>5.9</v>
      </c>
      <c r="X483">
        <v>5.0385999999999997</v>
      </c>
      <c r="Y483">
        <v>0.12275</v>
      </c>
      <c r="Z483">
        <v>77.71875</v>
      </c>
      <c r="AA483">
        <v>10</v>
      </c>
      <c r="AB483">
        <v>0.42</v>
      </c>
      <c r="AC483">
        <v>217</v>
      </c>
      <c r="AD483">
        <v>444</v>
      </c>
    </row>
    <row r="484" spans="1:30" x14ac:dyDescent="0.55000000000000004">
      <c r="A484">
        <v>94498</v>
      </c>
      <c r="B484" s="19">
        <v>42514</v>
      </c>
      <c r="C484">
        <v>1539</v>
      </c>
      <c r="D484">
        <v>2016</v>
      </c>
      <c r="E484">
        <v>25</v>
      </c>
      <c r="F484">
        <v>536</v>
      </c>
      <c r="G484">
        <v>2</v>
      </c>
      <c r="H484">
        <v>36</v>
      </c>
      <c r="I484">
        <v>3</v>
      </c>
      <c r="J484">
        <v>4659.8900000000003</v>
      </c>
      <c r="K484">
        <v>9141.2800000000007</v>
      </c>
      <c r="L484">
        <v>4659.97</v>
      </c>
      <c r="M484">
        <v>9141.7999999999993</v>
      </c>
      <c r="N484">
        <v>46.998167000000002</v>
      </c>
      <c r="O484">
        <v>-91.688000000000002</v>
      </c>
      <c r="P484">
        <v>46.999499999999998</v>
      </c>
      <c r="Q484">
        <v>-91.696667000000005</v>
      </c>
      <c r="R484">
        <v>629.54925539999999</v>
      </c>
      <c r="S484">
        <v>41.2</v>
      </c>
      <c r="T484">
        <v>30.7</v>
      </c>
      <c r="U484">
        <v>0.5</v>
      </c>
      <c r="V484">
        <v>2</v>
      </c>
      <c r="W484">
        <v>3.8</v>
      </c>
      <c r="X484">
        <v>3.8908</v>
      </c>
      <c r="Y484">
        <v>0.17435</v>
      </c>
      <c r="Z484">
        <v>91.0398</v>
      </c>
      <c r="AA484">
        <v>10</v>
      </c>
      <c r="AB484">
        <v>0.42</v>
      </c>
      <c r="AC484">
        <v>217</v>
      </c>
      <c r="AD484">
        <v>233</v>
      </c>
    </row>
    <row r="485" spans="1:30" x14ac:dyDescent="0.55000000000000004">
      <c r="A485">
        <v>94499</v>
      </c>
      <c r="B485" s="19">
        <v>42514</v>
      </c>
      <c r="C485">
        <v>1539</v>
      </c>
      <c r="D485">
        <v>2016</v>
      </c>
      <c r="E485">
        <v>25</v>
      </c>
      <c r="F485">
        <v>537</v>
      </c>
      <c r="G485">
        <v>2</v>
      </c>
      <c r="H485">
        <v>36</v>
      </c>
      <c r="I485">
        <v>3</v>
      </c>
      <c r="J485">
        <v>4659.8900000000003</v>
      </c>
      <c r="K485">
        <v>9141.2800000000007</v>
      </c>
      <c r="L485">
        <v>4659.97</v>
      </c>
      <c r="M485">
        <v>9141.7999999999993</v>
      </c>
      <c r="N485">
        <v>46.998167000000002</v>
      </c>
      <c r="O485">
        <v>-91.688000000000002</v>
      </c>
      <c r="P485">
        <v>46.999499999999998</v>
      </c>
      <c r="Q485">
        <v>-91.696667000000005</v>
      </c>
      <c r="R485">
        <v>629.54925539999999</v>
      </c>
      <c r="S485">
        <v>41.2</v>
      </c>
      <c r="T485">
        <v>30.7</v>
      </c>
      <c r="U485">
        <v>0.5</v>
      </c>
      <c r="V485">
        <v>2</v>
      </c>
      <c r="W485">
        <v>3.8</v>
      </c>
      <c r="X485">
        <v>3.8908</v>
      </c>
      <c r="Y485">
        <v>0.17435</v>
      </c>
      <c r="Z485">
        <v>91.0398</v>
      </c>
      <c r="AA485">
        <v>10</v>
      </c>
      <c r="AB485">
        <v>0.42</v>
      </c>
      <c r="AC485">
        <v>217</v>
      </c>
      <c r="AD485">
        <v>181</v>
      </c>
    </row>
    <row r="486" spans="1:30" x14ac:dyDescent="0.55000000000000004">
      <c r="A486">
        <v>94518</v>
      </c>
      <c r="B486" s="19">
        <v>42515</v>
      </c>
      <c r="C486">
        <v>750</v>
      </c>
      <c r="D486">
        <v>2016</v>
      </c>
      <c r="E486">
        <v>25</v>
      </c>
      <c r="F486">
        <v>539</v>
      </c>
      <c r="G486">
        <v>2</v>
      </c>
      <c r="H486">
        <v>210</v>
      </c>
      <c r="I486">
        <v>3</v>
      </c>
      <c r="J486">
        <v>4643.53</v>
      </c>
      <c r="K486">
        <v>9201.49</v>
      </c>
      <c r="L486">
        <v>4643.7700000000004</v>
      </c>
      <c r="M486">
        <v>9201.07</v>
      </c>
      <c r="N486">
        <v>46.725499999999997</v>
      </c>
      <c r="O486">
        <v>-92.024833000000001</v>
      </c>
      <c r="P486">
        <v>46.729500000000002</v>
      </c>
      <c r="Q486">
        <v>-92.017832999999996</v>
      </c>
      <c r="R486">
        <v>1160.9052320000001</v>
      </c>
      <c r="S486">
        <v>15</v>
      </c>
      <c r="T486">
        <v>18.600000000000001</v>
      </c>
      <c r="U486">
        <v>0.5</v>
      </c>
      <c r="V486">
        <v>2</v>
      </c>
      <c r="W486">
        <v>11.2</v>
      </c>
      <c r="X486">
        <v>10.696149999999999</v>
      </c>
      <c r="Y486">
        <v>1.36575</v>
      </c>
      <c r="Z486">
        <v>67.709100000000007</v>
      </c>
      <c r="AA486">
        <v>10</v>
      </c>
      <c r="AB486">
        <v>0.43</v>
      </c>
      <c r="AC486">
        <v>217</v>
      </c>
      <c r="AD486">
        <v>316</v>
      </c>
    </row>
    <row r="487" spans="1:30" x14ac:dyDescent="0.55000000000000004">
      <c r="A487">
        <v>94519</v>
      </c>
      <c r="B487" s="19">
        <v>42515</v>
      </c>
      <c r="C487">
        <v>1028</v>
      </c>
      <c r="D487">
        <v>2016</v>
      </c>
      <c r="E487">
        <v>25</v>
      </c>
      <c r="F487">
        <v>540</v>
      </c>
      <c r="G487">
        <v>2</v>
      </c>
      <c r="H487">
        <v>206</v>
      </c>
      <c r="I487">
        <v>3</v>
      </c>
      <c r="J487">
        <v>4646.28</v>
      </c>
      <c r="K487">
        <v>9137.59</v>
      </c>
      <c r="L487">
        <v>4646.66</v>
      </c>
      <c r="M487">
        <v>9137.7999999999993</v>
      </c>
      <c r="N487">
        <v>46.771332999999998</v>
      </c>
      <c r="O487">
        <v>-91.626499999999993</v>
      </c>
      <c r="P487">
        <v>46.777667000000001</v>
      </c>
      <c r="Q487">
        <v>-91.63</v>
      </c>
      <c r="R487">
        <v>2834.1058560000001</v>
      </c>
      <c r="S487">
        <v>27</v>
      </c>
      <c r="T487">
        <v>37</v>
      </c>
      <c r="U487">
        <v>0.5</v>
      </c>
      <c r="V487">
        <v>2</v>
      </c>
      <c r="W487">
        <v>5.4</v>
      </c>
      <c r="X487">
        <v>5.3167499999999999</v>
      </c>
      <c r="Y487">
        <v>0.33205000000000001</v>
      </c>
      <c r="Z487">
        <v>67.270499999999998</v>
      </c>
      <c r="AA487">
        <v>10</v>
      </c>
      <c r="AB487">
        <v>0.45</v>
      </c>
      <c r="AC487">
        <v>217</v>
      </c>
      <c r="AD487">
        <v>63</v>
      </c>
    </row>
    <row r="488" spans="1:30" x14ac:dyDescent="0.55000000000000004">
      <c r="A488">
        <v>94520</v>
      </c>
      <c r="B488" s="19">
        <v>42515</v>
      </c>
      <c r="C488">
        <v>1028</v>
      </c>
      <c r="D488">
        <v>2016</v>
      </c>
      <c r="E488">
        <v>25</v>
      </c>
      <c r="F488">
        <v>541</v>
      </c>
      <c r="G488">
        <v>2</v>
      </c>
      <c r="H488">
        <v>206</v>
      </c>
      <c r="I488">
        <v>3</v>
      </c>
      <c r="J488">
        <v>4646.28</v>
      </c>
      <c r="K488">
        <v>9137.59</v>
      </c>
      <c r="L488">
        <v>4646.66</v>
      </c>
      <c r="M488">
        <v>9137.7999999999993</v>
      </c>
      <c r="N488">
        <v>46.771332999999998</v>
      </c>
      <c r="O488">
        <v>-91.626499999999993</v>
      </c>
      <c r="P488">
        <v>46.777667000000001</v>
      </c>
      <c r="Q488">
        <v>-91.63</v>
      </c>
      <c r="R488">
        <v>2834.1058560000001</v>
      </c>
      <c r="S488">
        <v>27</v>
      </c>
      <c r="T488">
        <v>37</v>
      </c>
      <c r="U488">
        <v>0.5</v>
      </c>
      <c r="V488">
        <v>2</v>
      </c>
      <c r="W488">
        <v>5.4</v>
      </c>
      <c r="X488">
        <v>5.3167499999999999</v>
      </c>
      <c r="Y488">
        <v>0.33205000000000001</v>
      </c>
      <c r="Z488">
        <v>67.270499999999998</v>
      </c>
      <c r="AA488">
        <v>10</v>
      </c>
      <c r="AB488">
        <v>0.45</v>
      </c>
      <c r="AC488">
        <v>217</v>
      </c>
      <c r="AD488">
        <v>85</v>
      </c>
    </row>
    <row r="489" spans="1:30" x14ac:dyDescent="0.55000000000000004">
      <c r="A489">
        <v>94521</v>
      </c>
      <c r="B489" s="19">
        <v>42515</v>
      </c>
      <c r="C489">
        <v>1236</v>
      </c>
      <c r="D489">
        <v>2016</v>
      </c>
      <c r="E489">
        <v>25</v>
      </c>
      <c r="F489">
        <v>542</v>
      </c>
      <c r="G489">
        <v>2</v>
      </c>
      <c r="H489">
        <v>205</v>
      </c>
      <c r="I489">
        <v>3</v>
      </c>
      <c r="J489">
        <v>4648.51</v>
      </c>
      <c r="K489">
        <v>9124.75</v>
      </c>
      <c r="L489">
        <v>4648.8999999999996</v>
      </c>
      <c r="M489">
        <v>9124.9699999999993</v>
      </c>
      <c r="N489">
        <v>46.808500000000002</v>
      </c>
      <c r="O489">
        <v>-91.412499999999994</v>
      </c>
      <c r="P489">
        <v>46.814999999999998</v>
      </c>
      <c r="Q489">
        <v>-91.416167000000002</v>
      </c>
      <c r="R489">
        <v>1605.8109830000001</v>
      </c>
      <c r="S489">
        <v>23.4</v>
      </c>
      <c r="T489">
        <v>30.3</v>
      </c>
      <c r="U489">
        <v>0.5</v>
      </c>
      <c r="V489">
        <v>2</v>
      </c>
      <c r="W489">
        <v>4.2</v>
      </c>
      <c r="X489">
        <v>5.0327000000000002</v>
      </c>
      <c r="Y489">
        <v>0.20810000000000001</v>
      </c>
      <c r="Z489">
        <v>61.950650000000003</v>
      </c>
      <c r="AA489">
        <v>10</v>
      </c>
      <c r="AB489">
        <v>0.48</v>
      </c>
      <c r="AC489">
        <v>217</v>
      </c>
      <c r="AD489">
        <v>23</v>
      </c>
    </row>
    <row r="490" spans="1:30" x14ac:dyDescent="0.55000000000000004">
      <c r="A490">
        <v>94522</v>
      </c>
      <c r="B490" s="19">
        <v>42515</v>
      </c>
      <c r="C490">
        <v>1236</v>
      </c>
      <c r="D490">
        <v>2016</v>
      </c>
      <c r="E490">
        <v>25</v>
      </c>
      <c r="F490">
        <v>543</v>
      </c>
      <c r="G490">
        <v>2</v>
      </c>
      <c r="H490">
        <v>205</v>
      </c>
      <c r="I490">
        <v>3</v>
      </c>
      <c r="J490">
        <v>4648.51</v>
      </c>
      <c r="K490">
        <v>9124.75</v>
      </c>
      <c r="L490">
        <v>4648.8999999999996</v>
      </c>
      <c r="M490">
        <v>9124.9699999999993</v>
      </c>
      <c r="N490">
        <v>46.808500000000002</v>
      </c>
      <c r="O490">
        <v>-91.412499999999994</v>
      </c>
      <c r="P490">
        <v>46.814999999999998</v>
      </c>
      <c r="Q490">
        <v>-91.416167000000002</v>
      </c>
      <c r="R490">
        <v>1605.8109830000001</v>
      </c>
      <c r="S490">
        <v>23.4</v>
      </c>
      <c r="T490">
        <v>30.3</v>
      </c>
      <c r="U490">
        <v>0.5</v>
      </c>
      <c r="V490">
        <v>2</v>
      </c>
      <c r="W490">
        <v>4.2</v>
      </c>
      <c r="X490">
        <v>5.0327000000000002</v>
      </c>
      <c r="Y490">
        <v>0.20810000000000001</v>
      </c>
      <c r="Z490">
        <v>61.950650000000003</v>
      </c>
      <c r="AA490">
        <v>10</v>
      </c>
      <c r="AB490">
        <v>0.48</v>
      </c>
      <c r="AC490">
        <v>217</v>
      </c>
      <c r="AD490">
        <v>7</v>
      </c>
    </row>
    <row r="491" spans="1:30" x14ac:dyDescent="0.55000000000000004">
      <c r="A491">
        <v>94523</v>
      </c>
      <c r="B491" s="19">
        <v>42515</v>
      </c>
      <c r="C491">
        <v>1509</v>
      </c>
      <c r="D491">
        <v>2016</v>
      </c>
      <c r="E491">
        <v>25</v>
      </c>
      <c r="F491">
        <v>544</v>
      </c>
      <c r="G491">
        <v>2</v>
      </c>
      <c r="H491">
        <v>187</v>
      </c>
      <c r="I491">
        <v>3</v>
      </c>
      <c r="J491">
        <v>4654.58</v>
      </c>
      <c r="K491">
        <v>9149.9</v>
      </c>
      <c r="L491">
        <v>4654.7700000000004</v>
      </c>
      <c r="M491">
        <v>9150.4599999999991</v>
      </c>
      <c r="N491">
        <v>46.909666999999999</v>
      </c>
      <c r="O491">
        <v>-91.831666999999996</v>
      </c>
      <c r="P491">
        <v>46.912832999999999</v>
      </c>
      <c r="Q491">
        <v>-91.840999999999994</v>
      </c>
      <c r="R491">
        <v>651.91209979999996</v>
      </c>
      <c r="S491">
        <v>62.9</v>
      </c>
      <c r="T491">
        <v>35.200000000000003</v>
      </c>
      <c r="U491">
        <v>0.5</v>
      </c>
      <c r="V491">
        <v>2</v>
      </c>
      <c r="W491">
        <v>6.4</v>
      </c>
      <c r="X491">
        <v>3.8744499999999999</v>
      </c>
      <c r="Y491">
        <v>0.31164999999999998</v>
      </c>
      <c r="Z491">
        <v>67.863699999999994</v>
      </c>
      <c r="AA491">
        <v>10</v>
      </c>
      <c r="AB491">
        <v>0.42</v>
      </c>
      <c r="AC491">
        <v>109</v>
      </c>
      <c r="AD491">
        <v>101</v>
      </c>
    </row>
    <row r="492" spans="1:30" x14ac:dyDescent="0.55000000000000004">
      <c r="A492">
        <v>94524</v>
      </c>
      <c r="B492" s="19">
        <v>42515</v>
      </c>
      <c r="C492">
        <v>1509</v>
      </c>
      <c r="D492">
        <v>2016</v>
      </c>
      <c r="E492">
        <v>25</v>
      </c>
      <c r="F492">
        <v>545</v>
      </c>
      <c r="G492">
        <v>2</v>
      </c>
      <c r="H492">
        <v>187</v>
      </c>
      <c r="I492">
        <v>3</v>
      </c>
      <c r="J492">
        <v>4654.58</v>
      </c>
      <c r="K492">
        <v>9149.9</v>
      </c>
      <c r="L492">
        <v>4654.7700000000004</v>
      </c>
      <c r="M492">
        <v>9150.4599999999991</v>
      </c>
      <c r="N492">
        <v>46.909666999999999</v>
      </c>
      <c r="O492">
        <v>-91.831666999999996</v>
      </c>
      <c r="P492">
        <v>46.912832999999999</v>
      </c>
      <c r="Q492">
        <v>-91.840999999999994</v>
      </c>
      <c r="R492">
        <v>651.91209979999996</v>
      </c>
      <c r="S492">
        <v>62.9</v>
      </c>
      <c r="T492">
        <v>35.200000000000003</v>
      </c>
      <c r="U492">
        <v>0.5</v>
      </c>
      <c r="V492">
        <v>2</v>
      </c>
      <c r="W492">
        <v>6.4</v>
      </c>
      <c r="X492">
        <v>3.8744499999999999</v>
      </c>
      <c r="Y492">
        <v>0.31164999999999998</v>
      </c>
      <c r="Z492">
        <v>67.863699999999994</v>
      </c>
      <c r="AA492">
        <v>10</v>
      </c>
      <c r="AB492">
        <v>0.42</v>
      </c>
      <c r="AC492">
        <v>217</v>
      </c>
      <c r="AD492">
        <v>113</v>
      </c>
    </row>
    <row r="493" spans="1:30" x14ac:dyDescent="0.55000000000000004">
      <c r="A493">
        <v>94525</v>
      </c>
      <c r="B493" s="19">
        <v>42515</v>
      </c>
      <c r="C493">
        <v>1641</v>
      </c>
      <c r="D493">
        <v>2016</v>
      </c>
      <c r="E493">
        <v>25</v>
      </c>
      <c r="F493">
        <v>546</v>
      </c>
      <c r="G493">
        <v>2</v>
      </c>
      <c r="H493">
        <v>186</v>
      </c>
      <c r="I493">
        <v>3</v>
      </c>
      <c r="J493">
        <v>4650.29</v>
      </c>
      <c r="K493">
        <v>9158.83</v>
      </c>
      <c r="L493">
        <v>4650.1099999999997</v>
      </c>
      <c r="M493">
        <v>9159.33</v>
      </c>
      <c r="N493">
        <v>46.838166999999999</v>
      </c>
      <c r="O493">
        <v>-91.980500000000006</v>
      </c>
      <c r="P493">
        <v>46.835166999999998</v>
      </c>
      <c r="Q493">
        <v>-91.988833</v>
      </c>
      <c r="R493">
        <v>494.95535469999999</v>
      </c>
      <c r="S493">
        <v>40.299999999999997</v>
      </c>
      <c r="T493">
        <v>38</v>
      </c>
      <c r="U493">
        <v>0.5</v>
      </c>
      <c r="V493">
        <v>2</v>
      </c>
      <c r="W493">
        <v>7</v>
      </c>
      <c r="X493">
        <v>7.0946999999999996</v>
      </c>
      <c r="Y493">
        <v>0.64470000000000005</v>
      </c>
      <c r="Z493">
        <v>76.947500000000005</v>
      </c>
      <c r="AA493">
        <v>10</v>
      </c>
      <c r="AB493">
        <v>0.42</v>
      </c>
      <c r="AC493">
        <v>217</v>
      </c>
      <c r="AD493">
        <v>842</v>
      </c>
    </row>
    <row r="494" spans="1:30" x14ac:dyDescent="0.55000000000000004">
      <c r="A494">
        <v>94526</v>
      </c>
      <c r="B494" s="19">
        <v>42515</v>
      </c>
      <c r="C494">
        <v>1641</v>
      </c>
      <c r="D494">
        <v>2016</v>
      </c>
      <c r="E494">
        <v>25</v>
      </c>
      <c r="F494">
        <v>547</v>
      </c>
      <c r="G494">
        <v>2</v>
      </c>
      <c r="H494">
        <v>186</v>
      </c>
      <c r="I494">
        <v>3</v>
      </c>
      <c r="J494">
        <v>4650.29</v>
      </c>
      <c r="K494">
        <v>9158.83</v>
      </c>
      <c r="L494">
        <v>4650.1099999999997</v>
      </c>
      <c r="M494">
        <v>9159.33</v>
      </c>
      <c r="N494">
        <v>46.838166999999999</v>
      </c>
      <c r="O494">
        <v>-91.980500000000006</v>
      </c>
      <c r="P494">
        <v>46.835166999999998</v>
      </c>
      <c r="Q494">
        <v>-91.988833</v>
      </c>
      <c r="R494">
        <v>494.95535469999999</v>
      </c>
      <c r="S494">
        <v>40.299999999999997</v>
      </c>
      <c r="T494">
        <v>38</v>
      </c>
      <c r="U494">
        <v>0.5</v>
      </c>
      <c r="V494">
        <v>2</v>
      </c>
      <c r="W494">
        <v>7</v>
      </c>
      <c r="X494">
        <v>7.0946999999999996</v>
      </c>
      <c r="Y494">
        <v>0.64470000000000005</v>
      </c>
      <c r="Z494">
        <v>76.947500000000005</v>
      </c>
      <c r="AA494">
        <v>10</v>
      </c>
      <c r="AB494">
        <v>0.42</v>
      </c>
      <c r="AC494">
        <v>217</v>
      </c>
      <c r="AD494">
        <v>1236</v>
      </c>
    </row>
    <row r="495" spans="1:30" x14ac:dyDescent="0.55000000000000004">
      <c r="A495">
        <v>94527</v>
      </c>
      <c r="B495" s="19">
        <v>42516</v>
      </c>
      <c r="C495">
        <v>1053</v>
      </c>
      <c r="D495">
        <v>2016</v>
      </c>
      <c r="E495">
        <v>25</v>
      </c>
      <c r="F495">
        <v>548</v>
      </c>
      <c r="G495">
        <v>2</v>
      </c>
      <c r="H495">
        <v>151</v>
      </c>
      <c r="I495">
        <v>3</v>
      </c>
      <c r="J495">
        <v>4652.79</v>
      </c>
      <c r="K495">
        <v>9112.57</v>
      </c>
      <c r="L495">
        <v>4653.1099999999997</v>
      </c>
      <c r="M495">
        <v>9112.92</v>
      </c>
      <c r="N495">
        <v>46.879832999999998</v>
      </c>
      <c r="O495">
        <v>-91.209500000000006</v>
      </c>
      <c r="P495">
        <v>46.885167000000003</v>
      </c>
      <c r="Q495">
        <v>-91.215333000000001</v>
      </c>
      <c r="R495">
        <v>852.98955160000003</v>
      </c>
      <c r="S495">
        <v>19.3</v>
      </c>
      <c r="T495">
        <v>52.7</v>
      </c>
      <c r="U495">
        <v>0.5</v>
      </c>
      <c r="V495">
        <v>2</v>
      </c>
      <c r="W495">
        <v>4.8</v>
      </c>
      <c r="X495">
        <v>4.4837499999999997</v>
      </c>
      <c r="Y495">
        <v>0.38679999999999998</v>
      </c>
      <c r="Z495">
        <v>85.409949999999995</v>
      </c>
      <c r="AA495">
        <v>10</v>
      </c>
      <c r="AB495">
        <v>0.42</v>
      </c>
      <c r="AC495">
        <v>217</v>
      </c>
      <c r="AD495">
        <v>121</v>
      </c>
    </row>
    <row r="496" spans="1:30" x14ac:dyDescent="0.55000000000000004">
      <c r="A496">
        <v>94528</v>
      </c>
      <c r="B496" s="19">
        <v>42516</v>
      </c>
      <c r="C496">
        <v>1053</v>
      </c>
      <c r="D496">
        <v>2016</v>
      </c>
      <c r="E496">
        <v>25</v>
      </c>
      <c r="F496">
        <v>549</v>
      </c>
      <c r="G496">
        <v>2</v>
      </c>
      <c r="H496">
        <v>151</v>
      </c>
      <c r="I496">
        <v>3</v>
      </c>
      <c r="J496">
        <v>4652.79</v>
      </c>
      <c r="K496">
        <v>9112.57</v>
      </c>
      <c r="L496">
        <v>4653.1099999999997</v>
      </c>
      <c r="M496">
        <v>9112.92</v>
      </c>
      <c r="N496">
        <v>46.879832999999998</v>
      </c>
      <c r="O496">
        <v>-91.209500000000006</v>
      </c>
      <c r="P496">
        <v>46.885167000000003</v>
      </c>
      <c r="Q496">
        <v>-91.215333000000001</v>
      </c>
      <c r="R496">
        <v>852.98955160000003</v>
      </c>
      <c r="S496">
        <v>19.3</v>
      </c>
      <c r="T496">
        <v>52.7</v>
      </c>
      <c r="U496">
        <v>0.5</v>
      </c>
      <c r="V496">
        <v>2</v>
      </c>
      <c r="W496">
        <v>4.8</v>
      </c>
      <c r="X496">
        <v>4.4837499999999997</v>
      </c>
      <c r="Y496">
        <v>0.38679999999999998</v>
      </c>
      <c r="Z496">
        <v>85.409949999999995</v>
      </c>
      <c r="AA496">
        <v>10</v>
      </c>
      <c r="AB496">
        <v>0.42</v>
      </c>
      <c r="AC496">
        <v>217</v>
      </c>
      <c r="AD496">
        <v>91</v>
      </c>
    </row>
    <row r="497" spans="1:30" x14ac:dyDescent="0.55000000000000004">
      <c r="A497">
        <v>94529</v>
      </c>
      <c r="B497" s="19">
        <v>42516</v>
      </c>
      <c r="C497">
        <v>1226</v>
      </c>
      <c r="D497">
        <v>2016</v>
      </c>
      <c r="E497">
        <v>25</v>
      </c>
      <c r="F497">
        <v>550</v>
      </c>
      <c r="G497">
        <v>2</v>
      </c>
      <c r="H497">
        <v>76</v>
      </c>
      <c r="I497">
        <v>3</v>
      </c>
      <c r="J497">
        <v>4653.12</v>
      </c>
      <c r="K497">
        <v>9105.75</v>
      </c>
      <c r="L497">
        <v>4653.43</v>
      </c>
      <c r="M497">
        <v>9106.1</v>
      </c>
      <c r="N497">
        <v>46.885333000000003</v>
      </c>
      <c r="O497">
        <v>-91.095832999999999</v>
      </c>
      <c r="P497">
        <v>46.890500000000003</v>
      </c>
      <c r="Q497">
        <v>-91.101667000000006</v>
      </c>
      <c r="R497">
        <v>465.72166900000002</v>
      </c>
      <c r="S497">
        <v>19.899999999999999</v>
      </c>
      <c r="T497">
        <v>34.200000000000003</v>
      </c>
      <c r="U497">
        <v>0.5</v>
      </c>
      <c r="V497">
        <v>2</v>
      </c>
      <c r="W497">
        <v>8.5</v>
      </c>
      <c r="X497">
        <v>6.8097500000000002</v>
      </c>
      <c r="Y497">
        <v>0.27215</v>
      </c>
      <c r="Z497">
        <v>78.365250000000003</v>
      </c>
      <c r="AA497">
        <v>10</v>
      </c>
      <c r="AB497">
        <v>0.42</v>
      </c>
      <c r="AC497">
        <v>217</v>
      </c>
      <c r="AD497">
        <v>4</v>
      </c>
    </row>
    <row r="498" spans="1:30" x14ac:dyDescent="0.55000000000000004">
      <c r="A498">
        <v>94530</v>
      </c>
      <c r="B498" s="19">
        <v>42516</v>
      </c>
      <c r="C498">
        <v>1226</v>
      </c>
      <c r="D498">
        <v>2016</v>
      </c>
      <c r="E498">
        <v>25</v>
      </c>
      <c r="F498">
        <v>551</v>
      </c>
      <c r="G498">
        <v>2</v>
      </c>
      <c r="H498">
        <v>76</v>
      </c>
      <c r="I498">
        <v>3</v>
      </c>
      <c r="J498">
        <v>4653.12</v>
      </c>
      <c r="K498">
        <v>9105.75</v>
      </c>
      <c r="L498">
        <v>4653.43</v>
      </c>
      <c r="M498">
        <v>9106.1</v>
      </c>
      <c r="N498">
        <v>46.885333000000003</v>
      </c>
      <c r="O498">
        <v>-91.095832999999999</v>
      </c>
      <c r="P498">
        <v>46.890500000000003</v>
      </c>
      <c r="Q498">
        <v>-91.101667000000006</v>
      </c>
      <c r="R498">
        <v>465.72166900000002</v>
      </c>
      <c r="S498">
        <v>19.899999999999999</v>
      </c>
      <c r="T498">
        <v>34.200000000000003</v>
      </c>
      <c r="U498">
        <v>0.5</v>
      </c>
      <c r="V498">
        <v>2</v>
      </c>
      <c r="W498">
        <v>8.5</v>
      </c>
      <c r="X498">
        <v>6.8097500000000002</v>
      </c>
      <c r="Y498">
        <v>0.27215</v>
      </c>
      <c r="Z498">
        <v>78.365250000000003</v>
      </c>
      <c r="AA498">
        <v>10</v>
      </c>
      <c r="AB498">
        <v>0.42</v>
      </c>
      <c r="AC498">
        <v>217</v>
      </c>
      <c r="AD498">
        <v>5</v>
      </c>
    </row>
    <row r="499" spans="1:30" x14ac:dyDescent="0.55000000000000004">
      <c r="A499">
        <v>94531</v>
      </c>
      <c r="B499" s="19">
        <v>42516</v>
      </c>
      <c r="C499">
        <v>1355</v>
      </c>
      <c r="D499">
        <v>2016</v>
      </c>
      <c r="E499">
        <v>25</v>
      </c>
      <c r="F499">
        <v>552</v>
      </c>
      <c r="G499">
        <v>2</v>
      </c>
      <c r="H499">
        <v>139</v>
      </c>
      <c r="I499">
        <v>3</v>
      </c>
      <c r="J499">
        <v>4658.26</v>
      </c>
      <c r="K499">
        <v>9059.6200000000008</v>
      </c>
      <c r="L499">
        <v>4658.32</v>
      </c>
      <c r="M499">
        <v>9100.15</v>
      </c>
      <c r="N499">
        <v>46.970999999999997</v>
      </c>
      <c r="O499">
        <v>-90.993667000000002</v>
      </c>
      <c r="P499">
        <v>46.972000000000001</v>
      </c>
      <c r="Q499">
        <v>-91.002499999999998</v>
      </c>
      <c r="R499">
        <v>1020.4776900000001</v>
      </c>
      <c r="S499">
        <v>18.8</v>
      </c>
      <c r="T499">
        <v>27</v>
      </c>
      <c r="U499">
        <v>0.5</v>
      </c>
      <c r="V499">
        <v>2</v>
      </c>
      <c r="W499">
        <v>9.3000000000000007</v>
      </c>
      <c r="X499">
        <v>6.8853499999999999</v>
      </c>
      <c r="Y499">
        <v>0.49364999999999998</v>
      </c>
      <c r="Z499">
        <v>83.949950000000001</v>
      </c>
      <c r="AA499">
        <v>10</v>
      </c>
      <c r="AB499">
        <v>0.42</v>
      </c>
      <c r="AC499">
        <v>217</v>
      </c>
      <c r="AD499">
        <v>63</v>
      </c>
    </row>
    <row r="500" spans="1:30" x14ac:dyDescent="0.55000000000000004">
      <c r="A500">
        <v>94532</v>
      </c>
      <c r="B500" s="19">
        <v>42516</v>
      </c>
      <c r="C500">
        <v>1355</v>
      </c>
      <c r="D500">
        <v>2016</v>
      </c>
      <c r="E500">
        <v>25</v>
      </c>
      <c r="F500">
        <v>553</v>
      </c>
      <c r="G500">
        <v>2</v>
      </c>
      <c r="H500">
        <v>139</v>
      </c>
      <c r="I500">
        <v>3</v>
      </c>
      <c r="J500">
        <v>4658.26</v>
      </c>
      <c r="K500">
        <v>9059.6200000000008</v>
      </c>
      <c r="L500">
        <v>4658.32</v>
      </c>
      <c r="M500">
        <v>9100.15</v>
      </c>
      <c r="N500">
        <v>46.970999999999997</v>
      </c>
      <c r="O500">
        <v>-90.993667000000002</v>
      </c>
      <c r="P500">
        <v>46.972000000000001</v>
      </c>
      <c r="Q500">
        <v>-91.002499999999998</v>
      </c>
      <c r="R500">
        <v>1020.4776900000001</v>
      </c>
      <c r="S500">
        <v>18.8</v>
      </c>
      <c r="T500">
        <v>27</v>
      </c>
      <c r="U500">
        <v>0.5</v>
      </c>
      <c r="V500">
        <v>2</v>
      </c>
      <c r="W500">
        <v>9.3000000000000007</v>
      </c>
      <c r="X500">
        <v>6.8853499999999999</v>
      </c>
      <c r="Y500">
        <v>0.49364999999999998</v>
      </c>
      <c r="Z500">
        <v>83.949950000000001</v>
      </c>
      <c r="AA500">
        <v>10</v>
      </c>
      <c r="AB500">
        <v>0.42</v>
      </c>
      <c r="AC500">
        <v>217</v>
      </c>
      <c r="AD500">
        <v>58</v>
      </c>
    </row>
    <row r="501" spans="1:30" x14ac:dyDescent="0.55000000000000004">
      <c r="A501">
        <v>94533</v>
      </c>
      <c r="B501" s="19">
        <v>42522</v>
      </c>
      <c r="C501">
        <v>1030</v>
      </c>
      <c r="D501">
        <v>2016</v>
      </c>
      <c r="E501">
        <v>25</v>
      </c>
      <c r="F501">
        <v>554</v>
      </c>
      <c r="G501">
        <v>2</v>
      </c>
      <c r="H501">
        <v>184</v>
      </c>
      <c r="I501">
        <v>3</v>
      </c>
      <c r="J501">
        <v>4636.9799999999996</v>
      </c>
      <c r="K501">
        <v>9019.85</v>
      </c>
      <c r="L501">
        <v>4637.33</v>
      </c>
      <c r="M501">
        <v>9020.02</v>
      </c>
      <c r="N501">
        <v>46.616332999999997</v>
      </c>
      <c r="O501">
        <v>-90.330832999999998</v>
      </c>
      <c r="P501">
        <v>46.622166999999997</v>
      </c>
      <c r="Q501">
        <v>-90.333667000000005</v>
      </c>
      <c r="R501">
        <v>678.27412460000005</v>
      </c>
      <c r="S501">
        <v>22.8</v>
      </c>
      <c r="T501">
        <v>28.5</v>
      </c>
      <c r="U501">
        <v>0.5</v>
      </c>
      <c r="V501">
        <v>2</v>
      </c>
      <c r="W501">
        <v>10.1</v>
      </c>
      <c r="X501">
        <v>10.447699999999999</v>
      </c>
      <c r="Y501">
        <v>0.35899999999999999</v>
      </c>
      <c r="Z501">
        <v>40.854950000000002</v>
      </c>
      <c r="AA501">
        <v>10</v>
      </c>
      <c r="AB501">
        <v>0.42</v>
      </c>
      <c r="AC501">
        <v>217</v>
      </c>
      <c r="AD501">
        <v>5</v>
      </c>
    </row>
    <row r="502" spans="1:30" x14ac:dyDescent="0.55000000000000004">
      <c r="A502">
        <v>94534</v>
      </c>
      <c r="B502" s="19">
        <v>42522</v>
      </c>
      <c r="C502">
        <v>1030</v>
      </c>
      <c r="D502">
        <v>2016</v>
      </c>
      <c r="E502">
        <v>25</v>
      </c>
      <c r="F502">
        <v>555</v>
      </c>
      <c r="G502">
        <v>2</v>
      </c>
      <c r="H502">
        <v>184</v>
      </c>
      <c r="I502">
        <v>3</v>
      </c>
      <c r="J502">
        <v>4636.9799999999996</v>
      </c>
      <c r="K502">
        <v>9019.85</v>
      </c>
      <c r="L502">
        <v>4637.33</v>
      </c>
      <c r="M502">
        <v>9020.02</v>
      </c>
      <c r="N502">
        <v>46.616332999999997</v>
      </c>
      <c r="O502">
        <v>-90.330832999999998</v>
      </c>
      <c r="P502">
        <v>46.622166999999997</v>
      </c>
      <c r="Q502">
        <v>-90.333667000000005</v>
      </c>
      <c r="R502">
        <v>678.27412460000005</v>
      </c>
      <c r="S502">
        <v>22.8</v>
      </c>
      <c r="T502">
        <v>28.5</v>
      </c>
      <c r="U502">
        <v>0.5</v>
      </c>
      <c r="V502">
        <v>2</v>
      </c>
      <c r="W502">
        <v>10.1</v>
      </c>
      <c r="X502">
        <v>10.447699999999999</v>
      </c>
      <c r="Y502">
        <v>0.35899999999999999</v>
      </c>
      <c r="Z502">
        <v>40.854950000000002</v>
      </c>
      <c r="AA502">
        <v>10</v>
      </c>
      <c r="AB502">
        <v>0.42</v>
      </c>
      <c r="AC502">
        <v>217</v>
      </c>
      <c r="AD502">
        <v>11</v>
      </c>
    </row>
    <row r="503" spans="1:30" x14ac:dyDescent="0.55000000000000004">
      <c r="A503">
        <v>94535</v>
      </c>
      <c r="B503" s="19">
        <v>42522</v>
      </c>
      <c r="C503">
        <v>1255</v>
      </c>
      <c r="D503">
        <v>2016</v>
      </c>
      <c r="E503">
        <v>25</v>
      </c>
      <c r="F503">
        <v>556</v>
      </c>
      <c r="G503">
        <v>2</v>
      </c>
      <c r="H503">
        <v>192</v>
      </c>
      <c r="I503">
        <v>3</v>
      </c>
      <c r="J503">
        <v>4641.3</v>
      </c>
      <c r="K503">
        <v>9001.66</v>
      </c>
      <c r="L503">
        <v>4641.6499999999996</v>
      </c>
      <c r="M503">
        <v>9001.89</v>
      </c>
      <c r="N503">
        <v>46.688333</v>
      </c>
      <c r="O503">
        <v>-90.027666999999994</v>
      </c>
      <c r="P503">
        <v>46.694167</v>
      </c>
      <c r="Q503">
        <v>-90.031499999999994</v>
      </c>
      <c r="R503">
        <v>1206.208648</v>
      </c>
      <c r="S503">
        <v>16.2</v>
      </c>
      <c r="T503">
        <v>22.5</v>
      </c>
      <c r="U503">
        <v>0.5</v>
      </c>
      <c r="V503">
        <v>2</v>
      </c>
      <c r="W503">
        <v>9</v>
      </c>
      <c r="X503">
        <v>9.5266500000000001</v>
      </c>
      <c r="Y503">
        <v>0.54354999999999998</v>
      </c>
      <c r="Z503">
        <v>80.965299999999999</v>
      </c>
      <c r="AA503">
        <v>10</v>
      </c>
      <c r="AB503">
        <v>0.42</v>
      </c>
      <c r="AC503">
        <v>217</v>
      </c>
      <c r="AD503">
        <v>25</v>
      </c>
    </row>
    <row r="504" spans="1:30" x14ac:dyDescent="0.55000000000000004">
      <c r="A504">
        <v>94535</v>
      </c>
      <c r="B504" s="19">
        <v>42522</v>
      </c>
      <c r="C504">
        <v>1255</v>
      </c>
      <c r="D504">
        <v>2016</v>
      </c>
      <c r="E504">
        <v>25</v>
      </c>
      <c r="F504">
        <v>556</v>
      </c>
      <c r="G504">
        <v>2</v>
      </c>
      <c r="H504">
        <v>192</v>
      </c>
      <c r="I504">
        <v>3</v>
      </c>
      <c r="J504">
        <v>4641.3</v>
      </c>
      <c r="K504">
        <v>9001.66</v>
      </c>
      <c r="L504">
        <v>4641.6499999999996</v>
      </c>
      <c r="M504">
        <v>9001.89</v>
      </c>
      <c r="N504">
        <v>46.688333</v>
      </c>
      <c r="O504">
        <v>-90.027666999999994</v>
      </c>
      <c r="P504">
        <v>46.694167</v>
      </c>
      <c r="Q504">
        <v>-90.031499999999994</v>
      </c>
      <c r="R504">
        <v>1206.208648</v>
      </c>
      <c r="S504">
        <v>16.2</v>
      </c>
      <c r="T504">
        <v>22.5</v>
      </c>
      <c r="U504">
        <v>0.5</v>
      </c>
      <c r="V504">
        <v>2</v>
      </c>
      <c r="W504">
        <v>9</v>
      </c>
      <c r="X504">
        <v>9.5266500000000001</v>
      </c>
      <c r="Y504">
        <v>0.54354999999999998</v>
      </c>
      <c r="Z504">
        <v>80.965299999999999</v>
      </c>
      <c r="AA504">
        <v>10</v>
      </c>
      <c r="AB504">
        <v>0.42</v>
      </c>
      <c r="AC504">
        <v>900</v>
      </c>
      <c r="AD504">
        <v>1</v>
      </c>
    </row>
    <row r="505" spans="1:30" x14ac:dyDescent="0.55000000000000004">
      <c r="A505">
        <v>94536</v>
      </c>
      <c r="B505" s="19">
        <v>42522</v>
      </c>
      <c r="C505">
        <v>1255</v>
      </c>
      <c r="D505">
        <v>2016</v>
      </c>
      <c r="E505">
        <v>25</v>
      </c>
      <c r="F505">
        <v>557</v>
      </c>
      <c r="G505">
        <v>2</v>
      </c>
      <c r="H505">
        <v>192</v>
      </c>
      <c r="I505">
        <v>3</v>
      </c>
      <c r="J505">
        <v>4641.3</v>
      </c>
      <c r="K505">
        <v>9001.66</v>
      </c>
      <c r="L505">
        <v>4641.6499999999996</v>
      </c>
      <c r="M505">
        <v>9001.89</v>
      </c>
      <c r="N505">
        <v>46.688333</v>
      </c>
      <c r="O505">
        <v>-90.027666999999994</v>
      </c>
      <c r="P505">
        <v>46.694167</v>
      </c>
      <c r="Q505">
        <v>-90.031499999999994</v>
      </c>
      <c r="R505">
        <v>1206.208648</v>
      </c>
      <c r="S505">
        <v>16.2</v>
      </c>
      <c r="T505">
        <v>22.5</v>
      </c>
      <c r="U505">
        <v>0.5</v>
      </c>
      <c r="V505">
        <v>2</v>
      </c>
      <c r="W505">
        <v>9</v>
      </c>
      <c r="X505">
        <v>9.5266500000000001</v>
      </c>
      <c r="Y505">
        <v>0.54354999999999998</v>
      </c>
      <c r="Z505">
        <v>80.965299999999999</v>
      </c>
      <c r="AA505">
        <v>10</v>
      </c>
      <c r="AB505">
        <v>0.42</v>
      </c>
      <c r="AC505">
        <v>217</v>
      </c>
      <c r="AD505">
        <v>21</v>
      </c>
    </row>
    <row r="506" spans="1:30" x14ac:dyDescent="0.55000000000000004">
      <c r="A506">
        <v>94537</v>
      </c>
      <c r="B506" s="19">
        <v>42522</v>
      </c>
      <c r="C506">
        <v>1654</v>
      </c>
      <c r="D506">
        <v>2016</v>
      </c>
      <c r="E506">
        <v>25</v>
      </c>
      <c r="F506">
        <v>558</v>
      </c>
      <c r="G506">
        <v>2</v>
      </c>
      <c r="H506">
        <v>57</v>
      </c>
      <c r="I506">
        <v>3</v>
      </c>
      <c r="J506">
        <v>4654.03</v>
      </c>
      <c r="K506">
        <v>8921.0400000000009</v>
      </c>
      <c r="L506">
        <v>4654.33</v>
      </c>
      <c r="M506">
        <v>8921.3700000000008</v>
      </c>
      <c r="N506">
        <v>46.900500000000001</v>
      </c>
      <c r="O506">
        <v>-89.350667000000001</v>
      </c>
      <c r="P506">
        <v>46.905500000000004</v>
      </c>
      <c r="Q506">
        <v>-89.356166999999999</v>
      </c>
      <c r="R506">
        <v>3061.657843</v>
      </c>
      <c r="S506">
        <v>19.100000000000001</v>
      </c>
      <c r="T506">
        <v>25.5</v>
      </c>
      <c r="U506">
        <v>0.5</v>
      </c>
      <c r="V506">
        <v>2</v>
      </c>
      <c r="W506">
        <v>12.5</v>
      </c>
      <c r="X506">
        <v>10.70415</v>
      </c>
      <c r="Y506">
        <v>0.74614999999999998</v>
      </c>
      <c r="Z506">
        <v>48.5124</v>
      </c>
      <c r="AA506">
        <v>10</v>
      </c>
      <c r="AB506">
        <v>0.42</v>
      </c>
      <c r="AC506">
        <v>217</v>
      </c>
      <c r="AD506">
        <v>34</v>
      </c>
    </row>
    <row r="507" spans="1:30" x14ac:dyDescent="0.55000000000000004">
      <c r="A507">
        <v>94538</v>
      </c>
      <c r="B507" s="19">
        <v>42522</v>
      </c>
      <c r="C507">
        <v>1654</v>
      </c>
      <c r="D507">
        <v>2016</v>
      </c>
      <c r="E507">
        <v>25</v>
      </c>
      <c r="F507">
        <v>559</v>
      </c>
      <c r="G507">
        <v>2</v>
      </c>
      <c r="H507">
        <v>57</v>
      </c>
      <c r="I507">
        <v>3</v>
      </c>
      <c r="J507">
        <v>4654.03</v>
      </c>
      <c r="K507">
        <v>8921.0400000000009</v>
      </c>
      <c r="L507">
        <v>4654.33</v>
      </c>
      <c r="M507">
        <v>8921.3700000000008</v>
      </c>
      <c r="N507">
        <v>46.900500000000001</v>
      </c>
      <c r="O507">
        <v>-89.350667000000001</v>
      </c>
      <c r="P507">
        <v>46.905500000000004</v>
      </c>
      <c r="Q507">
        <v>-89.356166999999999</v>
      </c>
      <c r="R507">
        <v>3061.657843</v>
      </c>
      <c r="S507">
        <v>19.100000000000001</v>
      </c>
      <c r="T507">
        <v>25.5</v>
      </c>
      <c r="U507">
        <v>0.5</v>
      </c>
      <c r="V507">
        <v>2</v>
      </c>
      <c r="W507">
        <v>12.5</v>
      </c>
      <c r="X507">
        <v>10.70415</v>
      </c>
      <c r="Y507">
        <v>0.74614999999999998</v>
      </c>
      <c r="Z507">
        <v>48.5124</v>
      </c>
      <c r="AA507">
        <v>10</v>
      </c>
      <c r="AB507">
        <v>0.42</v>
      </c>
      <c r="AC507">
        <v>109</v>
      </c>
      <c r="AD507">
        <v>0</v>
      </c>
    </row>
    <row r="508" spans="1:30" x14ac:dyDescent="0.55000000000000004">
      <c r="A508">
        <v>94538</v>
      </c>
      <c r="B508" s="19">
        <v>42522</v>
      </c>
      <c r="C508">
        <v>1654</v>
      </c>
      <c r="D508">
        <v>2016</v>
      </c>
      <c r="E508">
        <v>25</v>
      </c>
      <c r="F508">
        <v>559</v>
      </c>
      <c r="G508">
        <v>2</v>
      </c>
      <c r="H508">
        <v>57</v>
      </c>
      <c r="I508">
        <v>3</v>
      </c>
      <c r="J508">
        <v>4654.03</v>
      </c>
      <c r="K508">
        <v>8921.0400000000009</v>
      </c>
      <c r="L508">
        <v>4654.33</v>
      </c>
      <c r="M508">
        <v>8921.3700000000008</v>
      </c>
      <c r="N508">
        <v>46.900500000000001</v>
      </c>
      <c r="O508">
        <v>-89.350667000000001</v>
      </c>
      <c r="P508">
        <v>46.905500000000004</v>
      </c>
      <c r="Q508">
        <v>-89.356166999999999</v>
      </c>
      <c r="R508">
        <v>3061.657843</v>
      </c>
      <c r="S508">
        <v>19.100000000000001</v>
      </c>
      <c r="T508">
        <v>25.5</v>
      </c>
      <c r="U508">
        <v>0.5</v>
      </c>
      <c r="V508">
        <v>2</v>
      </c>
      <c r="W508">
        <v>12.5</v>
      </c>
      <c r="X508">
        <v>10.70415</v>
      </c>
      <c r="Y508">
        <v>0.74614999999999998</v>
      </c>
      <c r="Z508">
        <v>48.5124</v>
      </c>
      <c r="AA508">
        <v>10</v>
      </c>
      <c r="AB508">
        <v>0.42</v>
      </c>
      <c r="AC508">
        <v>217</v>
      </c>
      <c r="AD508">
        <v>0</v>
      </c>
    </row>
    <row r="509" spans="1:30" x14ac:dyDescent="0.55000000000000004">
      <c r="A509">
        <v>94540</v>
      </c>
      <c r="B509" s="19">
        <v>42523</v>
      </c>
      <c r="C509">
        <v>817</v>
      </c>
      <c r="D509">
        <v>2016</v>
      </c>
      <c r="E509">
        <v>25</v>
      </c>
      <c r="F509">
        <v>561</v>
      </c>
      <c r="G509">
        <v>2</v>
      </c>
      <c r="H509">
        <v>183</v>
      </c>
      <c r="I509">
        <v>3</v>
      </c>
      <c r="J509">
        <v>4659.8500000000004</v>
      </c>
      <c r="K509">
        <v>8908.7000000000007</v>
      </c>
      <c r="L509">
        <v>4659.9399999999996</v>
      </c>
      <c r="M509">
        <v>8909.16</v>
      </c>
      <c r="N509">
        <v>46.997500000000002</v>
      </c>
      <c r="O509">
        <v>-89.144999999999996</v>
      </c>
      <c r="P509">
        <v>46.999000000000002</v>
      </c>
      <c r="Q509">
        <v>-89.152666999999994</v>
      </c>
      <c r="R509">
        <v>1085.9954769999999</v>
      </c>
      <c r="S509">
        <v>16.399999999999999</v>
      </c>
      <c r="T509">
        <v>22.7</v>
      </c>
      <c r="U509">
        <v>0.5</v>
      </c>
      <c r="V509">
        <v>2</v>
      </c>
      <c r="W509">
        <v>10</v>
      </c>
      <c r="X509">
        <v>9.5381499999999999</v>
      </c>
      <c r="Y509">
        <v>0.26090000000000002</v>
      </c>
      <c r="Z509">
        <v>47.993850000000002</v>
      </c>
      <c r="AA509">
        <v>10</v>
      </c>
      <c r="AB509">
        <v>0.38</v>
      </c>
      <c r="AC509">
        <v>217</v>
      </c>
      <c r="AD509">
        <v>119</v>
      </c>
    </row>
    <row r="510" spans="1:30" x14ac:dyDescent="0.55000000000000004">
      <c r="A510">
        <v>94541</v>
      </c>
      <c r="B510" s="19">
        <v>42523</v>
      </c>
      <c r="C510">
        <v>1117</v>
      </c>
      <c r="D510">
        <v>2016</v>
      </c>
      <c r="E510">
        <v>25</v>
      </c>
      <c r="F510">
        <v>562</v>
      </c>
      <c r="G510">
        <v>2</v>
      </c>
      <c r="H510">
        <v>182</v>
      </c>
      <c r="I510">
        <v>3</v>
      </c>
      <c r="J510">
        <v>4708.91</v>
      </c>
      <c r="K510">
        <v>8851.23</v>
      </c>
      <c r="L510">
        <v>4708.99</v>
      </c>
      <c r="M510">
        <v>8851.74</v>
      </c>
      <c r="N510">
        <v>47.148499999999999</v>
      </c>
      <c r="O510">
        <v>-88.853832999999995</v>
      </c>
      <c r="P510">
        <v>47.149833000000001</v>
      </c>
      <c r="Q510">
        <v>-88.862333000000007</v>
      </c>
      <c r="R510">
        <v>3033.4925290000001</v>
      </c>
      <c r="S510">
        <v>29.3</v>
      </c>
      <c r="T510">
        <v>33.700000000000003</v>
      </c>
      <c r="U510">
        <v>0.5</v>
      </c>
      <c r="V510">
        <v>2</v>
      </c>
      <c r="W510">
        <v>8.5</v>
      </c>
      <c r="X510">
        <v>7.6760000000000002</v>
      </c>
      <c r="Y510">
        <v>0.22209999999999999</v>
      </c>
      <c r="Z510">
        <v>56.195999999999998</v>
      </c>
      <c r="AA510">
        <v>10</v>
      </c>
      <c r="AB510">
        <v>0.42</v>
      </c>
      <c r="AC510">
        <v>217</v>
      </c>
      <c r="AD510">
        <v>8</v>
      </c>
    </row>
    <row r="511" spans="1:30" x14ac:dyDescent="0.55000000000000004">
      <c r="A511">
        <v>94542</v>
      </c>
      <c r="B511" s="19">
        <v>42523</v>
      </c>
      <c r="C511">
        <v>1117</v>
      </c>
      <c r="D511">
        <v>2016</v>
      </c>
      <c r="E511">
        <v>25</v>
      </c>
      <c r="F511">
        <v>563</v>
      </c>
      <c r="G511">
        <v>2</v>
      </c>
      <c r="H511">
        <v>182</v>
      </c>
      <c r="I511">
        <v>3</v>
      </c>
      <c r="J511">
        <v>4708.91</v>
      </c>
      <c r="K511">
        <v>8851.23</v>
      </c>
      <c r="L511">
        <v>4708.99</v>
      </c>
      <c r="M511">
        <v>8851.74</v>
      </c>
      <c r="N511">
        <v>47.148499999999999</v>
      </c>
      <c r="O511">
        <v>-88.853832999999995</v>
      </c>
      <c r="P511">
        <v>47.149833000000001</v>
      </c>
      <c r="Q511">
        <v>-88.862333000000007</v>
      </c>
      <c r="R511">
        <v>3033.4925290000001</v>
      </c>
      <c r="S511">
        <v>29.3</v>
      </c>
      <c r="T511">
        <v>33.700000000000003</v>
      </c>
      <c r="U511">
        <v>0.5</v>
      </c>
      <c r="V511">
        <v>2</v>
      </c>
      <c r="W511">
        <v>8.5</v>
      </c>
      <c r="X511">
        <v>7.6760000000000002</v>
      </c>
      <c r="Y511">
        <v>0.22209999999999999</v>
      </c>
      <c r="Z511">
        <v>56.195999999999998</v>
      </c>
      <c r="AA511">
        <v>10</v>
      </c>
      <c r="AB511">
        <v>0.42</v>
      </c>
      <c r="AC511">
        <v>217</v>
      </c>
      <c r="AD511">
        <v>22</v>
      </c>
    </row>
    <row r="512" spans="1:30" x14ac:dyDescent="0.55000000000000004">
      <c r="A512">
        <v>94543</v>
      </c>
      <c r="B512" s="19">
        <v>42523</v>
      </c>
      <c r="C512">
        <v>1424</v>
      </c>
      <c r="D512">
        <v>2016</v>
      </c>
      <c r="E512">
        <v>25</v>
      </c>
      <c r="F512">
        <v>564</v>
      </c>
      <c r="G512">
        <v>2</v>
      </c>
      <c r="H512">
        <v>181</v>
      </c>
      <c r="I512">
        <v>3</v>
      </c>
      <c r="J512">
        <v>4720.28</v>
      </c>
      <c r="K512">
        <v>8828.9599999999991</v>
      </c>
      <c r="L512">
        <v>4720.6099999999997</v>
      </c>
      <c r="M512">
        <v>8829.2099999999991</v>
      </c>
      <c r="N512">
        <v>47.338000000000001</v>
      </c>
      <c r="O512">
        <v>-88.482667000000006</v>
      </c>
      <c r="P512">
        <v>47.343499999999999</v>
      </c>
      <c r="Q512">
        <v>-88.486833000000004</v>
      </c>
      <c r="R512">
        <v>1103.1946</v>
      </c>
      <c r="S512">
        <v>26.7</v>
      </c>
      <c r="T512">
        <v>60.4</v>
      </c>
      <c r="U512">
        <v>0.5</v>
      </c>
      <c r="V512">
        <v>2</v>
      </c>
      <c r="W512">
        <v>6.9</v>
      </c>
      <c r="X512">
        <v>6.5820499999999997</v>
      </c>
      <c r="Y512">
        <v>5.2549999999999999E-2</v>
      </c>
      <c r="Z512">
        <v>55.63955</v>
      </c>
      <c r="AA512">
        <v>10</v>
      </c>
      <c r="AB512">
        <v>0.42</v>
      </c>
      <c r="AC512">
        <v>0</v>
      </c>
      <c r="AD512">
        <v>0</v>
      </c>
    </row>
    <row r="513" spans="1:30" x14ac:dyDescent="0.55000000000000004">
      <c r="A513">
        <v>94544</v>
      </c>
      <c r="B513" s="19">
        <v>42523</v>
      </c>
      <c r="C513">
        <v>1424</v>
      </c>
      <c r="D513">
        <v>2016</v>
      </c>
      <c r="E513">
        <v>25</v>
      </c>
      <c r="F513">
        <v>565</v>
      </c>
      <c r="G513">
        <v>2</v>
      </c>
      <c r="H513">
        <v>181</v>
      </c>
      <c r="I513">
        <v>3</v>
      </c>
      <c r="J513">
        <v>4720.28</v>
      </c>
      <c r="K513">
        <v>8828.9599999999991</v>
      </c>
      <c r="L513">
        <v>4720.6099999999997</v>
      </c>
      <c r="M513">
        <v>8829.2099999999991</v>
      </c>
      <c r="N513">
        <v>47.338000000000001</v>
      </c>
      <c r="O513">
        <v>-88.482667000000006</v>
      </c>
      <c r="P513">
        <v>47.343499999999999</v>
      </c>
      <c r="Q513">
        <v>-88.486833000000004</v>
      </c>
      <c r="R513">
        <v>1103.1946</v>
      </c>
      <c r="S513">
        <v>26.7</v>
      </c>
      <c r="T513">
        <v>60.4</v>
      </c>
      <c r="U513">
        <v>0.5</v>
      </c>
      <c r="V513">
        <v>2</v>
      </c>
      <c r="W513">
        <v>6.9</v>
      </c>
      <c r="X513">
        <v>6.5820499999999997</v>
      </c>
      <c r="Y513">
        <v>5.2549999999999999E-2</v>
      </c>
      <c r="Z513">
        <v>55.63955</v>
      </c>
      <c r="AA513">
        <v>10</v>
      </c>
      <c r="AB513">
        <v>0.42</v>
      </c>
      <c r="AC513">
        <v>217</v>
      </c>
      <c r="AD513">
        <v>1</v>
      </c>
    </row>
    <row r="514" spans="1:30" x14ac:dyDescent="0.55000000000000004">
      <c r="A514">
        <v>94546</v>
      </c>
      <c r="B514" s="19">
        <v>42524</v>
      </c>
      <c r="C514">
        <v>1021</v>
      </c>
      <c r="D514">
        <v>2016</v>
      </c>
      <c r="E514">
        <v>25</v>
      </c>
      <c r="F514">
        <v>566</v>
      </c>
      <c r="G514">
        <v>2</v>
      </c>
      <c r="H514">
        <v>82</v>
      </c>
      <c r="I514">
        <v>3</v>
      </c>
      <c r="J514">
        <v>4658.75</v>
      </c>
      <c r="K514">
        <v>8823.7099999999991</v>
      </c>
      <c r="L514">
        <v>4658.49</v>
      </c>
      <c r="M514">
        <v>8823.26</v>
      </c>
      <c r="N514">
        <v>46.979166999999997</v>
      </c>
      <c r="O514">
        <v>-88.395167000000001</v>
      </c>
      <c r="P514">
        <v>46.974832999999997</v>
      </c>
      <c r="Q514">
        <v>-88.387666999999993</v>
      </c>
      <c r="R514">
        <v>1045.25918</v>
      </c>
      <c r="S514">
        <v>17.5</v>
      </c>
      <c r="T514">
        <v>46.6</v>
      </c>
      <c r="U514">
        <v>0.5</v>
      </c>
      <c r="V514">
        <v>2</v>
      </c>
      <c r="W514">
        <v>9.8000000000000007</v>
      </c>
      <c r="X514">
        <v>8.2462499999999999</v>
      </c>
      <c r="Y514">
        <v>0.21560000000000001</v>
      </c>
      <c r="Z514">
        <v>84.591750000000005</v>
      </c>
      <c r="AA514">
        <v>10</v>
      </c>
      <c r="AB514">
        <v>0.43</v>
      </c>
      <c r="AC514">
        <v>217</v>
      </c>
      <c r="AD514">
        <v>4</v>
      </c>
    </row>
    <row r="515" spans="1:30" x14ac:dyDescent="0.55000000000000004">
      <c r="A515">
        <v>94547</v>
      </c>
      <c r="B515" s="19">
        <v>42524</v>
      </c>
      <c r="C515">
        <v>1021</v>
      </c>
      <c r="D515">
        <v>2016</v>
      </c>
      <c r="E515">
        <v>25</v>
      </c>
      <c r="F515">
        <v>567</v>
      </c>
      <c r="G515">
        <v>2</v>
      </c>
      <c r="H515">
        <v>82</v>
      </c>
      <c r="I515">
        <v>3</v>
      </c>
      <c r="J515">
        <v>4658.75</v>
      </c>
      <c r="K515">
        <v>8823.7099999999991</v>
      </c>
      <c r="L515">
        <v>4658.49</v>
      </c>
      <c r="M515">
        <v>8823.26</v>
      </c>
      <c r="N515">
        <v>46.979166999999997</v>
      </c>
      <c r="O515">
        <v>-88.395167000000001</v>
      </c>
      <c r="P515">
        <v>46.974832999999997</v>
      </c>
      <c r="Q515">
        <v>-88.387666999999993</v>
      </c>
      <c r="R515">
        <v>1045.25918</v>
      </c>
      <c r="S515">
        <v>17.5</v>
      </c>
      <c r="T515">
        <v>46.6</v>
      </c>
      <c r="U515">
        <v>0.5</v>
      </c>
      <c r="V515">
        <v>2</v>
      </c>
      <c r="W515">
        <v>9.8000000000000007</v>
      </c>
      <c r="X515">
        <v>8.2462499999999999</v>
      </c>
      <c r="Y515">
        <v>0.21560000000000001</v>
      </c>
      <c r="Z515">
        <v>84.591750000000005</v>
      </c>
      <c r="AA515">
        <v>10</v>
      </c>
      <c r="AB515">
        <v>0.43</v>
      </c>
      <c r="AC515">
        <v>217</v>
      </c>
      <c r="AD515">
        <v>3</v>
      </c>
    </row>
    <row r="516" spans="1:30" x14ac:dyDescent="0.55000000000000004">
      <c r="A516">
        <v>94548</v>
      </c>
      <c r="B516" s="19">
        <v>42524</v>
      </c>
      <c r="C516">
        <v>1207</v>
      </c>
      <c r="D516">
        <v>2016</v>
      </c>
      <c r="E516">
        <v>25</v>
      </c>
      <c r="F516">
        <v>568</v>
      </c>
      <c r="G516">
        <v>2</v>
      </c>
      <c r="H516">
        <v>84</v>
      </c>
      <c r="I516">
        <v>3</v>
      </c>
      <c r="J516">
        <v>4653.4799999999996</v>
      </c>
      <c r="K516">
        <v>8819.2199999999993</v>
      </c>
      <c r="L516">
        <v>4653.8599999999997</v>
      </c>
      <c r="M516">
        <v>8819.2900000000009</v>
      </c>
      <c r="N516">
        <v>46.891333000000003</v>
      </c>
      <c r="O516">
        <v>-88.320333000000005</v>
      </c>
      <c r="P516">
        <v>46.897666999999998</v>
      </c>
      <c r="Q516">
        <v>-88.3215</v>
      </c>
      <c r="R516">
        <v>799.8589594</v>
      </c>
      <c r="S516">
        <v>18.2</v>
      </c>
      <c r="T516">
        <v>31.3</v>
      </c>
      <c r="U516">
        <v>0.5</v>
      </c>
      <c r="V516">
        <v>2</v>
      </c>
      <c r="W516">
        <v>12.6</v>
      </c>
      <c r="X516">
        <v>9.5717499999999998</v>
      </c>
      <c r="Y516">
        <v>8.8300000000000003E-2</v>
      </c>
      <c r="Z516">
        <v>82.066950000000006</v>
      </c>
      <c r="AA516">
        <v>10</v>
      </c>
      <c r="AB516">
        <v>0.43</v>
      </c>
      <c r="AC516">
        <v>217</v>
      </c>
      <c r="AD516">
        <v>1</v>
      </c>
    </row>
    <row r="517" spans="1:30" x14ac:dyDescent="0.55000000000000004">
      <c r="A517">
        <v>94549</v>
      </c>
      <c r="B517" s="19">
        <v>42524</v>
      </c>
      <c r="C517">
        <v>1207</v>
      </c>
      <c r="D517">
        <v>2016</v>
      </c>
      <c r="E517">
        <v>25</v>
      </c>
      <c r="F517">
        <v>569</v>
      </c>
      <c r="G517">
        <v>2</v>
      </c>
      <c r="H517">
        <v>84</v>
      </c>
      <c r="I517">
        <v>3</v>
      </c>
      <c r="J517">
        <v>4653.4799999999996</v>
      </c>
      <c r="K517">
        <v>8819.2199999999993</v>
      </c>
      <c r="L517">
        <v>4653.8599999999997</v>
      </c>
      <c r="M517">
        <v>8819.2900000000009</v>
      </c>
      <c r="N517">
        <v>46.891333000000003</v>
      </c>
      <c r="O517">
        <v>-88.320333000000005</v>
      </c>
      <c r="P517">
        <v>46.897666999999998</v>
      </c>
      <c r="Q517">
        <v>-88.3215</v>
      </c>
      <c r="R517">
        <v>799.8589594</v>
      </c>
      <c r="S517">
        <v>18.2</v>
      </c>
      <c r="T517">
        <v>31.3</v>
      </c>
      <c r="U517">
        <v>0.5</v>
      </c>
      <c r="V517">
        <v>2</v>
      </c>
      <c r="W517">
        <v>12.6</v>
      </c>
      <c r="X517">
        <v>9.5717499999999998</v>
      </c>
      <c r="Y517">
        <v>8.8300000000000003E-2</v>
      </c>
      <c r="Z517">
        <v>82.066950000000006</v>
      </c>
      <c r="AA517">
        <v>10</v>
      </c>
      <c r="AB517">
        <v>0.43</v>
      </c>
      <c r="AC517">
        <v>0</v>
      </c>
      <c r="AD517">
        <v>0</v>
      </c>
    </row>
    <row r="518" spans="1:30" x14ac:dyDescent="0.55000000000000004">
      <c r="A518">
        <v>94553</v>
      </c>
      <c r="B518" s="19">
        <v>42524</v>
      </c>
      <c r="C518">
        <v>1410</v>
      </c>
      <c r="D518">
        <v>2016</v>
      </c>
      <c r="E518">
        <v>25</v>
      </c>
      <c r="F518">
        <v>570</v>
      </c>
      <c r="G518">
        <v>2</v>
      </c>
      <c r="H518">
        <v>85</v>
      </c>
      <c r="I518">
        <v>3</v>
      </c>
      <c r="J518">
        <v>4712.41</v>
      </c>
      <c r="K518">
        <v>8808.5400000000009</v>
      </c>
      <c r="L518">
        <v>4712.53</v>
      </c>
      <c r="M518">
        <v>8808.76</v>
      </c>
      <c r="N518">
        <v>47.206833000000003</v>
      </c>
      <c r="O518">
        <v>-88.142332999999994</v>
      </c>
      <c r="P518">
        <v>47.208832999999998</v>
      </c>
      <c r="Q518">
        <v>-88.146000000000001</v>
      </c>
      <c r="R518">
        <v>906.76383169999997</v>
      </c>
      <c r="S518">
        <v>32.9</v>
      </c>
      <c r="T518">
        <v>42</v>
      </c>
      <c r="U518">
        <v>0.5</v>
      </c>
      <c r="V518">
        <v>2</v>
      </c>
      <c r="W518">
        <v>7.2</v>
      </c>
      <c r="X518">
        <v>6.7856500000000004</v>
      </c>
      <c r="Y518">
        <v>7.2349999999999998E-2</v>
      </c>
      <c r="Z518">
        <v>82.886949999999999</v>
      </c>
      <c r="AA518">
        <v>10</v>
      </c>
      <c r="AB518">
        <v>0.43</v>
      </c>
      <c r="AC518">
        <v>217</v>
      </c>
      <c r="AD518">
        <v>15</v>
      </c>
    </row>
    <row r="519" spans="1:30" x14ac:dyDescent="0.55000000000000004">
      <c r="A519">
        <v>94554</v>
      </c>
      <c r="B519" s="19">
        <v>42524</v>
      </c>
      <c r="C519">
        <v>1410</v>
      </c>
      <c r="D519">
        <v>2016</v>
      </c>
      <c r="E519">
        <v>25</v>
      </c>
      <c r="F519">
        <v>571</v>
      </c>
      <c r="G519">
        <v>2</v>
      </c>
      <c r="H519">
        <v>85</v>
      </c>
      <c r="I519">
        <v>3</v>
      </c>
      <c r="J519">
        <v>4712.41</v>
      </c>
      <c r="K519">
        <v>8808.5400000000009</v>
      </c>
      <c r="L519">
        <v>4712.53</v>
      </c>
      <c r="M519">
        <v>8808.76</v>
      </c>
      <c r="N519">
        <v>47.206833000000003</v>
      </c>
      <c r="O519">
        <v>-88.142332999999994</v>
      </c>
      <c r="P519">
        <v>47.208832999999998</v>
      </c>
      <c r="Q519">
        <v>-88.146000000000001</v>
      </c>
      <c r="R519">
        <v>906.76383169999997</v>
      </c>
      <c r="S519">
        <v>32.9</v>
      </c>
      <c r="T519">
        <v>42</v>
      </c>
      <c r="U519">
        <v>0.5</v>
      </c>
      <c r="V519">
        <v>2</v>
      </c>
      <c r="W519">
        <v>7.2</v>
      </c>
      <c r="X519">
        <v>6.7856500000000004</v>
      </c>
      <c r="Y519">
        <v>7.2349999999999998E-2</v>
      </c>
      <c r="Z519">
        <v>82.886949999999999</v>
      </c>
      <c r="AA519">
        <v>10</v>
      </c>
      <c r="AB519">
        <v>0.43</v>
      </c>
      <c r="AC519">
        <v>217</v>
      </c>
      <c r="AD519">
        <v>17</v>
      </c>
    </row>
    <row r="520" spans="1:30" x14ac:dyDescent="0.55000000000000004">
      <c r="A520">
        <v>94555</v>
      </c>
      <c r="B520" s="19">
        <v>42524</v>
      </c>
      <c r="C520">
        <v>1759</v>
      </c>
      <c r="D520">
        <v>2016</v>
      </c>
      <c r="E520">
        <v>25</v>
      </c>
      <c r="F520">
        <v>572</v>
      </c>
      <c r="G520">
        <v>2</v>
      </c>
      <c r="H520">
        <v>101</v>
      </c>
      <c r="I520">
        <v>3</v>
      </c>
      <c r="J520">
        <v>4722.71</v>
      </c>
      <c r="K520">
        <v>8748.68</v>
      </c>
      <c r="L520">
        <v>4722.3</v>
      </c>
      <c r="M520">
        <v>8748.7999999999993</v>
      </c>
      <c r="N520">
        <v>47.378500000000003</v>
      </c>
      <c r="O520">
        <v>-87.811333000000005</v>
      </c>
      <c r="P520">
        <v>47.371667000000002</v>
      </c>
      <c r="Q520">
        <v>-87.813333</v>
      </c>
      <c r="R520">
        <v>1293.317943</v>
      </c>
      <c r="S520">
        <v>31.8</v>
      </c>
      <c r="T520">
        <v>48.6</v>
      </c>
      <c r="U520">
        <v>0.5</v>
      </c>
      <c r="V520">
        <v>2</v>
      </c>
      <c r="W520">
        <v>6.1</v>
      </c>
      <c r="X520">
        <v>6.0408499999999998</v>
      </c>
      <c r="Y520">
        <v>0.14824999999999999</v>
      </c>
      <c r="Z520">
        <v>87.839200000000005</v>
      </c>
      <c r="AA520">
        <v>10</v>
      </c>
      <c r="AB520">
        <v>0.48</v>
      </c>
      <c r="AC520">
        <v>217</v>
      </c>
      <c r="AD520">
        <v>71</v>
      </c>
    </row>
    <row r="521" spans="1:30" x14ac:dyDescent="0.55000000000000004">
      <c r="A521">
        <v>94556</v>
      </c>
      <c r="B521" s="19">
        <v>42524</v>
      </c>
      <c r="C521">
        <v>1759</v>
      </c>
      <c r="D521">
        <v>2016</v>
      </c>
      <c r="E521">
        <v>25</v>
      </c>
      <c r="F521">
        <v>573</v>
      </c>
      <c r="G521">
        <v>2</v>
      </c>
      <c r="H521">
        <v>101</v>
      </c>
      <c r="I521">
        <v>3</v>
      </c>
      <c r="J521">
        <v>4722.71</v>
      </c>
      <c r="K521">
        <v>8748.68</v>
      </c>
      <c r="L521">
        <v>4722.3</v>
      </c>
      <c r="M521">
        <v>8748.7999999999993</v>
      </c>
      <c r="N521">
        <v>47.378500000000003</v>
      </c>
      <c r="O521">
        <v>-87.811333000000005</v>
      </c>
      <c r="P521">
        <v>47.371667000000002</v>
      </c>
      <c r="Q521">
        <v>-87.813333</v>
      </c>
      <c r="R521">
        <v>1293.317943</v>
      </c>
      <c r="S521">
        <v>31.8</v>
      </c>
      <c r="T521">
        <v>48.6</v>
      </c>
      <c r="U521">
        <v>0.5</v>
      </c>
      <c r="V521">
        <v>2</v>
      </c>
      <c r="W521">
        <v>6.1</v>
      </c>
      <c r="X521">
        <v>6.0408499999999998</v>
      </c>
      <c r="Y521">
        <v>0.14824999999999999</v>
      </c>
      <c r="Z521">
        <v>87.839200000000005</v>
      </c>
      <c r="AA521">
        <v>10</v>
      </c>
      <c r="AB521">
        <v>0.48</v>
      </c>
      <c r="AC521">
        <v>217</v>
      </c>
      <c r="AD521">
        <v>67</v>
      </c>
    </row>
    <row r="522" spans="1:30" x14ac:dyDescent="0.55000000000000004">
      <c r="A522">
        <v>94558</v>
      </c>
      <c r="B522" s="19">
        <v>42525</v>
      </c>
      <c r="C522">
        <v>911</v>
      </c>
      <c r="D522">
        <v>2016</v>
      </c>
      <c r="E522">
        <v>25</v>
      </c>
      <c r="F522">
        <v>574</v>
      </c>
      <c r="G522">
        <v>2</v>
      </c>
      <c r="H522">
        <v>158</v>
      </c>
      <c r="I522">
        <v>3</v>
      </c>
      <c r="J522">
        <v>4656.2700000000004</v>
      </c>
      <c r="K522">
        <v>8808.15</v>
      </c>
      <c r="L522">
        <v>4656.21</v>
      </c>
      <c r="M522">
        <v>8807.61</v>
      </c>
      <c r="N522">
        <v>46.937832999999998</v>
      </c>
      <c r="O522">
        <v>-88.135833000000005</v>
      </c>
      <c r="P522">
        <v>46.936833</v>
      </c>
      <c r="Q522">
        <v>-88.126833000000005</v>
      </c>
      <c r="R522">
        <v>1642.18472</v>
      </c>
      <c r="S522">
        <v>17.5</v>
      </c>
      <c r="T522">
        <v>30.9</v>
      </c>
      <c r="U522">
        <v>0.5</v>
      </c>
      <c r="V522">
        <v>2</v>
      </c>
      <c r="W522">
        <v>8.5</v>
      </c>
      <c r="X522">
        <v>8.4210499999999993</v>
      </c>
      <c r="Y522">
        <v>0.92805000000000004</v>
      </c>
      <c r="Z522">
        <v>79.090199999999996</v>
      </c>
      <c r="AA522">
        <v>10</v>
      </c>
      <c r="AB522">
        <v>0.42</v>
      </c>
      <c r="AC522">
        <v>217</v>
      </c>
      <c r="AD522">
        <v>7</v>
      </c>
    </row>
    <row r="523" spans="1:30" x14ac:dyDescent="0.55000000000000004">
      <c r="A523">
        <v>94558</v>
      </c>
      <c r="B523" s="19">
        <v>42525</v>
      </c>
      <c r="C523">
        <v>911</v>
      </c>
      <c r="D523">
        <v>2016</v>
      </c>
      <c r="E523">
        <v>25</v>
      </c>
      <c r="F523">
        <v>574</v>
      </c>
      <c r="G523">
        <v>2</v>
      </c>
      <c r="H523">
        <v>158</v>
      </c>
      <c r="I523">
        <v>3</v>
      </c>
      <c r="J523">
        <v>4656.2700000000004</v>
      </c>
      <c r="K523">
        <v>8808.15</v>
      </c>
      <c r="L523">
        <v>4656.21</v>
      </c>
      <c r="M523">
        <v>8807.61</v>
      </c>
      <c r="N523">
        <v>46.937832999999998</v>
      </c>
      <c r="O523">
        <v>-88.135833000000005</v>
      </c>
      <c r="P523">
        <v>46.936833</v>
      </c>
      <c r="Q523">
        <v>-88.126833000000005</v>
      </c>
      <c r="R523">
        <v>1642.18472</v>
      </c>
      <c r="S523">
        <v>17.5</v>
      </c>
      <c r="T523">
        <v>30.9</v>
      </c>
      <c r="U523">
        <v>0.5</v>
      </c>
      <c r="V523">
        <v>2</v>
      </c>
      <c r="W523">
        <v>8.5</v>
      </c>
      <c r="X523">
        <v>8.4210499999999993</v>
      </c>
      <c r="Y523">
        <v>0.92805000000000004</v>
      </c>
      <c r="Z523">
        <v>79.090199999999996</v>
      </c>
      <c r="AA523">
        <v>10</v>
      </c>
      <c r="AB523">
        <v>0.42</v>
      </c>
      <c r="AC523">
        <v>109</v>
      </c>
      <c r="AD523">
        <v>2</v>
      </c>
    </row>
    <row r="524" spans="1:30" x14ac:dyDescent="0.55000000000000004">
      <c r="A524">
        <v>94559</v>
      </c>
      <c r="B524" s="19">
        <v>42525</v>
      </c>
      <c r="C524">
        <v>911</v>
      </c>
      <c r="D524">
        <v>2016</v>
      </c>
      <c r="E524">
        <v>25</v>
      </c>
      <c r="F524">
        <v>575</v>
      </c>
      <c r="G524">
        <v>2</v>
      </c>
      <c r="H524">
        <v>158</v>
      </c>
      <c r="I524">
        <v>3</v>
      </c>
      <c r="J524">
        <v>4656.2700000000004</v>
      </c>
      <c r="K524">
        <v>8808.15</v>
      </c>
      <c r="L524">
        <v>4656.21</v>
      </c>
      <c r="M524">
        <v>8807.61</v>
      </c>
      <c r="N524">
        <v>46.937832999999998</v>
      </c>
      <c r="O524">
        <v>-88.135833000000005</v>
      </c>
      <c r="P524">
        <v>46.936833</v>
      </c>
      <c r="Q524">
        <v>-88.126833000000005</v>
      </c>
      <c r="R524">
        <v>1642.18472</v>
      </c>
      <c r="S524">
        <v>17.5</v>
      </c>
      <c r="T524">
        <v>30.9</v>
      </c>
      <c r="U524">
        <v>0.5</v>
      </c>
      <c r="V524">
        <v>2</v>
      </c>
      <c r="W524">
        <v>8.5</v>
      </c>
      <c r="X524">
        <v>8.4210499999999993</v>
      </c>
      <c r="Y524">
        <v>0.92805000000000004</v>
      </c>
      <c r="Z524">
        <v>79.090199999999996</v>
      </c>
      <c r="AA524">
        <v>10</v>
      </c>
      <c r="AB524">
        <v>0.42</v>
      </c>
      <c r="AC524">
        <v>217</v>
      </c>
      <c r="AD524">
        <v>10</v>
      </c>
    </row>
    <row r="525" spans="1:30" x14ac:dyDescent="0.55000000000000004">
      <c r="A525">
        <v>94561</v>
      </c>
      <c r="B525" s="19">
        <v>42525</v>
      </c>
      <c r="C525">
        <v>1211</v>
      </c>
      <c r="D525">
        <v>2016</v>
      </c>
      <c r="E525">
        <v>25</v>
      </c>
      <c r="F525">
        <v>576</v>
      </c>
      <c r="G525">
        <v>2</v>
      </c>
      <c r="H525">
        <v>142</v>
      </c>
      <c r="I525">
        <v>3</v>
      </c>
      <c r="J525">
        <v>4651.4799999999996</v>
      </c>
      <c r="K525">
        <v>8743.64</v>
      </c>
      <c r="L525">
        <v>4651.54</v>
      </c>
      <c r="M525">
        <v>8743.26</v>
      </c>
      <c r="N525">
        <v>46.857999999999997</v>
      </c>
      <c r="O525">
        <v>-87.727333000000002</v>
      </c>
      <c r="P525">
        <v>46.859000000000002</v>
      </c>
      <c r="Q525">
        <v>-87.721000000000004</v>
      </c>
      <c r="R525">
        <v>1281.0560129999999</v>
      </c>
      <c r="S525">
        <v>21</v>
      </c>
      <c r="T525">
        <v>44.5</v>
      </c>
      <c r="U525">
        <v>0.5</v>
      </c>
      <c r="V525">
        <v>2</v>
      </c>
      <c r="W525">
        <v>7.4</v>
      </c>
      <c r="X525">
        <v>7.1248500000000003</v>
      </c>
      <c r="Y525">
        <v>0.3367</v>
      </c>
      <c r="Z525">
        <v>86.879199999999997</v>
      </c>
      <c r="AA525">
        <v>10</v>
      </c>
      <c r="AB525">
        <v>0.42</v>
      </c>
      <c r="AC525">
        <v>217</v>
      </c>
      <c r="AD525">
        <v>16</v>
      </c>
    </row>
    <row r="526" spans="1:30" x14ac:dyDescent="0.55000000000000004">
      <c r="A526">
        <v>94562</v>
      </c>
      <c r="B526" s="19">
        <v>42525</v>
      </c>
      <c r="C526">
        <v>1211</v>
      </c>
      <c r="D526">
        <v>2016</v>
      </c>
      <c r="E526">
        <v>25</v>
      </c>
      <c r="F526">
        <v>577</v>
      </c>
      <c r="G526">
        <v>2</v>
      </c>
      <c r="H526">
        <v>142</v>
      </c>
      <c r="I526">
        <v>3</v>
      </c>
      <c r="J526">
        <v>4651.4799999999996</v>
      </c>
      <c r="K526">
        <v>8743.64</v>
      </c>
      <c r="L526">
        <v>4651.54</v>
      </c>
      <c r="M526">
        <v>8743.26</v>
      </c>
      <c r="N526">
        <v>46.857999999999997</v>
      </c>
      <c r="O526">
        <v>-87.727333000000002</v>
      </c>
      <c r="P526">
        <v>46.859000000000002</v>
      </c>
      <c r="Q526">
        <v>-87.721000000000004</v>
      </c>
      <c r="R526">
        <v>1281.0560129999999</v>
      </c>
      <c r="S526">
        <v>21</v>
      </c>
      <c r="T526">
        <v>44.5</v>
      </c>
      <c r="U526">
        <v>0.5</v>
      </c>
      <c r="V526">
        <v>2</v>
      </c>
      <c r="W526">
        <v>7.4</v>
      </c>
      <c r="X526">
        <v>7.1248500000000003</v>
      </c>
      <c r="Y526">
        <v>0.3367</v>
      </c>
      <c r="Z526">
        <v>86.879199999999997</v>
      </c>
      <c r="AA526">
        <v>10</v>
      </c>
      <c r="AB526">
        <v>0.42</v>
      </c>
      <c r="AC526">
        <v>217</v>
      </c>
      <c r="AD526">
        <v>4</v>
      </c>
    </row>
    <row r="527" spans="1:30" x14ac:dyDescent="0.55000000000000004">
      <c r="A527">
        <v>94563</v>
      </c>
      <c r="B527" s="19">
        <v>42525</v>
      </c>
      <c r="C527">
        <v>1403</v>
      </c>
      <c r="D527">
        <v>2016</v>
      </c>
      <c r="E527">
        <v>25</v>
      </c>
      <c r="F527">
        <v>578</v>
      </c>
      <c r="G527">
        <v>2</v>
      </c>
      <c r="H527">
        <v>196</v>
      </c>
      <c r="I527">
        <v>3</v>
      </c>
      <c r="J527">
        <v>4646.8</v>
      </c>
      <c r="K527">
        <v>8733.4699999999993</v>
      </c>
      <c r="L527">
        <v>4647.08</v>
      </c>
      <c r="M527">
        <v>8733.11</v>
      </c>
      <c r="N527">
        <v>46.78</v>
      </c>
      <c r="O527">
        <v>-87.557833000000002</v>
      </c>
      <c r="P527">
        <v>46.784666999999999</v>
      </c>
      <c r="Q527">
        <v>-87.551833000000002</v>
      </c>
      <c r="R527">
        <v>2612.8436059999999</v>
      </c>
      <c r="S527">
        <v>26.7</v>
      </c>
      <c r="T527">
        <v>38.799999999999997</v>
      </c>
      <c r="U527">
        <v>0.5</v>
      </c>
      <c r="V527">
        <v>2</v>
      </c>
      <c r="W527">
        <v>7.6</v>
      </c>
      <c r="X527">
        <v>7.4319499999999996</v>
      </c>
      <c r="Y527">
        <v>9.3899999999999997E-2</v>
      </c>
      <c r="Z527">
        <v>80.020750000000007</v>
      </c>
      <c r="AA527">
        <v>10</v>
      </c>
      <c r="AB527">
        <v>0.42</v>
      </c>
      <c r="AC527">
        <v>217</v>
      </c>
      <c r="AD527">
        <v>17</v>
      </c>
    </row>
    <row r="528" spans="1:30" x14ac:dyDescent="0.55000000000000004">
      <c r="A528">
        <v>94564</v>
      </c>
      <c r="B528" s="19">
        <v>42525</v>
      </c>
      <c r="C528">
        <v>1403</v>
      </c>
      <c r="D528">
        <v>2016</v>
      </c>
      <c r="E528">
        <v>25</v>
      </c>
      <c r="F528">
        <v>579</v>
      </c>
      <c r="G528">
        <v>2</v>
      </c>
      <c r="H528">
        <v>196</v>
      </c>
      <c r="I528">
        <v>3</v>
      </c>
      <c r="J528">
        <v>4646.8</v>
      </c>
      <c r="K528">
        <v>8733.4699999999993</v>
      </c>
      <c r="L528">
        <v>4647.08</v>
      </c>
      <c r="M528">
        <v>8733.11</v>
      </c>
      <c r="N528">
        <v>46.78</v>
      </c>
      <c r="O528">
        <v>-87.557833000000002</v>
      </c>
      <c r="P528">
        <v>46.784666999999999</v>
      </c>
      <c r="Q528">
        <v>-87.551833000000002</v>
      </c>
      <c r="R528">
        <v>2612.8436059999999</v>
      </c>
      <c r="S528">
        <v>26.7</v>
      </c>
      <c r="T528">
        <v>38.799999999999997</v>
      </c>
      <c r="U528">
        <v>0.5</v>
      </c>
      <c r="V528">
        <v>2</v>
      </c>
      <c r="W528">
        <v>7.6</v>
      </c>
      <c r="X528">
        <v>7.4319499999999996</v>
      </c>
      <c r="Y528">
        <v>9.3899999999999997E-2</v>
      </c>
      <c r="Z528">
        <v>80.020750000000007</v>
      </c>
      <c r="AA528">
        <v>10</v>
      </c>
      <c r="AB528">
        <v>0.42</v>
      </c>
      <c r="AC528">
        <v>217</v>
      </c>
      <c r="AD528">
        <v>24</v>
      </c>
    </row>
    <row r="529" spans="1:30" x14ac:dyDescent="0.55000000000000004">
      <c r="A529">
        <v>94566</v>
      </c>
      <c r="B529" s="19">
        <v>42526</v>
      </c>
      <c r="C529">
        <v>758</v>
      </c>
      <c r="D529">
        <v>2016</v>
      </c>
      <c r="E529">
        <v>25</v>
      </c>
      <c r="F529">
        <v>580</v>
      </c>
      <c r="G529">
        <v>2</v>
      </c>
      <c r="H529">
        <v>120</v>
      </c>
      <c r="I529">
        <v>3</v>
      </c>
      <c r="J529">
        <v>4630.45</v>
      </c>
      <c r="K529">
        <v>8714.94</v>
      </c>
      <c r="L529">
        <v>4630.79</v>
      </c>
      <c r="M529">
        <v>8713.89</v>
      </c>
      <c r="N529">
        <v>46.5075</v>
      </c>
      <c r="O529">
        <v>-87.248999999999995</v>
      </c>
      <c r="P529">
        <v>46.513167000000003</v>
      </c>
      <c r="Q529">
        <v>-87.231499999999997</v>
      </c>
      <c r="R529">
        <v>3733.016885</v>
      </c>
      <c r="S529">
        <v>19.899999999999999</v>
      </c>
      <c r="T529">
        <v>25.5</v>
      </c>
      <c r="U529">
        <v>0.5</v>
      </c>
      <c r="V529">
        <v>2</v>
      </c>
      <c r="W529">
        <v>9</v>
      </c>
      <c r="X529">
        <v>8.6829000000000001</v>
      </c>
      <c r="Y529">
        <v>0.61114999999999997</v>
      </c>
      <c r="Z529">
        <v>89.132850000000005</v>
      </c>
      <c r="AA529">
        <v>10</v>
      </c>
      <c r="AB529">
        <v>0.42</v>
      </c>
      <c r="AC529">
        <v>217</v>
      </c>
      <c r="AD529">
        <v>4</v>
      </c>
    </row>
    <row r="530" spans="1:30" x14ac:dyDescent="0.55000000000000004">
      <c r="A530">
        <v>94567</v>
      </c>
      <c r="B530" s="19">
        <v>42526</v>
      </c>
      <c r="C530">
        <v>758</v>
      </c>
      <c r="D530">
        <v>2016</v>
      </c>
      <c r="E530">
        <v>25</v>
      </c>
      <c r="F530">
        <v>581</v>
      </c>
      <c r="G530">
        <v>2</v>
      </c>
      <c r="H530">
        <v>120</v>
      </c>
      <c r="I530">
        <v>3</v>
      </c>
      <c r="J530">
        <v>4630.45</v>
      </c>
      <c r="K530">
        <v>8714.94</v>
      </c>
      <c r="L530">
        <v>4630.79</v>
      </c>
      <c r="M530">
        <v>8713.89</v>
      </c>
      <c r="N530">
        <v>46.5075</v>
      </c>
      <c r="O530">
        <v>-87.248999999999995</v>
      </c>
      <c r="P530">
        <v>46.513167000000003</v>
      </c>
      <c r="Q530">
        <v>-87.231499999999997</v>
      </c>
      <c r="R530">
        <v>3733.016885</v>
      </c>
      <c r="S530">
        <v>19.899999999999999</v>
      </c>
      <c r="T530">
        <v>25.5</v>
      </c>
      <c r="U530">
        <v>0.5</v>
      </c>
      <c r="V530">
        <v>2</v>
      </c>
      <c r="W530">
        <v>9</v>
      </c>
      <c r="X530">
        <v>8.6829000000000001</v>
      </c>
      <c r="Y530">
        <v>0.61114999999999997</v>
      </c>
      <c r="Z530">
        <v>89.132850000000005</v>
      </c>
      <c r="AA530">
        <v>10</v>
      </c>
      <c r="AB530">
        <v>0.42</v>
      </c>
      <c r="AC530">
        <v>217</v>
      </c>
      <c r="AD530">
        <v>3</v>
      </c>
    </row>
    <row r="531" spans="1:30" x14ac:dyDescent="0.55000000000000004">
      <c r="A531">
        <v>94569</v>
      </c>
      <c r="B531" s="19">
        <v>42526</v>
      </c>
      <c r="C531">
        <v>1043</v>
      </c>
      <c r="D531">
        <v>2016</v>
      </c>
      <c r="E531">
        <v>25</v>
      </c>
      <c r="F531">
        <v>582</v>
      </c>
      <c r="G531">
        <v>2</v>
      </c>
      <c r="H531">
        <v>88</v>
      </c>
      <c r="I531">
        <v>3</v>
      </c>
      <c r="J531">
        <v>4631.43</v>
      </c>
      <c r="K531">
        <v>8655.26</v>
      </c>
      <c r="L531">
        <v>4631.6000000000004</v>
      </c>
      <c r="M531">
        <v>8654.7999999999993</v>
      </c>
      <c r="N531">
        <v>46.523833000000003</v>
      </c>
      <c r="O531">
        <v>-86.921000000000006</v>
      </c>
      <c r="P531">
        <v>46.526667000000003</v>
      </c>
      <c r="Q531">
        <v>-86.913332999999994</v>
      </c>
      <c r="R531">
        <v>4575.3649349999996</v>
      </c>
      <c r="S531">
        <v>33.5</v>
      </c>
      <c r="T531">
        <v>43.5</v>
      </c>
      <c r="U531">
        <v>0.5</v>
      </c>
      <c r="V531">
        <v>2</v>
      </c>
      <c r="W531">
        <v>8.1999999999999993</v>
      </c>
      <c r="X531">
        <v>8.04575</v>
      </c>
      <c r="Y531">
        <v>0.34565000000000001</v>
      </c>
      <c r="Z531">
        <v>88.272199999999998</v>
      </c>
      <c r="AA531">
        <v>10</v>
      </c>
      <c r="AB531">
        <v>0.42</v>
      </c>
      <c r="AC531">
        <v>217</v>
      </c>
      <c r="AD531">
        <v>4</v>
      </c>
    </row>
    <row r="532" spans="1:30" x14ac:dyDescent="0.55000000000000004">
      <c r="A532">
        <v>94570</v>
      </c>
      <c r="B532" s="19">
        <v>42526</v>
      </c>
      <c r="C532">
        <v>1043</v>
      </c>
      <c r="D532">
        <v>2016</v>
      </c>
      <c r="E532">
        <v>25</v>
      </c>
      <c r="F532">
        <v>583</v>
      </c>
      <c r="G532">
        <v>2</v>
      </c>
      <c r="H532">
        <v>88</v>
      </c>
      <c r="I532">
        <v>3</v>
      </c>
      <c r="J532">
        <v>4631.43</v>
      </c>
      <c r="K532">
        <v>8655.26</v>
      </c>
      <c r="L532">
        <v>4631.6000000000004</v>
      </c>
      <c r="M532">
        <v>8654.7999999999993</v>
      </c>
      <c r="N532">
        <v>46.523833000000003</v>
      </c>
      <c r="O532">
        <v>-86.921000000000006</v>
      </c>
      <c r="P532">
        <v>46.526667000000003</v>
      </c>
      <c r="Q532">
        <v>-86.913332999999994</v>
      </c>
      <c r="R532">
        <v>4575.3649349999996</v>
      </c>
      <c r="S532">
        <v>33.5</v>
      </c>
      <c r="T532">
        <v>43.5</v>
      </c>
      <c r="U532">
        <v>0.5</v>
      </c>
      <c r="V532">
        <v>2</v>
      </c>
      <c r="W532">
        <v>8.1999999999999993</v>
      </c>
      <c r="X532">
        <v>8.04575</v>
      </c>
      <c r="Y532">
        <v>0.34565000000000001</v>
      </c>
      <c r="Z532">
        <v>88.272199999999998</v>
      </c>
      <c r="AA532">
        <v>10</v>
      </c>
      <c r="AB532">
        <v>0.42</v>
      </c>
      <c r="AC532">
        <v>217</v>
      </c>
      <c r="AD532">
        <v>7</v>
      </c>
    </row>
    <row r="533" spans="1:30" x14ac:dyDescent="0.55000000000000004">
      <c r="A533">
        <v>94573</v>
      </c>
      <c r="B533" s="19">
        <v>42526</v>
      </c>
      <c r="C533">
        <v>1249</v>
      </c>
      <c r="D533">
        <v>2016</v>
      </c>
      <c r="E533">
        <v>25</v>
      </c>
      <c r="F533">
        <v>584</v>
      </c>
      <c r="G533">
        <v>2</v>
      </c>
      <c r="H533">
        <v>209</v>
      </c>
      <c r="I533">
        <v>3</v>
      </c>
      <c r="J533">
        <v>4631.6400000000003</v>
      </c>
      <c r="K533">
        <v>8642.9</v>
      </c>
      <c r="L533">
        <v>4631.84</v>
      </c>
      <c r="M533">
        <v>8643.39</v>
      </c>
      <c r="N533">
        <v>46.527332999999999</v>
      </c>
      <c r="O533">
        <v>-86.715000000000003</v>
      </c>
      <c r="P533">
        <v>46.530667000000001</v>
      </c>
      <c r="Q533">
        <v>-86.723167000000004</v>
      </c>
      <c r="R533">
        <v>508.61472559999999</v>
      </c>
      <c r="S533">
        <v>52.3</v>
      </c>
      <c r="T533">
        <v>85.3</v>
      </c>
      <c r="U533">
        <v>0.5</v>
      </c>
      <c r="V533">
        <v>2</v>
      </c>
      <c r="W533">
        <v>8.5</v>
      </c>
      <c r="X533">
        <v>8.3512000000000004</v>
      </c>
      <c r="Y533">
        <v>0.40100000000000002</v>
      </c>
      <c r="Z533">
        <v>87.124099999999999</v>
      </c>
      <c r="AA533">
        <v>10</v>
      </c>
      <c r="AB533">
        <v>0.43</v>
      </c>
      <c r="AC533">
        <v>217</v>
      </c>
      <c r="AD533">
        <v>5</v>
      </c>
    </row>
    <row r="534" spans="1:30" x14ac:dyDescent="0.55000000000000004">
      <c r="A534">
        <v>94574</v>
      </c>
      <c r="B534" s="19">
        <v>42526</v>
      </c>
      <c r="C534">
        <v>1249</v>
      </c>
      <c r="D534">
        <v>2016</v>
      </c>
      <c r="E534">
        <v>25</v>
      </c>
      <c r="F534">
        <v>585</v>
      </c>
      <c r="G534">
        <v>2</v>
      </c>
      <c r="H534">
        <v>209</v>
      </c>
      <c r="I534">
        <v>3</v>
      </c>
      <c r="J534">
        <v>4631.6400000000003</v>
      </c>
      <c r="K534">
        <v>8642.9</v>
      </c>
      <c r="L534">
        <v>4631.84</v>
      </c>
      <c r="M534">
        <v>8643.39</v>
      </c>
      <c r="N534">
        <v>46.527332999999999</v>
      </c>
      <c r="O534">
        <v>-86.715000000000003</v>
      </c>
      <c r="P534">
        <v>46.530667000000001</v>
      </c>
      <c r="Q534">
        <v>-86.723167000000004</v>
      </c>
      <c r="R534">
        <v>508.61472559999999</v>
      </c>
      <c r="S534">
        <v>52.3</v>
      </c>
      <c r="T534">
        <v>85.3</v>
      </c>
      <c r="U534">
        <v>0.5</v>
      </c>
      <c r="V534">
        <v>2</v>
      </c>
      <c r="W534">
        <v>8.5</v>
      </c>
      <c r="X534">
        <v>8.3512000000000004</v>
      </c>
      <c r="Y534">
        <v>0.40100000000000002</v>
      </c>
      <c r="Z534">
        <v>87.124099999999999</v>
      </c>
      <c r="AA534">
        <v>10</v>
      </c>
      <c r="AB534">
        <v>0.43</v>
      </c>
      <c r="AC534">
        <v>217</v>
      </c>
      <c r="AD534">
        <v>2</v>
      </c>
    </row>
    <row r="535" spans="1:30" x14ac:dyDescent="0.55000000000000004">
      <c r="A535">
        <v>94575</v>
      </c>
      <c r="B535" s="19">
        <v>42526</v>
      </c>
      <c r="C535">
        <v>1535</v>
      </c>
      <c r="D535">
        <v>2016</v>
      </c>
      <c r="E535">
        <v>25</v>
      </c>
      <c r="F535">
        <v>586</v>
      </c>
      <c r="G535">
        <v>2</v>
      </c>
      <c r="H535">
        <v>178</v>
      </c>
      <c r="I535">
        <v>3</v>
      </c>
      <c r="J535">
        <v>4639.47</v>
      </c>
      <c r="K535">
        <v>8618.57</v>
      </c>
      <c r="L535">
        <v>4639.6899999999996</v>
      </c>
      <c r="M535">
        <v>8619.01</v>
      </c>
      <c r="N535">
        <v>46.657832999999997</v>
      </c>
      <c r="O535">
        <v>-86.3095</v>
      </c>
      <c r="P535">
        <v>46.661499999999997</v>
      </c>
      <c r="Q535">
        <v>-86.316833000000003</v>
      </c>
      <c r="R535">
        <v>5623.3878450000002</v>
      </c>
      <c r="S535">
        <v>30.3</v>
      </c>
      <c r="T535">
        <v>38</v>
      </c>
      <c r="U535">
        <v>0.5</v>
      </c>
      <c r="V535">
        <v>2</v>
      </c>
      <c r="W535">
        <v>7.2</v>
      </c>
      <c r="X535">
        <v>7.1214000000000004</v>
      </c>
      <c r="Y535">
        <v>0.45900000000000002</v>
      </c>
      <c r="Z535">
        <v>88.928299999999993</v>
      </c>
      <c r="AA535">
        <v>10</v>
      </c>
      <c r="AB535">
        <v>0.43</v>
      </c>
      <c r="AC535">
        <v>217</v>
      </c>
      <c r="AD535">
        <v>3</v>
      </c>
    </row>
    <row r="536" spans="1:30" x14ac:dyDescent="0.55000000000000004">
      <c r="A536">
        <v>94576</v>
      </c>
      <c r="B536" s="19">
        <v>42526</v>
      </c>
      <c r="C536">
        <v>1535</v>
      </c>
      <c r="D536">
        <v>2016</v>
      </c>
      <c r="E536">
        <v>25</v>
      </c>
      <c r="F536">
        <v>587</v>
      </c>
      <c r="G536">
        <v>2</v>
      </c>
      <c r="H536">
        <v>178</v>
      </c>
      <c r="I536">
        <v>3</v>
      </c>
      <c r="J536">
        <v>4639.47</v>
      </c>
      <c r="K536">
        <v>8618.57</v>
      </c>
      <c r="L536">
        <v>4639.6899999999996</v>
      </c>
      <c r="M536">
        <v>8619.01</v>
      </c>
      <c r="N536">
        <v>46.657832999999997</v>
      </c>
      <c r="O536">
        <v>-86.3095</v>
      </c>
      <c r="P536">
        <v>46.661499999999997</v>
      </c>
      <c r="Q536">
        <v>-86.316833000000003</v>
      </c>
      <c r="R536">
        <v>5623.3878450000002</v>
      </c>
      <c r="S536">
        <v>30.3</v>
      </c>
      <c r="T536">
        <v>38</v>
      </c>
      <c r="U536">
        <v>0.5</v>
      </c>
      <c r="V536">
        <v>2</v>
      </c>
      <c r="W536">
        <v>7.2</v>
      </c>
      <c r="X536">
        <v>7.1214000000000004</v>
      </c>
      <c r="Y536">
        <v>0.45900000000000002</v>
      </c>
      <c r="Z536">
        <v>88.928299999999993</v>
      </c>
      <c r="AA536">
        <v>10</v>
      </c>
      <c r="AB536">
        <v>0.43</v>
      </c>
      <c r="AC536">
        <v>217</v>
      </c>
      <c r="AD536">
        <v>2</v>
      </c>
    </row>
    <row r="537" spans="1:30" x14ac:dyDescent="0.55000000000000004">
      <c r="A537">
        <v>94578</v>
      </c>
      <c r="B537" s="19">
        <v>42527</v>
      </c>
      <c r="C537">
        <v>803</v>
      </c>
      <c r="D537">
        <v>2016</v>
      </c>
      <c r="E537">
        <v>25</v>
      </c>
      <c r="F537">
        <v>588</v>
      </c>
      <c r="G537">
        <v>2</v>
      </c>
      <c r="H537">
        <v>174</v>
      </c>
      <c r="I537">
        <v>3</v>
      </c>
      <c r="J537">
        <v>4643.3900000000003</v>
      </c>
      <c r="K537">
        <v>8546.07</v>
      </c>
      <c r="L537">
        <v>4643.74</v>
      </c>
      <c r="M537">
        <v>8546.08</v>
      </c>
      <c r="N537">
        <v>46.723166999999997</v>
      </c>
      <c r="O537">
        <v>-85.767832999999996</v>
      </c>
      <c r="P537">
        <v>46.728999999999999</v>
      </c>
      <c r="Q537">
        <v>-85.768000000000001</v>
      </c>
      <c r="R537">
        <v>5117.9945829999997</v>
      </c>
      <c r="S537">
        <v>19.5</v>
      </c>
      <c r="T537">
        <v>21.4</v>
      </c>
      <c r="U537">
        <v>0.5</v>
      </c>
      <c r="V537">
        <v>2</v>
      </c>
      <c r="W537">
        <v>7</v>
      </c>
      <c r="AA537">
        <v>10</v>
      </c>
      <c r="AB537">
        <v>0.38</v>
      </c>
      <c r="AC537">
        <v>217</v>
      </c>
      <c r="AD537">
        <v>5</v>
      </c>
    </row>
    <row r="538" spans="1:30" x14ac:dyDescent="0.55000000000000004">
      <c r="A538">
        <v>94579</v>
      </c>
      <c r="B538" s="19">
        <v>42527</v>
      </c>
      <c r="C538">
        <v>803</v>
      </c>
      <c r="D538">
        <v>2016</v>
      </c>
      <c r="E538">
        <v>25</v>
      </c>
      <c r="F538">
        <v>589</v>
      </c>
      <c r="G538">
        <v>2</v>
      </c>
      <c r="H538">
        <v>174</v>
      </c>
      <c r="I538">
        <v>3</v>
      </c>
      <c r="J538">
        <v>4643.3900000000003</v>
      </c>
      <c r="K538">
        <v>8546.07</v>
      </c>
      <c r="L538">
        <v>4643.74</v>
      </c>
      <c r="M538">
        <v>8546.08</v>
      </c>
      <c r="N538">
        <v>46.723166999999997</v>
      </c>
      <c r="O538">
        <v>-85.767832999999996</v>
      </c>
      <c r="P538">
        <v>46.728999999999999</v>
      </c>
      <c r="Q538">
        <v>-85.768000000000001</v>
      </c>
      <c r="R538">
        <v>5117.9945829999997</v>
      </c>
      <c r="S538">
        <v>19.5</v>
      </c>
      <c r="T538">
        <v>21.4</v>
      </c>
      <c r="U538">
        <v>0.5</v>
      </c>
      <c r="V538">
        <v>2</v>
      </c>
      <c r="W538">
        <v>7</v>
      </c>
      <c r="AA538">
        <v>10</v>
      </c>
      <c r="AB538">
        <v>0.38</v>
      </c>
      <c r="AC538">
        <v>217</v>
      </c>
      <c r="AD538">
        <v>6</v>
      </c>
    </row>
    <row r="539" spans="1:30" x14ac:dyDescent="0.55000000000000004">
      <c r="A539">
        <v>94581</v>
      </c>
      <c r="B539" s="19">
        <v>42527</v>
      </c>
      <c r="C539">
        <v>1109</v>
      </c>
      <c r="D539">
        <v>2016</v>
      </c>
      <c r="E539">
        <v>25</v>
      </c>
      <c r="F539">
        <v>590</v>
      </c>
      <c r="G539">
        <v>2</v>
      </c>
      <c r="H539">
        <v>176</v>
      </c>
      <c r="I539">
        <v>3</v>
      </c>
      <c r="J539">
        <v>4646.42</v>
      </c>
      <c r="K539">
        <v>8518.0300000000007</v>
      </c>
      <c r="L539">
        <v>4646.78</v>
      </c>
      <c r="M539">
        <v>8519.2199999999993</v>
      </c>
      <c r="N539">
        <v>46.773667000000003</v>
      </c>
      <c r="O539">
        <v>-85.3005</v>
      </c>
      <c r="P539">
        <v>46.779667000000003</v>
      </c>
      <c r="Q539">
        <v>-85.320333000000005</v>
      </c>
      <c r="R539">
        <v>5180.0277290000004</v>
      </c>
      <c r="S539">
        <v>19.8</v>
      </c>
      <c r="T539">
        <v>23.3</v>
      </c>
      <c r="U539">
        <v>0.5</v>
      </c>
      <c r="V539">
        <v>2</v>
      </c>
      <c r="W539">
        <v>7.8</v>
      </c>
      <c r="X539">
        <v>7.5301999999999998</v>
      </c>
      <c r="Y539">
        <v>0.13785</v>
      </c>
      <c r="Z539">
        <v>85.181700000000006</v>
      </c>
      <c r="AA539">
        <v>10</v>
      </c>
      <c r="AB539">
        <v>0.42</v>
      </c>
      <c r="AC539">
        <v>217</v>
      </c>
      <c r="AD539">
        <v>2</v>
      </c>
    </row>
    <row r="540" spans="1:30" x14ac:dyDescent="0.55000000000000004">
      <c r="A540">
        <v>94582</v>
      </c>
      <c r="B540" s="19">
        <v>42527</v>
      </c>
      <c r="C540">
        <v>1109</v>
      </c>
      <c r="D540">
        <v>2016</v>
      </c>
      <c r="E540">
        <v>25</v>
      </c>
      <c r="F540">
        <v>591</v>
      </c>
      <c r="G540">
        <v>2</v>
      </c>
      <c r="H540">
        <v>176</v>
      </c>
      <c r="I540">
        <v>3</v>
      </c>
      <c r="J540">
        <v>4646.42</v>
      </c>
      <c r="K540">
        <v>8518.0300000000007</v>
      </c>
      <c r="L540">
        <v>4646.78</v>
      </c>
      <c r="M540">
        <v>8519.2199999999993</v>
      </c>
      <c r="N540">
        <v>46.773667000000003</v>
      </c>
      <c r="O540">
        <v>-85.3005</v>
      </c>
      <c r="P540">
        <v>46.779667000000003</v>
      </c>
      <c r="Q540">
        <v>-85.320333000000005</v>
      </c>
      <c r="R540">
        <v>5180.0277290000004</v>
      </c>
      <c r="S540">
        <v>19.8</v>
      </c>
      <c r="T540">
        <v>23.3</v>
      </c>
      <c r="U540">
        <v>0.5</v>
      </c>
      <c r="V540">
        <v>2</v>
      </c>
      <c r="W540">
        <v>7.8</v>
      </c>
      <c r="X540">
        <v>7.5301999999999998</v>
      </c>
      <c r="Y540">
        <v>0.13785</v>
      </c>
      <c r="Z540">
        <v>85.181700000000006</v>
      </c>
      <c r="AA540">
        <v>10</v>
      </c>
      <c r="AB540">
        <v>0.42</v>
      </c>
      <c r="AC540">
        <v>217</v>
      </c>
      <c r="AD540">
        <v>1</v>
      </c>
    </row>
    <row r="541" spans="1:30" x14ac:dyDescent="0.55000000000000004">
      <c r="A541">
        <v>94584</v>
      </c>
      <c r="B541" s="19">
        <v>42527</v>
      </c>
      <c r="C541">
        <v>1418</v>
      </c>
      <c r="D541">
        <v>2016</v>
      </c>
      <c r="E541">
        <v>25</v>
      </c>
      <c r="F541">
        <v>592</v>
      </c>
      <c r="G541">
        <v>2</v>
      </c>
      <c r="H541">
        <v>175</v>
      </c>
      <c r="I541">
        <v>3</v>
      </c>
      <c r="J541">
        <v>4644.96</v>
      </c>
      <c r="K541">
        <v>8456.84</v>
      </c>
      <c r="L541">
        <v>4644.97</v>
      </c>
      <c r="M541">
        <v>8456.2800000000007</v>
      </c>
      <c r="N541">
        <v>46.749333</v>
      </c>
      <c r="O541">
        <v>-84.947333</v>
      </c>
      <c r="P541">
        <v>46.749499999999998</v>
      </c>
      <c r="Q541">
        <v>-84.938000000000002</v>
      </c>
      <c r="R541">
        <v>1824.613143</v>
      </c>
      <c r="S541">
        <v>50.5</v>
      </c>
      <c r="T541">
        <v>60.3</v>
      </c>
      <c r="U541">
        <v>0.5</v>
      </c>
      <c r="V541">
        <v>2</v>
      </c>
      <c r="W541">
        <v>6.3</v>
      </c>
      <c r="X541">
        <v>7.5383500000000003</v>
      </c>
      <c r="Y541">
        <v>1.44E-2</v>
      </c>
      <c r="Z541">
        <v>72.378600000000006</v>
      </c>
      <c r="AA541">
        <v>10</v>
      </c>
      <c r="AB541">
        <v>0.43</v>
      </c>
      <c r="AC541">
        <v>0</v>
      </c>
      <c r="AD541">
        <v>0</v>
      </c>
    </row>
    <row r="542" spans="1:30" x14ac:dyDescent="0.55000000000000004">
      <c r="A542">
        <v>94585</v>
      </c>
      <c r="B542" s="19">
        <v>42527</v>
      </c>
      <c r="C542">
        <v>1418</v>
      </c>
      <c r="D542">
        <v>2016</v>
      </c>
      <c r="E542">
        <v>25</v>
      </c>
      <c r="F542">
        <v>593</v>
      </c>
      <c r="G542">
        <v>2</v>
      </c>
      <c r="H542">
        <v>175</v>
      </c>
      <c r="I542">
        <v>3</v>
      </c>
      <c r="J542">
        <v>4644.96</v>
      </c>
      <c r="K542">
        <v>8456.84</v>
      </c>
      <c r="L542">
        <v>4644.97</v>
      </c>
      <c r="M542">
        <v>8456.2800000000007</v>
      </c>
      <c r="N542">
        <v>46.749333</v>
      </c>
      <c r="O542">
        <v>-84.947333</v>
      </c>
      <c r="P542">
        <v>46.749499999999998</v>
      </c>
      <c r="Q542">
        <v>-84.938000000000002</v>
      </c>
      <c r="R542">
        <v>1824.613143</v>
      </c>
      <c r="S542">
        <v>50.5</v>
      </c>
      <c r="T542">
        <v>60.3</v>
      </c>
      <c r="U542">
        <v>0.5</v>
      </c>
      <c r="V542">
        <v>2</v>
      </c>
      <c r="W542">
        <v>6.3</v>
      </c>
      <c r="X542">
        <v>7.5383500000000003</v>
      </c>
      <c r="Y542">
        <v>1.44E-2</v>
      </c>
      <c r="Z542">
        <v>72.378600000000006</v>
      </c>
      <c r="AA542">
        <v>10</v>
      </c>
      <c r="AB542">
        <v>0.43</v>
      </c>
      <c r="AC542">
        <v>0</v>
      </c>
      <c r="AD542">
        <v>0</v>
      </c>
    </row>
    <row r="543" spans="1:30" x14ac:dyDescent="0.55000000000000004">
      <c r="A543">
        <v>94587</v>
      </c>
      <c r="B543" s="19">
        <v>42528</v>
      </c>
      <c r="C543">
        <v>941</v>
      </c>
      <c r="D543">
        <v>2016</v>
      </c>
      <c r="E543">
        <v>25</v>
      </c>
      <c r="F543">
        <v>594</v>
      </c>
      <c r="G543">
        <v>2</v>
      </c>
      <c r="H543">
        <v>174</v>
      </c>
      <c r="I543">
        <v>3</v>
      </c>
      <c r="J543">
        <v>4630.97</v>
      </c>
      <c r="K543">
        <v>8442.59</v>
      </c>
      <c r="L543">
        <v>4630.7700000000004</v>
      </c>
      <c r="M543">
        <v>8442.1200000000008</v>
      </c>
      <c r="N543">
        <v>46.516167000000003</v>
      </c>
      <c r="O543">
        <v>-84.709833000000003</v>
      </c>
      <c r="P543">
        <v>46.512833000000001</v>
      </c>
      <c r="Q543">
        <v>-84.701999999999998</v>
      </c>
      <c r="R543">
        <v>5117.9945829999997</v>
      </c>
      <c r="S543">
        <v>25.5</v>
      </c>
      <c r="T543">
        <v>9.6</v>
      </c>
      <c r="U543">
        <v>0.5</v>
      </c>
      <c r="V543">
        <v>2</v>
      </c>
      <c r="W543">
        <v>9.3000000000000007</v>
      </c>
      <c r="X543">
        <v>9.2966499999999996</v>
      </c>
      <c r="Y543">
        <v>-1.1350000000000001E-2</v>
      </c>
      <c r="Z543">
        <v>83.251800000000003</v>
      </c>
      <c r="AA543">
        <v>10</v>
      </c>
      <c r="AB543">
        <v>0.42</v>
      </c>
      <c r="AC543">
        <v>217</v>
      </c>
      <c r="AD543">
        <v>8</v>
      </c>
    </row>
    <row r="544" spans="1:30" x14ac:dyDescent="0.55000000000000004">
      <c r="A544">
        <v>94588</v>
      </c>
      <c r="B544" s="19">
        <v>42528</v>
      </c>
      <c r="C544">
        <v>941</v>
      </c>
      <c r="D544">
        <v>2016</v>
      </c>
      <c r="E544">
        <v>25</v>
      </c>
      <c r="F544">
        <v>595</v>
      </c>
      <c r="G544">
        <v>2</v>
      </c>
      <c r="H544">
        <v>174</v>
      </c>
      <c r="I544">
        <v>3</v>
      </c>
      <c r="J544">
        <v>4630.97</v>
      </c>
      <c r="K544">
        <v>8442.59</v>
      </c>
      <c r="L544">
        <v>4630.7700000000004</v>
      </c>
      <c r="M544">
        <v>8442.1200000000008</v>
      </c>
      <c r="N544">
        <v>46.516167000000003</v>
      </c>
      <c r="O544">
        <v>-84.709833000000003</v>
      </c>
      <c r="P544">
        <v>46.512833000000001</v>
      </c>
      <c r="Q544">
        <v>-84.701999999999998</v>
      </c>
      <c r="R544">
        <v>5117.9945829999997</v>
      </c>
      <c r="S544">
        <v>25.5</v>
      </c>
      <c r="T544">
        <v>9.6</v>
      </c>
      <c r="U544">
        <v>0.5</v>
      </c>
      <c r="V544">
        <v>2</v>
      </c>
      <c r="W544">
        <v>9.3000000000000007</v>
      </c>
      <c r="X544">
        <v>9.2966499999999996</v>
      </c>
      <c r="Y544">
        <v>-1.1350000000000001E-2</v>
      </c>
      <c r="Z544">
        <v>83.251800000000003</v>
      </c>
      <c r="AA544">
        <v>10</v>
      </c>
      <c r="AB544">
        <v>0.42</v>
      </c>
      <c r="AC544">
        <v>217</v>
      </c>
      <c r="AD544">
        <v>4</v>
      </c>
    </row>
    <row r="545" spans="1:30" x14ac:dyDescent="0.55000000000000004">
      <c r="A545">
        <v>94590</v>
      </c>
      <c r="B545" s="19">
        <v>42528</v>
      </c>
      <c r="C545">
        <v>1122</v>
      </c>
      <c r="D545">
        <v>2016</v>
      </c>
      <c r="E545">
        <v>25</v>
      </c>
      <c r="F545">
        <v>596</v>
      </c>
      <c r="G545">
        <v>2</v>
      </c>
      <c r="H545">
        <v>193</v>
      </c>
      <c r="I545">
        <v>3</v>
      </c>
      <c r="J545">
        <v>4631.12</v>
      </c>
      <c r="K545">
        <v>8452.14</v>
      </c>
      <c r="L545">
        <v>4630.78</v>
      </c>
      <c r="M545">
        <v>8451.8700000000008</v>
      </c>
      <c r="N545">
        <v>46.518667000000001</v>
      </c>
      <c r="O545">
        <v>-84.869</v>
      </c>
      <c r="P545">
        <v>46.512999999999998</v>
      </c>
      <c r="Q545">
        <v>-84.864500000000007</v>
      </c>
      <c r="R545">
        <v>4531.7732919999999</v>
      </c>
      <c r="S545">
        <v>42.2</v>
      </c>
      <c r="T545">
        <v>46</v>
      </c>
      <c r="U545">
        <v>0.5</v>
      </c>
      <c r="V545">
        <v>2</v>
      </c>
      <c r="W545">
        <v>9.5</v>
      </c>
      <c r="X545">
        <v>9.0592000000000006</v>
      </c>
      <c r="Y545">
        <v>-0.25774999999999998</v>
      </c>
      <c r="Z545">
        <v>37.029049999999998</v>
      </c>
      <c r="AA545">
        <v>10</v>
      </c>
      <c r="AB545">
        <v>0.43</v>
      </c>
      <c r="AC545">
        <v>217</v>
      </c>
      <c r="AD545">
        <v>9</v>
      </c>
    </row>
    <row r="546" spans="1:30" x14ac:dyDescent="0.55000000000000004">
      <c r="A546">
        <v>94591</v>
      </c>
      <c r="B546" s="19">
        <v>42528</v>
      </c>
      <c r="C546">
        <v>1122</v>
      </c>
      <c r="D546">
        <v>2016</v>
      </c>
      <c r="E546">
        <v>25</v>
      </c>
      <c r="F546">
        <v>597</v>
      </c>
      <c r="G546">
        <v>2</v>
      </c>
      <c r="H546">
        <v>193</v>
      </c>
      <c r="I546">
        <v>3</v>
      </c>
      <c r="J546">
        <v>4631.12</v>
      </c>
      <c r="K546">
        <v>8452.14</v>
      </c>
      <c r="L546">
        <v>4630.78</v>
      </c>
      <c r="M546">
        <v>8451.8700000000008</v>
      </c>
      <c r="N546">
        <v>46.518667000000001</v>
      </c>
      <c r="O546">
        <v>-84.869</v>
      </c>
      <c r="P546">
        <v>46.512999999999998</v>
      </c>
      <c r="Q546">
        <v>-84.864500000000007</v>
      </c>
      <c r="R546">
        <v>4531.7732919999999</v>
      </c>
      <c r="S546">
        <v>42.2</v>
      </c>
      <c r="T546">
        <v>46</v>
      </c>
      <c r="U546">
        <v>0.5</v>
      </c>
      <c r="V546">
        <v>2</v>
      </c>
      <c r="W546">
        <v>9.5</v>
      </c>
      <c r="X546">
        <v>9.0592000000000006</v>
      </c>
      <c r="Y546">
        <v>-0.25774999999999998</v>
      </c>
      <c r="Z546">
        <v>37.029049999999998</v>
      </c>
      <c r="AA546">
        <v>10</v>
      </c>
      <c r="AB546">
        <v>0.43</v>
      </c>
      <c r="AC546">
        <v>217</v>
      </c>
      <c r="AD546">
        <v>8</v>
      </c>
    </row>
    <row r="547" spans="1:30" x14ac:dyDescent="0.55000000000000004">
      <c r="A547">
        <v>94592</v>
      </c>
      <c r="B547" s="19">
        <v>42530</v>
      </c>
      <c r="C547">
        <v>932</v>
      </c>
      <c r="D547">
        <v>2016</v>
      </c>
      <c r="E547">
        <v>25</v>
      </c>
      <c r="F547">
        <v>598</v>
      </c>
      <c r="G547">
        <v>2</v>
      </c>
      <c r="H547">
        <v>460</v>
      </c>
      <c r="I547">
        <v>3</v>
      </c>
      <c r="J547">
        <v>4640.7</v>
      </c>
      <c r="K547">
        <v>8433.6</v>
      </c>
      <c r="L547">
        <v>4640.43</v>
      </c>
      <c r="M547">
        <v>8433.9699999999993</v>
      </c>
      <c r="N547">
        <v>46.678333000000002</v>
      </c>
      <c r="O547">
        <v>-84.56</v>
      </c>
      <c r="P547">
        <v>46.673833000000002</v>
      </c>
      <c r="Q547">
        <v>-84.566166999999993</v>
      </c>
      <c r="R547">
        <v>632.35152389999996</v>
      </c>
      <c r="S547">
        <v>16.2</v>
      </c>
      <c r="T547">
        <v>22.9</v>
      </c>
      <c r="U547">
        <v>0.5</v>
      </c>
      <c r="V547">
        <v>2</v>
      </c>
      <c r="W547">
        <v>10</v>
      </c>
      <c r="X547">
        <v>9.8653499999999994</v>
      </c>
      <c r="Y547">
        <v>0.12035</v>
      </c>
      <c r="Z547">
        <v>83.845699999999994</v>
      </c>
      <c r="AA547">
        <v>10</v>
      </c>
      <c r="AB547">
        <v>0.43</v>
      </c>
      <c r="AC547">
        <v>217</v>
      </c>
      <c r="AD547">
        <v>4</v>
      </c>
    </row>
    <row r="548" spans="1:30" x14ac:dyDescent="0.55000000000000004">
      <c r="A548">
        <v>94593</v>
      </c>
      <c r="B548" s="19">
        <v>42530</v>
      </c>
      <c r="C548">
        <v>932</v>
      </c>
      <c r="D548">
        <v>2016</v>
      </c>
      <c r="E548">
        <v>25</v>
      </c>
      <c r="F548">
        <v>599</v>
      </c>
      <c r="G548">
        <v>2</v>
      </c>
      <c r="H548">
        <v>460</v>
      </c>
      <c r="I548">
        <v>3</v>
      </c>
      <c r="J548">
        <v>4640.7</v>
      </c>
      <c r="K548">
        <v>8433.6</v>
      </c>
      <c r="L548">
        <v>4640.43</v>
      </c>
      <c r="M548">
        <v>8433.9699999999993</v>
      </c>
      <c r="N548">
        <v>46.678333000000002</v>
      </c>
      <c r="O548">
        <v>-84.56</v>
      </c>
      <c r="P548">
        <v>46.673833000000002</v>
      </c>
      <c r="Q548">
        <v>-84.566166999999993</v>
      </c>
      <c r="R548">
        <v>632.35152389999996</v>
      </c>
      <c r="S548">
        <v>16.2</v>
      </c>
      <c r="T548">
        <v>22.9</v>
      </c>
      <c r="U548">
        <v>0.5</v>
      </c>
      <c r="V548">
        <v>2</v>
      </c>
      <c r="W548">
        <v>10</v>
      </c>
      <c r="X548">
        <v>9.8653499999999994</v>
      </c>
      <c r="Y548">
        <v>0.12035</v>
      </c>
      <c r="Z548">
        <v>83.845699999999994</v>
      </c>
      <c r="AA548">
        <v>10</v>
      </c>
      <c r="AB548">
        <v>0.43</v>
      </c>
      <c r="AC548">
        <v>217</v>
      </c>
      <c r="AD548">
        <v>1</v>
      </c>
    </row>
    <row r="549" spans="1:30" x14ac:dyDescent="0.55000000000000004">
      <c r="A549">
        <v>94594</v>
      </c>
      <c r="B549" s="19">
        <v>42530</v>
      </c>
      <c r="C549">
        <v>1214</v>
      </c>
      <c r="D549">
        <v>2016</v>
      </c>
      <c r="E549">
        <v>25</v>
      </c>
      <c r="F549">
        <v>600</v>
      </c>
      <c r="G549">
        <v>2</v>
      </c>
      <c r="H549">
        <v>459</v>
      </c>
      <c r="I549">
        <v>3</v>
      </c>
      <c r="J549">
        <v>4646.3</v>
      </c>
      <c r="K549">
        <v>8435.68</v>
      </c>
      <c r="L549">
        <v>4646.17</v>
      </c>
      <c r="M549">
        <v>8436.23</v>
      </c>
      <c r="N549">
        <v>46.771667000000001</v>
      </c>
      <c r="O549">
        <v>-84.594667000000001</v>
      </c>
      <c r="P549">
        <v>46.769500000000001</v>
      </c>
      <c r="Q549">
        <v>-84.603832999999995</v>
      </c>
      <c r="R549">
        <v>2748.0519340000001</v>
      </c>
      <c r="S549">
        <v>18.8</v>
      </c>
      <c r="T549">
        <v>31.3</v>
      </c>
      <c r="U549">
        <v>0.5</v>
      </c>
      <c r="V549">
        <v>2</v>
      </c>
      <c r="W549">
        <v>9.3000000000000007</v>
      </c>
      <c r="X549">
        <v>7.6633500000000003</v>
      </c>
      <c r="Y549">
        <v>4.3200000000000002E-2</v>
      </c>
      <c r="Z549">
        <v>72.246099999999998</v>
      </c>
      <c r="AA549">
        <v>10</v>
      </c>
      <c r="AB549">
        <v>0.47</v>
      </c>
      <c r="AC549">
        <v>0</v>
      </c>
      <c r="AD549">
        <v>0</v>
      </c>
    </row>
    <row r="550" spans="1:30" x14ac:dyDescent="0.55000000000000004">
      <c r="A550">
        <v>94595</v>
      </c>
      <c r="B550" s="19">
        <v>42530</v>
      </c>
      <c r="C550">
        <v>1214</v>
      </c>
      <c r="D550">
        <v>2016</v>
      </c>
      <c r="E550">
        <v>25</v>
      </c>
      <c r="F550">
        <v>601</v>
      </c>
      <c r="G550">
        <v>2</v>
      </c>
      <c r="H550">
        <v>459</v>
      </c>
      <c r="I550">
        <v>3</v>
      </c>
      <c r="J550">
        <v>4646.3</v>
      </c>
      <c r="K550">
        <v>8435.68</v>
      </c>
      <c r="L550">
        <v>4646.17</v>
      </c>
      <c r="M550">
        <v>8436.23</v>
      </c>
      <c r="N550">
        <v>46.771667000000001</v>
      </c>
      <c r="O550">
        <v>-84.594667000000001</v>
      </c>
      <c r="P550">
        <v>46.769500000000001</v>
      </c>
      <c r="Q550">
        <v>-84.603832999999995</v>
      </c>
      <c r="R550">
        <v>2748.0519340000001</v>
      </c>
      <c r="S550">
        <v>18.8</v>
      </c>
      <c r="T550">
        <v>31.3</v>
      </c>
      <c r="U550">
        <v>0.5</v>
      </c>
      <c r="V550">
        <v>2</v>
      </c>
      <c r="W550">
        <v>9.3000000000000007</v>
      </c>
      <c r="X550">
        <v>7.6633500000000003</v>
      </c>
      <c r="Y550">
        <v>4.3200000000000002E-2</v>
      </c>
      <c r="Z550">
        <v>72.246099999999998</v>
      </c>
      <c r="AA550">
        <v>10</v>
      </c>
      <c r="AB550">
        <v>0.47</v>
      </c>
      <c r="AC550">
        <v>0</v>
      </c>
      <c r="AD550">
        <v>0</v>
      </c>
    </row>
    <row r="551" spans="1:30" x14ac:dyDescent="0.55000000000000004">
      <c r="A551">
        <v>94598</v>
      </c>
      <c r="B551" s="19">
        <v>42530</v>
      </c>
      <c r="C551">
        <v>1437</v>
      </c>
      <c r="D551">
        <v>2016</v>
      </c>
      <c r="E551">
        <v>25</v>
      </c>
      <c r="F551">
        <v>602</v>
      </c>
      <c r="G551">
        <v>2</v>
      </c>
      <c r="H551">
        <v>461</v>
      </c>
      <c r="I551">
        <v>3</v>
      </c>
      <c r="J551">
        <v>4656.62</v>
      </c>
      <c r="K551">
        <v>8443.6200000000008</v>
      </c>
      <c r="L551">
        <v>4656.2700000000004</v>
      </c>
      <c r="M551">
        <v>8443.66</v>
      </c>
      <c r="N551">
        <v>46.943666999999998</v>
      </c>
      <c r="O551">
        <v>-84.727000000000004</v>
      </c>
      <c r="P551">
        <v>46.937832999999998</v>
      </c>
      <c r="Q551">
        <v>-84.727666999999997</v>
      </c>
      <c r="R551">
        <v>740.19289609999998</v>
      </c>
      <c r="S551">
        <v>47.2</v>
      </c>
      <c r="T551">
        <v>67.900000000000006</v>
      </c>
      <c r="U551">
        <v>0.5</v>
      </c>
      <c r="V551">
        <v>2</v>
      </c>
      <c r="W551">
        <v>5.7</v>
      </c>
      <c r="X551">
        <v>5.7316000000000003</v>
      </c>
      <c r="Y551">
        <v>0.11395</v>
      </c>
      <c r="Z551">
        <v>87.779049999999998</v>
      </c>
      <c r="AA551">
        <v>10</v>
      </c>
      <c r="AB551">
        <v>0.42</v>
      </c>
      <c r="AC551">
        <v>0</v>
      </c>
      <c r="AD551">
        <v>0</v>
      </c>
    </row>
    <row r="552" spans="1:30" x14ac:dyDescent="0.55000000000000004">
      <c r="A552">
        <v>94599</v>
      </c>
      <c r="B552" s="19">
        <v>42530</v>
      </c>
      <c r="C552">
        <v>1437</v>
      </c>
      <c r="D552">
        <v>2016</v>
      </c>
      <c r="E552">
        <v>25</v>
      </c>
      <c r="F552">
        <v>603</v>
      </c>
      <c r="G552">
        <v>2</v>
      </c>
      <c r="H552">
        <v>461</v>
      </c>
      <c r="I552">
        <v>3</v>
      </c>
      <c r="J552">
        <v>4656.62</v>
      </c>
      <c r="K552">
        <v>8443.6200000000008</v>
      </c>
      <c r="L552">
        <v>4656.2700000000004</v>
      </c>
      <c r="M552">
        <v>8443.66</v>
      </c>
      <c r="N552">
        <v>46.943666999999998</v>
      </c>
      <c r="O552">
        <v>-84.727000000000004</v>
      </c>
      <c r="P552">
        <v>46.937832999999998</v>
      </c>
      <c r="Q552">
        <v>-84.727666999999997</v>
      </c>
      <c r="R552">
        <v>740.19289609999998</v>
      </c>
      <c r="S552">
        <v>47.2</v>
      </c>
      <c r="T552">
        <v>67.900000000000006</v>
      </c>
      <c r="U552">
        <v>0.5</v>
      </c>
      <c r="V552">
        <v>2</v>
      </c>
      <c r="W552">
        <v>5.7</v>
      </c>
      <c r="X552">
        <v>5.7316000000000003</v>
      </c>
      <c r="Y552">
        <v>0.11395</v>
      </c>
      <c r="Z552">
        <v>87.779049999999998</v>
      </c>
      <c r="AA552">
        <v>10</v>
      </c>
      <c r="AB552">
        <v>0.42</v>
      </c>
      <c r="AC552">
        <v>109</v>
      </c>
      <c r="AD552">
        <v>1</v>
      </c>
    </row>
    <row r="553" spans="1:30" x14ac:dyDescent="0.55000000000000004">
      <c r="A553">
        <v>94601</v>
      </c>
      <c r="B553" s="19">
        <v>42530</v>
      </c>
      <c r="C553">
        <v>1712</v>
      </c>
      <c r="D553">
        <v>2016</v>
      </c>
      <c r="E553">
        <v>25</v>
      </c>
      <c r="F553">
        <v>604</v>
      </c>
      <c r="G553">
        <v>2</v>
      </c>
      <c r="H553">
        <v>457</v>
      </c>
      <c r="I553">
        <v>3</v>
      </c>
      <c r="J553">
        <v>4709.88</v>
      </c>
      <c r="K553">
        <v>8443.34</v>
      </c>
      <c r="L553">
        <v>4709.84</v>
      </c>
      <c r="M553">
        <v>8442.82</v>
      </c>
      <c r="N553">
        <v>47.164667000000001</v>
      </c>
      <c r="O553">
        <v>-84.722333000000006</v>
      </c>
      <c r="P553">
        <v>47.164000000000001</v>
      </c>
      <c r="Q553">
        <v>-84.713667000000001</v>
      </c>
      <c r="R553">
        <v>404.23685260000002</v>
      </c>
      <c r="S553">
        <v>168</v>
      </c>
      <c r="T553">
        <v>83.5</v>
      </c>
      <c r="U553">
        <v>0.5</v>
      </c>
      <c r="V553">
        <v>2</v>
      </c>
      <c r="W553">
        <v>9.5</v>
      </c>
      <c r="X553">
        <v>8.9365500000000004</v>
      </c>
      <c r="Y553">
        <v>0.19384999999999999</v>
      </c>
      <c r="Z553">
        <v>84.328649999999996</v>
      </c>
      <c r="AA553">
        <v>10</v>
      </c>
      <c r="AB553">
        <v>0.42</v>
      </c>
      <c r="AC553">
        <v>0</v>
      </c>
      <c r="AD553">
        <v>0</v>
      </c>
    </row>
    <row r="554" spans="1:30" x14ac:dyDescent="0.55000000000000004">
      <c r="A554">
        <v>94602</v>
      </c>
      <c r="B554" s="19">
        <v>42530</v>
      </c>
      <c r="C554">
        <v>1712</v>
      </c>
      <c r="D554">
        <v>2016</v>
      </c>
      <c r="E554">
        <v>25</v>
      </c>
      <c r="F554">
        <v>605</v>
      </c>
      <c r="G554">
        <v>2</v>
      </c>
      <c r="H554">
        <v>457</v>
      </c>
      <c r="I554">
        <v>3</v>
      </c>
      <c r="J554">
        <v>4709.88</v>
      </c>
      <c r="K554">
        <v>8443.34</v>
      </c>
      <c r="L554">
        <v>4709.84</v>
      </c>
      <c r="M554">
        <v>8442.82</v>
      </c>
      <c r="N554">
        <v>47.164667000000001</v>
      </c>
      <c r="O554">
        <v>-84.722333000000006</v>
      </c>
      <c r="P554">
        <v>47.164000000000001</v>
      </c>
      <c r="Q554">
        <v>-84.713667000000001</v>
      </c>
      <c r="R554">
        <v>404.23685260000002</v>
      </c>
      <c r="S554">
        <v>168</v>
      </c>
      <c r="T554">
        <v>83.5</v>
      </c>
      <c r="U554">
        <v>0.5</v>
      </c>
      <c r="V554">
        <v>2</v>
      </c>
      <c r="W554">
        <v>9.5</v>
      </c>
      <c r="X554">
        <v>8.9365500000000004</v>
      </c>
      <c r="Y554">
        <v>0.19384999999999999</v>
      </c>
      <c r="Z554">
        <v>84.328649999999996</v>
      </c>
      <c r="AA554">
        <v>10</v>
      </c>
      <c r="AB554">
        <v>0.42</v>
      </c>
      <c r="AC554">
        <v>109</v>
      </c>
      <c r="AD554">
        <v>1</v>
      </c>
    </row>
    <row r="555" spans="1:30" x14ac:dyDescent="0.55000000000000004">
      <c r="A555">
        <v>94605</v>
      </c>
      <c r="B555" s="19">
        <v>42531</v>
      </c>
      <c r="C555">
        <v>649</v>
      </c>
      <c r="D555">
        <v>2016</v>
      </c>
      <c r="E555">
        <v>25</v>
      </c>
      <c r="F555">
        <v>606</v>
      </c>
      <c r="G555">
        <v>2</v>
      </c>
      <c r="H555">
        <v>456</v>
      </c>
      <c r="I555">
        <v>3</v>
      </c>
      <c r="J555">
        <v>4719.0200000000004</v>
      </c>
      <c r="K555">
        <v>8438.73</v>
      </c>
      <c r="L555">
        <v>4718.83</v>
      </c>
      <c r="M555">
        <v>8439.31</v>
      </c>
      <c r="N555">
        <v>47.317</v>
      </c>
      <c r="O555">
        <v>-84.645499999999998</v>
      </c>
      <c r="P555">
        <v>47.313833000000002</v>
      </c>
      <c r="Q555">
        <v>-84.655167000000006</v>
      </c>
      <c r="R555">
        <v>2445.814742</v>
      </c>
      <c r="S555">
        <v>23.9</v>
      </c>
      <c r="T555">
        <v>51.7</v>
      </c>
      <c r="U555">
        <v>0.5</v>
      </c>
      <c r="V555">
        <v>2</v>
      </c>
      <c r="W555">
        <v>5.9</v>
      </c>
      <c r="X555">
        <v>6.4923500000000001</v>
      </c>
      <c r="Y555">
        <v>0.43020000000000003</v>
      </c>
      <c r="Z555">
        <v>87.390100000000004</v>
      </c>
      <c r="AA555">
        <v>10</v>
      </c>
      <c r="AB555">
        <v>0.48</v>
      </c>
      <c r="AC555">
        <v>109</v>
      </c>
      <c r="AD555">
        <v>92</v>
      </c>
    </row>
    <row r="556" spans="1:30" x14ac:dyDescent="0.55000000000000004">
      <c r="A556">
        <v>94605</v>
      </c>
      <c r="B556" s="19">
        <v>42531</v>
      </c>
      <c r="C556">
        <v>649</v>
      </c>
      <c r="D556">
        <v>2016</v>
      </c>
      <c r="E556">
        <v>25</v>
      </c>
      <c r="F556">
        <v>606</v>
      </c>
      <c r="G556">
        <v>2</v>
      </c>
      <c r="H556">
        <v>456</v>
      </c>
      <c r="I556">
        <v>3</v>
      </c>
      <c r="J556">
        <v>4719.0200000000004</v>
      </c>
      <c r="K556">
        <v>8438.73</v>
      </c>
      <c r="L556">
        <v>4718.83</v>
      </c>
      <c r="M556">
        <v>8439.31</v>
      </c>
      <c r="N556">
        <v>47.317</v>
      </c>
      <c r="O556">
        <v>-84.645499999999998</v>
      </c>
      <c r="P556">
        <v>47.313833000000002</v>
      </c>
      <c r="Q556">
        <v>-84.655167000000006</v>
      </c>
      <c r="R556">
        <v>2445.814742</v>
      </c>
      <c r="S556">
        <v>23.9</v>
      </c>
      <c r="T556">
        <v>51.7</v>
      </c>
      <c r="U556">
        <v>0.5</v>
      </c>
      <c r="V556">
        <v>2</v>
      </c>
      <c r="W556">
        <v>5.9</v>
      </c>
      <c r="X556">
        <v>6.4923500000000001</v>
      </c>
      <c r="Y556">
        <v>0.43020000000000003</v>
      </c>
      <c r="Z556">
        <v>87.390100000000004</v>
      </c>
      <c r="AA556">
        <v>10</v>
      </c>
      <c r="AB556">
        <v>0.48</v>
      </c>
      <c r="AC556">
        <v>217</v>
      </c>
      <c r="AD556">
        <v>93</v>
      </c>
    </row>
    <row r="557" spans="1:30" x14ac:dyDescent="0.55000000000000004">
      <c r="A557">
        <v>94606</v>
      </c>
      <c r="B557" s="19">
        <v>42531</v>
      </c>
      <c r="C557">
        <v>649</v>
      </c>
      <c r="D557">
        <v>2016</v>
      </c>
      <c r="E557">
        <v>25</v>
      </c>
      <c r="F557">
        <v>607</v>
      </c>
      <c r="G557">
        <v>2</v>
      </c>
      <c r="H557">
        <v>456</v>
      </c>
      <c r="I557">
        <v>3</v>
      </c>
      <c r="J557">
        <v>4719.0200000000004</v>
      </c>
      <c r="K557">
        <v>8438.73</v>
      </c>
      <c r="L557">
        <v>4718.83</v>
      </c>
      <c r="M557">
        <v>8439.31</v>
      </c>
      <c r="N557">
        <v>47.317</v>
      </c>
      <c r="O557">
        <v>-84.645499999999998</v>
      </c>
      <c r="P557">
        <v>47.313833000000002</v>
      </c>
      <c r="Q557">
        <v>-84.655167000000006</v>
      </c>
      <c r="R557">
        <v>2445.814742</v>
      </c>
      <c r="S557">
        <v>23.9</v>
      </c>
      <c r="T557">
        <v>51.7</v>
      </c>
      <c r="U557">
        <v>0.5</v>
      </c>
      <c r="V557">
        <v>2</v>
      </c>
      <c r="W557">
        <v>5.9</v>
      </c>
      <c r="X557">
        <v>6.4923500000000001</v>
      </c>
      <c r="Y557">
        <v>0.43020000000000003</v>
      </c>
      <c r="Z557">
        <v>87.390100000000004</v>
      </c>
      <c r="AA557">
        <v>10</v>
      </c>
      <c r="AB557">
        <v>0.48</v>
      </c>
      <c r="AC557">
        <v>109</v>
      </c>
      <c r="AD557">
        <v>91</v>
      </c>
    </row>
    <row r="558" spans="1:30" x14ac:dyDescent="0.55000000000000004">
      <c r="A558">
        <v>94606</v>
      </c>
      <c r="B558" s="19">
        <v>42531</v>
      </c>
      <c r="C558">
        <v>649</v>
      </c>
      <c r="D558">
        <v>2016</v>
      </c>
      <c r="E558">
        <v>25</v>
      </c>
      <c r="F558">
        <v>607</v>
      </c>
      <c r="G558">
        <v>2</v>
      </c>
      <c r="H558">
        <v>456</v>
      </c>
      <c r="I558">
        <v>3</v>
      </c>
      <c r="J558">
        <v>4719.0200000000004</v>
      </c>
      <c r="K558">
        <v>8438.73</v>
      </c>
      <c r="L558">
        <v>4718.83</v>
      </c>
      <c r="M558">
        <v>8439.31</v>
      </c>
      <c r="N558">
        <v>47.317</v>
      </c>
      <c r="O558">
        <v>-84.645499999999998</v>
      </c>
      <c r="P558">
        <v>47.313833000000002</v>
      </c>
      <c r="Q558">
        <v>-84.655167000000006</v>
      </c>
      <c r="R558">
        <v>2445.814742</v>
      </c>
      <c r="S558">
        <v>23.9</v>
      </c>
      <c r="T558">
        <v>51.7</v>
      </c>
      <c r="U558">
        <v>0.5</v>
      </c>
      <c r="V558">
        <v>2</v>
      </c>
      <c r="W558">
        <v>5.9</v>
      </c>
      <c r="X558">
        <v>6.4923500000000001</v>
      </c>
      <c r="Y558">
        <v>0.43020000000000003</v>
      </c>
      <c r="Z558">
        <v>87.390100000000004</v>
      </c>
      <c r="AA558">
        <v>10</v>
      </c>
      <c r="AB558">
        <v>0.48</v>
      </c>
      <c r="AC558">
        <v>217</v>
      </c>
      <c r="AD558">
        <v>92</v>
      </c>
    </row>
    <row r="559" spans="1:30" x14ac:dyDescent="0.55000000000000004">
      <c r="A559">
        <v>94607</v>
      </c>
      <c r="B559" s="19">
        <v>42531</v>
      </c>
      <c r="C559">
        <v>942</v>
      </c>
      <c r="D559">
        <v>2016</v>
      </c>
      <c r="E559">
        <v>25</v>
      </c>
      <c r="F559">
        <v>608</v>
      </c>
      <c r="G559">
        <v>2</v>
      </c>
      <c r="H559">
        <v>455</v>
      </c>
      <c r="I559">
        <v>3</v>
      </c>
      <c r="J559">
        <v>4733.17</v>
      </c>
      <c r="K559">
        <v>8457.61</v>
      </c>
      <c r="L559">
        <v>4732.97</v>
      </c>
      <c r="M559">
        <v>8458.19</v>
      </c>
      <c r="N559">
        <v>47.552833</v>
      </c>
      <c r="O559">
        <v>-84.960166999999998</v>
      </c>
      <c r="P559">
        <v>47.549500000000002</v>
      </c>
      <c r="Q559">
        <v>-84.969832999999994</v>
      </c>
      <c r="R559">
        <v>505.07846460000002</v>
      </c>
      <c r="S559">
        <v>50.5</v>
      </c>
      <c r="T559">
        <v>82.3</v>
      </c>
      <c r="U559">
        <v>0.5</v>
      </c>
      <c r="V559">
        <v>2</v>
      </c>
      <c r="W559">
        <v>5.0999999999999996</v>
      </c>
      <c r="X559">
        <v>6.0968</v>
      </c>
      <c r="Y559">
        <v>0.15415000000000001</v>
      </c>
      <c r="Z559">
        <v>86.278350000000003</v>
      </c>
      <c r="AA559">
        <v>10</v>
      </c>
      <c r="AB559">
        <v>0.48</v>
      </c>
      <c r="AC559">
        <v>109</v>
      </c>
      <c r="AD559">
        <v>6</v>
      </c>
    </row>
    <row r="560" spans="1:30" x14ac:dyDescent="0.55000000000000004">
      <c r="A560">
        <v>94607</v>
      </c>
      <c r="B560" s="19">
        <v>42531</v>
      </c>
      <c r="C560">
        <v>942</v>
      </c>
      <c r="D560">
        <v>2016</v>
      </c>
      <c r="E560">
        <v>25</v>
      </c>
      <c r="F560">
        <v>608</v>
      </c>
      <c r="G560">
        <v>2</v>
      </c>
      <c r="H560">
        <v>455</v>
      </c>
      <c r="I560">
        <v>3</v>
      </c>
      <c r="J560">
        <v>4733.17</v>
      </c>
      <c r="K560">
        <v>8457.61</v>
      </c>
      <c r="L560">
        <v>4732.97</v>
      </c>
      <c r="M560">
        <v>8458.19</v>
      </c>
      <c r="N560">
        <v>47.552833</v>
      </c>
      <c r="O560">
        <v>-84.960166999999998</v>
      </c>
      <c r="P560">
        <v>47.549500000000002</v>
      </c>
      <c r="Q560">
        <v>-84.969832999999994</v>
      </c>
      <c r="R560">
        <v>505.07846460000002</v>
      </c>
      <c r="S560">
        <v>50.5</v>
      </c>
      <c r="T560">
        <v>82.3</v>
      </c>
      <c r="U560">
        <v>0.5</v>
      </c>
      <c r="V560">
        <v>2</v>
      </c>
      <c r="W560">
        <v>5.0999999999999996</v>
      </c>
      <c r="X560">
        <v>6.0968</v>
      </c>
      <c r="Y560">
        <v>0.15415000000000001</v>
      </c>
      <c r="Z560">
        <v>86.278350000000003</v>
      </c>
      <c r="AA560">
        <v>10</v>
      </c>
      <c r="AB560">
        <v>0.48</v>
      </c>
      <c r="AC560">
        <v>217</v>
      </c>
      <c r="AD560">
        <v>7</v>
      </c>
    </row>
    <row r="561" spans="1:30" x14ac:dyDescent="0.55000000000000004">
      <c r="A561">
        <v>94608</v>
      </c>
      <c r="B561" s="19">
        <v>42531</v>
      </c>
      <c r="C561">
        <v>942</v>
      </c>
      <c r="D561">
        <v>2016</v>
      </c>
      <c r="E561">
        <v>25</v>
      </c>
      <c r="F561">
        <v>609</v>
      </c>
      <c r="G561">
        <v>2</v>
      </c>
      <c r="H561">
        <v>455</v>
      </c>
      <c r="I561">
        <v>3</v>
      </c>
      <c r="J561">
        <v>4733.17</v>
      </c>
      <c r="K561">
        <v>8457.61</v>
      </c>
      <c r="L561">
        <v>4732.97</v>
      </c>
      <c r="M561">
        <v>8458.19</v>
      </c>
      <c r="N561">
        <v>47.552833</v>
      </c>
      <c r="O561">
        <v>-84.960166999999998</v>
      </c>
      <c r="P561">
        <v>47.549500000000002</v>
      </c>
      <c r="Q561">
        <v>-84.969832999999994</v>
      </c>
      <c r="R561">
        <v>505.07846460000002</v>
      </c>
      <c r="S561">
        <v>50.5</v>
      </c>
      <c r="T561">
        <v>82.3</v>
      </c>
      <c r="U561">
        <v>0.5</v>
      </c>
      <c r="V561">
        <v>2</v>
      </c>
      <c r="W561">
        <v>5.0999999999999996</v>
      </c>
      <c r="X561">
        <v>6.0968</v>
      </c>
      <c r="Y561">
        <v>0.15415000000000001</v>
      </c>
      <c r="Z561">
        <v>86.278350000000003</v>
      </c>
      <c r="AA561">
        <v>10</v>
      </c>
      <c r="AB561">
        <v>0.48</v>
      </c>
      <c r="AC561">
        <v>217</v>
      </c>
      <c r="AD561">
        <v>2</v>
      </c>
    </row>
    <row r="562" spans="1:30" x14ac:dyDescent="0.55000000000000004">
      <c r="A562">
        <v>94610</v>
      </c>
      <c r="B562" s="19">
        <v>42531</v>
      </c>
      <c r="C562">
        <v>1128</v>
      </c>
      <c r="D562">
        <v>2016</v>
      </c>
      <c r="E562">
        <v>25</v>
      </c>
      <c r="F562">
        <v>610</v>
      </c>
      <c r="G562">
        <v>2</v>
      </c>
      <c r="H562">
        <v>454</v>
      </c>
      <c r="I562">
        <v>3</v>
      </c>
      <c r="J562">
        <v>4740.3900000000003</v>
      </c>
      <c r="K562">
        <v>8459.4699999999993</v>
      </c>
      <c r="L562">
        <v>4740.75</v>
      </c>
      <c r="M562">
        <v>8459.5300000000007</v>
      </c>
      <c r="N562">
        <v>47.673166999999999</v>
      </c>
      <c r="O562">
        <v>-84.991167000000004</v>
      </c>
      <c r="P562">
        <v>47.679167</v>
      </c>
      <c r="Q562">
        <v>-84.992166999999995</v>
      </c>
      <c r="R562">
        <v>392.59048360000003</v>
      </c>
      <c r="S562">
        <v>72.3</v>
      </c>
      <c r="T562">
        <v>76</v>
      </c>
      <c r="U562">
        <v>0.5</v>
      </c>
      <c r="V562">
        <v>2</v>
      </c>
      <c r="W562">
        <v>7.3</v>
      </c>
      <c r="X562">
        <v>7.7041500000000003</v>
      </c>
      <c r="Y562">
        <v>0.11335000000000001</v>
      </c>
      <c r="Z562">
        <v>81.240499999999997</v>
      </c>
      <c r="AA562">
        <v>10</v>
      </c>
      <c r="AB562">
        <v>0.45</v>
      </c>
      <c r="AC562">
        <v>217</v>
      </c>
      <c r="AD562">
        <v>7</v>
      </c>
    </row>
    <row r="563" spans="1:30" x14ac:dyDescent="0.55000000000000004">
      <c r="A563">
        <v>94611</v>
      </c>
      <c r="B563" s="19">
        <v>42531</v>
      </c>
      <c r="C563">
        <v>1128</v>
      </c>
      <c r="D563">
        <v>2016</v>
      </c>
      <c r="E563">
        <v>25</v>
      </c>
      <c r="F563">
        <v>611</v>
      </c>
      <c r="G563">
        <v>2</v>
      </c>
      <c r="H563">
        <v>454</v>
      </c>
      <c r="I563">
        <v>3</v>
      </c>
      <c r="J563">
        <v>4740.3900000000003</v>
      </c>
      <c r="K563">
        <v>8459.4699999999993</v>
      </c>
      <c r="L563">
        <v>4740.75</v>
      </c>
      <c r="M563">
        <v>8459.5300000000007</v>
      </c>
      <c r="N563">
        <v>47.673166999999999</v>
      </c>
      <c r="O563">
        <v>-84.991167000000004</v>
      </c>
      <c r="P563">
        <v>47.679167</v>
      </c>
      <c r="Q563">
        <v>-84.992166999999995</v>
      </c>
      <c r="R563">
        <v>392.59048360000003</v>
      </c>
      <c r="S563">
        <v>72.3</v>
      </c>
      <c r="T563">
        <v>76</v>
      </c>
      <c r="U563">
        <v>0.5</v>
      </c>
      <c r="V563">
        <v>2</v>
      </c>
      <c r="W563">
        <v>7.3</v>
      </c>
      <c r="X563">
        <v>7.7041500000000003</v>
      </c>
      <c r="Y563">
        <v>0.11335000000000001</v>
      </c>
      <c r="Z563">
        <v>81.240499999999997</v>
      </c>
      <c r="AA563">
        <v>10</v>
      </c>
      <c r="AB563">
        <v>0.45</v>
      </c>
      <c r="AC563">
        <v>217</v>
      </c>
      <c r="AD563">
        <v>5</v>
      </c>
    </row>
    <row r="564" spans="1:30" x14ac:dyDescent="0.55000000000000004">
      <c r="A564">
        <v>94613</v>
      </c>
      <c r="B564" s="19">
        <v>42531</v>
      </c>
      <c r="C564">
        <v>1422</v>
      </c>
      <c r="D564">
        <v>2016</v>
      </c>
      <c r="E564">
        <v>25</v>
      </c>
      <c r="F564">
        <v>612</v>
      </c>
      <c r="G564">
        <v>2</v>
      </c>
      <c r="H564">
        <v>451</v>
      </c>
      <c r="I564">
        <v>3</v>
      </c>
      <c r="J564">
        <v>4756.82</v>
      </c>
      <c r="K564">
        <v>8511.1</v>
      </c>
      <c r="L564">
        <v>4756.42</v>
      </c>
      <c r="M564">
        <v>8510.9500000000007</v>
      </c>
      <c r="N564">
        <v>47.947000000000003</v>
      </c>
      <c r="O564">
        <v>-85.185000000000002</v>
      </c>
      <c r="P564">
        <v>47.940333000000003</v>
      </c>
      <c r="Q564">
        <v>-85.182500000000005</v>
      </c>
      <c r="R564">
        <v>1060.3185840000001</v>
      </c>
      <c r="S564">
        <v>17.2</v>
      </c>
      <c r="T564">
        <v>37.6</v>
      </c>
      <c r="U564">
        <v>0.5</v>
      </c>
      <c r="V564">
        <v>2</v>
      </c>
      <c r="W564">
        <v>7.6</v>
      </c>
      <c r="X564">
        <v>5.1627000000000001</v>
      </c>
      <c r="Y564">
        <v>-6.3649999999999998E-2</v>
      </c>
      <c r="Z564">
        <v>82.993799999999993</v>
      </c>
      <c r="AA564">
        <v>10</v>
      </c>
      <c r="AB564">
        <v>0.48</v>
      </c>
      <c r="AC564">
        <v>109</v>
      </c>
      <c r="AD564">
        <v>11</v>
      </c>
    </row>
    <row r="565" spans="1:30" x14ac:dyDescent="0.55000000000000004">
      <c r="A565">
        <v>94614</v>
      </c>
      <c r="B565" s="19">
        <v>42531</v>
      </c>
      <c r="C565">
        <v>1422</v>
      </c>
      <c r="D565">
        <v>2016</v>
      </c>
      <c r="E565">
        <v>25</v>
      </c>
      <c r="F565">
        <v>613</v>
      </c>
      <c r="G565">
        <v>2</v>
      </c>
      <c r="H565">
        <v>451</v>
      </c>
      <c r="I565">
        <v>3</v>
      </c>
      <c r="J565">
        <v>4756.82</v>
      </c>
      <c r="K565">
        <v>8511.1</v>
      </c>
      <c r="L565">
        <v>4756.42</v>
      </c>
      <c r="M565">
        <v>8510.9500000000007</v>
      </c>
      <c r="N565">
        <v>47.947000000000003</v>
      </c>
      <c r="O565">
        <v>-85.185000000000002</v>
      </c>
      <c r="P565">
        <v>47.940333000000003</v>
      </c>
      <c r="Q565">
        <v>-85.182500000000005</v>
      </c>
      <c r="R565">
        <v>1060.3185840000001</v>
      </c>
      <c r="S565">
        <v>17.2</v>
      </c>
      <c r="T565">
        <v>37.6</v>
      </c>
      <c r="U565">
        <v>0.5</v>
      </c>
      <c r="V565">
        <v>2</v>
      </c>
      <c r="W565">
        <v>7.6</v>
      </c>
      <c r="X565">
        <v>5.1627000000000001</v>
      </c>
      <c r="Y565">
        <v>-6.3649999999999998E-2</v>
      </c>
      <c r="Z565">
        <v>82.993799999999993</v>
      </c>
      <c r="AA565">
        <v>10</v>
      </c>
      <c r="AB565">
        <v>0.48</v>
      </c>
      <c r="AC565">
        <v>109</v>
      </c>
      <c r="AD565">
        <v>11</v>
      </c>
    </row>
    <row r="566" spans="1:30" x14ac:dyDescent="0.55000000000000004">
      <c r="A566">
        <v>94615</v>
      </c>
      <c r="B566" s="19">
        <v>42531</v>
      </c>
      <c r="C566">
        <v>1626</v>
      </c>
      <c r="D566">
        <v>2016</v>
      </c>
      <c r="E566">
        <v>25</v>
      </c>
      <c r="F566">
        <v>614</v>
      </c>
      <c r="G566">
        <v>2</v>
      </c>
      <c r="H566">
        <v>462</v>
      </c>
      <c r="I566">
        <v>3</v>
      </c>
      <c r="J566">
        <v>4757.18</v>
      </c>
      <c r="K566">
        <v>8456.85</v>
      </c>
      <c r="L566">
        <v>4756.79</v>
      </c>
      <c r="M566">
        <v>8456.75</v>
      </c>
      <c r="N566">
        <v>47.953000000000003</v>
      </c>
      <c r="O566">
        <v>-84.947500000000005</v>
      </c>
      <c r="P566">
        <v>47.9465</v>
      </c>
      <c r="Q566">
        <v>-84.945832999999993</v>
      </c>
      <c r="R566">
        <v>898.44834530000003</v>
      </c>
      <c r="S566">
        <v>21.7</v>
      </c>
      <c r="T566">
        <v>105</v>
      </c>
      <c r="U566">
        <v>0.5</v>
      </c>
      <c r="V566">
        <v>2</v>
      </c>
      <c r="W566">
        <v>6.7</v>
      </c>
      <c r="X566">
        <v>6.03165</v>
      </c>
      <c r="Y566">
        <v>0.15425</v>
      </c>
      <c r="Z566">
        <v>71.674850000000006</v>
      </c>
      <c r="AA566">
        <v>10</v>
      </c>
      <c r="AB566">
        <v>0.45</v>
      </c>
      <c r="AC566">
        <v>109</v>
      </c>
      <c r="AD566">
        <v>6</v>
      </c>
    </row>
    <row r="567" spans="1:30" x14ac:dyDescent="0.55000000000000004">
      <c r="A567">
        <v>94615</v>
      </c>
      <c r="B567" s="19">
        <v>42531</v>
      </c>
      <c r="C567">
        <v>1626</v>
      </c>
      <c r="D567">
        <v>2016</v>
      </c>
      <c r="E567">
        <v>25</v>
      </c>
      <c r="F567">
        <v>614</v>
      </c>
      <c r="G567">
        <v>2</v>
      </c>
      <c r="H567">
        <v>462</v>
      </c>
      <c r="I567">
        <v>3</v>
      </c>
      <c r="J567">
        <v>4757.18</v>
      </c>
      <c r="K567">
        <v>8456.85</v>
      </c>
      <c r="L567">
        <v>4756.79</v>
      </c>
      <c r="M567">
        <v>8456.75</v>
      </c>
      <c r="N567">
        <v>47.953000000000003</v>
      </c>
      <c r="O567">
        <v>-84.947500000000005</v>
      </c>
      <c r="P567">
        <v>47.9465</v>
      </c>
      <c r="Q567">
        <v>-84.945832999999993</v>
      </c>
      <c r="R567">
        <v>898.44834530000003</v>
      </c>
      <c r="S567">
        <v>21.7</v>
      </c>
      <c r="T567">
        <v>105</v>
      </c>
      <c r="U567">
        <v>0.5</v>
      </c>
      <c r="V567">
        <v>2</v>
      </c>
      <c r="W567">
        <v>6.7</v>
      </c>
      <c r="X567">
        <v>6.03165</v>
      </c>
      <c r="Y567">
        <v>0.15425</v>
      </c>
      <c r="Z567">
        <v>71.674850000000006</v>
      </c>
      <c r="AA567">
        <v>10</v>
      </c>
      <c r="AB567">
        <v>0.45</v>
      </c>
      <c r="AC567">
        <v>217</v>
      </c>
      <c r="AD567">
        <v>10</v>
      </c>
    </row>
    <row r="568" spans="1:30" x14ac:dyDescent="0.55000000000000004">
      <c r="A568">
        <v>94616</v>
      </c>
      <c r="B568" s="19">
        <v>42531</v>
      </c>
      <c r="C568">
        <v>1626</v>
      </c>
      <c r="D568">
        <v>2016</v>
      </c>
      <c r="E568">
        <v>25</v>
      </c>
      <c r="F568">
        <v>615</v>
      </c>
      <c r="G568">
        <v>2</v>
      </c>
      <c r="H568">
        <v>462</v>
      </c>
      <c r="I568">
        <v>3</v>
      </c>
      <c r="J568">
        <v>4757.18</v>
      </c>
      <c r="K568">
        <v>8456.85</v>
      </c>
      <c r="L568">
        <v>4756.79</v>
      </c>
      <c r="M568">
        <v>8456.75</v>
      </c>
      <c r="N568">
        <v>47.953000000000003</v>
      </c>
      <c r="O568">
        <v>-84.947500000000005</v>
      </c>
      <c r="P568">
        <v>47.9465</v>
      </c>
      <c r="Q568">
        <v>-84.945832999999993</v>
      </c>
      <c r="R568">
        <v>898.44834530000003</v>
      </c>
      <c r="S568">
        <v>21.7</v>
      </c>
      <c r="T568">
        <v>105</v>
      </c>
      <c r="U568">
        <v>0.5</v>
      </c>
      <c r="V568">
        <v>2</v>
      </c>
      <c r="W568">
        <v>6.7</v>
      </c>
      <c r="X568">
        <v>6.03165</v>
      </c>
      <c r="Y568">
        <v>0.15425</v>
      </c>
      <c r="Z568">
        <v>71.674850000000006</v>
      </c>
      <c r="AA568">
        <v>10</v>
      </c>
      <c r="AB568">
        <v>0.45</v>
      </c>
      <c r="AC568">
        <v>109</v>
      </c>
      <c r="AD568">
        <v>3</v>
      </c>
    </row>
    <row r="569" spans="1:30" x14ac:dyDescent="0.55000000000000004">
      <c r="A569">
        <v>94616</v>
      </c>
      <c r="B569" s="19">
        <v>42531</v>
      </c>
      <c r="C569">
        <v>1626</v>
      </c>
      <c r="D569">
        <v>2016</v>
      </c>
      <c r="E569">
        <v>25</v>
      </c>
      <c r="F569">
        <v>615</v>
      </c>
      <c r="G569">
        <v>2</v>
      </c>
      <c r="H569">
        <v>462</v>
      </c>
      <c r="I569">
        <v>3</v>
      </c>
      <c r="J569">
        <v>4757.18</v>
      </c>
      <c r="K569">
        <v>8456.85</v>
      </c>
      <c r="L569">
        <v>4756.79</v>
      </c>
      <c r="M569">
        <v>8456.75</v>
      </c>
      <c r="N569">
        <v>47.953000000000003</v>
      </c>
      <c r="O569">
        <v>-84.947500000000005</v>
      </c>
      <c r="P569">
        <v>47.9465</v>
      </c>
      <c r="Q569">
        <v>-84.945832999999993</v>
      </c>
      <c r="R569">
        <v>898.44834530000003</v>
      </c>
      <c r="S569">
        <v>21.7</v>
      </c>
      <c r="T569">
        <v>105</v>
      </c>
      <c r="U569">
        <v>0.5</v>
      </c>
      <c r="V569">
        <v>2</v>
      </c>
      <c r="W569">
        <v>6.7</v>
      </c>
      <c r="X569">
        <v>6.03165</v>
      </c>
      <c r="Y569">
        <v>0.15425</v>
      </c>
      <c r="Z569">
        <v>71.674850000000006</v>
      </c>
      <c r="AA569">
        <v>10</v>
      </c>
      <c r="AB569">
        <v>0.45</v>
      </c>
      <c r="AC569">
        <v>217</v>
      </c>
      <c r="AD569">
        <v>11</v>
      </c>
    </row>
    <row r="570" spans="1:30" x14ac:dyDescent="0.55000000000000004">
      <c r="A570">
        <v>94618</v>
      </c>
      <c r="B570" s="19">
        <v>42532</v>
      </c>
      <c r="C570">
        <v>930</v>
      </c>
      <c r="D570">
        <v>2016</v>
      </c>
      <c r="E570">
        <v>25</v>
      </c>
      <c r="F570">
        <v>616</v>
      </c>
      <c r="G570">
        <v>2</v>
      </c>
      <c r="H570">
        <v>463</v>
      </c>
      <c r="I570">
        <v>3</v>
      </c>
      <c r="J570">
        <v>4755.05</v>
      </c>
      <c r="K570">
        <v>8525.67</v>
      </c>
      <c r="L570">
        <v>4754.72</v>
      </c>
      <c r="M570">
        <v>8525.8700000000008</v>
      </c>
      <c r="N570">
        <v>47.917499999999997</v>
      </c>
      <c r="O570">
        <v>-85.427833000000007</v>
      </c>
      <c r="P570">
        <v>47.911999999999999</v>
      </c>
      <c r="Q570">
        <v>-85.431167000000002</v>
      </c>
      <c r="R570">
        <v>487.48221030000002</v>
      </c>
      <c r="S570">
        <v>24.1</v>
      </c>
      <c r="T570">
        <v>58.8</v>
      </c>
      <c r="U570">
        <v>0.5</v>
      </c>
      <c r="V570">
        <v>2</v>
      </c>
      <c r="W570">
        <v>6.4</v>
      </c>
      <c r="X570">
        <v>5.8466500000000003</v>
      </c>
      <c r="Y570">
        <v>0.20665</v>
      </c>
      <c r="Z570">
        <v>80.099350000000001</v>
      </c>
      <c r="AA570">
        <v>10</v>
      </c>
      <c r="AB570">
        <v>0.42</v>
      </c>
      <c r="AC570">
        <v>217</v>
      </c>
      <c r="AD570">
        <v>71</v>
      </c>
    </row>
    <row r="571" spans="1:30" x14ac:dyDescent="0.55000000000000004">
      <c r="A571">
        <v>94619</v>
      </c>
      <c r="B571" s="19">
        <v>42532</v>
      </c>
      <c r="C571">
        <v>930</v>
      </c>
      <c r="D571">
        <v>2016</v>
      </c>
      <c r="E571">
        <v>25</v>
      </c>
      <c r="F571">
        <v>617</v>
      </c>
      <c r="G571">
        <v>2</v>
      </c>
      <c r="H571">
        <v>463</v>
      </c>
      <c r="I571">
        <v>3</v>
      </c>
      <c r="J571">
        <v>4755.05</v>
      </c>
      <c r="K571">
        <v>8525.67</v>
      </c>
      <c r="L571">
        <v>4754.72</v>
      </c>
      <c r="M571">
        <v>8525.8700000000008</v>
      </c>
      <c r="N571">
        <v>47.917499999999997</v>
      </c>
      <c r="O571">
        <v>-85.427833000000007</v>
      </c>
      <c r="P571">
        <v>47.911999999999999</v>
      </c>
      <c r="Q571">
        <v>-85.431167000000002</v>
      </c>
      <c r="R571">
        <v>487.48221030000002</v>
      </c>
      <c r="S571">
        <v>24.1</v>
      </c>
      <c r="T571">
        <v>58.8</v>
      </c>
      <c r="U571">
        <v>0.5</v>
      </c>
      <c r="V571">
        <v>2</v>
      </c>
      <c r="W571">
        <v>6.4</v>
      </c>
      <c r="X571">
        <v>5.8466500000000003</v>
      </c>
      <c r="Y571">
        <v>0.20665</v>
      </c>
      <c r="Z571">
        <v>80.099350000000001</v>
      </c>
      <c r="AA571">
        <v>10</v>
      </c>
      <c r="AB571">
        <v>0.42</v>
      </c>
      <c r="AC571">
        <v>217</v>
      </c>
      <c r="AD571">
        <v>59</v>
      </c>
    </row>
    <row r="572" spans="1:30" x14ac:dyDescent="0.55000000000000004">
      <c r="A572">
        <v>94621</v>
      </c>
      <c r="B572" s="19">
        <v>42532</v>
      </c>
      <c r="C572">
        <v>1208</v>
      </c>
      <c r="D572">
        <v>2016</v>
      </c>
      <c r="E572">
        <v>25</v>
      </c>
      <c r="F572">
        <v>618</v>
      </c>
      <c r="G572">
        <v>2</v>
      </c>
      <c r="H572">
        <v>464</v>
      </c>
      <c r="I572">
        <v>3</v>
      </c>
      <c r="J572">
        <v>4757.26</v>
      </c>
      <c r="K572">
        <v>8549.24</v>
      </c>
      <c r="L572">
        <v>4756.88</v>
      </c>
      <c r="M572">
        <v>8549.17</v>
      </c>
      <c r="N572">
        <v>47.954332999999998</v>
      </c>
      <c r="O572">
        <v>-85.820667</v>
      </c>
      <c r="P572">
        <v>47.948</v>
      </c>
      <c r="Q572">
        <v>-85.819500000000005</v>
      </c>
      <c r="R572">
        <v>368.7667161</v>
      </c>
      <c r="S572">
        <v>19.899999999999999</v>
      </c>
      <c r="T572">
        <v>70.3</v>
      </c>
      <c r="U572">
        <v>0.5</v>
      </c>
      <c r="V572">
        <v>2</v>
      </c>
      <c r="W572">
        <v>4.8</v>
      </c>
      <c r="X572">
        <v>5.0090500000000002</v>
      </c>
      <c r="Y572">
        <v>0.15640000000000001</v>
      </c>
      <c r="Z572">
        <v>86.841650000000001</v>
      </c>
      <c r="AA572">
        <v>10</v>
      </c>
      <c r="AB572">
        <v>0.43</v>
      </c>
      <c r="AC572">
        <v>217</v>
      </c>
      <c r="AD572">
        <v>2</v>
      </c>
    </row>
    <row r="573" spans="1:30" x14ac:dyDescent="0.55000000000000004">
      <c r="A573">
        <v>94622</v>
      </c>
      <c r="B573" s="19">
        <v>42532</v>
      </c>
      <c r="C573">
        <v>1208</v>
      </c>
      <c r="D573">
        <v>2016</v>
      </c>
      <c r="E573">
        <v>25</v>
      </c>
      <c r="F573">
        <v>619</v>
      </c>
      <c r="G573">
        <v>2</v>
      </c>
      <c r="H573">
        <v>464</v>
      </c>
      <c r="I573">
        <v>3</v>
      </c>
      <c r="J573">
        <v>4757.26</v>
      </c>
      <c r="K573">
        <v>8549.24</v>
      </c>
      <c r="L573">
        <v>4756.88</v>
      </c>
      <c r="M573">
        <v>8549.17</v>
      </c>
      <c r="N573">
        <v>47.954332999999998</v>
      </c>
      <c r="O573">
        <v>-85.820667</v>
      </c>
      <c r="P573">
        <v>47.948</v>
      </c>
      <c r="Q573">
        <v>-85.819500000000005</v>
      </c>
      <c r="R573">
        <v>368.7667161</v>
      </c>
      <c r="S573">
        <v>19.899999999999999</v>
      </c>
      <c r="T573">
        <v>70.3</v>
      </c>
      <c r="U573">
        <v>0.5</v>
      </c>
      <c r="V573">
        <v>2</v>
      </c>
      <c r="W573">
        <v>4.8</v>
      </c>
      <c r="X573">
        <v>5.0090500000000002</v>
      </c>
      <c r="Y573">
        <v>0.15640000000000001</v>
      </c>
      <c r="Z573">
        <v>86.841650000000001</v>
      </c>
      <c r="AA573">
        <v>10</v>
      </c>
      <c r="AB573">
        <v>0.43</v>
      </c>
      <c r="AC573">
        <v>217</v>
      </c>
      <c r="AD573">
        <v>5</v>
      </c>
    </row>
    <row r="574" spans="1:30" x14ac:dyDescent="0.55000000000000004">
      <c r="A574">
        <v>94624</v>
      </c>
      <c r="B574" s="19">
        <v>42532</v>
      </c>
      <c r="C574">
        <v>1440</v>
      </c>
      <c r="D574">
        <v>2016</v>
      </c>
      <c r="E574">
        <v>25</v>
      </c>
      <c r="F574">
        <v>620</v>
      </c>
      <c r="G574">
        <v>2</v>
      </c>
      <c r="H574">
        <v>465</v>
      </c>
      <c r="I574">
        <v>3</v>
      </c>
      <c r="J574">
        <v>4807.2700000000004</v>
      </c>
      <c r="K574">
        <v>8602.99</v>
      </c>
      <c r="L574">
        <v>4807.2700000000004</v>
      </c>
      <c r="M574">
        <v>8603.6200000000008</v>
      </c>
      <c r="N574">
        <v>48.121167</v>
      </c>
      <c r="O574">
        <v>-86.049833000000007</v>
      </c>
      <c r="P574">
        <v>48.121167</v>
      </c>
      <c r="Q574">
        <v>-86.060333</v>
      </c>
      <c r="R574">
        <v>428.47106969999999</v>
      </c>
      <c r="S574">
        <v>19.5</v>
      </c>
      <c r="T574">
        <v>95</v>
      </c>
      <c r="U574">
        <v>0.5</v>
      </c>
      <c r="V574">
        <v>2</v>
      </c>
      <c r="W574">
        <v>5</v>
      </c>
      <c r="X574">
        <v>5.3252499999999996</v>
      </c>
      <c r="Y574">
        <v>0.15465000000000001</v>
      </c>
      <c r="Z574">
        <v>90.990399999999994</v>
      </c>
      <c r="AA574">
        <v>10</v>
      </c>
      <c r="AB574">
        <v>0.47</v>
      </c>
      <c r="AC574">
        <v>0</v>
      </c>
      <c r="AD574">
        <v>0</v>
      </c>
    </row>
    <row r="575" spans="1:30" x14ac:dyDescent="0.55000000000000004">
      <c r="A575">
        <v>94625</v>
      </c>
      <c r="B575" s="19">
        <v>42532</v>
      </c>
      <c r="C575">
        <v>1440</v>
      </c>
      <c r="D575">
        <v>2016</v>
      </c>
      <c r="E575">
        <v>25</v>
      </c>
      <c r="F575">
        <v>621</v>
      </c>
      <c r="G575">
        <v>2</v>
      </c>
      <c r="H575">
        <v>465</v>
      </c>
      <c r="I575">
        <v>3</v>
      </c>
      <c r="J575">
        <v>4807.2700000000004</v>
      </c>
      <c r="K575">
        <v>8602.99</v>
      </c>
      <c r="L575">
        <v>4807.2700000000004</v>
      </c>
      <c r="M575">
        <v>8603.6200000000008</v>
      </c>
      <c r="N575">
        <v>48.121167</v>
      </c>
      <c r="O575">
        <v>-86.049833000000007</v>
      </c>
      <c r="P575">
        <v>48.121167</v>
      </c>
      <c r="Q575">
        <v>-86.060333</v>
      </c>
      <c r="R575">
        <v>428.47106969999999</v>
      </c>
      <c r="S575">
        <v>19.5</v>
      </c>
      <c r="T575">
        <v>95</v>
      </c>
      <c r="U575">
        <v>0.5</v>
      </c>
      <c r="V575">
        <v>2</v>
      </c>
      <c r="W575">
        <v>5</v>
      </c>
      <c r="X575">
        <v>5.3252499999999996</v>
      </c>
      <c r="Y575">
        <v>0.15465000000000001</v>
      </c>
      <c r="Z575">
        <v>90.990399999999994</v>
      </c>
      <c r="AA575">
        <v>10</v>
      </c>
      <c r="AB575">
        <v>0.47</v>
      </c>
      <c r="AC575">
        <v>0</v>
      </c>
      <c r="AD575">
        <v>0</v>
      </c>
    </row>
    <row r="576" spans="1:30" x14ac:dyDescent="0.55000000000000004">
      <c r="A576">
        <v>94627</v>
      </c>
      <c r="B576" s="19">
        <v>42533</v>
      </c>
      <c r="C576">
        <v>744</v>
      </c>
      <c r="D576">
        <v>2016</v>
      </c>
      <c r="E576">
        <v>25</v>
      </c>
      <c r="F576">
        <v>622</v>
      </c>
      <c r="G576">
        <v>2</v>
      </c>
      <c r="H576">
        <v>422</v>
      </c>
      <c r="I576">
        <v>3</v>
      </c>
      <c r="J576">
        <v>4838.5200000000004</v>
      </c>
      <c r="K576">
        <v>8620.61</v>
      </c>
      <c r="L576">
        <v>4838.1899999999996</v>
      </c>
      <c r="M576">
        <v>8620.83</v>
      </c>
      <c r="N576">
        <v>48.642000000000003</v>
      </c>
      <c r="O576">
        <v>-86.343500000000006</v>
      </c>
      <c r="P576">
        <v>48.636499999999998</v>
      </c>
      <c r="Q576">
        <v>-86.347166999999999</v>
      </c>
      <c r="R576">
        <v>443.99107350000003</v>
      </c>
      <c r="S576">
        <v>25.8</v>
      </c>
      <c r="T576">
        <v>57.2</v>
      </c>
      <c r="U576">
        <v>0.5</v>
      </c>
      <c r="V576">
        <v>2</v>
      </c>
      <c r="W576">
        <v>5.8</v>
      </c>
      <c r="X576">
        <v>6.6132499999999999</v>
      </c>
      <c r="Y576">
        <v>0.53669999999999995</v>
      </c>
      <c r="Z576">
        <v>51.480400000000003</v>
      </c>
      <c r="AA576">
        <v>10</v>
      </c>
      <c r="AB576">
        <v>0.42</v>
      </c>
      <c r="AC576">
        <v>217</v>
      </c>
      <c r="AD576">
        <v>14</v>
      </c>
    </row>
    <row r="577" spans="1:30" x14ac:dyDescent="0.55000000000000004">
      <c r="A577">
        <v>94628</v>
      </c>
      <c r="B577" s="19">
        <v>42533</v>
      </c>
      <c r="C577">
        <v>744</v>
      </c>
      <c r="D577">
        <v>2016</v>
      </c>
      <c r="E577">
        <v>25</v>
      </c>
      <c r="F577">
        <v>623</v>
      </c>
      <c r="G577">
        <v>2</v>
      </c>
      <c r="H577">
        <v>422</v>
      </c>
      <c r="I577">
        <v>3</v>
      </c>
      <c r="J577">
        <v>4838.5200000000004</v>
      </c>
      <c r="K577">
        <v>8620.61</v>
      </c>
      <c r="L577">
        <v>4838.1899999999996</v>
      </c>
      <c r="M577">
        <v>8620.83</v>
      </c>
      <c r="N577">
        <v>48.642000000000003</v>
      </c>
      <c r="O577">
        <v>-86.343500000000006</v>
      </c>
      <c r="P577">
        <v>48.636499999999998</v>
      </c>
      <c r="Q577">
        <v>-86.347166999999999</v>
      </c>
      <c r="R577">
        <v>443.99107350000003</v>
      </c>
      <c r="S577">
        <v>25.8</v>
      </c>
      <c r="T577">
        <v>57.2</v>
      </c>
      <c r="U577">
        <v>0.5</v>
      </c>
      <c r="V577">
        <v>2</v>
      </c>
      <c r="W577">
        <v>5.8</v>
      </c>
      <c r="X577">
        <v>6.6132499999999999</v>
      </c>
      <c r="Y577">
        <v>0.53669999999999995</v>
      </c>
      <c r="Z577">
        <v>51.480400000000003</v>
      </c>
      <c r="AA577">
        <v>10</v>
      </c>
      <c r="AB577">
        <v>0.42</v>
      </c>
      <c r="AC577">
        <v>217</v>
      </c>
      <c r="AD577">
        <v>21</v>
      </c>
    </row>
    <row r="578" spans="1:30" x14ac:dyDescent="0.55000000000000004">
      <c r="A578">
        <v>94628</v>
      </c>
      <c r="B578" s="19">
        <v>42533</v>
      </c>
      <c r="C578">
        <v>744</v>
      </c>
      <c r="D578">
        <v>2016</v>
      </c>
      <c r="E578">
        <v>25</v>
      </c>
      <c r="F578">
        <v>623</v>
      </c>
      <c r="G578">
        <v>2</v>
      </c>
      <c r="H578">
        <v>422</v>
      </c>
      <c r="I578">
        <v>3</v>
      </c>
      <c r="J578">
        <v>4838.5200000000004</v>
      </c>
      <c r="K578">
        <v>8620.61</v>
      </c>
      <c r="L578">
        <v>4838.1899999999996</v>
      </c>
      <c r="M578">
        <v>8620.83</v>
      </c>
      <c r="N578">
        <v>48.642000000000003</v>
      </c>
      <c r="O578">
        <v>-86.343500000000006</v>
      </c>
      <c r="P578">
        <v>48.636499999999998</v>
      </c>
      <c r="Q578">
        <v>-86.347166999999999</v>
      </c>
      <c r="R578">
        <v>443.99107350000003</v>
      </c>
      <c r="S578">
        <v>25.8</v>
      </c>
      <c r="T578">
        <v>57.2</v>
      </c>
      <c r="U578">
        <v>0.5</v>
      </c>
      <c r="V578">
        <v>2</v>
      </c>
      <c r="W578">
        <v>5.8</v>
      </c>
      <c r="X578">
        <v>6.6132499999999999</v>
      </c>
      <c r="Y578">
        <v>0.53669999999999995</v>
      </c>
      <c r="Z578">
        <v>51.480400000000003</v>
      </c>
      <c r="AA578">
        <v>10</v>
      </c>
      <c r="AB578">
        <v>0.42</v>
      </c>
      <c r="AC578">
        <v>316</v>
      </c>
      <c r="AD578">
        <v>2</v>
      </c>
    </row>
    <row r="579" spans="1:30" x14ac:dyDescent="0.55000000000000004">
      <c r="A579">
        <v>94630</v>
      </c>
      <c r="B579" s="19">
        <v>42533</v>
      </c>
      <c r="C579">
        <v>1023</v>
      </c>
      <c r="D579">
        <v>2016</v>
      </c>
      <c r="E579">
        <v>25</v>
      </c>
      <c r="F579">
        <v>624</v>
      </c>
      <c r="G579">
        <v>2</v>
      </c>
      <c r="H579">
        <v>420</v>
      </c>
      <c r="I579">
        <v>3</v>
      </c>
      <c r="J579">
        <v>4846.1099999999997</v>
      </c>
      <c r="K579">
        <v>8637.93</v>
      </c>
      <c r="L579">
        <v>4845.97</v>
      </c>
      <c r="M579">
        <v>8638.4500000000007</v>
      </c>
      <c r="N579">
        <v>48.768500000000003</v>
      </c>
      <c r="O579">
        <v>-86.632166999999995</v>
      </c>
      <c r="P579">
        <v>48.766167000000003</v>
      </c>
      <c r="Q579">
        <v>-86.640833000000001</v>
      </c>
      <c r="R579">
        <v>947.66548560000001</v>
      </c>
      <c r="S579">
        <v>17.399999999999999</v>
      </c>
      <c r="T579">
        <v>30.2</v>
      </c>
      <c r="U579">
        <v>0.5</v>
      </c>
      <c r="V579">
        <v>2</v>
      </c>
      <c r="W579">
        <v>5.3</v>
      </c>
      <c r="X579">
        <v>5.6271500000000003</v>
      </c>
      <c r="Y579">
        <v>-6.3E-2</v>
      </c>
      <c r="Z579">
        <v>37.539450000000002</v>
      </c>
      <c r="AA579">
        <v>10</v>
      </c>
      <c r="AB579">
        <v>0.42</v>
      </c>
      <c r="AC579">
        <v>109</v>
      </c>
      <c r="AD579">
        <v>5</v>
      </c>
    </row>
    <row r="580" spans="1:30" x14ac:dyDescent="0.55000000000000004">
      <c r="A580">
        <v>94630</v>
      </c>
      <c r="B580" s="19">
        <v>42533</v>
      </c>
      <c r="C580">
        <v>1023</v>
      </c>
      <c r="D580">
        <v>2016</v>
      </c>
      <c r="E580">
        <v>25</v>
      </c>
      <c r="F580">
        <v>624</v>
      </c>
      <c r="G580">
        <v>2</v>
      </c>
      <c r="H580">
        <v>420</v>
      </c>
      <c r="I580">
        <v>3</v>
      </c>
      <c r="J580">
        <v>4846.1099999999997</v>
      </c>
      <c r="K580">
        <v>8637.93</v>
      </c>
      <c r="L580">
        <v>4845.97</v>
      </c>
      <c r="M580">
        <v>8638.4500000000007</v>
      </c>
      <c r="N580">
        <v>48.768500000000003</v>
      </c>
      <c r="O580">
        <v>-86.632166999999995</v>
      </c>
      <c r="P580">
        <v>48.766167000000003</v>
      </c>
      <c r="Q580">
        <v>-86.640833000000001</v>
      </c>
      <c r="R580">
        <v>947.66548560000001</v>
      </c>
      <c r="S580">
        <v>17.399999999999999</v>
      </c>
      <c r="T580">
        <v>30.2</v>
      </c>
      <c r="U580">
        <v>0.5</v>
      </c>
      <c r="V580">
        <v>2</v>
      </c>
      <c r="W580">
        <v>5.3</v>
      </c>
      <c r="X580">
        <v>5.6271500000000003</v>
      </c>
      <c r="Y580">
        <v>-6.3E-2</v>
      </c>
      <c r="Z580">
        <v>37.539450000000002</v>
      </c>
      <c r="AA580">
        <v>10</v>
      </c>
      <c r="AB580">
        <v>0.42</v>
      </c>
      <c r="AC580">
        <v>217</v>
      </c>
      <c r="AD580">
        <v>5</v>
      </c>
    </row>
    <row r="581" spans="1:30" x14ac:dyDescent="0.55000000000000004">
      <c r="A581">
        <v>94630</v>
      </c>
      <c r="B581" s="19">
        <v>42533</v>
      </c>
      <c r="C581">
        <v>1023</v>
      </c>
      <c r="D581">
        <v>2016</v>
      </c>
      <c r="E581">
        <v>25</v>
      </c>
      <c r="F581">
        <v>624</v>
      </c>
      <c r="G581">
        <v>2</v>
      </c>
      <c r="H581">
        <v>420</v>
      </c>
      <c r="I581">
        <v>3</v>
      </c>
      <c r="J581">
        <v>4846.1099999999997</v>
      </c>
      <c r="K581">
        <v>8637.93</v>
      </c>
      <c r="L581">
        <v>4845.97</v>
      </c>
      <c r="M581">
        <v>8638.4500000000007</v>
      </c>
      <c r="N581">
        <v>48.768500000000003</v>
      </c>
      <c r="O581">
        <v>-86.632166999999995</v>
      </c>
      <c r="P581">
        <v>48.766167000000003</v>
      </c>
      <c r="Q581">
        <v>-86.640833000000001</v>
      </c>
      <c r="R581">
        <v>947.66548560000001</v>
      </c>
      <c r="S581">
        <v>17.399999999999999</v>
      </c>
      <c r="T581">
        <v>30.2</v>
      </c>
      <c r="U581">
        <v>0.5</v>
      </c>
      <c r="V581">
        <v>2</v>
      </c>
      <c r="W581">
        <v>5.3</v>
      </c>
      <c r="X581">
        <v>5.6271500000000003</v>
      </c>
      <c r="Y581">
        <v>-6.3E-2</v>
      </c>
      <c r="Z581">
        <v>37.539450000000002</v>
      </c>
      <c r="AA581">
        <v>10</v>
      </c>
      <c r="AB581">
        <v>0.42</v>
      </c>
      <c r="AC581">
        <v>316</v>
      </c>
      <c r="AD581">
        <v>1</v>
      </c>
    </row>
    <row r="582" spans="1:30" x14ac:dyDescent="0.55000000000000004">
      <c r="A582">
        <v>94631</v>
      </c>
      <c r="B582" s="19">
        <v>42533</v>
      </c>
      <c r="C582">
        <v>1023</v>
      </c>
      <c r="D582">
        <v>2016</v>
      </c>
      <c r="E582">
        <v>25</v>
      </c>
      <c r="F582">
        <v>625</v>
      </c>
      <c r="G582">
        <v>2</v>
      </c>
      <c r="H582">
        <v>420</v>
      </c>
      <c r="I582">
        <v>3</v>
      </c>
      <c r="J582">
        <v>4846.1099999999997</v>
      </c>
      <c r="K582">
        <v>8637.93</v>
      </c>
      <c r="L582">
        <v>4845.97</v>
      </c>
      <c r="M582">
        <v>8638.4500000000007</v>
      </c>
      <c r="N582">
        <v>48.768500000000003</v>
      </c>
      <c r="O582">
        <v>-86.632166999999995</v>
      </c>
      <c r="P582">
        <v>48.766167000000003</v>
      </c>
      <c r="Q582">
        <v>-86.640833000000001</v>
      </c>
      <c r="R582">
        <v>947.66548560000001</v>
      </c>
      <c r="S582">
        <v>17.399999999999999</v>
      </c>
      <c r="T582">
        <v>30.2</v>
      </c>
      <c r="U582">
        <v>0.5</v>
      </c>
      <c r="V582">
        <v>2</v>
      </c>
      <c r="W582">
        <v>5.3</v>
      </c>
      <c r="X582">
        <v>5.6271500000000003</v>
      </c>
      <c r="Y582">
        <v>-6.3E-2</v>
      </c>
      <c r="Z582">
        <v>37.539450000000002</v>
      </c>
      <c r="AA582">
        <v>10</v>
      </c>
      <c r="AB582">
        <v>0.42</v>
      </c>
      <c r="AC582">
        <v>217</v>
      </c>
      <c r="AD582">
        <v>4</v>
      </c>
    </row>
    <row r="583" spans="1:30" x14ac:dyDescent="0.55000000000000004">
      <c r="A583">
        <v>94633</v>
      </c>
      <c r="B583" s="19">
        <v>42533</v>
      </c>
      <c r="C583">
        <v>1221</v>
      </c>
      <c r="D583">
        <v>2016</v>
      </c>
      <c r="E583">
        <v>25</v>
      </c>
      <c r="F583">
        <v>626</v>
      </c>
      <c r="G583">
        <v>2</v>
      </c>
      <c r="H583">
        <v>419</v>
      </c>
      <c r="I583">
        <v>3</v>
      </c>
      <c r="J583">
        <v>4847.49</v>
      </c>
      <c r="K583">
        <v>8659.0300000000007</v>
      </c>
      <c r="L583">
        <v>4847.8100000000004</v>
      </c>
      <c r="M583">
        <v>8658.7999999999993</v>
      </c>
      <c r="N583">
        <v>48.791499999999999</v>
      </c>
      <c r="O583">
        <v>-86.983833000000004</v>
      </c>
      <c r="P583">
        <v>48.796832999999999</v>
      </c>
      <c r="Q583">
        <v>-86.98</v>
      </c>
      <c r="R583">
        <v>305.36636490000001</v>
      </c>
      <c r="S583">
        <v>42.2</v>
      </c>
      <c r="T583">
        <v>40.799999999999997</v>
      </c>
      <c r="U583">
        <v>0.5</v>
      </c>
      <c r="V583">
        <v>2</v>
      </c>
      <c r="W583">
        <v>4.9000000000000004</v>
      </c>
      <c r="X583">
        <v>5.7761500000000003</v>
      </c>
      <c r="Y583">
        <v>0.1623</v>
      </c>
      <c r="Z583">
        <v>72.688999999999993</v>
      </c>
      <c r="AA583">
        <v>10</v>
      </c>
      <c r="AB583">
        <v>0.4</v>
      </c>
      <c r="AC583">
        <v>217</v>
      </c>
      <c r="AD583">
        <v>12</v>
      </c>
    </row>
    <row r="584" spans="1:30" x14ac:dyDescent="0.55000000000000004">
      <c r="A584">
        <v>94634</v>
      </c>
      <c r="B584" s="19">
        <v>42533</v>
      </c>
      <c r="C584">
        <v>1221</v>
      </c>
      <c r="D584">
        <v>2016</v>
      </c>
      <c r="E584">
        <v>25</v>
      </c>
      <c r="F584">
        <v>627</v>
      </c>
      <c r="G584">
        <v>2</v>
      </c>
      <c r="H584">
        <v>419</v>
      </c>
      <c r="I584">
        <v>3</v>
      </c>
      <c r="J584">
        <v>4847.49</v>
      </c>
      <c r="K584">
        <v>8659.0300000000007</v>
      </c>
      <c r="L584">
        <v>4847.8100000000004</v>
      </c>
      <c r="M584">
        <v>8658.7999999999993</v>
      </c>
      <c r="N584">
        <v>48.791499999999999</v>
      </c>
      <c r="O584">
        <v>-86.983833000000004</v>
      </c>
      <c r="P584">
        <v>48.796832999999999</v>
      </c>
      <c r="Q584">
        <v>-86.98</v>
      </c>
      <c r="R584">
        <v>305.36636490000001</v>
      </c>
      <c r="S584">
        <v>42.2</v>
      </c>
      <c r="T584">
        <v>40.799999999999997</v>
      </c>
      <c r="U584">
        <v>0.5</v>
      </c>
      <c r="V584">
        <v>2</v>
      </c>
      <c r="W584">
        <v>4.9000000000000004</v>
      </c>
      <c r="X584">
        <v>5.7761500000000003</v>
      </c>
      <c r="Y584">
        <v>0.1623</v>
      </c>
      <c r="Z584">
        <v>72.688999999999993</v>
      </c>
      <c r="AA584">
        <v>10</v>
      </c>
      <c r="AB584">
        <v>0.4</v>
      </c>
      <c r="AC584">
        <v>217</v>
      </c>
      <c r="AD584">
        <v>8</v>
      </c>
    </row>
    <row r="585" spans="1:30" x14ac:dyDescent="0.55000000000000004">
      <c r="A585">
        <v>94636</v>
      </c>
      <c r="B585" s="19">
        <v>42533</v>
      </c>
      <c r="C585">
        <v>1405</v>
      </c>
      <c r="D585">
        <v>2016</v>
      </c>
      <c r="E585">
        <v>25</v>
      </c>
      <c r="F585">
        <v>628</v>
      </c>
      <c r="G585">
        <v>2</v>
      </c>
      <c r="H585">
        <v>418</v>
      </c>
      <c r="I585">
        <v>3</v>
      </c>
      <c r="J585">
        <v>4846.46</v>
      </c>
      <c r="K585">
        <v>8710.2800000000007</v>
      </c>
      <c r="L585">
        <v>4846.82</v>
      </c>
      <c r="M585">
        <v>8710.1299999999992</v>
      </c>
      <c r="N585">
        <v>48.774332999999999</v>
      </c>
      <c r="O585">
        <v>-87.171333000000004</v>
      </c>
      <c r="P585">
        <v>48.780332999999999</v>
      </c>
      <c r="Q585">
        <v>-87.168833000000006</v>
      </c>
      <c r="R585">
        <v>670.05564040000002</v>
      </c>
      <c r="S585">
        <v>27.8</v>
      </c>
      <c r="T585">
        <v>28.6</v>
      </c>
      <c r="U585">
        <v>0.5</v>
      </c>
      <c r="V585">
        <v>2</v>
      </c>
      <c r="W585">
        <v>4.9000000000000004</v>
      </c>
      <c r="X585">
        <v>6.19</v>
      </c>
      <c r="Y585">
        <v>0.27779999999999999</v>
      </c>
      <c r="Z585">
        <v>74.856099999999998</v>
      </c>
      <c r="AA585">
        <v>10</v>
      </c>
      <c r="AB585">
        <v>0.42</v>
      </c>
      <c r="AC585">
        <v>109</v>
      </c>
      <c r="AD585">
        <v>2</v>
      </c>
    </row>
    <row r="586" spans="1:30" x14ac:dyDescent="0.55000000000000004">
      <c r="A586">
        <v>94637</v>
      </c>
      <c r="B586" s="19">
        <v>42533</v>
      </c>
      <c r="C586">
        <v>1405</v>
      </c>
      <c r="D586">
        <v>2016</v>
      </c>
      <c r="E586">
        <v>25</v>
      </c>
      <c r="F586">
        <v>629</v>
      </c>
      <c r="G586">
        <v>2</v>
      </c>
      <c r="H586">
        <v>418</v>
      </c>
      <c r="I586">
        <v>3</v>
      </c>
      <c r="J586">
        <v>4846.46</v>
      </c>
      <c r="K586">
        <v>8710.2800000000007</v>
      </c>
      <c r="L586">
        <v>4846.82</v>
      </c>
      <c r="M586">
        <v>8710.1299999999992</v>
      </c>
      <c r="N586">
        <v>48.774332999999999</v>
      </c>
      <c r="O586">
        <v>-87.171333000000004</v>
      </c>
      <c r="P586">
        <v>48.780332999999999</v>
      </c>
      <c r="Q586">
        <v>-87.168833000000006</v>
      </c>
      <c r="R586">
        <v>670.05564040000002</v>
      </c>
      <c r="S586">
        <v>27.8</v>
      </c>
      <c r="T586">
        <v>28.6</v>
      </c>
      <c r="U586">
        <v>0.5</v>
      </c>
      <c r="V586">
        <v>2</v>
      </c>
      <c r="W586">
        <v>4.9000000000000004</v>
      </c>
      <c r="X586">
        <v>6.19</v>
      </c>
      <c r="Y586">
        <v>0.27779999999999999</v>
      </c>
      <c r="Z586">
        <v>74.856099999999998</v>
      </c>
      <c r="AA586">
        <v>10</v>
      </c>
      <c r="AB586">
        <v>0.42</v>
      </c>
      <c r="AC586">
        <v>109</v>
      </c>
      <c r="AD586">
        <v>2</v>
      </c>
    </row>
    <row r="587" spans="1:30" x14ac:dyDescent="0.55000000000000004">
      <c r="A587">
        <v>94640</v>
      </c>
      <c r="B587" s="19">
        <v>42533</v>
      </c>
      <c r="C587">
        <v>1628</v>
      </c>
      <c r="D587">
        <v>2016</v>
      </c>
      <c r="E587">
        <v>25</v>
      </c>
      <c r="F587">
        <v>630</v>
      </c>
      <c r="G587">
        <v>2</v>
      </c>
      <c r="H587">
        <v>417</v>
      </c>
      <c r="I587">
        <v>3</v>
      </c>
      <c r="J587">
        <v>4849.75</v>
      </c>
      <c r="K587">
        <v>8728.2099999999991</v>
      </c>
      <c r="L587">
        <v>4849.99</v>
      </c>
      <c r="M587">
        <v>8728.64</v>
      </c>
      <c r="N587">
        <v>48.829166999999998</v>
      </c>
      <c r="O587">
        <v>-87.470167000000004</v>
      </c>
      <c r="P587">
        <v>48.833167000000003</v>
      </c>
      <c r="Q587">
        <v>-87.477333000000002</v>
      </c>
      <c r="R587">
        <v>436.81210759999999</v>
      </c>
      <c r="S587">
        <v>68.2</v>
      </c>
      <c r="T587">
        <v>59.8</v>
      </c>
      <c r="U587">
        <v>0.5</v>
      </c>
      <c r="V587">
        <v>2</v>
      </c>
      <c r="W587">
        <v>6.6</v>
      </c>
      <c r="X587">
        <v>7.0557999999999996</v>
      </c>
      <c r="Y587">
        <v>0.11940000000000001</v>
      </c>
      <c r="Z587">
        <v>84.632850000000005</v>
      </c>
      <c r="AA587">
        <v>10</v>
      </c>
      <c r="AB587">
        <v>0.42</v>
      </c>
      <c r="AC587">
        <v>217</v>
      </c>
      <c r="AD587">
        <v>11</v>
      </c>
    </row>
    <row r="588" spans="1:30" x14ac:dyDescent="0.55000000000000004">
      <c r="A588">
        <v>94641</v>
      </c>
      <c r="B588" s="19">
        <v>42533</v>
      </c>
      <c r="C588">
        <v>1628</v>
      </c>
      <c r="D588">
        <v>2016</v>
      </c>
      <c r="E588">
        <v>25</v>
      </c>
      <c r="F588">
        <v>631</v>
      </c>
      <c r="G588">
        <v>2</v>
      </c>
      <c r="H588">
        <v>417</v>
      </c>
      <c r="I588">
        <v>3</v>
      </c>
      <c r="J588">
        <v>4849.75</v>
      </c>
      <c r="K588">
        <v>8728.2099999999991</v>
      </c>
      <c r="L588">
        <v>4849.99</v>
      </c>
      <c r="M588">
        <v>8728.64</v>
      </c>
      <c r="N588">
        <v>48.829166999999998</v>
      </c>
      <c r="O588">
        <v>-87.470167000000004</v>
      </c>
      <c r="P588">
        <v>48.833167000000003</v>
      </c>
      <c r="Q588">
        <v>-87.477333000000002</v>
      </c>
      <c r="R588">
        <v>436.81210759999999</v>
      </c>
      <c r="S588">
        <v>68.2</v>
      </c>
      <c r="T588">
        <v>59.8</v>
      </c>
      <c r="U588">
        <v>0.5</v>
      </c>
      <c r="V588">
        <v>2</v>
      </c>
      <c r="W588">
        <v>6.6</v>
      </c>
      <c r="X588">
        <v>7.0557999999999996</v>
      </c>
      <c r="Y588">
        <v>0.11940000000000001</v>
      </c>
      <c r="Z588">
        <v>84.632850000000005</v>
      </c>
      <c r="AA588">
        <v>10</v>
      </c>
      <c r="AB588">
        <v>0.42</v>
      </c>
      <c r="AC588">
        <v>217</v>
      </c>
      <c r="AD588">
        <v>11</v>
      </c>
    </row>
    <row r="589" spans="1:30" x14ac:dyDescent="0.55000000000000004">
      <c r="A589">
        <v>94642</v>
      </c>
      <c r="B589" s="19">
        <v>42534</v>
      </c>
      <c r="C589">
        <v>809</v>
      </c>
      <c r="D589">
        <v>2016</v>
      </c>
      <c r="E589">
        <v>25</v>
      </c>
      <c r="F589">
        <v>632</v>
      </c>
      <c r="G589">
        <v>2</v>
      </c>
      <c r="H589">
        <v>415</v>
      </c>
      <c r="I589">
        <v>3</v>
      </c>
      <c r="J589">
        <v>4852.79</v>
      </c>
      <c r="K589">
        <v>8746.0400000000009</v>
      </c>
      <c r="L589">
        <v>4853.16</v>
      </c>
      <c r="M589">
        <v>8745.99</v>
      </c>
      <c r="N589">
        <v>48.879832999999998</v>
      </c>
      <c r="O589">
        <v>-87.767332999999994</v>
      </c>
      <c r="P589">
        <v>48.886000000000003</v>
      </c>
      <c r="Q589">
        <v>-87.766499999999994</v>
      </c>
      <c r="R589">
        <v>368.87364580000002</v>
      </c>
      <c r="S589">
        <v>44.9</v>
      </c>
      <c r="T589">
        <v>44</v>
      </c>
      <c r="U589">
        <v>0.5</v>
      </c>
      <c r="V589">
        <v>2</v>
      </c>
      <c r="W589">
        <v>8.1999999999999993</v>
      </c>
      <c r="X589">
        <v>8.36965</v>
      </c>
      <c r="Y589">
        <v>0.22345000000000001</v>
      </c>
      <c r="Z589">
        <v>55.014299999999999</v>
      </c>
      <c r="AA589">
        <v>10</v>
      </c>
      <c r="AB589">
        <v>0.42</v>
      </c>
      <c r="AC589">
        <v>217</v>
      </c>
      <c r="AD589">
        <v>9</v>
      </c>
    </row>
    <row r="590" spans="1:30" x14ac:dyDescent="0.55000000000000004">
      <c r="A590">
        <v>94643</v>
      </c>
      <c r="B590" s="19">
        <v>42534</v>
      </c>
      <c r="C590">
        <v>809</v>
      </c>
      <c r="D590">
        <v>2016</v>
      </c>
      <c r="E590">
        <v>25</v>
      </c>
      <c r="F590">
        <v>633</v>
      </c>
      <c r="G590">
        <v>2</v>
      </c>
      <c r="H590">
        <v>415</v>
      </c>
      <c r="I590">
        <v>3</v>
      </c>
      <c r="J590">
        <v>4852.79</v>
      </c>
      <c r="K590">
        <v>8746.0400000000009</v>
      </c>
      <c r="L590">
        <v>4853.16</v>
      </c>
      <c r="M590">
        <v>8745.99</v>
      </c>
      <c r="N590">
        <v>48.879832999999998</v>
      </c>
      <c r="O590">
        <v>-87.767332999999994</v>
      </c>
      <c r="P590">
        <v>48.886000000000003</v>
      </c>
      <c r="Q590">
        <v>-87.766499999999994</v>
      </c>
      <c r="R590">
        <v>368.87364580000002</v>
      </c>
      <c r="S590">
        <v>44.9</v>
      </c>
      <c r="T590">
        <v>44</v>
      </c>
      <c r="U590">
        <v>0.5</v>
      </c>
      <c r="V590">
        <v>2</v>
      </c>
      <c r="W590">
        <v>8.1999999999999993</v>
      </c>
      <c r="X590">
        <v>8.36965</v>
      </c>
      <c r="Y590">
        <v>0.22345000000000001</v>
      </c>
      <c r="Z590">
        <v>55.014299999999999</v>
      </c>
      <c r="AA590">
        <v>10</v>
      </c>
      <c r="AB590">
        <v>0.42</v>
      </c>
      <c r="AC590">
        <v>217</v>
      </c>
      <c r="AD590">
        <v>5</v>
      </c>
    </row>
    <row r="591" spans="1:30" x14ac:dyDescent="0.55000000000000004">
      <c r="A591">
        <v>94645</v>
      </c>
      <c r="B591" s="19">
        <v>42534</v>
      </c>
      <c r="C591">
        <v>1011</v>
      </c>
      <c r="D591">
        <v>2016</v>
      </c>
      <c r="E591">
        <v>25</v>
      </c>
      <c r="F591">
        <v>634</v>
      </c>
      <c r="G591">
        <v>2</v>
      </c>
      <c r="H591">
        <v>414</v>
      </c>
      <c r="I591">
        <v>3</v>
      </c>
      <c r="J591">
        <v>4856.4799999999996</v>
      </c>
      <c r="K591">
        <v>8758.89</v>
      </c>
      <c r="L591">
        <v>4856.82</v>
      </c>
      <c r="M591">
        <v>8758.74</v>
      </c>
      <c r="N591">
        <v>48.941333</v>
      </c>
      <c r="O591">
        <v>-87.981499999999997</v>
      </c>
      <c r="P591">
        <v>48.947000000000003</v>
      </c>
      <c r="Q591">
        <v>-87.978999999999999</v>
      </c>
      <c r="R591">
        <v>120.4588639</v>
      </c>
      <c r="S591">
        <v>23.1</v>
      </c>
      <c r="T591">
        <v>21.7</v>
      </c>
      <c r="U591">
        <v>0.5</v>
      </c>
      <c r="V591">
        <v>2</v>
      </c>
      <c r="W591">
        <v>9.9</v>
      </c>
      <c r="X591">
        <v>9.9335500000000003</v>
      </c>
      <c r="Y591">
        <v>0.28860000000000002</v>
      </c>
      <c r="Z591">
        <v>72.438199999999995</v>
      </c>
      <c r="AA591">
        <v>10</v>
      </c>
      <c r="AB591">
        <v>0.42</v>
      </c>
      <c r="AC591">
        <v>217</v>
      </c>
      <c r="AD591">
        <v>2</v>
      </c>
    </row>
    <row r="592" spans="1:30" x14ac:dyDescent="0.55000000000000004">
      <c r="A592">
        <v>94646</v>
      </c>
      <c r="B592" s="19">
        <v>42534</v>
      </c>
      <c r="C592">
        <v>1011</v>
      </c>
      <c r="D592">
        <v>2016</v>
      </c>
      <c r="E592">
        <v>25</v>
      </c>
      <c r="F592">
        <v>635</v>
      </c>
      <c r="G592">
        <v>2</v>
      </c>
      <c r="H592">
        <v>414</v>
      </c>
      <c r="I592">
        <v>3</v>
      </c>
      <c r="J592">
        <v>4856.4799999999996</v>
      </c>
      <c r="K592">
        <v>8758.89</v>
      </c>
      <c r="L592">
        <v>4856.82</v>
      </c>
      <c r="M592">
        <v>8758.74</v>
      </c>
      <c r="N592">
        <v>48.941333</v>
      </c>
      <c r="O592">
        <v>-87.981499999999997</v>
      </c>
      <c r="P592">
        <v>48.947000000000003</v>
      </c>
      <c r="Q592">
        <v>-87.978999999999999</v>
      </c>
      <c r="R592">
        <v>120.4588639</v>
      </c>
      <c r="S592">
        <v>23.1</v>
      </c>
      <c r="T592">
        <v>21.7</v>
      </c>
      <c r="U592">
        <v>0.5</v>
      </c>
      <c r="V592">
        <v>2</v>
      </c>
      <c r="W592">
        <v>9.9</v>
      </c>
      <c r="X592">
        <v>9.9335500000000003</v>
      </c>
      <c r="Y592">
        <v>0.28860000000000002</v>
      </c>
      <c r="Z592">
        <v>72.438199999999995</v>
      </c>
      <c r="AA592">
        <v>10</v>
      </c>
      <c r="AB592">
        <v>0.42</v>
      </c>
      <c r="AC592">
        <v>0</v>
      </c>
      <c r="AD592">
        <v>0</v>
      </c>
    </row>
    <row r="593" spans="1:30" x14ac:dyDescent="0.55000000000000004">
      <c r="A593">
        <v>94648</v>
      </c>
      <c r="B593" s="19">
        <v>42534</v>
      </c>
      <c r="C593">
        <v>1211</v>
      </c>
      <c r="D593">
        <v>2016</v>
      </c>
      <c r="E593">
        <v>25</v>
      </c>
      <c r="F593">
        <v>636</v>
      </c>
      <c r="G593">
        <v>2</v>
      </c>
      <c r="H593">
        <v>413</v>
      </c>
      <c r="I593">
        <v>3</v>
      </c>
      <c r="J593">
        <v>4856.04</v>
      </c>
      <c r="K593">
        <v>8813.1</v>
      </c>
      <c r="L593">
        <v>4856.1499999999996</v>
      </c>
      <c r="M593">
        <v>8813.82</v>
      </c>
      <c r="N593">
        <v>48.933999999999997</v>
      </c>
      <c r="O593">
        <v>-88.218333000000001</v>
      </c>
      <c r="P593">
        <v>48.935833000000002</v>
      </c>
      <c r="Q593">
        <v>-88.230333000000002</v>
      </c>
      <c r="R593">
        <v>548.07993610000005</v>
      </c>
      <c r="S593">
        <v>22.8</v>
      </c>
      <c r="T593">
        <v>19.5</v>
      </c>
      <c r="U593">
        <v>0.5</v>
      </c>
      <c r="V593">
        <v>2</v>
      </c>
      <c r="W593">
        <v>11.5</v>
      </c>
      <c r="X593">
        <v>12.164350000000001</v>
      </c>
      <c r="Y593">
        <v>0.72294999999999998</v>
      </c>
      <c r="Z593">
        <v>57.739649999999997</v>
      </c>
      <c r="AA593">
        <v>10</v>
      </c>
      <c r="AB593">
        <v>0.56999999999999995</v>
      </c>
      <c r="AC593">
        <v>109</v>
      </c>
      <c r="AD593">
        <v>6</v>
      </c>
    </row>
    <row r="594" spans="1:30" x14ac:dyDescent="0.55000000000000004">
      <c r="A594">
        <v>94649</v>
      </c>
      <c r="B594" s="19">
        <v>42534</v>
      </c>
      <c r="C594">
        <v>1211</v>
      </c>
      <c r="D594">
        <v>2016</v>
      </c>
      <c r="E594">
        <v>25</v>
      </c>
      <c r="F594">
        <v>637</v>
      </c>
      <c r="G594">
        <v>2</v>
      </c>
      <c r="H594">
        <v>413</v>
      </c>
      <c r="I594">
        <v>3</v>
      </c>
      <c r="J594">
        <v>4856.04</v>
      </c>
      <c r="K594">
        <v>8813.1</v>
      </c>
      <c r="L594">
        <v>4856.1499999999996</v>
      </c>
      <c r="M594">
        <v>8813.82</v>
      </c>
      <c r="N594">
        <v>48.933999999999997</v>
      </c>
      <c r="O594">
        <v>-88.218333000000001</v>
      </c>
      <c r="P594">
        <v>48.935833000000002</v>
      </c>
      <c r="Q594">
        <v>-88.230333000000002</v>
      </c>
      <c r="R594">
        <v>548.07993610000005</v>
      </c>
      <c r="S594">
        <v>22.8</v>
      </c>
      <c r="T594">
        <v>19.5</v>
      </c>
      <c r="U594">
        <v>0.5</v>
      </c>
      <c r="V594">
        <v>2</v>
      </c>
      <c r="W594">
        <v>11.5</v>
      </c>
      <c r="X594">
        <v>12.164350000000001</v>
      </c>
      <c r="Y594">
        <v>0.72294999999999998</v>
      </c>
      <c r="Z594">
        <v>57.739649999999997</v>
      </c>
      <c r="AA594">
        <v>10</v>
      </c>
      <c r="AB594">
        <v>0.56999999999999995</v>
      </c>
      <c r="AC594">
        <v>0</v>
      </c>
      <c r="AD594">
        <v>0</v>
      </c>
    </row>
    <row r="595" spans="1:30" x14ac:dyDescent="0.55000000000000004">
      <c r="A595">
        <v>94650</v>
      </c>
      <c r="B595" s="19">
        <v>42534</v>
      </c>
      <c r="C595">
        <v>1426</v>
      </c>
      <c r="D595">
        <v>2016</v>
      </c>
      <c r="E595">
        <v>25</v>
      </c>
      <c r="F595">
        <v>638</v>
      </c>
      <c r="G595">
        <v>2</v>
      </c>
      <c r="H595">
        <v>412</v>
      </c>
      <c r="I595">
        <v>3</v>
      </c>
      <c r="J595">
        <v>4849.63</v>
      </c>
      <c r="K595">
        <v>8805.77</v>
      </c>
      <c r="L595">
        <v>4849.6899999999996</v>
      </c>
      <c r="M595">
        <v>8806.34</v>
      </c>
      <c r="N595">
        <v>48.827167000000003</v>
      </c>
      <c r="O595">
        <v>-88.096166999999994</v>
      </c>
      <c r="P595">
        <v>48.828167000000001</v>
      </c>
      <c r="Q595">
        <v>-88.105666999999997</v>
      </c>
      <c r="R595">
        <v>2048.9014940000002</v>
      </c>
      <c r="S595">
        <v>29.1</v>
      </c>
      <c r="T595">
        <v>45.4</v>
      </c>
      <c r="U595">
        <v>0.5</v>
      </c>
      <c r="V595">
        <v>2</v>
      </c>
      <c r="W595">
        <v>13.2</v>
      </c>
      <c r="X595">
        <v>13.057499999999999</v>
      </c>
      <c r="Y595">
        <v>0.43325000000000002</v>
      </c>
      <c r="Z595">
        <v>25.917549999999999</v>
      </c>
      <c r="AA595">
        <v>10</v>
      </c>
      <c r="AB595">
        <v>0.42</v>
      </c>
      <c r="AC595">
        <v>217</v>
      </c>
      <c r="AD595">
        <v>42</v>
      </c>
    </row>
    <row r="596" spans="1:30" x14ac:dyDescent="0.55000000000000004">
      <c r="A596">
        <v>94651</v>
      </c>
      <c r="B596" s="19">
        <v>42534</v>
      </c>
      <c r="C596">
        <v>1426</v>
      </c>
      <c r="D596">
        <v>2016</v>
      </c>
      <c r="E596">
        <v>25</v>
      </c>
      <c r="F596">
        <v>639</v>
      </c>
      <c r="G596">
        <v>2</v>
      </c>
      <c r="H596">
        <v>412</v>
      </c>
      <c r="I596">
        <v>3</v>
      </c>
      <c r="J596">
        <v>4849.63</v>
      </c>
      <c r="K596">
        <v>8805.77</v>
      </c>
      <c r="L596">
        <v>4849.6899999999996</v>
      </c>
      <c r="M596">
        <v>8806.34</v>
      </c>
      <c r="N596">
        <v>48.827167000000003</v>
      </c>
      <c r="O596">
        <v>-88.096166999999994</v>
      </c>
      <c r="P596">
        <v>48.828167000000001</v>
      </c>
      <c r="Q596">
        <v>-88.105666999999997</v>
      </c>
      <c r="R596">
        <v>2048.9014940000002</v>
      </c>
      <c r="S596">
        <v>29.1</v>
      </c>
      <c r="T596">
        <v>45.4</v>
      </c>
      <c r="U596">
        <v>0.5</v>
      </c>
      <c r="V596">
        <v>2</v>
      </c>
      <c r="W596">
        <v>13.2</v>
      </c>
      <c r="X596">
        <v>13.057499999999999</v>
      </c>
      <c r="Y596">
        <v>0.43325000000000002</v>
      </c>
      <c r="Z596">
        <v>25.917549999999999</v>
      </c>
      <c r="AA596">
        <v>10</v>
      </c>
      <c r="AB596">
        <v>0.42</v>
      </c>
      <c r="AC596">
        <v>109</v>
      </c>
      <c r="AD596">
        <v>0</v>
      </c>
    </row>
    <row r="597" spans="1:30" x14ac:dyDescent="0.55000000000000004">
      <c r="A597">
        <v>94654</v>
      </c>
      <c r="B597" s="19">
        <v>42534</v>
      </c>
      <c r="C597">
        <v>1717</v>
      </c>
      <c r="D597">
        <v>2016</v>
      </c>
      <c r="E597">
        <v>25</v>
      </c>
      <c r="F597">
        <v>640</v>
      </c>
      <c r="G597">
        <v>2</v>
      </c>
      <c r="H597">
        <v>411</v>
      </c>
      <c r="I597">
        <v>3</v>
      </c>
      <c r="J597">
        <v>4835.42</v>
      </c>
      <c r="K597">
        <v>8817.89</v>
      </c>
      <c r="L597">
        <v>4835.67</v>
      </c>
      <c r="M597">
        <v>8818.32</v>
      </c>
      <c r="N597">
        <v>48.590333000000001</v>
      </c>
      <c r="O597">
        <v>-88.298167000000007</v>
      </c>
      <c r="P597">
        <v>48.594499999999996</v>
      </c>
      <c r="Q597">
        <v>-88.305333000000005</v>
      </c>
      <c r="R597">
        <v>586.42803460000005</v>
      </c>
      <c r="S597">
        <v>57.5</v>
      </c>
      <c r="T597">
        <v>43.9</v>
      </c>
      <c r="U597">
        <v>0.5</v>
      </c>
      <c r="V597">
        <v>2</v>
      </c>
      <c r="W597">
        <v>7.3</v>
      </c>
      <c r="X597">
        <v>8.1463999999999999</v>
      </c>
      <c r="Y597">
        <v>0.37905</v>
      </c>
      <c r="Z597">
        <v>83.646950000000004</v>
      </c>
      <c r="AA597">
        <v>10</v>
      </c>
      <c r="AB597">
        <v>0.42</v>
      </c>
      <c r="AC597">
        <v>109</v>
      </c>
      <c r="AD597">
        <v>2</v>
      </c>
    </row>
    <row r="598" spans="1:30" x14ac:dyDescent="0.55000000000000004">
      <c r="A598">
        <v>94655</v>
      </c>
      <c r="B598" s="19">
        <v>42534</v>
      </c>
      <c r="C598">
        <v>1717</v>
      </c>
      <c r="D598">
        <v>2016</v>
      </c>
      <c r="E598">
        <v>25</v>
      </c>
      <c r="F598">
        <v>641</v>
      </c>
      <c r="G598">
        <v>2</v>
      </c>
      <c r="H598">
        <v>411</v>
      </c>
      <c r="I598">
        <v>3</v>
      </c>
      <c r="J598">
        <v>4835.42</v>
      </c>
      <c r="K598">
        <v>8817.89</v>
      </c>
      <c r="L598">
        <v>4835.67</v>
      </c>
      <c r="M598">
        <v>8818.32</v>
      </c>
      <c r="N598">
        <v>48.590333000000001</v>
      </c>
      <c r="O598">
        <v>-88.298167000000007</v>
      </c>
      <c r="P598">
        <v>48.594499999999996</v>
      </c>
      <c r="Q598">
        <v>-88.305333000000005</v>
      </c>
      <c r="R598">
        <v>586.42803460000005</v>
      </c>
      <c r="S598">
        <v>57.5</v>
      </c>
      <c r="T598">
        <v>43.9</v>
      </c>
      <c r="U598">
        <v>0.5</v>
      </c>
      <c r="V598">
        <v>2</v>
      </c>
      <c r="W598">
        <v>7.3</v>
      </c>
      <c r="X598">
        <v>8.1463999999999999</v>
      </c>
      <c r="Y598">
        <v>0.37905</v>
      </c>
      <c r="Z598">
        <v>83.646950000000004</v>
      </c>
      <c r="AA598">
        <v>10</v>
      </c>
      <c r="AB598">
        <v>0.42</v>
      </c>
      <c r="AC598">
        <v>217</v>
      </c>
      <c r="AD598">
        <v>4</v>
      </c>
    </row>
    <row r="599" spans="1:30" x14ac:dyDescent="0.55000000000000004">
      <c r="A599">
        <v>94657</v>
      </c>
      <c r="B599" s="19">
        <v>42535</v>
      </c>
      <c r="C599">
        <v>923</v>
      </c>
      <c r="D599">
        <v>2016</v>
      </c>
      <c r="E599">
        <v>25</v>
      </c>
      <c r="F599">
        <v>642</v>
      </c>
      <c r="G599">
        <v>2</v>
      </c>
      <c r="H599">
        <v>408</v>
      </c>
      <c r="I599">
        <v>3</v>
      </c>
      <c r="J599">
        <v>4835.6000000000004</v>
      </c>
      <c r="K599">
        <v>8830.19</v>
      </c>
      <c r="L599">
        <v>4835.8500000000004</v>
      </c>
      <c r="M599">
        <v>8829.7900000000009</v>
      </c>
      <c r="N599">
        <v>48.593333000000001</v>
      </c>
      <c r="O599">
        <v>-88.503167000000005</v>
      </c>
      <c r="P599">
        <v>48.597499999999997</v>
      </c>
      <c r="Q599">
        <v>-88.496499999999997</v>
      </c>
      <c r="R599">
        <v>2578.7394789999998</v>
      </c>
      <c r="S599">
        <v>15.7</v>
      </c>
      <c r="T599">
        <v>17</v>
      </c>
      <c r="U599">
        <v>0.5</v>
      </c>
      <c r="V599">
        <v>2</v>
      </c>
      <c r="W599">
        <v>13.3</v>
      </c>
      <c r="X599">
        <v>13.678100000000001</v>
      </c>
      <c r="Y599">
        <v>0.98075000000000001</v>
      </c>
      <c r="Z599">
        <v>54.0441</v>
      </c>
      <c r="AA599">
        <v>10</v>
      </c>
      <c r="AB599">
        <v>0.4</v>
      </c>
      <c r="AC599">
        <v>217</v>
      </c>
      <c r="AD599">
        <v>3</v>
      </c>
    </row>
    <row r="600" spans="1:30" x14ac:dyDescent="0.55000000000000004">
      <c r="A600">
        <v>94658</v>
      </c>
      <c r="B600" s="19">
        <v>42535</v>
      </c>
      <c r="C600">
        <v>923</v>
      </c>
      <c r="D600">
        <v>2016</v>
      </c>
      <c r="E600">
        <v>25</v>
      </c>
      <c r="F600">
        <v>643</v>
      </c>
      <c r="G600">
        <v>2</v>
      </c>
      <c r="H600">
        <v>408</v>
      </c>
      <c r="I600">
        <v>3</v>
      </c>
      <c r="J600">
        <v>4835.6000000000004</v>
      </c>
      <c r="K600">
        <v>8830.19</v>
      </c>
      <c r="L600">
        <v>4835.8500000000004</v>
      </c>
      <c r="M600">
        <v>8829.7900000000009</v>
      </c>
      <c r="N600">
        <v>48.593333000000001</v>
      </c>
      <c r="O600">
        <v>-88.503167000000005</v>
      </c>
      <c r="P600">
        <v>48.597499999999997</v>
      </c>
      <c r="Q600">
        <v>-88.496499999999997</v>
      </c>
      <c r="R600">
        <v>2578.7394789999998</v>
      </c>
      <c r="S600">
        <v>15.7</v>
      </c>
      <c r="T600">
        <v>17</v>
      </c>
      <c r="U600">
        <v>0.5</v>
      </c>
      <c r="V600">
        <v>2</v>
      </c>
      <c r="W600">
        <v>13.3</v>
      </c>
      <c r="X600">
        <v>13.678100000000001</v>
      </c>
      <c r="Y600">
        <v>0.98075000000000001</v>
      </c>
      <c r="Z600">
        <v>54.0441</v>
      </c>
      <c r="AA600">
        <v>10</v>
      </c>
      <c r="AB600">
        <v>0.4</v>
      </c>
      <c r="AC600">
        <v>109</v>
      </c>
      <c r="AD600">
        <v>4</v>
      </c>
    </row>
    <row r="601" spans="1:30" x14ac:dyDescent="0.55000000000000004">
      <c r="A601">
        <v>94660</v>
      </c>
      <c r="B601" s="19">
        <v>42535</v>
      </c>
      <c r="C601">
        <v>1039</v>
      </c>
      <c r="D601">
        <v>2016</v>
      </c>
      <c r="E601">
        <v>25</v>
      </c>
      <c r="F601">
        <v>644</v>
      </c>
      <c r="G601">
        <v>2</v>
      </c>
      <c r="H601">
        <v>407</v>
      </c>
      <c r="I601">
        <v>3</v>
      </c>
      <c r="J601">
        <v>4834.01</v>
      </c>
      <c r="K601">
        <v>8834.8799999999992</v>
      </c>
      <c r="L601">
        <v>4833.79</v>
      </c>
      <c r="M601">
        <v>8835.33</v>
      </c>
      <c r="N601">
        <v>48.566833000000003</v>
      </c>
      <c r="O601">
        <v>-88.581333000000001</v>
      </c>
      <c r="P601">
        <v>48.563167</v>
      </c>
      <c r="Q601">
        <v>-88.588832999999994</v>
      </c>
      <c r="R601">
        <v>3435.6861610000001</v>
      </c>
      <c r="S601">
        <v>18.7</v>
      </c>
      <c r="T601">
        <v>16.5</v>
      </c>
      <c r="U601">
        <v>0.5</v>
      </c>
      <c r="V601">
        <v>2</v>
      </c>
      <c r="W601">
        <v>12.2</v>
      </c>
      <c r="X601">
        <v>12.27835</v>
      </c>
      <c r="Y601">
        <v>0.99375000000000002</v>
      </c>
      <c r="Z601">
        <v>60.479100000000003</v>
      </c>
      <c r="AA601">
        <v>10</v>
      </c>
      <c r="AB601">
        <v>0.42</v>
      </c>
      <c r="AC601">
        <v>0</v>
      </c>
      <c r="AD601">
        <v>0</v>
      </c>
    </row>
    <row r="602" spans="1:30" x14ac:dyDescent="0.55000000000000004">
      <c r="A602">
        <v>94661</v>
      </c>
      <c r="B602" s="19">
        <v>42535</v>
      </c>
      <c r="C602">
        <v>1039</v>
      </c>
      <c r="D602">
        <v>2016</v>
      </c>
      <c r="E602">
        <v>25</v>
      </c>
      <c r="F602">
        <v>645</v>
      </c>
      <c r="G602">
        <v>2</v>
      </c>
      <c r="H602">
        <v>407</v>
      </c>
      <c r="I602">
        <v>3</v>
      </c>
      <c r="J602">
        <v>4834.01</v>
      </c>
      <c r="K602">
        <v>8834.8799999999992</v>
      </c>
      <c r="L602">
        <v>4833.79</v>
      </c>
      <c r="M602">
        <v>8835.33</v>
      </c>
      <c r="N602">
        <v>48.566833000000003</v>
      </c>
      <c r="O602">
        <v>-88.581333000000001</v>
      </c>
      <c r="P602">
        <v>48.563167</v>
      </c>
      <c r="Q602">
        <v>-88.588832999999994</v>
      </c>
      <c r="R602">
        <v>3435.6861610000001</v>
      </c>
      <c r="S602">
        <v>18.7</v>
      </c>
      <c r="T602">
        <v>16.5</v>
      </c>
      <c r="U602">
        <v>0.5</v>
      </c>
      <c r="V602">
        <v>2</v>
      </c>
      <c r="W602">
        <v>12.2</v>
      </c>
      <c r="X602">
        <v>12.27835</v>
      </c>
      <c r="Y602">
        <v>0.99375000000000002</v>
      </c>
      <c r="Z602">
        <v>60.479100000000003</v>
      </c>
      <c r="AA602">
        <v>10</v>
      </c>
      <c r="AB602">
        <v>0.42</v>
      </c>
      <c r="AC602">
        <v>0</v>
      </c>
      <c r="AD602">
        <v>0</v>
      </c>
    </row>
    <row r="603" spans="1:30" x14ac:dyDescent="0.55000000000000004">
      <c r="A603">
        <v>94664</v>
      </c>
      <c r="B603" s="19">
        <v>42535</v>
      </c>
      <c r="C603">
        <v>1211</v>
      </c>
      <c r="D603">
        <v>2016</v>
      </c>
      <c r="E603">
        <v>25</v>
      </c>
      <c r="F603">
        <v>646</v>
      </c>
      <c r="G603">
        <v>2</v>
      </c>
      <c r="H603">
        <v>406</v>
      </c>
      <c r="I603">
        <v>3</v>
      </c>
      <c r="J603">
        <v>4829.28</v>
      </c>
      <c r="K603">
        <v>8836.34</v>
      </c>
      <c r="L603">
        <v>4829.3599999999997</v>
      </c>
      <c r="M603">
        <v>8836.9</v>
      </c>
      <c r="N603">
        <v>48.488</v>
      </c>
      <c r="O603">
        <v>-88.605666999999997</v>
      </c>
      <c r="P603">
        <v>48.489333000000002</v>
      </c>
      <c r="Q603">
        <v>-88.614999999999995</v>
      </c>
      <c r="R603">
        <v>990.25055569999995</v>
      </c>
      <c r="S603">
        <v>18.600000000000001</v>
      </c>
      <c r="T603">
        <v>30.5</v>
      </c>
      <c r="U603">
        <v>0.5</v>
      </c>
      <c r="V603">
        <v>2</v>
      </c>
      <c r="W603">
        <v>12.5</v>
      </c>
      <c r="X603">
        <v>12.416</v>
      </c>
      <c r="Y603">
        <v>0.62739999999999996</v>
      </c>
      <c r="Z603">
        <v>64.016900000000007</v>
      </c>
      <c r="AA603">
        <v>10</v>
      </c>
      <c r="AB603">
        <v>0.42</v>
      </c>
      <c r="AC603">
        <v>0</v>
      </c>
      <c r="AD603">
        <v>0</v>
      </c>
    </row>
    <row r="604" spans="1:30" x14ac:dyDescent="0.55000000000000004">
      <c r="A604">
        <v>94665</v>
      </c>
      <c r="B604" s="19">
        <v>42535</v>
      </c>
      <c r="C604">
        <v>1211</v>
      </c>
      <c r="D604">
        <v>2016</v>
      </c>
      <c r="E604">
        <v>25</v>
      </c>
      <c r="F604">
        <v>647</v>
      </c>
      <c r="G604">
        <v>2</v>
      </c>
      <c r="H604">
        <v>406</v>
      </c>
      <c r="I604">
        <v>3</v>
      </c>
      <c r="J604">
        <v>4829.28</v>
      </c>
      <c r="K604">
        <v>8836.34</v>
      </c>
      <c r="L604">
        <v>4829.3599999999997</v>
      </c>
      <c r="M604">
        <v>8836.9</v>
      </c>
      <c r="N604">
        <v>48.488</v>
      </c>
      <c r="O604">
        <v>-88.605666999999997</v>
      </c>
      <c r="P604">
        <v>48.489333000000002</v>
      </c>
      <c r="Q604">
        <v>-88.614999999999995</v>
      </c>
      <c r="R604">
        <v>990.25055569999995</v>
      </c>
      <c r="S604">
        <v>18.600000000000001</v>
      </c>
      <c r="T604">
        <v>30.5</v>
      </c>
      <c r="U604">
        <v>0.5</v>
      </c>
      <c r="V604">
        <v>2</v>
      </c>
      <c r="W604">
        <v>12.5</v>
      </c>
      <c r="X604">
        <v>12.416</v>
      </c>
      <c r="Y604">
        <v>0.62739999999999996</v>
      </c>
      <c r="Z604">
        <v>64.016900000000007</v>
      </c>
      <c r="AA604">
        <v>10</v>
      </c>
      <c r="AB604">
        <v>0.42</v>
      </c>
      <c r="AC604">
        <v>0</v>
      </c>
      <c r="AD604">
        <v>0</v>
      </c>
    </row>
    <row r="605" spans="1:30" x14ac:dyDescent="0.55000000000000004">
      <c r="A605">
        <v>94666</v>
      </c>
      <c r="B605" s="19">
        <v>42535</v>
      </c>
      <c r="C605">
        <v>1311</v>
      </c>
      <c r="D605">
        <v>2016</v>
      </c>
      <c r="E605">
        <v>25</v>
      </c>
      <c r="F605">
        <v>648</v>
      </c>
      <c r="G605">
        <v>2</v>
      </c>
      <c r="H605">
        <v>405</v>
      </c>
      <c r="I605">
        <v>3</v>
      </c>
      <c r="J605">
        <v>4824.8999999999996</v>
      </c>
      <c r="K605">
        <v>8841.68</v>
      </c>
      <c r="L605">
        <v>4824.5600000000004</v>
      </c>
      <c r="M605">
        <v>8841.9699999999993</v>
      </c>
      <c r="N605">
        <v>48.414999999999999</v>
      </c>
      <c r="O605">
        <v>-88.694666999999995</v>
      </c>
      <c r="P605">
        <v>48.409332999999997</v>
      </c>
      <c r="Q605">
        <v>-88.6995</v>
      </c>
      <c r="R605">
        <v>793.36209940000003</v>
      </c>
      <c r="S605">
        <v>21.2</v>
      </c>
      <c r="T605">
        <v>18.7</v>
      </c>
      <c r="U605">
        <v>0.5</v>
      </c>
      <c r="V605">
        <v>2</v>
      </c>
      <c r="W605">
        <v>12.5</v>
      </c>
      <c r="X605">
        <v>11.939399999999999</v>
      </c>
      <c r="Y605">
        <v>0.67525000000000002</v>
      </c>
      <c r="Z605">
        <v>66.519949999999994</v>
      </c>
      <c r="AA605">
        <v>10</v>
      </c>
      <c r="AB605">
        <v>0.4</v>
      </c>
      <c r="AC605">
        <v>0</v>
      </c>
      <c r="AD605">
        <v>0</v>
      </c>
    </row>
    <row r="606" spans="1:30" x14ac:dyDescent="0.55000000000000004">
      <c r="A606">
        <v>94667</v>
      </c>
      <c r="B606" s="19">
        <v>42535</v>
      </c>
      <c r="C606">
        <v>1311</v>
      </c>
      <c r="D606">
        <v>2016</v>
      </c>
      <c r="E606">
        <v>25</v>
      </c>
      <c r="F606">
        <v>649</v>
      </c>
      <c r="G606">
        <v>2</v>
      </c>
      <c r="H606">
        <v>405</v>
      </c>
      <c r="I606">
        <v>3</v>
      </c>
      <c r="J606">
        <v>4824.8999999999996</v>
      </c>
      <c r="K606">
        <v>8841.68</v>
      </c>
      <c r="L606">
        <v>4824.5600000000004</v>
      </c>
      <c r="M606">
        <v>8841.9699999999993</v>
      </c>
      <c r="N606">
        <v>48.414999999999999</v>
      </c>
      <c r="O606">
        <v>-88.694666999999995</v>
      </c>
      <c r="P606">
        <v>48.409332999999997</v>
      </c>
      <c r="Q606">
        <v>-88.6995</v>
      </c>
      <c r="R606">
        <v>793.36209940000003</v>
      </c>
      <c r="S606">
        <v>21.2</v>
      </c>
      <c r="T606">
        <v>18.7</v>
      </c>
      <c r="U606">
        <v>0.5</v>
      </c>
      <c r="V606">
        <v>2</v>
      </c>
      <c r="W606">
        <v>12.5</v>
      </c>
      <c r="X606">
        <v>11.939399999999999</v>
      </c>
      <c r="Y606">
        <v>0.67525000000000002</v>
      </c>
      <c r="Z606">
        <v>66.519949999999994</v>
      </c>
      <c r="AA606">
        <v>10</v>
      </c>
      <c r="AB606">
        <v>0.4</v>
      </c>
      <c r="AC606">
        <v>0</v>
      </c>
      <c r="AD606">
        <v>0</v>
      </c>
    </row>
    <row r="607" spans="1:30" x14ac:dyDescent="0.55000000000000004">
      <c r="A607">
        <v>94669</v>
      </c>
      <c r="B607" s="19">
        <v>42536</v>
      </c>
      <c r="C607">
        <v>923</v>
      </c>
      <c r="D607">
        <v>2016</v>
      </c>
      <c r="E607">
        <v>25</v>
      </c>
      <c r="F607">
        <v>650</v>
      </c>
      <c r="G607">
        <v>2</v>
      </c>
      <c r="H607">
        <v>401</v>
      </c>
      <c r="I607">
        <v>3</v>
      </c>
      <c r="J607">
        <v>4830.54</v>
      </c>
      <c r="K607">
        <v>8855.8700000000008</v>
      </c>
      <c r="L607">
        <v>4830.3</v>
      </c>
      <c r="M607">
        <v>8856.32</v>
      </c>
      <c r="N607">
        <v>48.509</v>
      </c>
      <c r="O607">
        <v>-88.931167000000002</v>
      </c>
      <c r="P607">
        <v>48.505000000000003</v>
      </c>
      <c r="Q607">
        <v>-88.938666999999995</v>
      </c>
      <c r="R607">
        <v>855.87547559999996</v>
      </c>
      <c r="S607">
        <v>45</v>
      </c>
      <c r="T607">
        <v>44.9</v>
      </c>
      <c r="U607">
        <v>0.5</v>
      </c>
      <c r="V607">
        <v>2</v>
      </c>
      <c r="W607">
        <v>8.6999999999999993</v>
      </c>
      <c r="X607">
        <v>8.7797499999999999</v>
      </c>
      <c r="Y607">
        <v>1.1468499999999999</v>
      </c>
      <c r="Z607">
        <v>80.12285</v>
      </c>
      <c r="AA607">
        <v>10</v>
      </c>
      <c r="AB607">
        <v>0.43</v>
      </c>
      <c r="AC607">
        <v>217</v>
      </c>
      <c r="AD607">
        <v>61</v>
      </c>
    </row>
    <row r="608" spans="1:30" x14ac:dyDescent="0.55000000000000004">
      <c r="A608">
        <v>94670</v>
      </c>
      <c r="B608" s="19">
        <v>42536</v>
      </c>
      <c r="C608">
        <v>923</v>
      </c>
      <c r="D608">
        <v>2016</v>
      </c>
      <c r="E608">
        <v>25</v>
      </c>
      <c r="F608">
        <v>651</v>
      </c>
      <c r="G608">
        <v>2</v>
      </c>
      <c r="H608">
        <v>401</v>
      </c>
      <c r="I608">
        <v>3</v>
      </c>
      <c r="J608">
        <v>4830.54</v>
      </c>
      <c r="K608">
        <v>8855.8700000000008</v>
      </c>
      <c r="L608">
        <v>4830.3</v>
      </c>
      <c r="M608">
        <v>8856.32</v>
      </c>
      <c r="N608">
        <v>48.509</v>
      </c>
      <c r="O608">
        <v>-88.931167000000002</v>
      </c>
      <c r="P608">
        <v>48.505000000000003</v>
      </c>
      <c r="Q608">
        <v>-88.938666999999995</v>
      </c>
      <c r="R608">
        <v>855.87547559999996</v>
      </c>
      <c r="S608">
        <v>45</v>
      </c>
      <c r="T608">
        <v>44.9</v>
      </c>
      <c r="U608">
        <v>0.5</v>
      </c>
      <c r="V608">
        <v>2</v>
      </c>
      <c r="W608">
        <v>8.6999999999999993</v>
      </c>
      <c r="X608">
        <v>8.7797499999999999</v>
      </c>
      <c r="Y608">
        <v>1.1468499999999999</v>
      </c>
      <c r="Z608">
        <v>80.12285</v>
      </c>
      <c r="AA608">
        <v>10</v>
      </c>
      <c r="AB608">
        <v>0.43</v>
      </c>
      <c r="AC608">
        <v>217</v>
      </c>
      <c r="AD608">
        <v>58</v>
      </c>
    </row>
    <row r="609" spans="1:30" x14ac:dyDescent="0.55000000000000004">
      <c r="A609">
        <v>94672</v>
      </c>
      <c r="B609" s="19">
        <v>42536</v>
      </c>
      <c r="C609">
        <v>1129</v>
      </c>
      <c r="D609">
        <v>2016</v>
      </c>
      <c r="E609">
        <v>25</v>
      </c>
      <c r="F609">
        <v>652</v>
      </c>
      <c r="G609">
        <v>2</v>
      </c>
      <c r="H609">
        <v>402</v>
      </c>
      <c r="I609">
        <v>3</v>
      </c>
      <c r="J609">
        <v>4822.13</v>
      </c>
      <c r="K609">
        <v>8852.65</v>
      </c>
      <c r="L609">
        <v>4822.37</v>
      </c>
      <c r="M609">
        <v>8853.17</v>
      </c>
      <c r="N609">
        <v>48.368833000000002</v>
      </c>
      <c r="O609">
        <v>-88.877499999999998</v>
      </c>
      <c r="P609">
        <v>48.372833</v>
      </c>
      <c r="Q609">
        <v>-88.886167</v>
      </c>
      <c r="R609">
        <v>458.0191294</v>
      </c>
      <c r="S609">
        <v>21.4</v>
      </c>
      <c r="T609">
        <v>35.700000000000003</v>
      </c>
      <c r="U609">
        <v>0.5</v>
      </c>
      <c r="V609">
        <v>2</v>
      </c>
      <c r="W609">
        <v>5.5</v>
      </c>
      <c r="X609">
        <v>7.4694000000000003</v>
      </c>
      <c r="Y609">
        <v>-6.9099999999999995E-2</v>
      </c>
      <c r="Z609">
        <v>65.4221</v>
      </c>
      <c r="AA609">
        <v>10</v>
      </c>
      <c r="AB609">
        <v>0.48</v>
      </c>
      <c r="AC609">
        <v>0</v>
      </c>
      <c r="AD609">
        <v>0</v>
      </c>
    </row>
    <row r="610" spans="1:30" x14ac:dyDescent="0.55000000000000004">
      <c r="A610">
        <v>94673</v>
      </c>
      <c r="B610" s="19">
        <v>42536</v>
      </c>
      <c r="C610">
        <v>1129</v>
      </c>
      <c r="D610">
        <v>2016</v>
      </c>
      <c r="E610">
        <v>25</v>
      </c>
      <c r="F610">
        <v>653</v>
      </c>
      <c r="G610">
        <v>2</v>
      </c>
      <c r="H610">
        <v>402</v>
      </c>
      <c r="I610">
        <v>3</v>
      </c>
      <c r="J610">
        <v>4822.13</v>
      </c>
      <c r="K610">
        <v>8852.65</v>
      </c>
      <c r="L610">
        <v>4822.37</v>
      </c>
      <c r="M610">
        <v>8853.17</v>
      </c>
      <c r="N610">
        <v>48.368833000000002</v>
      </c>
      <c r="O610">
        <v>-88.877499999999998</v>
      </c>
      <c r="P610">
        <v>48.372833</v>
      </c>
      <c r="Q610">
        <v>-88.886167</v>
      </c>
      <c r="R610">
        <v>458.0191294</v>
      </c>
      <c r="S610">
        <v>21.4</v>
      </c>
      <c r="T610">
        <v>35.700000000000003</v>
      </c>
      <c r="U610">
        <v>0.5</v>
      </c>
      <c r="V610">
        <v>2</v>
      </c>
      <c r="W610">
        <v>5.5</v>
      </c>
      <c r="X610">
        <v>7.4694000000000003</v>
      </c>
      <c r="Y610">
        <v>-6.9099999999999995E-2</v>
      </c>
      <c r="Z610">
        <v>65.4221</v>
      </c>
      <c r="AA610">
        <v>10</v>
      </c>
      <c r="AB610">
        <v>0.48</v>
      </c>
      <c r="AC610">
        <v>0</v>
      </c>
      <c r="AD610">
        <v>0</v>
      </c>
    </row>
    <row r="611" spans="1:30" x14ac:dyDescent="0.55000000000000004">
      <c r="A611">
        <v>94674</v>
      </c>
      <c r="B611" s="19">
        <v>42536</v>
      </c>
      <c r="C611">
        <v>1256</v>
      </c>
      <c r="D611">
        <v>2016</v>
      </c>
      <c r="E611">
        <v>25</v>
      </c>
      <c r="F611">
        <v>654</v>
      </c>
      <c r="G611">
        <v>2</v>
      </c>
      <c r="H611">
        <v>404</v>
      </c>
      <c r="I611">
        <v>3</v>
      </c>
      <c r="J611">
        <v>4818.59</v>
      </c>
      <c r="K611">
        <v>8854.17</v>
      </c>
      <c r="L611">
        <v>4818.4399999999996</v>
      </c>
      <c r="M611">
        <v>8854.7000000000007</v>
      </c>
      <c r="N611">
        <v>48.309832999999998</v>
      </c>
      <c r="O611">
        <v>-88.902833000000001</v>
      </c>
      <c r="P611">
        <v>48.307333</v>
      </c>
      <c r="Q611">
        <v>-88.911666999999994</v>
      </c>
      <c r="R611">
        <v>463.59602719999998</v>
      </c>
      <c r="S611">
        <v>51.7</v>
      </c>
      <c r="T611">
        <v>61.8</v>
      </c>
      <c r="U611">
        <v>0.5</v>
      </c>
      <c r="V611">
        <v>2</v>
      </c>
      <c r="W611">
        <v>9.3000000000000007</v>
      </c>
      <c r="X611">
        <v>9.7534500000000008</v>
      </c>
      <c r="Y611">
        <v>1.03545</v>
      </c>
      <c r="Z611">
        <v>77.622550000000004</v>
      </c>
      <c r="AA611">
        <v>10</v>
      </c>
      <c r="AB611">
        <v>0.45</v>
      </c>
      <c r="AC611">
        <v>217</v>
      </c>
      <c r="AD611">
        <v>3</v>
      </c>
    </row>
    <row r="612" spans="1:30" x14ac:dyDescent="0.55000000000000004">
      <c r="A612">
        <v>94675</v>
      </c>
      <c r="B612" s="19">
        <v>42536</v>
      </c>
      <c r="C612">
        <v>1256</v>
      </c>
      <c r="D612">
        <v>2016</v>
      </c>
      <c r="E612">
        <v>25</v>
      </c>
      <c r="F612">
        <v>655</v>
      </c>
      <c r="G612">
        <v>2</v>
      </c>
      <c r="H612">
        <v>404</v>
      </c>
      <c r="I612">
        <v>3</v>
      </c>
      <c r="J612">
        <v>4818.59</v>
      </c>
      <c r="K612">
        <v>8854.17</v>
      </c>
      <c r="L612">
        <v>4818.4399999999996</v>
      </c>
      <c r="M612">
        <v>8854.7000000000007</v>
      </c>
      <c r="N612">
        <v>48.309832999999998</v>
      </c>
      <c r="O612">
        <v>-88.902833000000001</v>
      </c>
      <c r="P612">
        <v>48.307333</v>
      </c>
      <c r="Q612">
        <v>-88.911666999999994</v>
      </c>
      <c r="R612">
        <v>463.59602719999998</v>
      </c>
      <c r="S612">
        <v>51.7</v>
      </c>
      <c r="T612">
        <v>61.8</v>
      </c>
      <c r="U612">
        <v>0.5</v>
      </c>
      <c r="V612">
        <v>2</v>
      </c>
      <c r="W612">
        <v>9.3000000000000007</v>
      </c>
      <c r="X612">
        <v>9.7534500000000008</v>
      </c>
      <c r="Y612">
        <v>1.03545</v>
      </c>
      <c r="Z612">
        <v>77.622550000000004</v>
      </c>
      <c r="AA612">
        <v>10</v>
      </c>
      <c r="AB612">
        <v>0.45</v>
      </c>
      <c r="AC612">
        <v>217</v>
      </c>
      <c r="AD612">
        <v>4</v>
      </c>
    </row>
    <row r="613" spans="1:30" x14ac:dyDescent="0.55000000000000004">
      <c r="A613">
        <v>94678</v>
      </c>
      <c r="B613" s="19">
        <v>42537</v>
      </c>
      <c r="C613">
        <v>801</v>
      </c>
      <c r="D613">
        <v>2016</v>
      </c>
      <c r="E613">
        <v>25</v>
      </c>
      <c r="F613">
        <v>656</v>
      </c>
      <c r="G613">
        <v>2</v>
      </c>
      <c r="H613">
        <v>403</v>
      </c>
      <c r="I613">
        <v>3</v>
      </c>
      <c r="J613">
        <v>4815.7700000000004</v>
      </c>
      <c r="K613">
        <v>8909.94</v>
      </c>
      <c r="L613">
        <v>4815.38</v>
      </c>
      <c r="M613">
        <v>8909.91</v>
      </c>
      <c r="N613">
        <v>48.262833000000001</v>
      </c>
      <c r="O613">
        <v>-89.165666999999999</v>
      </c>
      <c r="P613">
        <v>48.256332999999998</v>
      </c>
      <c r="Q613">
        <v>-89.165166999999997</v>
      </c>
      <c r="R613">
        <v>254.71853870000001</v>
      </c>
      <c r="S613">
        <v>35.5</v>
      </c>
      <c r="T613">
        <v>25</v>
      </c>
      <c r="U613">
        <v>0.5</v>
      </c>
      <c r="V613">
        <v>2</v>
      </c>
      <c r="W613">
        <v>7.9</v>
      </c>
      <c r="X613">
        <v>8.8979999999999997</v>
      </c>
      <c r="Y613">
        <v>0.44855</v>
      </c>
      <c r="Z613">
        <v>82.276849999999996</v>
      </c>
      <c r="AA613">
        <v>10</v>
      </c>
      <c r="AB613">
        <v>0.43</v>
      </c>
      <c r="AC613">
        <v>217</v>
      </c>
      <c r="AD613">
        <v>403</v>
      </c>
    </row>
    <row r="614" spans="1:30" x14ac:dyDescent="0.55000000000000004">
      <c r="A614">
        <v>94678</v>
      </c>
      <c r="B614" s="19">
        <v>42537</v>
      </c>
      <c r="C614">
        <v>801</v>
      </c>
      <c r="D614">
        <v>2016</v>
      </c>
      <c r="E614">
        <v>25</v>
      </c>
      <c r="F614">
        <v>656</v>
      </c>
      <c r="G614">
        <v>2</v>
      </c>
      <c r="H614">
        <v>403</v>
      </c>
      <c r="I614">
        <v>3</v>
      </c>
      <c r="J614">
        <v>4815.7700000000004</v>
      </c>
      <c r="K614">
        <v>8909.94</v>
      </c>
      <c r="L614">
        <v>4815.38</v>
      </c>
      <c r="M614">
        <v>8909.91</v>
      </c>
      <c r="N614">
        <v>48.262833000000001</v>
      </c>
      <c r="O614">
        <v>-89.165666999999999</v>
      </c>
      <c r="P614">
        <v>48.256332999999998</v>
      </c>
      <c r="Q614">
        <v>-89.165166999999997</v>
      </c>
      <c r="R614">
        <v>254.71853870000001</v>
      </c>
      <c r="S614">
        <v>35.5</v>
      </c>
      <c r="T614">
        <v>25</v>
      </c>
      <c r="U614">
        <v>0.5</v>
      </c>
      <c r="V614">
        <v>2</v>
      </c>
      <c r="W614">
        <v>7.9</v>
      </c>
      <c r="X614">
        <v>8.8979999999999997</v>
      </c>
      <c r="Y614">
        <v>0.44855</v>
      </c>
      <c r="Z614">
        <v>82.276849999999996</v>
      </c>
      <c r="AA614">
        <v>10</v>
      </c>
      <c r="AB614">
        <v>0.43</v>
      </c>
      <c r="AC614">
        <v>316</v>
      </c>
      <c r="AD614">
        <v>2</v>
      </c>
    </row>
    <row r="615" spans="1:30" x14ac:dyDescent="0.55000000000000004">
      <c r="A615">
        <v>94679</v>
      </c>
      <c r="B615" s="19">
        <v>42537</v>
      </c>
      <c r="C615">
        <v>801</v>
      </c>
      <c r="D615">
        <v>2016</v>
      </c>
      <c r="E615">
        <v>25</v>
      </c>
      <c r="F615">
        <v>657</v>
      </c>
      <c r="G615">
        <v>2</v>
      </c>
      <c r="H615">
        <v>403</v>
      </c>
      <c r="I615">
        <v>3</v>
      </c>
      <c r="J615">
        <v>4815.7700000000004</v>
      </c>
      <c r="K615">
        <v>8909.94</v>
      </c>
      <c r="L615">
        <v>4815.38</v>
      </c>
      <c r="M615">
        <v>8909.91</v>
      </c>
      <c r="N615">
        <v>48.262833000000001</v>
      </c>
      <c r="O615">
        <v>-89.165666999999999</v>
      </c>
      <c r="P615">
        <v>48.256332999999998</v>
      </c>
      <c r="Q615">
        <v>-89.165166999999997</v>
      </c>
      <c r="R615">
        <v>254.71853870000001</v>
      </c>
      <c r="S615">
        <v>35.5</v>
      </c>
      <c r="T615">
        <v>25</v>
      </c>
      <c r="U615">
        <v>0.5</v>
      </c>
      <c r="V615">
        <v>2</v>
      </c>
      <c r="W615">
        <v>7.9</v>
      </c>
      <c r="X615">
        <v>8.8979999999999997</v>
      </c>
      <c r="Y615">
        <v>0.44855</v>
      </c>
      <c r="Z615">
        <v>82.276849999999996</v>
      </c>
      <c r="AA615">
        <v>10</v>
      </c>
      <c r="AB615">
        <v>0.43</v>
      </c>
      <c r="AC615">
        <v>130</v>
      </c>
      <c r="AD615">
        <v>1</v>
      </c>
    </row>
    <row r="616" spans="1:30" x14ac:dyDescent="0.55000000000000004">
      <c r="A616">
        <v>94679</v>
      </c>
      <c r="B616" s="19">
        <v>42537</v>
      </c>
      <c r="C616">
        <v>801</v>
      </c>
      <c r="D616">
        <v>2016</v>
      </c>
      <c r="E616">
        <v>25</v>
      </c>
      <c r="F616">
        <v>657</v>
      </c>
      <c r="G616">
        <v>2</v>
      </c>
      <c r="H616">
        <v>403</v>
      </c>
      <c r="I616">
        <v>3</v>
      </c>
      <c r="J616">
        <v>4815.7700000000004</v>
      </c>
      <c r="K616">
        <v>8909.94</v>
      </c>
      <c r="L616">
        <v>4815.38</v>
      </c>
      <c r="M616">
        <v>8909.91</v>
      </c>
      <c r="N616">
        <v>48.262833000000001</v>
      </c>
      <c r="O616">
        <v>-89.165666999999999</v>
      </c>
      <c r="P616">
        <v>48.256332999999998</v>
      </c>
      <c r="Q616">
        <v>-89.165166999999997</v>
      </c>
      <c r="R616">
        <v>254.71853870000001</v>
      </c>
      <c r="S616">
        <v>35.5</v>
      </c>
      <c r="T616">
        <v>25</v>
      </c>
      <c r="U616">
        <v>0.5</v>
      </c>
      <c r="V616">
        <v>2</v>
      </c>
      <c r="W616">
        <v>7.9</v>
      </c>
      <c r="X616">
        <v>8.8979999999999997</v>
      </c>
      <c r="Y616">
        <v>0.44855</v>
      </c>
      <c r="Z616">
        <v>82.276849999999996</v>
      </c>
      <c r="AA616">
        <v>10</v>
      </c>
      <c r="AB616">
        <v>0.43</v>
      </c>
      <c r="AC616">
        <v>217</v>
      </c>
      <c r="AD616">
        <v>347</v>
      </c>
    </row>
    <row r="617" spans="1:30" x14ac:dyDescent="0.55000000000000004">
      <c r="A617">
        <v>94681</v>
      </c>
      <c r="B617" s="19">
        <v>42537</v>
      </c>
      <c r="C617">
        <v>1037</v>
      </c>
      <c r="D617">
        <v>2016</v>
      </c>
      <c r="E617">
        <v>25</v>
      </c>
      <c r="F617">
        <v>658</v>
      </c>
      <c r="G617">
        <v>2</v>
      </c>
      <c r="H617">
        <v>400</v>
      </c>
      <c r="I617">
        <v>3</v>
      </c>
      <c r="J617">
        <v>4804.8500000000004</v>
      </c>
      <c r="K617">
        <v>8925.31</v>
      </c>
      <c r="L617">
        <v>4804.6499999999996</v>
      </c>
      <c r="M617">
        <v>8924.7800000000007</v>
      </c>
      <c r="N617">
        <v>48.080832999999998</v>
      </c>
      <c r="O617">
        <v>-89.421833000000007</v>
      </c>
      <c r="P617">
        <v>48.077500000000001</v>
      </c>
      <c r="Q617">
        <v>-89.412999999999997</v>
      </c>
      <c r="R617">
        <v>199.16238820000001</v>
      </c>
      <c r="S617">
        <v>20.8</v>
      </c>
      <c r="T617">
        <v>41.7</v>
      </c>
      <c r="U617">
        <v>0.5</v>
      </c>
      <c r="V617">
        <v>2</v>
      </c>
      <c r="W617">
        <v>10.7</v>
      </c>
      <c r="X617">
        <v>10.43745</v>
      </c>
      <c r="Y617">
        <v>0.83199999999999996</v>
      </c>
      <c r="Z617">
        <v>32.206650000000003</v>
      </c>
      <c r="AA617">
        <v>10</v>
      </c>
      <c r="AB617">
        <v>0.47</v>
      </c>
      <c r="AC617">
        <v>217</v>
      </c>
      <c r="AD617">
        <v>16</v>
      </c>
    </row>
    <row r="618" spans="1:30" x14ac:dyDescent="0.55000000000000004">
      <c r="A618">
        <v>94681</v>
      </c>
      <c r="B618" s="19">
        <v>42537</v>
      </c>
      <c r="C618">
        <v>1037</v>
      </c>
      <c r="D618">
        <v>2016</v>
      </c>
      <c r="E618">
        <v>25</v>
      </c>
      <c r="F618">
        <v>658</v>
      </c>
      <c r="G618">
        <v>2</v>
      </c>
      <c r="H618">
        <v>400</v>
      </c>
      <c r="I618">
        <v>3</v>
      </c>
      <c r="J618">
        <v>4804.8500000000004</v>
      </c>
      <c r="K618">
        <v>8925.31</v>
      </c>
      <c r="L618">
        <v>4804.6499999999996</v>
      </c>
      <c r="M618">
        <v>8924.7800000000007</v>
      </c>
      <c r="N618">
        <v>48.080832999999998</v>
      </c>
      <c r="O618">
        <v>-89.421833000000007</v>
      </c>
      <c r="P618">
        <v>48.077500000000001</v>
      </c>
      <c r="Q618">
        <v>-89.412999999999997</v>
      </c>
      <c r="R618">
        <v>199.16238820000001</v>
      </c>
      <c r="S618">
        <v>20.8</v>
      </c>
      <c r="T618">
        <v>41.7</v>
      </c>
      <c r="U618">
        <v>0.5</v>
      </c>
      <c r="V618">
        <v>2</v>
      </c>
      <c r="W618">
        <v>10.7</v>
      </c>
      <c r="X618">
        <v>10.43745</v>
      </c>
      <c r="Y618">
        <v>0.83199999999999996</v>
      </c>
      <c r="Z618">
        <v>32.206650000000003</v>
      </c>
      <c r="AA618">
        <v>10</v>
      </c>
      <c r="AB618">
        <v>0.47</v>
      </c>
      <c r="AC618">
        <v>900</v>
      </c>
      <c r="AD618">
        <v>1</v>
      </c>
    </row>
    <row r="619" spans="1:30" x14ac:dyDescent="0.55000000000000004">
      <c r="A619">
        <v>94682</v>
      </c>
      <c r="B619" s="19">
        <v>42537</v>
      </c>
      <c r="C619">
        <v>1037</v>
      </c>
      <c r="D619">
        <v>2016</v>
      </c>
      <c r="E619">
        <v>25</v>
      </c>
      <c r="F619">
        <v>659</v>
      </c>
      <c r="G619">
        <v>2</v>
      </c>
      <c r="H619">
        <v>400</v>
      </c>
      <c r="I619">
        <v>3</v>
      </c>
      <c r="J619">
        <v>4804.8500000000004</v>
      </c>
      <c r="K619">
        <v>8925.31</v>
      </c>
      <c r="L619">
        <v>4804.6499999999996</v>
      </c>
      <c r="M619">
        <v>8924.7800000000007</v>
      </c>
      <c r="N619">
        <v>48.080832999999998</v>
      </c>
      <c r="O619">
        <v>-89.421833000000007</v>
      </c>
      <c r="P619">
        <v>48.077500000000001</v>
      </c>
      <c r="Q619">
        <v>-89.412999999999997</v>
      </c>
      <c r="R619">
        <v>199.16238820000001</v>
      </c>
      <c r="S619">
        <v>20.8</v>
      </c>
      <c r="T619">
        <v>41.7</v>
      </c>
      <c r="U619">
        <v>0.5</v>
      </c>
      <c r="V619">
        <v>2</v>
      </c>
      <c r="W619">
        <v>10.7</v>
      </c>
      <c r="X619">
        <v>10.43745</v>
      </c>
      <c r="Y619">
        <v>0.83199999999999996</v>
      </c>
      <c r="Z619">
        <v>32.206650000000003</v>
      </c>
      <c r="AA619">
        <v>10</v>
      </c>
      <c r="AB619">
        <v>0.47</v>
      </c>
      <c r="AC619">
        <v>217</v>
      </c>
      <c r="AD619">
        <v>14</v>
      </c>
    </row>
    <row r="620" spans="1:30" x14ac:dyDescent="0.55000000000000004">
      <c r="A620">
        <v>94682</v>
      </c>
      <c r="B620" s="19">
        <v>42537</v>
      </c>
      <c r="C620">
        <v>1037</v>
      </c>
      <c r="D620">
        <v>2016</v>
      </c>
      <c r="E620">
        <v>25</v>
      </c>
      <c r="F620">
        <v>659</v>
      </c>
      <c r="G620">
        <v>2</v>
      </c>
      <c r="H620">
        <v>400</v>
      </c>
      <c r="I620">
        <v>3</v>
      </c>
      <c r="J620">
        <v>4804.8500000000004</v>
      </c>
      <c r="K620">
        <v>8925.31</v>
      </c>
      <c r="L620">
        <v>4804.6499999999996</v>
      </c>
      <c r="M620">
        <v>8924.7800000000007</v>
      </c>
      <c r="N620">
        <v>48.080832999999998</v>
      </c>
      <c r="O620">
        <v>-89.421833000000007</v>
      </c>
      <c r="P620">
        <v>48.077500000000001</v>
      </c>
      <c r="Q620">
        <v>-89.412999999999997</v>
      </c>
      <c r="R620">
        <v>199.16238820000001</v>
      </c>
      <c r="S620">
        <v>20.8</v>
      </c>
      <c r="T620">
        <v>41.7</v>
      </c>
      <c r="U620">
        <v>0.5</v>
      </c>
      <c r="V620">
        <v>2</v>
      </c>
      <c r="W620">
        <v>10.7</v>
      </c>
      <c r="X620">
        <v>10.43745</v>
      </c>
      <c r="Y620">
        <v>0.83199999999999996</v>
      </c>
      <c r="Z620">
        <v>32.206650000000003</v>
      </c>
      <c r="AA620">
        <v>10</v>
      </c>
      <c r="AB620">
        <v>0.47</v>
      </c>
      <c r="AC620">
        <v>301</v>
      </c>
      <c r="AD620">
        <v>1</v>
      </c>
    </row>
    <row r="621" spans="1:30" x14ac:dyDescent="0.55000000000000004">
      <c r="A621">
        <v>94683</v>
      </c>
      <c r="B621" s="19">
        <v>42537</v>
      </c>
      <c r="C621">
        <v>1248</v>
      </c>
      <c r="D621">
        <v>2016</v>
      </c>
      <c r="E621">
        <v>25</v>
      </c>
      <c r="F621">
        <v>660</v>
      </c>
      <c r="G621">
        <v>2</v>
      </c>
      <c r="H621">
        <v>191</v>
      </c>
      <c r="I621">
        <v>3</v>
      </c>
      <c r="J621">
        <v>4758.6499999999996</v>
      </c>
      <c r="K621">
        <v>8937.68</v>
      </c>
      <c r="L621">
        <v>4758.3100000000004</v>
      </c>
      <c r="M621">
        <v>8937.51</v>
      </c>
      <c r="N621">
        <v>47.977499999999999</v>
      </c>
      <c r="O621">
        <v>-89.628</v>
      </c>
      <c r="P621">
        <v>47.971832999999997</v>
      </c>
      <c r="Q621">
        <v>-89.625167000000005</v>
      </c>
      <c r="R621">
        <v>1064.728022</v>
      </c>
      <c r="S621">
        <v>21.7</v>
      </c>
      <c r="T621">
        <v>28.6</v>
      </c>
      <c r="U621">
        <v>0.5</v>
      </c>
      <c r="V621">
        <v>2</v>
      </c>
      <c r="W621">
        <v>9.4</v>
      </c>
      <c r="X621">
        <v>9.0405499999999996</v>
      </c>
      <c r="Y621">
        <v>0.22795000000000001</v>
      </c>
      <c r="Z621">
        <v>77.236900000000006</v>
      </c>
      <c r="AA621">
        <v>10</v>
      </c>
      <c r="AB621">
        <v>0.42</v>
      </c>
      <c r="AC621">
        <v>217</v>
      </c>
      <c r="AD621">
        <v>226</v>
      </c>
    </row>
    <row r="622" spans="1:30" x14ac:dyDescent="0.55000000000000004">
      <c r="A622">
        <v>94684</v>
      </c>
      <c r="B622" s="19">
        <v>42537</v>
      </c>
      <c r="C622">
        <v>1248</v>
      </c>
      <c r="D622">
        <v>2016</v>
      </c>
      <c r="E622">
        <v>25</v>
      </c>
      <c r="F622">
        <v>661</v>
      </c>
      <c r="G622">
        <v>2</v>
      </c>
      <c r="H622">
        <v>191</v>
      </c>
      <c r="I622">
        <v>3</v>
      </c>
      <c r="J622">
        <v>4758.6499999999996</v>
      </c>
      <c r="K622">
        <v>8937.68</v>
      </c>
      <c r="L622">
        <v>4758.3100000000004</v>
      </c>
      <c r="M622">
        <v>8937.51</v>
      </c>
      <c r="N622">
        <v>47.977499999999999</v>
      </c>
      <c r="O622">
        <v>-89.628</v>
      </c>
      <c r="P622">
        <v>47.971832999999997</v>
      </c>
      <c r="Q622">
        <v>-89.625167000000005</v>
      </c>
      <c r="R622">
        <v>1064.728022</v>
      </c>
      <c r="S622">
        <v>21.7</v>
      </c>
      <c r="T622">
        <v>28.6</v>
      </c>
      <c r="U622">
        <v>0.5</v>
      </c>
      <c r="V622">
        <v>2</v>
      </c>
      <c r="W622">
        <v>9.4</v>
      </c>
      <c r="X622">
        <v>9.0405499999999996</v>
      </c>
      <c r="Y622">
        <v>0.22795000000000001</v>
      </c>
      <c r="Z622">
        <v>77.236900000000006</v>
      </c>
      <c r="AA622">
        <v>10</v>
      </c>
      <c r="AB622">
        <v>0.42</v>
      </c>
      <c r="AC622">
        <v>217</v>
      </c>
      <c r="AD622">
        <v>223</v>
      </c>
    </row>
    <row r="623" spans="1:30" x14ac:dyDescent="0.55000000000000004">
      <c r="A623">
        <v>94687</v>
      </c>
      <c r="B623" s="19">
        <v>42537</v>
      </c>
      <c r="C623">
        <v>1500</v>
      </c>
      <c r="D623">
        <v>2016</v>
      </c>
      <c r="E623">
        <v>25</v>
      </c>
      <c r="F623">
        <v>662</v>
      </c>
      <c r="G623">
        <v>2</v>
      </c>
      <c r="H623">
        <v>207</v>
      </c>
      <c r="I623">
        <v>3</v>
      </c>
      <c r="J623">
        <v>4750.13</v>
      </c>
      <c r="K623">
        <v>8956.42</v>
      </c>
      <c r="L623">
        <v>4750.1499999999996</v>
      </c>
      <c r="M623">
        <v>8956.9500000000007</v>
      </c>
      <c r="N623">
        <v>47.835500000000003</v>
      </c>
      <c r="O623">
        <v>-89.940332999999995</v>
      </c>
      <c r="P623">
        <v>47.835833000000001</v>
      </c>
      <c r="Q623">
        <v>-89.949167000000003</v>
      </c>
      <c r="R623">
        <v>448.52821749999998</v>
      </c>
      <c r="S623">
        <v>74</v>
      </c>
      <c r="T623">
        <v>48</v>
      </c>
      <c r="U623">
        <v>0.5</v>
      </c>
      <c r="V623">
        <v>2</v>
      </c>
      <c r="W623">
        <v>7</v>
      </c>
      <c r="X623">
        <v>7.2784000000000004</v>
      </c>
      <c r="Y623">
        <v>0.52264999999999995</v>
      </c>
      <c r="Z623">
        <v>59.011850000000003</v>
      </c>
      <c r="AA623">
        <v>10</v>
      </c>
      <c r="AB623">
        <v>0.42</v>
      </c>
      <c r="AC623">
        <v>217</v>
      </c>
      <c r="AD623">
        <v>1962</v>
      </c>
    </row>
    <row r="624" spans="1:30" x14ac:dyDescent="0.55000000000000004">
      <c r="A624">
        <v>94688</v>
      </c>
      <c r="B624" s="19">
        <v>42537</v>
      </c>
      <c r="C624">
        <v>1500</v>
      </c>
      <c r="D624">
        <v>2016</v>
      </c>
      <c r="E624">
        <v>25</v>
      </c>
      <c r="F624">
        <v>663</v>
      </c>
      <c r="G624">
        <v>2</v>
      </c>
      <c r="H624">
        <v>207</v>
      </c>
      <c r="I624">
        <v>3</v>
      </c>
      <c r="J624">
        <v>4750.13</v>
      </c>
      <c r="K624">
        <v>8956.42</v>
      </c>
      <c r="L624">
        <v>4750.1499999999996</v>
      </c>
      <c r="M624">
        <v>8956.9500000000007</v>
      </c>
      <c r="N624">
        <v>47.835500000000003</v>
      </c>
      <c r="O624">
        <v>-89.940332999999995</v>
      </c>
      <c r="P624">
        <v>47.835833000000001</v>
      </c>
      <c r="Q624">
        <v>-89.949167000000003</v>
      </c>
      <c r="R624">
        <v>448.52821749999998</v>
      </c>
      <c r="S624">
        <v>74</v>
      </c>
      <c r="T624">
        <v>48</v>
      </c>
      <c r="U624">
        <v>0.5</v>
      </c>
      <c r="V624">
        <v>2</v>
      </c>
      <c r="W624">
        <v>7</v>
      </c>
      <c r="X624">
        <v>7.2784000000000004</v>
      </c>
      <c r="Y624">
        <v>0.52264999999999995</v>
      </c>
      <c r="Z624">
        <v>59.011850000000003</v>
      </c>
      <c r="AA624">
        <v>10</v>
      </c>
      <c r="AB624">
        <v>0.42</v>
      </c>
      <c r="AC624">
        <v>217</v>
      </c>
      <c r="AD624">
        <v>1000</v>
      </c>
    </row>
    <row r="625" spans="1:30" x14ac:dyDescent="0.55000000000000004">
      <c r="A625">
        <v>94690</v>
      </c>
      <c r="B625" s="19">
        <v>42537</v>
      </c>
      <c r="C625">
        <v>1724</v>
      </c>
      <c r="D625">
        <v>2016</v>
      </c>
      <c r="E625">
        <v>25</v>
      </c>
      <c r="F625">
        <v>664</v>
      </c>
      <c r="G625">
        <v>2</v>
      </c>
      <c r="H625">
        <v>65</v>
      </c>
      <c r="I625">
        <v>3</v>
      </c>
      <c r="J625">
        <v>4744.91</v>
      </c>
      <c r="K625">
        <v>9018.24</v>
      </c>
      <c r="L625">
        <v>4744.8999999999996</v>
      </c>
      <c r="M625">
        <v>9018.75</v>
      </c>
      <c r="N625">
        <v>47.7485</v>
      </c>
      <c r="O625">
        <v>-90.304000000000002</v>
      </c>
      <c r="P625">
        <v>47.748333000000002</v>
      </c>
      <c r="Q625">
        <v>-90.3125</v>
      </c>
      <c r="R625">
        <v>688.20263509999995</v>
      </c>
      <c r="S625">
        <v>56.7</v>
      </c>
      <c r="T625">
        <v>40.799999999999997</v>
      </c>
      <c r="U625">
        <v>0.5</v>
      </c>
      <c r="V625">
        <v>2</v>
      </c>
      <c r="W625">
        <v>5.3</v>
      </c>
      <c r="X625">
        <v>5.5690999999999997</v>
      </c>
      <c r="Y625">
        <v>0.22389999999999999</v>
      </c>
      <c r="Z625">
        <v>80.739000000000004</v>
      </c>
      <c r="AA625">
        <v>10</v>
      </c>
      <c r="AB625">
        <v>0.4</v>
      </c>
      <c r="AC625">
        <v>217</v>
      </c>
      <c r="AD625">
        <v>150</v>
      </c>
    </row>
    <row r="626" spans="1:30" x14ac:dyDescent="0.55000000000000004">
      <c r="A626">
        <v>94691</v>
      </c>
      <c r="B626" s="19">
        <v>42537</v>
      </c>
      <c r="C626">
        <v>1724</v>
      </c>
      <c r="D626">
        <v>2016</v>
      </c>
      <c r="E626">
        <v>25</v>
      </c>
      <c r="F626">
        <v>665</v>
      </c>
      <c r="G626">
        <v>2</v>
      </c>
      <c r="H626">
        <v>65</v>
      </c>
      <c r="I626">
        <v>3</v>
      </c>
      <c r="J626">
        <v>4744.91</v>
      </c>
      <c r="K626">
        <v>9018.24</v>
      </c>
      <c r="L626">
        <v>4744.8999999999996</v>
      </c>
      <c r="M626">
        <v>9018.75</v>
      </c>
      <c r="N626">
        <v>47.7485</v>
      </c>
      <c r="O626">
        <v>-90.304000000000002</v>
      </c>
      <c r="P626">
        <v>47.748333000000002</v>
      </c>
      <c r="Q626">
        <v>-90.3125</v>
      </c>
      <c r="R626">
        <v>688.20263509999995</v>
      </c>
      <c r="S626">
        <v>56.7</v>
      </c>
      <c r="T626">
        <v>40.799999999999997</v>
      </c>
      <c r="U626">
        <v>0.5</v>
      </c>
      <c r="V626">
        <v>2</v>
      </c>
      <c r="W626">
        <v>5.3</v>
      </c>
      <c r="X626">
        <v>5.5690999999999997</v>
      </c>
      <c r="Y626">
        <v>0.22389999999999999</v>
      </c>
      <c r="Z626">
        <v>80.739000000000004</v>
      </c>
      <c r="AA626">
        <v>10</v>
      </c>
      <c r="AB626">
        <v>0.4</v>
      </c>
      <c r="AC626">
        <v>217</v>
      </c>
      <c r="AD626">
        <v>220</v>
      </c>
    </row>
    <row r="627" spans="1:30" x14ac:dyDescent="0.55000000000000004">
      <c r="A627">
        <v>94897</v>
      </c>
      <c r="B627" s="19">
        <v>42548</v>
      </c>
      <c r="C627">
        <v>857</v>
      </c>
      <c r="D627">
        <v>2016</v>
      </c>
      <c r="E627">
        <v>25</v>
      </c>
      <c r="F627">
        <v>666</v>
      </c>
      <c r="G627">
        <v>3</v>
      </c>
      <c r="H627">
        <v>2036</v>
      </c>
      <c r="I627">
        <v>3</v>
      </c>
      <c r="J627">
        <v>4649.1400000000003</v>
      </c>
      <c r="K627">
        <v>9037.39</v>
      </c>
      <c r="L627">
        <v>4648.78</v>
      </c>
      <c r="M627">
        <v>9037.51</v>
      </c>
      <c r="N627">
        <v>46.819000000000003</v>
      </c>
      <c r="O627">
        <v>-90.623166999999995</v>
      </c>
      <c r="P627">
        <v>46.813000000000002</v>
      </c>
      <c r="Q627">
        <v>-90.625167000000005</v>
      </c>
      <c r="R627">
        <v>1562.085153</v>
      </c>
      <c r="S627">
        <v>31.9</v>
      </c>
      <c r="T627">
        <v>36.200000000000003</v>
      </c>
      <c r="U627">
        <v>0.5</v>
      </c>
      <c r="V627">
        <v>2</v>
      </c>
      <c r="W627">
        <v>11.6</v>
      </c>
      <c r="X627">
        <v>11.456200000000001</v>
      </c>
      <c r="Y627">
        <v>0.26740000000000003</v>
      </c>
      <c r="Z627">
        <v>82.224500000000006</v>
      </c>
      <c r="AA627">
        <v>10</v>
      </c>
      <c r="AB627">
        <v>0.42</v>
      </c>
      <c r="AC627">
        <v>217</v>
      </c>
      <c r="AD627">
        <v>3</v>
      </c>
    </row>
    <row r="628" spans="1:30" x14ac:dyDescent="0.55000000000000004">
      <c r="A628">
        <v>94898</v>
      </c>
      <c r="B628" s="19">
        <v>42548</v>
      </c>
      <c r="C628">
        <v>857</v>
      </c>
      <c r="D628">
        <v>2016</v>
      </c>
      <c r="E628">
        <v>25</v>
      </c>
      <c r="F628">
        <v>667</v>
      </c>
      <c r="G628">
        <v>3</v>
      </c>
      <c r="H628">
        <v>2036</v>
      </c>
      <c r="I628">
        <v>3</v>
      </c>
      <c r="J628">
        <v>4649.1400000000003</v>
      </c>
      <c r="K628">
        <v>9037.39</v>
      </c>
      <c r="L628">
        <v>4648.78</v>
      </c>
      <c r="M628">
        <v>9037.51</v>
      </c>
      <c r="N628">
        <v>46.819000000000003</v>
      </c>
      <c r="O628">
        <v>-90.623166999999995</v>
      </c>
      <c r="P628">
        <v>46.813000000000002</v>
      </c>
      <c r="Q628">
        <v>-90.625167000000005</v>
      </c>
      <c r="R628">
        <v>1562.085153</v>
      </c>
      <c r="S628">
        <v>31.9</v>
      </c>
      <c r="T628">
        <v>36.200000000000003</v>
      </c>
      <c r="U628">
        <v>0.5</v>
      </c>
      <c r="V628">
        <v>2</v>
      </c>
      <c r="W628">
        <v>11.6</v>
      </c>
      <c r="X628">
        <v>11.456200000000001</v>
      </c>
      <c r="Y628">
        <v>0.26740000000000003</v>
      </c>
      <c r="Z628">
        <v>82.224500000000006</v>
      </c>
      <c r="AA628">
        <v>10</v>
      </c>
      <c r="AB628">
        <v>0.42</v>
      </c>
      <c r="AC628">
        <v>0</v>
      </c>
      <c r="AD628">
        <v>0</v>
      </c>
    </row>
    <row r="629" spans="1:30" x14ac:dyDescent="0.55000000000000004">
      <c r="A629">
        <v>94901</v>
      </c>
      <c r="B629" s="19">
        <v>42548</v>
      </c>
      <c r="C629">
        <v>1148</v>
      </c>
      <c r="D629">
        <v>2016</v>
      </c>
      <c r="E629">
        <v>25</v>
      </c>
      <c r="F629">
        <v>668</v>
      </c>
      <c r="G629">
        <v>3</v>
      </c>
      <c r="H629">
        <v>2117</v>
      </c>
      <c r="I629">
        <v>3</v>
      </c>
      <c r="J629">
        <v>4702.1499999999996</v>
      </c>
      <c r="K629">
        <v>9017.73</v>
      </c>
      <c r="L629">
        <v>4701.92</v>
      </c>
      <c r="M629">
        <v>9018.15</v>
      </c>
      <c r="N629">
        <v>47.035832999999997</v>
      </c>
      <c r="O629">
        <v>-90.295500000000004</v>
      </c>
      <c r="P629">
        <v>47.031999999999996</v>
      </c>
      <c r="Q629">
        <v>-90.302499999999995</v>
      </c>
      <c r="R629">
        <v>8056.3736829999998</v>
      </c>
      <c r="S629">
        <v>134</v>
      </c>
      <c r="T629">
        <v>134</v>
      </c>
      <c r="U629">
        <v>0.5</v>
      </c>
      <c r="V629">
        <v>2</v>
      </c>
      <c r="W629">
        <v>10.199999999999999</v>
      </c>
      <c r="X629">
        <v>11.145899999999999</v>
      </c>
      <c r="Y629">
        <v>-8.6400000000000005E-2</v>
      </c>
      <c r="Z629">
        <v>53.170499999999997</v>
      </c>
      <c r="AA629">
        <v>10</v>
      </c>
      <c r="AB629">
        <v>0.42</v>
      </c>
      <c r="AC629">
        <v>217</v>
      </c>
      <c r="AD629">
        <v>238</v>
      </c>
    </row>
    <row r="630" spans="1:30" x14ac:dyDescent="0.55000000000000004">
      <c r="A630">
        <v>94902</v>
      </c>
      <c r="B630" s="19">
        <v>42548</v>
      </c>
      <c r="C630">
        <v>1148</v>
      </c>
      <c r="D630">
        <v>2016</v>
      </c>
      <c r="E630">
        <v>25</v>
      </c>
      <c r="F630">
        <v>669</v>
      </c>
      <c r="G630">
        <v>3</v>
      </c>
      <c r="H630">
        <v>2117</v>
      </c>
      <c r="I630">
        <v>3</v>
      </c>
      <c r="J630">
        <v>4702.1499999999996</v>
      </c>
      <c r="K630">
        <v>9017.73</v>
      </c>
      <c r="L630">
        <v>4701.92</v>
      </c>
      <c r="M630">
        <v>9018.15</v>
      </c>
      <c r="N630">
        <v>47.035832999999997</v>
      </c>
      <c r="O630">
        <v>-90.295500000000004</v>
      </c>
      <c r="P630">
        <v>47.031999999999996</v>
      </c>
      <c r="Q630">
        <v>-90.302499999999995</v>
      </c>
      <c r="R630">
        <v>8056.3736829999998</v>
      </c>
      <c r="S630">
        <v>134</v>
      </c>
      <c r="T630">
        <v>134</v>
      </c>
      <c r="U630">
        <v>0.5</v>
      </c>
      <c r="V630">
        <v>2</v>
      </c>
      <c r="W630">
        <v>10.199999999999999</v>
      </c>
      <c r="X630">
        <v>11.145899999999999</v>
      </c>
      <c r="Y630">
        <v>-8.6400000000000005E-2</v>
      </c>
      <c r="Z630">
        <v>53.170499999999997</v>
      </c>
      <c r="AA630">
        <v>10</v>
      </c>
      <c r="AB630">
        <v>0.42</v>
      </c>
      <c r="AC630">
        <v>217</v>
      </c>
      <c r="AD630">
        <v>48</v>
      </c>
    </row>
    <row r="631" spans="1:30" x14ac:dyDescent="0.55000000000000004">
      <c r="A631">
        <v>94904</v>
      </c>
      <c r="B631" s="19">
        <v>42548</v>
      </c>
      <c r="C631">
        <v>1419</v>
      </c>
      <c r="D631">
        <v>2016</v>
      </c>
      <c r="E631">
        <v>25</v>
      </c>
      <c r="F631">
        <v>670</v>
      </c>
      <c r="G631">
        <v>3</v>
      </c>
      <c r="H631">
        <v>2052</v>
      </c>
      <c r="I631">
        <v>3</v>
      </c>
      <c r="J631">
        <v>4701.3500000000004</v>
      </c>
      <c r="K631">
        <v>9042.6299999999992</v>
      </c>
      <c r="L631">
        <v>4701.01</v>
      </c>
      <c r="M631">
        <v>9042.83</v>
      </c>
      <c r="N631">
        <v>47.022500000000001</v>
      </c>
      <c r="O631">
        <v>-90.710499999999996</v>
      </c>
      <c r="P631">
        <v>47.016832999999998</v>
      </c>
      <c r="Q631">
        <v>-90.713832999999994</v>
      </c>
      <c r="R631">
        <v>1338.3130630000001</v>
      </c>
      <c r="S631">
        <v>41.1</v>
      </c>
      <c r="T631">
        <v>43.6</v>
      </c>
      <c r="U631">
        <v>0.5</v>
      </c>
      <c r="V631">
        <v>2</v>
      </c>
      <c r="W631">
        <v>11.3</v>
      </c>
      <c r="X631">
        <v>11.5928</v>
      </c>
      <c r="Y631">
        <v>0.1198</v>
      </c>
      <c r="Z631">
        <v>80.314400000000006</v>
      </c>
      <c r="AA631">
        <v>10</v>
      </c>
      <c r="AB631">
        <v>0.42</v>
      </c>
      <c r="AC631">
        <v>217</v>
      </c>
      <c r="AD631">
        <v>39</v>
      </c>
    </row>
    <row r="632" spans="1:30" x14ac:dyDescent="0.55000000000000004">
      <c r="A632">
        <v>94905</v>
      </c>
      <c r="B632" s="19">
        <v>42548</v>
      </c>
      <c r="C632">
        <v>1419</v>
      </c>
      <c r="D632">
        <v>2016</v>
      </c>
      <c r="E632">
        <v>25</v>
      </c>
      <c r="F632">
        <v>671</v>
      </c>
      <c r="G632">
        <v>3</v>
      </c>
      <c r="H632">
        <v>2052</v>
      </c>
      <c r="I632">
        <v>3</v>
      </c>
      <c r="J632">
        <v>4701.3500000000004</v>
      </c>
      <c r="K632">
        <v>9042.6299999999992</v>
      </c>
      <c r="L632">
        <v>4701.01</v>
      </c>
      <c r="M632">
        <v>9042.83</v>
      </c>
      <c r="N632">
        <v>47.022500000000001</v>
      </c>
      <c r="O632">
        <v>-90.710499999999996</v>
      </c>
      <c r="P632">
        <v>47.016832999999998</v>
      </c>
      <c r="Q632">
        <v>-90.713832999999994</v>
      </c>
      <c r="R632">
        <v>1338.3130630000001</v>
      </c>
      <c r="S632">
        <v>41.1</v>
      </c>
      <c r="T632">
        <v>43.6</v>
      </c>
      <c r="U632">
        <v>0.5</v>
      </c>
      <c r="V632">
        <v>2</v>
      </c>
      <c r="W632">
        <v>11.3</v>
      </c>
      <c r="X632">
        <v>11.5928</v>
      </c>
      <c r="Y632">
        <v>0.1198</v>
      </c>
      <c r="Z632">
        <v>80.314400000000006</v>
      </c>
      <c r="AA632">
        <v>10</v>
      </c>
      <c r="AB632">
        <v>0.42</v>
      </c>
      <c r="AC632">
        <v>217</v>
      </c>
      <c r="AD632">
        <v>16</v>
      </c>
    </row>
    <row r="633" spans="1:30" x14ac:dyDescent="0.55000000000000004">
      <c r="A633">
        <v>94906</v>
      </c>
      <c r="B633" s="19">
        <v>42548</v>
      </c>
      <c r="C633">
        <v>1700</v>
      </c>
      <c r="D633">
        <v>2016</v>
      </c>
      <c r="E633">
        <v>25</v>
      </c>
      <c r="F633">
        <v>672</v>
      </c>
      <c r="G633">
        <v>3</v>
      </c>
      <c r="H633">
        <v>2040</v>
      </c>
      <c r="I633">
        <v>3</v>
      </c>
      <c r="J633">
        <v>4656.32</v>
      </c>
      <c r="K633">
        <v>9109.65</v>
      </c>
      <c r="L633">
        <v>4656.62</v>
      </c>
      <c r="M633">
        <v>9109.2999999999993</v>
      </c>
      <c r="N633">
        <v>46.938667000000002</v>
      </c>
      <c r="O633">
        <v>-91.160832999999997</v>
      </c>
      <c r="P633">
        <v>46.943666999999998</v>
      </c>
      <c r="Q633">
        <v>-91.155000000000001</v>
      </c>
      <c r="R633">
        <v>5783.4273629999998</v>
      </c>
      <c r="S633">
        <v>94.7</v>
      </c>
      <c r="T633">
        <v>95.3</v>
      </c>
      <c r="U633">
        <v>0.5</v>
      </c>
      <c r="V633">
        <v>2</v>
      </c>
      <c r="W633">
        <v>9.6999999999999993</v>
      </c>
      <c r="X633">
        <v>10.3049</v>
      </c>
      <c r="Y633">
        <v>0.53480000000000005</v>
      </c>
      <c r="Z633">
        <v>82.401899999999998</v>
      </c>
      <c r="AA633">
        <v>10</v>
      </c>
      <c r="AB633">
        <v>0.43</v>
      </c>
      <c r="AC633">
        <v>217</v>
      </c>
      <c r="AD633">
        <v>76</v>
      </c>
    </row>
    <row r="634" spans="1:30" x14ac:dyDescent="0.55000000000000004">
      <c r="A634">
        <v>94907</v>
      </c>
      <c r="B634" s="19">
        <v>42548</v>
      </c>
      <c r="C634">
        <v>1700</v>
      </c>
      <c r="D634">
        <v>2016</v>
      </c>
      <c r="E634">
        <v>25</v>
      </c>
      <c r="F634">
        <v>673</v>
      </c>
      <c r="G634">
        <v>3</v>
      </c>
      <c r="H634">
        <v>2040</v>
      </c>
      <c r="I634">
        <v>3</v>
      </c>
      <c r="J634">
        <v>4656.32</v>
      </c>
      <c r="K634">
        <v>9109.65</v>
      </c>
      <c r="L634">
        <v>4656.62</v>
      </c>
      <c r="M634">
        <v>9109.2999999999993</v>
      </c>
      <c r="N634">
        <v>46.938667000000002</v>
      </c>
      <c r="O634">
        <v>-91.160832999999997</v>
      </c>
      <c r="P634">
        <v>46.943666999999998</v>
      </c>
      <c r="Q634">
        <v>-91.155000000000001</v>
      </c>
      <c r="R634">
        <v>5783.4273629999998</v>
      </c>
      <c r="S634">
        <v>94.7</v>
      </c>
      <c r="T634">
        <v>95.3</v>
      </c>
      <c r="U634">
        <v>0.5</v>
      </c>
      <c r="V634">
        <v>2</v>
      </c>
      <c r="W634">
        <v>9.6999999999999993</v>
      </c>
      <c r="X634">
        <v>10.3049</v>
      </c>
      <c r="Y634">
        <v>0.53480000000000005</v>
      </c>
      <c r="Z634">
        <v>82.401899999999998</v>
      </c>
      <c r="AA634">
        <v>10</v>
      </c>
      <c r="AB634">
        <v>0.43</v>
      </c>
      <c r="AC634">
        <v>217</v>
      </c>
      <c r="AD634">
        <v>61</v>
      </c>
    </row>
    <row r="635" spans="1:30" x14ac:dyDescent="0.55000000000000004">
      <c r="A635">
        <v>94909</v>
      </c>
      <c r="B635" s="19">
        <v>42549</v>
      </c>
      <c r="C635">
        <v>931</v>
      </c>
      <c r="D635">
        <v>2016</v>
      </c>
      <c r="E635">
        <v>25</v>
      </c>
      <c r="F635">
        <v>674</v>
      </c>
      <c r="G635">
        <v>3</v>
      </c>
      <c r="H635">
        <v>2048</v>
      </c>
      <c r="I635">
        <v>3</v>
      </c>
      <c r="J635">
        <v>4647.3100000000004</v>
      </c>
      <c r="K635">
        <v>9132.77</v>
      </c>
      <c r="L635">
        <v>4647.2</v>
      </c>
      <c r="M635">
        <v>9133.26</v>
      </c>
      <c r="N635">
        <v>46.788499999999999</v>
      </c>
      <c r="O635">
        <v>-91.546166999999997</v>
      </c>
      <c r="P635">
        <v>46.786667000000001</v>
      </c>
      <c r="Q635">
        <v>-91.554333</v>
      </c>
      <c r="R635">
        <v>3733.2387469999999</v>
      </c>
      <c r="S635">
        <v>18.3</v>
      </c>
      <c r="T635">
        <v>19.7</v>
      </c>
      <c r="U635">
        <v>0.5</v>
      </c>
      <c r="V635">
        <v>2</v>
      </c>
      <c r="W635">
        <v>13</v>
      </c>
      <c r="X635">
        <v>13.8888</v>
      </c>
      <c r="Y635">
        <v>7.51E-2</v>
      </c>
      <c r="Z635">
        <v>58.594700000000003</v>
      </c>
      <c r="AA635">
        <v>10</v>
      </c>
      <c r="AB635">
        <v>0.42</v>
      </c>
      <c r="AC635">
        <v>217</v>
      </c>
      <c r="AD635">
        <v>2</v>
      </c>
    </row>
    <row r="636" spans="1:30" x14ac:dyDescent="0.55000000000000004">
      <c r="A636">
        <v>94910</v>
      </c>
      <c r="B636" s="19">
        <v>42549</v>
      </c>
      <c r="C636">
        <v>931</v>
      </c>
      <c r="D636">
        <v>2016</v>
      </c>
      <c r="E636">
        <v>25</v>
      </c>
      <c r="F636">
        <v>675</v>
      </c>
      <c r="G636">
        <v>3</v>
      </c>
      <c r="H636">
        <v>2048</v>
      </c>
      <c r="I636">
        <v>3</v>
      </c>
      <c r="J636">
        <v>4647.3100000000004</v>
      </c>
      <c r="K636">
        <v>9132.77</v>
      </c>
      <c r="L636">
        <v>4647.2</v>
      </c>
      <c r="M636">
        <v>9133.26</v>
      </c>
      <c r="N636">
        <v>46.788499999999999</v>
      </c>
      <c r="O636">
        <v>-91.546166999999997</v>
      </c>
      <c r="P636">
        <v>46.786667000000001</v>
      </c>
      <c r="Q636">
        <v>-91.554333</v>
      </c>
      <c r="R636">
        <v>3733.2387469999999</v>
      </c>
      <c r="S636">
        <v>18.3</v>
      </c>
      <c r="T636">
        <v>19.7</v>
      </c>
      <c r="U636">
        <v>0.5</v>
      </c>
      <c r="V636">
        <v>2</v>
      </c>
      <c r="W636">
        <v>13</v>
      </c>
      <c r="X636">
        <v>13.8888</v>
      </c>
      <c r="Y636">
        <v>7.51E-2</v>
      </c>
      <c r="Z636">
        <v>58.594700000000003</v>
      </c>
      <c r="AA636">
        <v>10</v>
      </c>
      <c r="AB636">
        <v>0.42</v>
      </c>
      <c r="AC636">
        <v>217</v>
      </c>
      <c r="AD636">
        <v>5</v>
      </c>
    </row>
    <row r="637" spans="1:30" x14ac:dyDescent="0.55000000000000004">
      <c r="A637">
        <v>94912</v>
      </c>
      <c r="B637" s="19">
        <v>42549</v>
      </c>
      <c r="C637">
        <v>1233</v>
      </c>
      <c r="D637">
        <v>2016</v>
      </c>
      <c r="E637">
        <v>25</v>
      </c>
      <c r="F637">
        <v>676</v>
      </c>
      <c r="G637">
        <v>3</v>
      </c>
      <c r="H637">
        <v>2032</v>
      </c>
      <c r="I637">
        <v>3</v>
      </c>
      <c r="J637">
        <v>4648.72</v>
      </c>
      <c r="K637">
        <v>9201.23</v>
      </c>
      <c r="L637">
        <v>4648.8999999999996</v>
      </c>
      <c r="M637">
        <v>9200.7099999999991</v>
      </c>
      <c r="N637">
        <v>46.811999999999998</v>
      </c>
      <c r="O637">
        <v>-92.020499999999998</v>
      </c>
      <c r="P637">
        <v>46.814999999999998</v>
      </c>
      <c r="Q637">
        <v>-92.011832999999996</v>
      </c>
      <c r="R637">
        <v>1509.7941129999999</v>
      </c>
      <c r="S637">
        <v>27.1</v>
      </c>
      <c r="T637">
        <v>28.9</v>
      </c>
      <c r="U637">
        <v>0.5</v>
      </c>
      <c r="V637">
        <v>2</v>
      </c>
      <c r="W637">
        <v>14.3</v>
      </c>
      <c r="X637">
        <v>14.3192</v>
      </c>
      <c r="Y637">
        <v>0.44400000000000001</v>
      </c>
      <c r="Z637">
        <v>65.418999999999997</v>
      </c>
      <c r="AA637">
        <v>10</v>
      </c>
      <c r="AB637">
        <v>0.43</v>
      </c>
      <c r="AC637">
        <v>0</v>
      </c>
      <c r="AD637">
        <v>0</v>
      </c>
    </row>
    <row r="638" spans="1:30" x14ac:dyDescent="0.55000000000000004">
      <c r="A638">
        <v>94913</v>
      </c>
      <c r="B638" s="19">
        <v>42549</v>
      </c>
      <c r="C638">
        <v>1233</v>
      </c>
      <c r="D638">
        <v>2016</v>
      </c>
      <c r="E638">
        <v>25</v>
      </c>
      <c r="F638">
        <v>677</v>
      </c>
      <c r="G638">
        <v>3</v>
      </c>
      <c r="H638">
        <v>2032</v>
      </c>
      <c r="I638">
        <v>3</v>
      </c>
      <c r="J638">
        <v>4648.72</v>
      </c>
      <c r="K638">
        <v>9201.23</v>
      </c>
      <c r="L638">
        <v>4648.8999999999996</v>
      </c>
      <c r="M638">
        <v>9200.7099999999991</v>
      </c>
      <c r="N638">
        <v>46.811999999999998</v>
      </c>
      <c r="O638">
        <v>-92.020499999999998</v>
      </c>
      <c r="P638">
        <v>46.814999999999998</v>
      </c>
      <c r="Q638">
        <v>-92.011832999999996</v>
      </c>
      <c r="R638">
        <v>1509.7941129999999</v>
      </c>
      <c r="S638">
        <v>27.1</v>
      </c>
      <c r="T638">
        <v>28.9</v>
      </c>
      <c r="U638">
        <v>0.5</v>
      </c>
      <c r="V638">
        <v>2</v>
      </c>
      <c r="W638">
        <v>14.3</v>
      </c>
      <c r="X638">
        <v>14.3192</v>
      </c>
      <c r="Y638">
        <v>0.44400000000000001</v>
      </c>
      <c r="Z638">
        <v>65.418999999999997</v>
      </c>
      <c r="AA638">
        <v>10</v>
      </c>
      <c r="AB638">
        <v>0.43</v>
      </c>
      <c r="AC638">
        <v>0</v>
      </c>
      <c r="AD638">
        <v>0</v>
      </c>
    </row>
    <row r="639" spans="1:30" x14ac:dyDescent="0.55000000000000004">
      <c r="A639">
        <v>94914</v>
      </c>
      <c r="B639" s="19">
        <v>42550</v>
      </c>
      <c r="C639">
        <v>1147</v>
      </c>
      <c r="D639">
        <v>2016</v>
      </c>
      <c r="E639">
        <v>25</v>
      </c>
      <c r="F639">
        <v>678</v>
      </c>
      <c r="G639">
        <v>3</v>
      </c>
      <c r="H639">
        <v>2044</v>
      </c>
      <c r="I639">
        <v>3</v>
      </c>
      <c r="J639">
        <v>4719.75</v>
      </c>
      <c r="K639">
        <v>9111.8799999999992</v>
      </c>
      <c r="L639">
        <v>4720.04</v>
      </c>
      <c r="M639">
        <v>9111.48</v>
      </c>
      <c r="N639">
        <v>47.329166999999998</v>
      </c>
      <c r="O639">
        <v>-91.197999999999993</v>
      </c>
      <c r="P639">
        <v>47.334000000000003</v>
      </c>
      <c r="Q639">
        <v>-91.191333</v>
      </c>
      <c r="R639">
        <v>468.88227419999998</v>
      </c>
      <c r="S639">
        <v>33.6</v>
      </c>
      <c r="T639">
        <v>30.2</v>
      </c>
      <c r="U639">
        <v>0.5</v>
      </c>
      <c r="V639">
        <v>2</v>
      </c>
      <c r="W639">
        <v>4.5</v>
      </c>
      <c r="X639">
        <v>5.1466000000000003</v>
      </c>
      <c r="Y639">
        <v>-8.7900000000000006E-2</v>
      </c>
      <c r="Z639">
        <v>70.8202</v>
      </c>
      <c r="AA639">
        <v>10</v>
      </c>
      <c r="AB639">
        <v>0.45</v>
      </c>
      <c r="AC639">
        <v>217</v>
      </c>
      <c r="AD639">
        <v>27</v>
      </c>
    </row>
    <row r="640" spans="1:30" x14ac:dyDescent="0.55000000000000004">
      <c r="A640">
        <v>94915</v>
      </c>
      <c r="B640" s="19">
        <v>42550</v>
      </c>
      <c r="C640">
        <v>1147</v>
      </c>
      <c r="D640">
        <v>2016</v>
      </c>
      <c r="E640">
        <v>25</v>
      </c>
      <c r="F640">
        <v>679</v>
      </c>
      <c r="G640">
        <v>3</v>
      </c>
      <c r="H640">
        <v>2044</v>
      </c>
      <c r="I640">
        <v>3</v>
      </c>
      <c r="J640">
        <v>4719.75</v>
      </c>
      <c r="K640">
        <v>9111.8799999999992</v>
      </c>
      <c r="L640">
        <v>4720.04</v>
      </c>
      <c r="M640">
        <v>9111.48</v>
      </c>
      <c r="N640">
        <v>47.329166999999998</v>
      </c>
      <c r="O640">
        <v>-91.197999999999993</v>
      </c>
      <c r="P640">
        <v>47.334000000000003</v>
      </c>
      <c r="Q640">
        <v>-91.191333</v>
      </c>
      <c r="R640">
        <v>468.88227419999998</v>
      </c>
      <c r="S640">
        <v>33.6</v>
      </c>
      <c r="T640">
        <v>30.2</v>
      </c>
      <c r="U640">
        <v>0.5</v>
      </c>
      <c r="V640">
        <v>2</v>
      </c>
      <c r="W640">
        <v>4.5</v>
      </c>
      <c r="X640">
        <v>5.1466000000000003</v>
      </c>
      <c r="Y640">
        <v>-8.7900000000000006E-2</v>
      </c>
      <c r="Z640">
        <v>70.8202</v>
      </c>
      <c r="AA640">
        <v>10</v>
      </c>
      <c r="AB640">
        <v>0.45</v>
      </c>
      <c r="AC640">
        <v>217</v>
      </c>
      <c r="AD640">
        <v>20</v>
      </c>
    </row>
    <row r="641" spans="1:30" x14ac:dyDescent="0.55000000000000004">
      <c r="A641">
        <v>94917</v>
      </c>
      <c r="B641" s="19">
        <v>42557</v>
      </c>
      <c r="C641">
        <v>1042</v>
      </c>
      <c r="D641">
        <v>2016</v>
      </c>
      <c r="E641">
        <v>25</v>
      </c>
      <c r="F641">
        <v>680</v>
      </c>
      <c r="G641">
        <v>3</v>
      </c>
      <c r="H641">
        <v>2056</v>
      </c>
      <c r="I641">
        <v>3</v>
      </c>
      <c r="J641">
        <v>4641.28</v>
      </c>
      <c r="K641">
        <v>9008.2099999999991</v>
      </c>
      <c r="L641">
        <v>4641.49</v>
      </c>
      <c r="M641">
        <v>9007.68</v>
      </c>
      <c r="N641">
        <v>46.688000000000002</v>
      </c>
      <c r="O641">
        <v>-90.136832999999996</v>
      </c>
      <c r="P641">
        <v>46.691499999999998</v>
      </c>
      <c r="Q641">
        <v>-90.128</v>
      </c>
      <c r="R641">
        <v>4107.0512630000003</v>
      </c>
      <c r="S641">
        <v>52.6</v>
      </c>
      <c r="T641">
        <v>52.9</v>
      </c>
      <c r="U641">
        <v>0.5</v>
      </c>
      <c r="V641">
        <v>2</v>
      </c>
      <c r="W641">
        <v>17.3</v>
      </c>
      <c r="X641">
        <v>17.9621</v>
      </c>
      <c r="Y641">
        <v>0.17649999999999999</v>
      </c>
      <c r="Z641">
        <v>88.404499999999999</v>
      </c>
      <c r="AA641">
        <v>10</v>
      </c>
      <c r="AB641">
        <v>0.45</v>
      </c>
      <c r="AC641">
        <v>217</v>
      </c>
      <c r="AD641">
        <v>83</v>
      </c>
    </row>
    <row r="642" spans="1:30" x14ac:dyDescent="0.55000000000000004">
      <c r="A642">
        <v>94918</v>
      </c>
      <c r="B642" s="19">
        <v>42557</v>
      </c>
      <c r="C642">
        <v>1042</v>
      </c>
      <c r="D642">
        <v>2016</v>
      </c>
      <c r="E642">
        <v>25</v>
      </c>
      <c r="F642">
        <v>681</v>
      </c>
      <c r="G642">
        <v>3</v>
      </c>
      <c r="H642">
        <v>2056</v>
      </c>
      <c r="I642">
        <v>3</v>
      </c>
      <c r="J642">
        <v>4641.28</v>
      </c>
      <c r="K642">
        <v>9008.2099999999991</v>
      </c>
      <c r="L642">
        <v>4641.49</v>
      </c>
      <c r="M642">
        <v>9007.68</v>
      </c>
      <c r="N642">
        <v>46.688000000000002</v>
      </c>
      <c r="O642">
        <v>-90.136832999999996</v>
      </c>
      <c r="P642">
        <v>46.691499999999998</v>
      </c>
      <c r="Q642">
        <v>-90.128</v>
      </c>
      <c r="R642">
        <v>4107.0512630000003</v>
      </c>
      <c r="S642">
        <v>52.6</v>
      </c>
      <c r="T642">
        <v>52.9</v>
      </c>
      <c r="U642">
        <v>0.5</v>
      </c>
      <c r="V642">
        <v>2</v>
      </c>
      <c r="W642">
        <v>17.3</v>
      </c>
      <c r="X642">
        <v>17.9621</v>
      </c>
      <c r="Y642">
        <v>0.17649999999999999</v>
      </c>
      <c r="Z642">
        <v>88.404499999999999</v>
      </c>
      <c r="AA642">
        <v>10</v>
      </c>
      <c r="AB642">
        <v>0.45</v>
      </c>
      <c r="AC642">
        <v>217</v>
      </c>
      <c r="AD642">
        <v>73</v>
      </c>
    </row>
    <row r="643" spans="1:30" x14ac:dyDescent="0.55000000000000004">
      <c r="A643">
        <v>94920</v>
      </c>
      <c r="B643" s="19">
        <v>42557</v>
      </c>
      <c r="C643">
        <v>1425</v>
      </c>
      <c r="D643">
        <v>2016</v>
      </c>
      <c r="E643">
        <v>25</v>
      </c>
      <c r="F643">
        <v>682</v>
      </c>
      <c r="G643">
        <v>3</v>
      </c>
      <c r="H643">
        <v>2120</v>
      </c>
      <c r="I643">
        <v>3</v>
      </c>
      <c r="J643">
        <v>4704.1899999999996</v>
      </c>
      <c r="K643">
        <v>8939.9599999999991</v>
      </c>
      <c r="L643">
        <v>4703.8900000000003</v>
      </c>
      <c r="M643">
        <v>8940.2199999999993</v>
      </c>
      <c r="N643">
        <v>47.069833000000003</v>
      </c>
      <c r="O643">
        <v>-89.665999999999997</v>
      </c>
      <c r="P643">
        <v>47.064833</v>
      </c>
      <c r="Q643">
        <v>-89.670332999999999</v>
      </c>
      <c r="R643">
        <v>27139.368109999999</v>
      </c>
      <c r="S643">
        <v>209</v>
      </c>
      <c r="T643">
        <v>209</v>
      </c>
      <c r="U643">
        <v>0.5</v>
      </c>
      <c r="V643">
        <v>2</v>
      </c>
      <c r="W643">
        <v>11.6</v>
      </c>
      <c r="X643">
        <v>12.324199999999999</v>
      </c>
      <c r="Y643">
        <v>8.0299999999999996E-2</v>
      </c>
      <c r="Z643">
        <v>87.545599999999993</v>
      </c>
      <c r="AA643">
        <v>10</v>
      </c>
      <c r="AB643">
        <v>0.43</v>
      </c>
      <c r="AC643">
        <v>217</v>
      </c>
      <c r="AD643">
        <v>20</v>
      </c>
    </row>
    <row r="644" spans="1:30" x14ac:dyDescent="0.55000000000000004">
      <c r="A644">
        <v>94921</v>
      </c>
      <c r="B644" s="19">
        <v>42557</v>
      </c>
      <c r="C644">
        <v>1425</v>
      </c>
      <c r="D644">
        <v>2016</v>
      </c>
      <c r="E644">
        <v>25</v>
      </c>
      <c r="F644">
        <v>683</v>
      </c>
      <c r="G644">
        <v>3</v>
      </c>
      <c r="H644">
        <v>2120</v>
      </c>
      <c r="I644">
        <v>3</v>
      </c>
      <c r="J644">
        <v>4704.1899999999996</v>
      </c>
      <c r="K644">
        <v>8939.9599999999991</v>
      </c>
      <c r="L644">
        <v>4703.8900000000003</v>
      </c>
      <c r="M644">
        <v>8940.2199999999993</v>
      </c>
      <c r="N644">
        <v>47.069833000000003</v>
      </c>
      <c r="O644">
        <v>-89.665999999999997</v>
      </c>
      <c r="P644">
        <v>47.064833</v>
      </c>
      <c r="Q644">
        <v>-89.670332999999999</v>
      </c>
      <c r="R644">
        <v>27139.368109999999</v>
      </c>
      <c r="S644">
        <v>209</v>
      </c>
      <c r="T644">
        <v>209</v>
      </c>
      <c r="U644">
        <v>0.5</v>
      </c>
      <c r="V644">
        <v>2</v>
      </c>
      <c r="W644">
        <v>11.6</v>
      </c>
      <c r="X644">
        <v>12.324199999999999</v>
      </c>
      <c r="Y644">
        <v>8.0299999999999996E-2</v>
      </c>
      <c r="Z644">
        <v>87.545599999999993</v>
      </c>
      <c r="AA644">
        <v>10</v>
      </c>
      <c r="AB644">
        <v>0.43</v>
      </c>
      <c r="AC644">
        <v>217</v>
      </c>
      <c r="AD644">
        <v>6</v>
      </c>
    </row>
    <row r="645" spans="1:30" x14ac:dyDescent="0.55000000000000004">
      <c r="A645">
        <v>94923</v>
      </c>
      <c r="B645" s="19">
        <v>42558</v>
      </c>
      <c r="C645">
        <v>949</v>
      </c>
      <c r="D645">
        <v>2016</v>
      </c>
      <c r="E645">
        <v>25</v>
      </c>
      <c r="F645">
        <v>684</v>
      </c>
      <c r="G645">
        <v>3</v>
      </c>
      <c r="H645">
        <v>2136</v>
      </c>
      <c r="I645">
        <v>3</v>
      </c>
      <c r="J645">
        <v>4713.38</v>
      </c>
      <c r="K645">
        <v>8932.9</v>
      </c>
      <c r="L645">
        <v>4713.16</v>
      </c>
      <c r="M645">
        <v>8933.43</v>
      </c>
      <c r="N645">
        <v>47.222999999999999</v>
      </c>
      <c r="O645">
        <v>-89.548333</v>
      </c>
      <c r="P645">
        <v>47.219332999999999</v>
      </c>
      <c r="Q645">
        <v>-89.557167000000007</v>
      </c>
      <c r="R645">
        <v>40355.932849999997</v>
      </c>
      <c r="S645">
        <v>205</v>
      </c>
      <c r="T645">
        <v>203</v>
      </c>
      <c r="U645">
        <v>0.5</v>
      </c>
      <c r="V645">
        <v>2</v>
      </c>
      <c r="W645">
        <v>10</v>
      </c>
      <c r="X645">
        <v>12.197699999999999</v>
      </c>
      <c r="Y645">
        <v>6.3500000000000001E-2</v>
      </c>
      <c r="Z645">
        <v>47.105899999999998</v>
      </c>
      <c r="AA645">
        <v>10</v>
      </c>
      <c r="AB645">
        <v>0.42</v>
      </c>
      <c r="AC645">
        <v>217</v>
      </c>
      <c r="AD645">
        <v>61</v>
      </c>
    </row>
    <row r="646" spans="1:30" x14ac:dyDescent="0.55000000000000004">
      <c r="A646">
        <v>94924</v>
      </c>
      <c r="B646" s="19">
        <v>42558</v>
      </c>
      <c r="C646">
        <v>949</v>
      </c>
      <c r="D646">
        <v>2016</v>
      </c>
      <c r="E646">
        <v>25</v>
      </c>
      <c r="F646">
        <v>685</v>
      </c>
      <c r="G646">
        <v>3</v>
      </c>
      <c r="H646">
        <v>2136</v>
      </c>
      <c r="I646">
        <v>3</v>
      </c>
      <c r="J646">
        <v>4713.38</v>
      </c>
      <c r="K646">
        <v>8932.9</v>
      </c>
      <c r="L646">
        <v>4713.16</v>
      </c>
      <c r="M646">
        <v>8933.43</v>
      </c>
      <c r="N646">
        <v>47.222999999999999</v>
      </c>
      <c r="O646">
        <v>-89.548333</v>
      </c>
      <c r="P646">
        <v>47.219332999999999</v>
      </c>
      <c r="Q646">
        <v>-89.557167000000007</v>
      </c>
      <c r="R646">
        <v>40355.932849999997</v>
      </c>
      <c r="S646">
        <v>205</v>
      </c>
      <c r="T646">
        <v>203</v>
      </c>
      <c r="U646">
        <v>0.5</v>
      </c>
      <c r="V646">
        <v>2</v>
      </c>
      <c r="W646">
        <v>10</v>
      </c>
      <c r="X646">
        <v>12.197699999999999</v>
      </c>
      <c r="Y646">
        <v>6.3500000000000001E-2</v>
      </c>
      <c r="Z646">
        <v>47.105899999999998</v>
      </c>
      <c r="AA646">
        <v>10</v>
      </c>
      <c r="AB646">
        <v>0.42</v>
      </c>
      <c r="AC646">
        <v>217</v>
      </c>
      <c r="AD646">
        <v>81</v>
      </c>
    </row>
    <row r="647" spans="1:30" x14ac:dyDescent="0.55000000000000004">
      <c r="A647">
        <v>94926</v>
      </c>
      <c r="B647" s="19">
        <v>42558</v>
      </c>
      <c r="C647">
        <v>1233</v>
      </c>
      <c r="D647">
        <v>2016</v>
      </c>
      <c r="E647">
        <v>25</v>
      </c>
      <c r="F647">
        <v>686</v>
      </c>
      <c r="G647">
        <v>3</v>
      </c>
      <c r="H647">
        <v>2051</v>
      </c>
      <c r="I647">
        <v>3</v>
      </c>
      <c r="J647">
        <v>4707.55</v>
      </c>
      <c r="K647">
        <v>8908.89</v>
      </c>
      <c r="L647">
        <v>4707.5600000000004</v>
      </c>
      <c r="M647">
        <v>8909.48</v>
      </c>
      <c r="N647">
        <v>47.125833</v>
      </c>
      <c r="O647">
        <v>-89.148167000000001</v>
      </c>
      <c r="P647">
        <v>47.125999999999998</v>
      </c>
      <c r="Q647">
        <v>-89.158000000000001</v>
      </c>
      <c r="R647">
        <v>14787.6757</v>
      </c>
      <c r="S647">
        <v>94</v>
      </c>
      <c r="T647">
        <v>96</v>
      </c>
      <c r="U647">
        <v>0.5</v>
      </c>
      <c r="V647">
        <v>2</v>
      </c>
      <c r="W647">
        <v>13.9</v>
      </c>
      <c r="X647">
        <v>15.023099999999999</v>
      </c>
      <c r="Y647">
        <v>3.2899999999999999E-2</v>
      </c>
      <c r="Z647">
        <v>39.273299999999999</v>
      </c>
      <c r="AA647">
        <v>10</v>
      </c>
      <c r="AB647">
        <v>0.45</v>
      </c>
      <c r="AC647">
        <v>217</v>
      </c>
      <c r="AD647">
        <v>8</v>
      </c>
    </row>
    <row r="648" spans="1:30" x14ac:dyDescent="0.55000000000000004">
      <c r="A648">
        <v>94927</v>
      </c>
      <c r="B648" s="19">
        <v>42558</v>
      </c>
      <c r="C648">
        <v>1233</v>
      </c>
      <c r="D648">
        <v>2016</v>
      </c>
      <c r="E648">
        <v>25</v>
      </c>
      <c r="F648">
        <v>687</v>
      </c>
      <c r="G648">
        <v>3</v>
      </c>
      <c r="H648">
        <v>2051</v>
      </c>
      <c r="I648">
        <v>3</v>
      </c>
      <c r="J648">
        <v>4707.55</v>
      </c>
      <c r="K648">
        <v>8908.89</v>
      </c>
      <c r="L648">
        <v>4707.5600000000004</v>
      </c>
      <c r="M648">
        <v>8909.48</v>
      </c>
      <c r="N648">
        <v>47.125833</v>
      </c>
      <c r="O648">
        <v>-89.148167000000001</v>
      </c>
      <c r="P648">
        <v>47.125999999999998</v>
      </c>
      <c r="Q648">
        <v>-89.158000000000001</v>
      </c>
      <c r="R648">
        <v>14787.6757</v>
      </c>
      <c r="S648">
        <v>94</v>
      </c>
      <c r="T648">
        <v>96</v>
      </c>
      <c r="U648">
        <v>0.5</v>
      </c>
      <c r="V648">
        <v>2</v>
      </c>
      <c r="W648">
        <v>13.9</v>
      </c>
      <c r="X648">
        <v>15.023099999999999</v>
      </c>
      <c r="Y648">
        <v>3.2899999999999999E-2</v>
      </c>
      <c r="Z648">
        <v>39.273299999999999</v>
      </c>
      <c r="AA648">
        <v>10</v>
      </c>
      <c r="AB648">
        <v>0.45</v>
      </c>
      <c r="AC648">
        <v>217</v>
      </c>
      <c r="AD648">
        <v>16</v>
      </c>
    </row>
    <row r="649" spans="1:30" x14ac:dyDescent="0.55000000000000004">
      <c r="A649">
        <v>94929</v>
      </c>
      <c r="B649" s="19">
        <v>42558</v>
      </c>
      <c r="C649">
        <v>1423</v>
      </c>
      <c r="D649">
        <v>2016</v>
      </c>
      <c r="E649">
        <v>25</v>
      </c>
      <c r="F649">
        <v>688</v>
      </c>
      <c r="G649">
        <v>3</v>
      </c>
      <c r="H649">
        <v>2054</v>
      </c>
      <c r="I649">
        <v>3</v>
      </c>
      <c r="J649">
        <v>4708.0600000000004</v>
      </c>
      <c r="K649">
        <v>8855.23</v>
      </c>
      <c r="L649">
        <v>4708.3599999999997</v>
      </c>
      <c r="M649">
        <v>8854.85</v>
      </c>
      <c r="N649">
        <v>47.134332999999998</v>
      </c>
      <c r="O649">
        <v>-88.920500000000004</v>
      </c>
      <c r="P649">
        <v>47.139333000000001</v>
      </c>
      <c r="Q649">
        <v>-88.914167000000006</v>
      </c>
      <c r="R649">
        <v>4318.2014099999997</v>
      </c>
      <c r="S649">
        <v>44</v>
      </c>
      <c r="T649">
        <v>47</v>
      </c>
      <c r="U649">
        <v>0.5</v>
      </c>
      <c r="V649">
        <v>2</v>
      </c>
      <c r="W649">
        <v>15.5</v>
      </c>
      <c r="X649">
        <v>14.821</v>
      </c>
      <c r="Y649">
        <v>1.47E-2</v>
      </c>
      <c r="Z649">
        <v>74.197999999999993</v>
      </c>
      <c r="AA649">
        <v>10</v>
      </c>
      <c r="AB649">
        <v>0.43</v>
      </c>
      <c r="AC649">
        <v>217</v>
      </c>
      <c r="AD649">
        <v>18</v>
      </c>
    </row>
    <row r="650" spans="1:30" x14ac:dyDescent="0.55000000000000004">
      <c r="A650">
        <v>94930</v>
      </c>
      <c r="B650" s="19">
        <v>42558</v>
      </c>
      <c r="C650">
        <v>1423</v>
      </c>
      <c r="D650">
        <v>2016</v>
      </c>
      <c r="E650">
        <v>25</v>
      </c>
      <c r="F650">
        <v>689</v>
      </c>
      <c r="G650">
        <v>3</v>
      </c>
      <c r="H650">
        <v>2054</v>
      </c>
      <c r="I650">
        <v>3</v>
      </c>
      <c r="J650">
        <v>4708.0600000000004</v>
      </c>
      <c r="K650">
        <v>8855.23</v>
      </c>
      <c r="L650">
        <v>4708.3599999999997</v>
      </c>
      <c r="M650">
        <v>8854.85</v>
      </c>
      <c r="N650">
        <v>47.134332999999998</v>
      </c>
      <c r="O650">
        <v>-88.920500000000004</v>
      </c>
      <c r="P650">
        <v>47.139333000000001</v>
      </c>
      <c r="Q650">
        <v>-88.914167000000006</v>
      </c>
      <c r="R650">
        <v>4318.2014099999997</v>
      </c>
      <c r="S650">
        <v>44</v>
      </c>
      <c r="T650">
        <v>47</v>
      </c>
      <c r="U650">
        <v>0.5</v>
      </c>
      <c r="V650">
        <v>2</v>
      </c>
      <c r="W650">
        <v>15.5</v>
      </c>
      <c r="X650">
        <v>14.821</v>
      </c>
      <c r="Y650">
        <v>1.47E-2</v>
      </c>
      <c r="Z650">
        <v>74.197999999999993</v>
      </c>
      <c r="AA650">
        <v>10</v>
      </c>
      <c r="AB650">
        <v>0.43</v>
      </c>
      <c r="AC650">
        <v>217</v>
      </c>
      <c r="AD650">
        <v>25</v>
      </c>
    </row>
    <row r="651" spans="1:30" x14ac:dyDescent="0.55000000000000004">
      <c r="A651">
        <v>94932</v>
      </c>
      <c r="B651" s="19">
        <v>42559</v>
      </c>
      <c r="C651">
        <v>855</v>
      </c>
      <c r="D651">
        <v>2016</v>
      </c>
      <c r="E651">
        <v>25</v>
      </c>
      <c r="F651">
        <v>690</v>
      </c>
      <c r="G651">
        <v>3</v>
      </c>
      <c r="H651">
        <v>2035</v>
      </c>
      <c r="I651">
        <v>3</v>
      </c>
      <c r="J651">
        <v>4717.18</v>
      </c>
      <c r="K651">
        <v>8845.0400000000009</v>
      </c>
      <c r="L651">
        <v>4716.97</v>
      </c>
      <c r="M651">
        <v>8845.52</v>
      </c>
      <c r="N651">
        <v>47.286332999999999</v>
      </c>
      <c r="O651">
        <v>-88.750667000000007</v>
      </c>
      <c r="P651">
        <v>47.282832999999997</v>
      </c>
      <c r="Q651">
        <v>-88.758667000000003</v>
      </c>
      <c r="R651">
        <v>9414.1030489999994</v>
      </c>
      <c r="S651">
        <v>46</v>
      </c>
      <c r="T651">
        <v>49</v>
      </c>
      <c r="U651">
        <v>0.5</v>
      </c>
      <c r="V651">
        <v>2</v>
      </c>
      <c r="W651">
        <v>13.3</v>
      </c>
      <c r="X651">
        <v>14.1343</v>
      </c>
      <c r="Y651">
        <v>0.39650000000000002</v>
      </c>
      <c r="Z651">
        <v>85.199700000000007</v>
      </c>
      <c r="AA651">
        <v>10</v>
      </c>
      <c r="AB651">
        <v>0.42</v>
      </c>
      <c r="AC651">
        <v>217</v>
      </c>
      <c r="AD651">
        <v>48</v>
      </c>
    </row>
    <row r="652" spans="1:30" x14ac:dyDescent="0.55000000000000004">
      <c r="A652">
        <v>94933</v>
      </c>
      <c r="B652" s="19">
        <v>42559</v>
      </c>
      <c r="C652">
        <v>855</v>
      </c>
      <c r="D652">
        <v>2016</v>
      </c>
      <c r="E652">
        <v>25</v>
      </c>
      <c r="F652">
        <v>691</v>
      </c>
      <c r="G652">
        <v>3</v>
      </c>
      <c r="H652">
        <v>2035</v>
      </c>
      <c r="I652">
        <v>3</v>
      </c>
      <c r="J652">
        <v>4717.18</v>
      </c>
      <c r="K652">
        <v>8845.0400000000009</v>
      </c>
      <c r="L652">
        <v>4716.97</v>
      </c>
      <c r="M652">
        <v>8845.52</v>
      </c>
      <c r="N652">
        <v>47.286332999999999</v>
      </c>
      <c r="O652">
        <v>-88.750667000000007</v>
      </c>
      <c r="P652">
        <v>47.282832999999997</v>
      </c>
      <c r="Q652">
        <v>-88.758667000000003</v>
      </c>
      <c r="R652">
        <v>9414.1030489999994</v>
      </c>
      <c r="S652">
        <v>46</v>
      </c>
      <c r="T652">
        <v>49</v>
      </c>
      <c r="U652">
        <v>0.5</v>
      </c>
      <c r="V652">
        <v>2</v>
      </c>
      <c r="W652">
        <v>13.3</v>
      </c>
      <c r="X652">
        <v>14.1343</v>
      </c>
      <c r="Y652">
        <v>0.39650000000000002</v>
      </c>
      <c r="Z652">
        <v>85.199700000000007</v>
      </c>
      <c r="AA652">
        <v>10</v>
      </c>
      <c r="AB652">
        <v>0.42</v>
      </c>
      <c r="AC652">
        <v>217</v>
      </c>
      <c r="AD652">
        <v>40</v>
      </c>
    </row>
    <row r="653" spans="1:30" x14ac:dyDescent="0.55000000000000004">
      <c r="A653">
        <v>94935</v>
      </c>
      <c r="B653" s="19">
        <v>42559</v>
      </c>
      <c r="C653">
        <v>1031</v>
      </c>
      <c r="D653">
        <v>2016</v>
      </c>
      <c r="E653">
        <v>25</v>
      </c>
      <c r="F653">
        <v>692</v>
      </c>
      <c r="G653">
        <v>3</v>
      </c>
      <c r="H653">
        <v>2131</v>
      </c>
      <c r="I653">
        <v>3</v>
      </c>
      <c r="J653">
        <v>4718.9399999999996</v>
      </c>
      <c r="K653">
        <v>8856.86</v>
      </c>
      <c r="L653">
        <v>4719.12</v>
      </c>
      <c r="M653">
        <v>8857.6</v>
      </c>
      <c r="N653">
        <v>47.315666999999998</v>
      </c>
      <c r="O653">
        <v>-88.947666999999996</v>
      </c>
      <c r="P653">
        <v>47.318666999999998</v>
      </c>
      <c r="Q653">
        <v>-88.96</v>
      </c>
      <c r="R653">
        <v>21397.687409999999</v>
      </c>
      <c r="S653">
        <v>131</v>
      </c>
      <c r="T653">
        <v>134</v>
      </c>
      <c r="U653">
        <v>0.5</v>
      </c>
      <c r="V653">
        <v>2</v>
      </c>
      <c r="W653">
        <v>11.3</v>
      </c>
      <c r="X653">
        <v>12.3782</v>
      </c>
      <c r="Y653">
        <v>8.4599999999999995E-2</v>
      </c>
      <c r="Z653">
        <v>43.131100000000004</v>
      </c>
      <c r="AA653">
        <v>10</v>
      </c>
      <c r="AB653">
        <v>0.45</v>
      </c>
      <c r="AC653">
        <v>217</v>
      </c>
      <c r="AD653">
        <v>57</v>
      </c>
    </row>
    <row r="654" spans="1:30" x14ac:dyDescent="0.55000000000000004">
      <c r="A654">
        <v>94936</v>
      </c>
      <c r="B654" s="19">
        <v>42559</v>
      </c>
      <c r="C654">
        <v>1031</v>
      </c>
      <c r="D654">
        <v>2016</v>
      </c>
      <c r="E654">
        <v>25</v>
      </c>
      <c r="F654">
        <v>693</v>
      </c>
      <c r="G654">
        <v>3</v>
      </c>
      <c r="H654">
        <v>2131</v>
      </c>
      <c r="I654">
        <v>3</v>
      </c>
      <c r="J654">
        <v>4718.9399999999996</v>
      </c>
      <c r="K654">
        <v>8856.86</v>
      </c>
      <c r="L654">
        <v>4719.12</v>
      </c>
      <c r="M654">
        <v>8857.6</v>
      </c>
      <c r="N654">
        <v>47.315666999999998</v>
      </c>
      <c r="O654">
        <v>-88.947666999999996</v>
      </c>
      <c r="P654">
        <v>47.318666999999998</v>
      </c>
      <c r="Q654">
        <v>-88.96</v>
      </c>
      <c r="R654">
        <v>21397.687409999999</v>
      </c>
      <c r="S654">
        <v>131</v>
      </c>
      <c r="T654">
        <v>134</v>
      </c>
      <c r="U654">
        <v>0.5</v>
      </c>
      <c r="V654">
        <v>2</v>
      </c>
      <c r="W654">
        <v>11.3</v>
      </c>
      <c r="X654">
        <v>12.3782</v>
      </c>
      <c r="Y654">
        <v>8.4599999999999995E-2</v>
      </c>
      <c r="Z654">
        <v>43.131100000000004</v>
      </c>
      <c r="AA654">
        <v>10</v>
      </c>
      <c r="AB654">
        <v>0.45</v>
      </c>
      <c r="AC654">
        <v>217</v>
      </c>
      <c r="AD654">
        <v>46</v>
      </c>
    </row>
    <row r="655" spans="1:30" x14ac:dyDescent="0.55000000000000004">
      <c r="A655">
        <v>94938</v>
      </c>
      <c r="B655" s="19">
        <v>42559</v>
      </c>
      <c r="C655">
        <v>1339</v>
      </c>
      <c r="D655">
        <v>2016</v>
      </c>
      <c r="E655">
        <v>25</v>
      </c>
      <c r="F655">
        <v>694</v>
      </c>
      <c r="G655">
        <v>3</v>
      </c>
      <c r="H655">
        <v>2115</v>
      </c>
      <c r="I655">
        <v>3</v>
      </c>
      <c r="J655">
        <v>4724.72</v>
      </c>
      <c r="K655">
        <v>8828.44</v>
      </c>
      <c r="L655">
        <v>4724.91</v>
      </c>
      <c r="M655">
        <v>8827.92</v>
      </c>
      <c r="N655">
        <v>47.411999999999999</v>
      </c>
      <c r="O655">
        <v>-88.474000000000004</v>
      </c>
      <c r="P655">
        <v>47.415166999999997</v>
      </c>
      <c r="Q655">
        <v>-88.465333000000001</v>
      </c>
      <c r="R655">
        <v>6021.3592170000002</v>
      </c>
      <c r="S655">
        <v>199</v>
      </c>
      <c r="T655">
        <v>200</v>
      </c>
      <c r="U655">
        <v>0.5</v>
      </c>
      <c r="V655">
        <v>2</v>
      </c>
      <c r="W655">
        <v>14.3</v>
      </c>
      <c r="X655">
        <v>15.3231</v>
      </c>
      <c r="Y655">
        <v>6.8199999999999997E-2</v>
      </c>
      <c r="Z655">
        <v>58.3767</v>
      </c>
      <c r="AA655">
        <v>10</v>
      </c>
      <c r="AB655">
        <v>0.42</v>
      </c>
      <c r="AC655">
        <v>217</v>
      </c>
      <c r="AD655">
        <v>1</v>
      </c>
    </row>
    <row r="656" spans="1:30" x14ac:dyDescent="0.55000000000000004">
      <c r="A656">
        <v>94939</v>
      </c>
      <c r="B656" s="19">
        <v>42559</v>
      </c>
      <c r="C656">
        <v>1339</v>
      </c>
      <c r="D656">
        <v>2016</v>
      </c>
      <c r="E656">
        <v>25</v>
      </c>
      <c r="F656">
        <v>695</v>
      </c>
      <c r="G656">
        <v>3</v>
      </c>
      <c r="H656">
        <v>2115</v>
      </c>
      <c r="I656">
        <v>3</v>
      </c>
      <c r="J656">
        <v>4724.72</v>
      </c>
      <c r="K656">
        <v>8828.44</v>
      </c>
      <c r="L656">
        <v>4724.91</v>
      </c>
      <c r="M656">
        <v>8827.92</v>
      </c>
      <c r="N656">
        <v>47.411999999999999</v>
      </c>
      <c r="O656">
        <v>-88.474000000000004</v>
      </c>
      <c r="P656">
        <v>47.415166999999997</v>
      </c>
      <c r="Q656">
        <v>-88.465333000000001</v>
      </c>
      <c r="R656">
        <v>6021.3592170000002</v>
      </c>
      <c r="S656">
        <v>199</v>
      </c>
      <c r="T656">
        <v>200</v>
      </c>
      <c r="U656">
        <v>0.5</v>
      </c>
      <c r="V656">
        <v>2</v>
      </c>
      <c r="W656">
        <v>14.3</v>
      </c>
      <c r="X656">
        <v>15.3231</v>
      </c>
      <c r="Y656">
        <v>6.8199999999999997E-2</v>
      </c>
      <c r="Z656">
        <v>58.3767</v>
      </c>
      <c r="AA656">
        <v>10</v>
      </c>
      <c r="AB656">
        <v>0.42</v>
      </c>
      <c r="AC656">
        <v>217</v>
      </c>
      <c r="AD656">
        <v>9</v>
      </c>
    </row>
    <row r="657" spans="1:30" x14ac:dyDescent="0.55000000000000004">
      <c r="A657">
        <v>94942</v>
      </c>
      <c r="B657" s="19">
        <v>42560</v>
      </c>
      <c r="C657">
        <v>822</v>
      </c>
      <c r="D657">
        <v>2016</v>
      </c>
      <c r="E657">
        <v>25</v>
      </c>
      <c r="F657">
        <v>696</v>
      </c>
      <c r="G657">
        <v>3</v>
      </c>
      <c r="H657">
        <v>2130</v>
      </c>
      <c r="I657">
        <v>3</v>
      </c>
      <c r="J657">
        <v>4727.3500000000004</v>
      </c>
      <c r="K657">
        <v>8735.8700000000008</v>
      </c>
      <c r="L657">
        <v>4726.92</v>
      </c>
      <c r="M657">
        <v>8735.01</v>
      </c>
      <c r="N657">
        <v>47.455832999999998</v>
      </c>
      <c r="O657">
        <v>-87.597832999999994</v>
      </c>
      <c r="P657">
        <v>47.448667</v>
      </c>
      <c r="Q657">
        <v>-87.583500000000001</v>
      </c>
      <c r="R657">
        <v>3242.686056</v>
      </c>
      <c r="S657">
        <v>101</v>
      </c>
      <c r="T657">
        <v>106</v>
      </c>
      <c r="U657">
        <v>0.5</v>
      </c>
      <c r="V657">
        <v>2</v>
      </c>
      <c r="W657">
        <v>9.9</v>
      </c>
      <c r="X657">
        <v>11.055899999999999</v>
      </c>
      <c r="Y657">
        <v>-0.20860000000000001</v>
      </c>
      <c r="Z657">
        <v>61.440399999999997</v>
      </c>
      <c r="AA657">
        <v>10</v>
      </c>
      <c r="AB657">
        <v>0.43</v>
      </c>
      <c r="AC657">
        <v>217</v>
      </c>
      <c r="AD657">
        <v>27</v>
      </c>
    </row>
    <row r="658" spans="1:30" x14ac:dyDescent="0.55000000000000004">
      <c r="A658">
        <v>94943</v>
      </c>
      <c r="B658" s="19">
        <v>42560</v>
      </c>
      <c r="C658">
        <v>822</v>
      </c>
      <c r="D658">
        <v>2016</v>
      </c>
      <c r="E658">
        <v>25</v>
      </c>
      <c r="F658">
        <v>697</v>
      </c>
      <c r="G658">
        <v>3</v>
      </c>
      <c r="H658">
        <v>2130</v>
      </c>
      <c r="I658">
        <v>3</v>
      </c>
      <c r="J658">
        <v>4727.3500000000004</v>
      </c>
      <c r="K658">
        <v>8735.8700000000008</v>
      </c>
      <c r="L658">
        <v>4726.92</v>
      </c>
      <c r="M658">
        <v>8735.01</v>
      </c>
      <c r="N658">
        <v>47.455832999999998</v>
      </c>
      <c r="O658">
        <v>-87.597832999999994</v>
      </c>
      <c r="P658">
        <v>47.448667</v>
      </c>
      <c r="Q658">
        <v>-87.583500000000001</v>
      </c>
      <c r="R658">
        <v>3242.686056</v>
      </c>
      <c r="S658">
        <v>101</v>
      </c>
      <c r="T658">
        <v>106</v>
      </c>
      <c r="U658">
        <v>0.5</v>
      </c>
      <c r="V658">
        <v>2</v>
      </c>
      <c r="W658">
        <v>9.9</v>
      </c>
      <c r="X658">
        <v>11.055899999999999</v>
      </c>
      <c r="Y658">
        <v>-0.20860000000000001</v>
      </c>
      <c r="Z658">
        <v>61.440399999999997</v>
      </c>
      <c r="AA658">
        <v>10</v>
      </c>
      <c r="AB658">
        <v>0.43</v>
      </c>
      <c r="AC658">
        <v>217</v>
      </c>
      <c r="AD658">
        <v>32</v>
      </c>
    </row>
    <row r="659" spans="1:30" x14ac:dyDescent="0.55000000000000004">
      <c r="A659">
        <v>94944</v>
      </c>
      <c r="B659" s="19">
        <v>42560</v>
      </c>
      <c r="C659">
        <v>1040</v>
      </c>
      <c r="D659">
        <v>2016</v>
      </c>
      <c r="E659">
        <v>25</v>
      </c>
      <c r="F659">
        <v>698</v>
      </c>
      <c r="G659">
        <v>3</v>
      </c>
      <c r="H659">
        <v>2138</v>
      </c>
      <c r="I659">
        <v>3</v>
      </c>
      <c r="J659">
        <v>4730.57</v>
      </c>
      <c r="K659">
        <v>8713.7999999999993</v>
      </c>
      <c r="L659">
        <v>4730.59</v>
      </c>
      <c r="M659">
        <v>8713.0400000000009</v>
      </c>
      <c r="N659">
        <v>47.509500000000003</v>
      </c>
      <c r="O659">
        <v>-87.23</v>
      </c>
      <c r="P659">
        <v>47.509833</v>
      </c>
      <c r="Q659">
        <v>-87.217332999999996</v>
      </c>
      <c r="R659">
        <v>29316.039809999998</v>
      </c>
      <c r="S659">
        <v>297</v>
      </c>
      <c r="T659">
        <v>308</v>
      </c>
      <c r="U659">
        <v>0.5</v>
      </c>
      <c r="V659">
        <v>2</v>
      </c>
      <c r="W659">
        <v>5.7</v>
      </c>
      <c r="X659">
        <v>7.4880000000000004</v>
      </c>
      <c r="Y659">
        <v>8.09E-2</v>
      </c>
      <c r="Z659">
        <v>49.277500000000003</v>
      </c>
      <c r="AA659">
        <v>10</v>
      </c>
      <c r="AB659">
        <v>0.4</v>
      </c>
      <c r="AC659">
        <v>217</v>
      </c>
      <c r="AD659">
        <v>24</v>
      </c>
    </row>
    <row r="660" spans="1:30" x14ac:dyDescent="0.55000000000000004">
      <c r="A660">
        <v>94945</v>
      </c>
      <c r="B660" s="19">
        <v>42560</v>
      </c>
      <c r="C660">
        <v>1040</v>
      </c>
      <c r="D660">
        <v>2016</v>
      </c>
      <c r="E660">
        <v>25</v>
      </c>
      <c r="F660">
        <v>699</v>
      </c>
      <c r="G660">
        <v>3</v>
      </c>
      <c r="H660">
        <v>2138</v>
      </c>
      <c r="I660">
        <v>3</v>
      </c>
      <c r="J660">
        <v>4730.57</v>
      </c>
      <c r="K660">
        <v>8713.7999999999993</v>
      </c>
      <c r="L660">
        <v>4730.59</v>
      </c>
      <c r="M660">
        <v>8713.0400000000009</v>
      </c>
      <c r="N660">
        <v>47.509500000000003</v>
      </c>
      <c r="O660">
        <v>-87.23</v>
      </c>
      <c r="P660">
        <v>47.509833</v>
      </c>
      <c r="Q660">
        <v>-87.217332999999996</v>
      </c>
      <c r="R660">
        <v>29316.039809999998</v>
      </c>
      <c r="S660">
        <v>297</v>
      </c>
      <c r="T660">
        <v>308</v>
      </c>
      <c r="U660">
        <v>0.5</v>
      </c>
      <c r="V660">
        <v>2</v>
      </c>
      <c r="W660">
        <v>5.7</v>
      </c>
      <c r="X660">
        <v>7.4880000000000004</v>
      </c>
      <c r="Y660">
        <v>8.09E-2</v>
      </c>
      <c r="Z660">
        <v>49.277500000000003</v>
      </c>
      <c r="AA660">
        <v>10</v>
      </c>
      <c r="AB660">
        <v>0.4</v>
      </c>
      <c r="AC660">
        <v>217</v>
      </c>
      <c r="AD660">
        <v>24</v>
      </c>
    </row>
    <row r="661" spans="1:30" x14ac:dyDescent="0.55000000000000004">
      <c r="A661">
        <v>94946</v>
      </c>
      <c r="B661" s="19">
        <v>42560</v>
      </c>
      <c r="C661">
        <v>1348</v>
      </c>
      <c r="D661">
        <v>2016</v>
      </c>
      <c r="E661">
        <v>25</v>
      </c>
      <c r="F661">
        <v>700</v>
      </c>
      <c r="G661">
        <v>3</v>
      </c>
      <c r="H661">
        <v>2055</v>
      </c>
      <c r="I661">
        <v>3</v>
      </c>
      <c r="J661">
        <v>4709.54</v>
      </c>
      <c r="K661">
        <v>8713.67</v>
      </c>
      <c r="L661">
        <v>4709.1499999999996</v>
      </c>
      <c r="M661">
        <v>8713.42</v>
      </c>
      <c r="N661">
        <v>47.158999999999999</v>
      </c>
      <c r="O661">
        <v>-87.227833000000004</v>
      </c>
      <c r="P661">
        <v>47.152500000000003</v>
      </c>
      <c r="Q661">
        <v>-87.223667000000006</v>
      </c>
      <c r="R661">
        <v>39396.692660000001</v>
      </c>
      <c r="S661">
        <v>98</v>
      </c>
      <c r="T661">
        <v>97</v>
      </c>
      <c r="U661">
        <v>0.5</v>
      </c>
      <c r="V661">
        <v>2</v>
      </c>
      <c r="W661">
        <v>9.9</v>
      </c>
      <c r="X661">
        <v>11.2316</v>
      </c>
      <c r="Y661">
        <v>8.0100000000000005E-2</v>
      </c>
      <c r="Z661">
        <v>52.6693</v>
      </c>
      <c r="AA661">
        <v>10</v>
      </c>
      <c r="AB661">
        <v>0.45</v>
      </c>
      <c r="AC661">
        <v>217</v>
      </c>
      <c r="AD661">
        <v>11</v>
      </c>
    </row>
    <row r="662" spans="1:30" x14ac:dyDescent="0.55000000000000004">
      <c r="A662">
        <v>94947</v>
      </c>
      <c r="B662" s="19">
        <v>42560</v>
      </c>
      <c r="C662">
        <v>1348</v>
      </c>
      <c r="D662">
        <v>2016</v>
      </c>
      <c r="E662">
        <v>25</v>
      </c>
      <c r="F662">
        <v>701</v>
      </c>
      <c r="G662">
        <v>3</v>
      </c>
      <c r="H662">
        <v>2055</v>
      </c>
      <c r="I662">
        <v>3</v>
      </c>
      <c r="J662">
        <v>4709.54</v>
      </c>
      <c r="K662">
        <v>8713.67</v>
      </c>
      <c r="L662">
        <v>4709.1499999999996</v>
      </c>
      <c r="M662">
        <v>8713.42</v>
      </c>
      <c r="N662">
        <v>47.158999999999999</v>
      </c>
      <c r="O662">
        <v>-87.227833000000004</v>
      </c>
      <c r="P662">
        <v>47.152500000000003</v>
      </c>
      <c r="Q662">
        <v>-87.223667000000006</v>
      </c>
      <c r="R662">
        <v>39396.692660000001</v>
      </c>
      <c r="S662">
        <v>98</v>
      </c>
      <c r="T662">
        <v>97</v>
      </c>
      <c r="U662">
        <v>0.5</v>
      </c>
      <c r="V662">
        <v>2</v>
      </c>
      <c r="W662">
        <v>9.9</v>
      </c>
      <c r="X662">
        <v>11.2316</v>
      </c>
      <c r="Y662">
        <v>8.0100000000000005E-2</v>
      </c>
      <c r="Z662">
        <v>52.6693</v>
      </c>
      <c r="AA662">
        <v>10</v>
      </c>
      <c r="AB662">
        <v>0.45</v>
      </c>
      <c r="AC662">
        <v>217</v>
      </c>
      <c r="AD662">
        <v>13</v>
      </c>
    </row>
    <row r="663" spans="1:30" x14ac:dyDescent="0.55000000000000004">
      <c r="A663">
        <v>94950</v>
      </c>
      <c r="B663" s="19">
        <v>42560</v>
      </c>
      <c r="C663">
        <v>1637</v>
      </c>
      <c r="D663">
        <v>2016</v>
      </c>
      <c r="E663">
        <v>25</v>
      </c>
      <c r="F663">
        <v>702</v>
      </c>
      <c r="G663">
        <v>3</v>
      </c>
      <c r="H663">
        <v>2114</v>
      </c>
      <c r="I663">
        <v>3</v>
      </c>
      <c r="J663">
        <v>4714.08</v>
      </c>
      <c r="K663">
        <v>8737.49</v>
      </c>
      <c r="L663">
        <v>4714.43</v>
      </c>
      <c r="M663">
        <v>8737.14</v>
      </c>
      <c r="N663">
        <v>47.234667000000002</v>
      </c>
      <c r="O663">
        <v>-87.624832999999995</v>
      </c>
      <c r="P663">
        <v>47.240499999999997</v>
      </c>
      <c r="Q663">
        <v>-87.619</v>
      </c>
      <c r="R663">
        <v>19237.8815</v>
      </c>
      <c r="S663">
        <v>122</v>
      </c>
      <c r="T663">
        <v>120</v>
      </c>
      <c r="U663">
        <v>0.5</v>
      </c>
      <c r="V663">
        <v>2</v>
      </c>
      <c r="W663">
        <v>10.7</v>
      </c>
      <c r="X663">
        <v>12.3896</v>
      </c>
      <c r="Y663">
        <v>7.8200000000000006E-2</v>
      </c>
      <c r="Z663">
        <v>40.889299999999999</v>
      </c>
      <c r="AA663">
        <v>10</v>
      </c>
      <c r="AB663">
        <v>0.42</v>
      </c>
      <c r="AC663">
        <v>217</v>
      </c>
      <c r="AD663">
        <v>38</v>
      </c>
    </row>
    <row r="664" spans="1:30" x14ac:dyDescent="0.55000000000000004">
      <c r="A664">
        <v>94951</v>
      </c>
      <c r="B664" s="19">
        <v>42560</v>
      </c>
      <c r="C664">
        <v>1637</v>
      </c>
      <c r="D664">
        <v>2016</v>
      </c>
      <c r="E664">
        <v>25</v>
      </c>
      <c r="F664">
        <v>703</v>
      </c>
      <c r="G664">
        <v>3</v>
      </c>
      <c r="H664">
        <v>2114</v>
      </c>
      <c r="I664">
        <v>3</v>
      </c>
      <c r="J664">
        <v>4714.08</v>
      </c>
      <c r="K664">
        <v>8737.49</v>
      </c>
      <c r="L664">
        <v>4714.43</v>
      </c>
      <c r="M664">
        <v>8737.14</v>
      </c>
      <c r="N664">
        <v>47.234667000000002</v>
      </c>
      <c r="O664">
        <v>-87.624832999999995</v>
      </c>
      <c r="P664">
        <v>47.240499999999997</v>
      </c>
      <c r="Q664">
        <v>-87.619</v>
      </c>
      <c r="R664">
        <v>19237.8815</v>
      </c>
      <c r="S664">
        <v>122</v>
      </c>
      <c r="T664">
        <v>120</v>
      </c>
      <c r="U664">
        <v>0.5</v>
      </c>
      <c r="V664">
        <v>2</v>
      </c>
      <c r="W664">
        <v>10.7</v>
      </c>
      <c r="X664">
        <v>12.3896</v>
      </c>
      <c r="Y664">
        <v>7.8200000000000006E-2</v>
      </c>
      <c r="Z664">
        <v>40.889299999999999</v>
      </c>
      <c r="AA664">
        <v>10</v>
      </c>
      <c r="AB664">
        <v>0.42</v>
      </c>
      <c r="AC664">
        <v>217</v>
      </c>
      <c r="AD664">
        <v>22</v>
      </c>
    </row>
    <row r="665" spans="1:30" x14ac:dyDescent="0.55000000000000004">
      <c r="A665">
        <v>94954</v>
      </c>
      <c r="B665" s="19">
        <v>42561</v>
      </c>
      <c r="C665">
        <v>822</v>
      </c>
      <c r="D665">
        <v>2016</v>
      </c>
      <c r="E665">
        <v>25</v>
      </c>
      <c r="F665">
        <v>704</v>
      </c>
      <c r="G665">
        <v>3</v>
      </c>
      <c r="H665">
        <v>2046</v>
      </c>
      <c r="I665">
        <v>3</v>
      </c>
      <c r="J665">
        <v>4714.6400000000003</v>
      </c>
      <c r="K665">
        <v>8745.83</v>
      </c>
      <c r="L665">
        <v>4714.66</v>
      </c>
      <c r="M665">
        <v>8746.6299999999992</v>
      </c>
      <c r="N665">
        <v>47.244</v>
      </c>
      <c r="O665">
        <v>-87.763833000000005</v>
      </c>
      <c r="P665">
        <v>47.244332999999997</v>
      </c>
      <c r="Q665">
        <v>-87.777167000000006</v>
      </c>
      <c r="R665">
        <v>16313.874379999999</v>
      </c>
      <c r="S665">
        <v>81</v>
      </c>
      <c r="T665">
        <v>80</v>
      </c>
      <c r="U665">
        <v>0.5</v>
      </c>
      <c r="V665">
        <v>2</v>
      </c>
      <c r="W665">
        <v>13.7</v>
      </c>
      <c r="X665">
        <v>14.1396</v>
      </c>
      <c r="Y665">
        <v>9.74E-2</v>
      </c>
      <c r="Z665">
        <v>49.1325</v>
      </c>
      <c r="AA665">
        <v>10</v>
      </c>
      <c r="AB665">
        <v>0.47</v>
      </c>
      <c r="AC665">
        <v>217</v>
      </c>
      <c r="AD665">
        <v>17</v>
      </c>
    </row>
    <row r="666" spans="1:30" x14ac:dyDescent="0.55000000000000004">
      <c r="A666">
        <v>94955</v>
      </c>
      <c r="B666" s="19">
        <v>42561</v>
      </c>
      <c r="C666">
        <v>822</v>
      </c>
      <c r="D666">
        <v>2016</v>
      </c>
      <c r="E666">
        <v>25</v>
      </c>
      <c r="F666">
        <v>705</v>
      </c>
      <c r="G666">
        <v>3</v>
      </c>
      <c r="H666">
        <v>2046</v>
      </c>
      <c r="I666">
        <v>3</v>
      </c>
      <c r="J666">
        <v>4714.6400000000003</v>
      </c>
      <c r="K666">
        <v>8745.83</v>
      </c>
      <c r="L666">
        <v>4714.66</v>
      </c>
      <c r="M666">
        <v>8746.6299999999992</v>
      </c>
      <c r="N666">
        <v>47.244</v>
      </c>
      <c r="O666">
        <v>-87.763833000000005</v>
      </c>
      <c r="P666">
        <v>47.244332999999997</v>
      </c>
      <c r="Q666">
        <v>-87.777167000000006</v>
      </c>
      <c r="R666">
        <v>16313.874379999999</v>
      </c>
      <c r="S666">
        <v>81</v>
      </c>
      <c r="T666">
        <v>80</v>
      </c>
      <c r="U666">
        <v>0.5</v>
      </c>
      <c r="V666">
        <v>2</v>
      </c>
      <c r="W666">
        <v>13.7</v>
      </c>
      <c r="X666">
        <v>14.1396</v>
      </c>
      <c r="Y666">
        <v>9.74E-2</v>
      </c>
      <c r="Z666">
        <v>49.1325</v>
      </c>
      <c r="AA666">
        <v>10</v>
      </c>
      <c r="AB666">
        <v>0.47</v>
      </c>
      <c r="AC666">
        <v>217</v>
      </c>
      <c r="AD666">
        <v>20</v>
      </c>
    </row>
    <row r="667" spans="1:30" x14ac:dyDescent="0.55000000000000004">
      <c r="A667">
        <v>94956</v>
      </c>
      <c r="B667" s="19">
        <v>42561</v>
      </c>
      <c r="C667">
        <v>1026</v>
      </c>
      <c r="D667">
        <v>2016</v>
      </c>
      <c r="E667">
        <v>25</v>
      </c>
      <c r="F667">
        <v>706</v>
      </c>
      <c r="G667">
        <v>3</v>
      </c>
      <c r="H667">
        <v>2042</v>
      </c>
      <c r="I667">
        <v>3</v>
      </c>
      <c r="J667">
        <v>4707.0600000000004</v>
      </c>
      <c r="K667">
        <v>8803.58</v>
      </c>
      <c r="L667">
        <v>4706.63</v>
      </c>
      <c r="M667">
        <v>8803.4</v>
      </c>
      <c r="N667">
        <v>47.117666999999997</v>
      </c>
      <c r="O667">
        <v>-88.059667000000005</v>
      </c>
      <c r="P667">
        <v>47.110500000000002</v>
      </c>
      <c r="Q667">
        <v>-88.056667000000004</v>
      </c>
      <c r="R667">
        <v>13628.712879999999</v>
      </c>
      <c r="S667">
        <v>81</v>
      </c>
      <c r="T667">
        <v>81</v>
      </c>
      <c r="U667">
        <v>0.5</v>
      </c>
      <c r="V667">
        <v>2</v>
      </c>
      <c r="W667">
        <v>14.9</v>
      </c>
      <c r="X667">
        <v>15.549300000000001</v>
      </c>
      <c r="Y667">
        <v>7.9600000000000004E-2</v>
      </c>
      <c r="Z667">
        <v>41.352899999999998</v>
      </c>
      <c r="AA667">
        <v>10</v>
      </c>
      <c r="AB667">
        <v>0.4</v>
      </c>
      <c r="AC667">
        <v>217</v>
      </c>
      <c r="AD667">
        <v>3</v>
      </c>
    </row>
    <row r="668" spans="1:30" x14ac:dyDescent="0.55000000000000004">
      <c r="A668">
        <v>94957</v>
      </c>
      <c r="B668" s="19">
        <v>42561</v>
      </c>
      <c r="C668">
        <v>1026</v>
      </c>
      <c r="D668">
        <v>2016</v>
      </c>
      <c r="E668">
        <v>25</v>
      </c>
      <c r="F668">
        <v>707</v>
      </c>
      <c r="G668">
        <v>3</v>
      </c>
      <c r="H668">
        <v>2042</v>
      </c>
      <c r="I668">
        <v>3</v>
      </c>
      <c r="J668">
        <v>4707.0600000000004</v>
      </c>
      <c r="K668">
        <v>8803.58</v>
      </c>
      <c r="L668">
        <v>4706.63</v>
      </c>
      <c r="M668">
        <v>8803.4</v>
      </c>
      <c r="N668">
        <v>47.117666999999997</v>
      </c>
      <c r="O668">
        <v>-88.059667000000005</v>
      </c>
      <c r="P668">
        <v>47.110500000000002</v>
      </c>
      <c r="Q668">
        <v>-88.056667000000004</v>
      </c>
      <c r="R668">
        <v>13628.712879999999</v>
      </c>
      <c r="S668">
        <v>81</v>
      </c>
      <c r="T668">
        <v>81</v>
      </c>
      <c r="U668">
        <v>0.5</v>
      </c>
      <c r="V668">
        <v>2</v>
      </c>
      <c r="W668">
        <v>14.9</v>
      </c>
      <c r="X668">
        <v>15.549300000000001</v>
      </c>
      <c r="Y668">
        <v>7.9600000000000004E-2</v>
      </c>
      <c r="Z668">
        <v>41.352899999999998</v>
      </c>
      <c r="AA668">
        <v>10</v>
      </c>
      <c r="AB668">
        <v>0.4</v>
      </c>
      <c r="AC668">
        <v>217</v>
      </c>
      <c r="AD668">
        <v>3</v>
      </c>
    </row>
    <row r="669" spans="1:30" x14ac:dyDescent="0.55000000000000004">
      <c r="A669">
        <v>94958</v>
      </c>
      <c r="B669" s="19">
        <v>42561</v>
      </c>
      <c r="C669">
        <v>1218</v>
      </c>
      <c r="D669">
        <v>2016</v>
      </c>
      <c r="E669">
        <v>25</v>
      </c>
      <c r="F669">
        <v>708</v>
      </c>
      <c r="G669">
        <v>3</v>
      </c>
      <c r="H669">
        <v>2058</v>
      </c>
      <c r="I669">
        <v>3</v>
      </c>
      <c r="J669">
        <v>4658.53</v>
      </c>
      <c r="K669">
        <v>8751.82</v>
      </c>
      <c r="L669">
        <v>4658.59</v>
      </c>
      <c r="M669">
        <v>8751.2800000000007</v>
      </c>
      <c r="N669">
        <v>46.975499999999997</v>
      </c>
      <c r="O669">
        <v>-87.863667000000007</v>
      </c>
      <c r="P669">
        <v>46.976500000000001</v>
      </c>
      <c r="Q669">
        <v>-87.854667000000006</v>
      </c>
      <c r="R669">
        <v>7911.6708870000002</v>
      </c>
      <c r="S669">
        <v>50</v>
      </c>
      <c r="T669">
        <v>51</v>
      </c>
      <c r="U669">
        <v>0.5</v>
      </c>
      <c r="V669">
        <v>2</v>
      </c>
      <c r="W669">
        <v>15</v>
      </c>
      <c r="X669">
        <v>16.395900000000001</v>
      </c>
      <c r="Y669">
        <v>-1.17E-2</v>
      </c>
      <c r="Z669">
        <v>59.999499999999998</v>
      </c>
      <c r="AA669">
        <v>10</v>
      </c>
      <c r="AB669">
        <v>0.42</v>
      </c>
      <c r="AC669">
        <v>109</v>
      </c>
      <c r="AD669">
        <v>1</v>
      </c>
    </row>
    <row r="670" spans="1:30" x14ac:dyDescent="0.55000000000000004">
      <c r="A670">
        <v>94958</v>
      </c>
      <c r="B670" s="19">
        <v>42561</v>
      </c>
      <c r="C670">
        <v>1218</v>
      </c>
      <c r="D670">
        <v>2016</v>
      </c>
      <c r="E670">
        <v>25</v>
      </c>
      <c r="F670">
        <v>708</v>
      </c>
      <c r="G670">
        <v>3</v>
      </c>
      <c r="H670">
        <v>2058</v>
      </c>
      <c r="I670">
        <v>3</v>
      </c>
      <c r="J670">
        <v>4658.53</v>
      </c>
      <c r="K670">
        <v>8751.82</v>
      </c>
      <c r="L670">
        <v>4658.59</v>
      </c>
      <c r="M670">
        <v>8751.2800000000007</v>
      </c>
      <c r="N670">
        <v>46.975499999999997</v>
      </c>
      <c r="O670">
        <v>-87.863667000000007</v>
      </c>
      <c r="P670">
        <v>46.976500000000001</v>
      </c>
      <c r="Q670">
        <v>-87.854667000000006</v>
      </c>
      <c r="R670">
        <v>7911.6708870000002</v>
      </c>
      <c r="S670">
        <v>50</v>
      </c>
      <c r="T670">
        <v>51</v>
      </c>
      <c r="U670">
        <v>0.5</v>
      </c>
      <c r="V670">
        <v>2</v>
      </c>
      <c r="W670">
        <v>15</v>
      </c>
      <c r="X670">
        <v>16.395900000000001</v>
      </c>
      <c r="Y670">
        <v>-1.17E-2</v>
      </c>
      <c r="Z670">
        <v>59.999499999999998</v>
      </c>
      <c r="AA670">
        <v>10</v>
      </c>
      <c r="AB670">
        <v>0.42</v>
      </c>
      <c r="AC670">
        <v>131</v>
      </c>
      <c r="AD670">
        <v>1</v>
      </c>
    </row>
    <row r="671" spans="1:30" x14ac:dyDescent="0.55000000000000004">
      <c r="A671">
        <v>94958</v>
      </c>
      <c r="B671" s="19">
        <v>42561</v>
      </c>
      <c r="C671">
        <v>1218</v>
      </c>
      <c r="D671">
        <v>2016</v>
      </c>
      <c r="E671">
        <v>25</v>
      </c>
      <c r="F671">
        <v>708</v>
      </c>
      <c r="G671">
        <v>3</v>
      </c>
      <c r="H671">
        <v>2058</v>
      </c>
      <c r="I671">
        <v>3</v>
      </c>
      <c r="J671">
        <v>4658.53</v>
      </c>
      <c r="K671">
        <v>8751.82</v>
      </c>
      <c r="L671">
        <v>4658.59</v>
      </c>
      <c r="M671">
        <v>8751.2800000000007</v>
      </c>
      <c r="N671">
        <v>46.975499999999997</v>
      </c>
      <c r="O671">
        <v>-87.863667000000007</v>
      </c>
      <c r="P671">
        <v>46.976500000000001</v>
      </c>
      <c r="Q671">
        <v>-87.854667000000006</v>
      </c>
      <c r="R671">
        <v>7911.6708870000002</v>
      </c>
      <c r="S671">
        <v>50</v>
      </c>
      <c r="T671">
        <v>51</v>
      </c>
      <c r="U671">
        <v>0.5</v>
      </c>
      <c r="V671">
        <v>2</v>
      </c>
      <c r="W671">
        <v>15</v>
      </c>
      <c r="X671">
        <v>16.395900000000001</v>
      </c>
      <c r="Y671">
        <v>-1.17E-2</v>
      </c>
      <c r="Z671">
        <v>59.999499999999998</v>
      </c>
      <c r="AA671">
        <v>10</v>
      </c>
      <c r="AB671">
        <v>0.42</v>
      </c>
      <c r="AC671">
        <v>217</v>
      </c>
      <c r="AD671">
        <v>6</v>
      </c>
    </row>
    <row r="672" spans="1:30" x14ac:dyDescent="0.55000000000000004">
      <c r="A672">
        <v>94959</v>
      </c>
      <c r="B672" s="19">
        <v>42561</v>
      </c>
      <c r="C672">
        <v>1218</v>
      </c>
      <c r="D672">
        <v>2016</v>
      </c>
      <c r="E672">
        <v>25</v>
      </c>
      <c r="F672">
        <v>709</v>
      </c>
      <c r="G672">
        <v>3</v>
      </c>
      <c r="H672">
        <v>2058</v>
      </c>
      <c r="I672">
        <v>3</v>
      </c>
      <c r="J672">
        <v>4658.53</v>
      </c>
      <c r="K672">
        <v>8751.82</v>
      </c>
      <c r="L672">
        <v>4658.59</v>
      </c>
      <c r="M672">
        <v>8751.2800000000007</v>
      </c>
      <c r="N672">
        <v>46.975499999999997</v>
      </c>
      <c r="O672">
        <v>-87.863667000000007</v>
      </c>
      <c r="P672">
        <v>46.976500000000001</v>
      </c>
      <c r="Q672">
        <v>-87.854667000000006</v>
      </c>
      <c r="R672">
        <v>7911.6708870000002</v>
      </c>
      <c r="S672">
        <v>50</v>
      </c>
      <c r="T672">
        <v>51</v>
      </c>
      <c r="U672">
        <v>0.5</v>
      </c>
      <c r="V672">
        <v>2</v>
      </c>
      <c r="W672">
        <v>15</v>
      </c>
      <c r="X672">
        <v>16.395900000000001</v>
      </c>
      <c r="Y672">
        <v>-1.17E-2</v>
      </c>
      <c r="Z672">
        <v>59.999499999999998</v>
      </c>
      <c r="AA672">
        <v>10</v>
      </c>
      <c r="AB672">
        <v>0.42</v>
      </c>
      <c r="AC672">
        <v>109</v>
      </c>
      <c r="AD672">
        <v>2</v>
      </c>
    </row>
    <row r="673" spans="1:30" x14ac:dyDescent="0.55000000000000004">
      <c r="A673">
        <v>94959</v>
      </c>
      <c r="B673" s="19">
        <v>42561</v>
      </c>
      <c r="C673">
        <v>1218</v>
      </c>
      <c r="D673">
        <v>2016</v>
      </c>
      <c r="E673">
        <v>25</v>
      </c>
      <c r="F673">
        <v>709</v>
      </c>
      <c r="G673">
        <v>3</v>
      </c>
      <c r="H673">
        <v>2058</v>
      </c>
      <c r="I673">
        <v>3</v>
      </c>
      <c r="J673">
        <v>4658.53</v>
      </c>
      <c r="K673">
        <v>8751.82</v>
      </c>
      <c r="L673">
        <v>4658.59</v>
      </c>
      <c r="M673">
        <v>8751.2800000000007</v>
      </c>
      <c r="N673">
        <v>46.975499999999997</v>
      </c>
      <c r="O673">
        <v>-87.863667000000007</v>
      </c>
      <c r="P673">
        <v>46.976500000000001</v>
      </c>
      <c r="Q673">
        <v>-87.854667000000006</v>
      </c>
      <c r="R673">
        <v>7911.6708870000002</v>
      </c>
      <c r="S673">
        <v>50</v>
      </c>
      <c r="T673">
        <v>51</v>
      </c>
      <c r="U673">
        <v>0.5</v>
      </c>
      <c r="V673">
        <v>2</v>
      </c>
      <c r="W673">
        <v>15</v>
      </c>
      <c r="X673">
        <v>16.395900000000001</v>
      </c>
      <c r="Y673">
        <v>-1.17E-2</v>
      </c>
      <c r="Z673">
        <v>59.999499999999998</v>
      </c>
      <c r="AA673">
        <v>10</v>
      </c>
      <c r="AB673">
        <v>0.42</v>
      </c>
      <c r="AC673">
        <v>217</v>
      </c>
      <c r="AD673">
        <v>16</v>
      </c>
    </row>
    <row r="674" spans="1:30" x14ac:dyDescent="0.55000000000000004">
      <c r="A674">
        <v>94960</v>
      </c>
      <c r="B674" s="19">
        <v>42561</v>
      </c>
      <c r="C674">
        <v>1357</v>
      </c>
      <c r="D674">
        <v>2016</v>
      </c>
      <c r="E674">
        <v>25</v>
      </c>
      <c r="F674">
        <v>710</v>
      </c>
      <c r="G674">
        <v>3</v>
      </c>
      <c r="H674">
        <v>2030</v>
      </c>
      <c r="I674">
        <v>3</v>
      </c>
      <c r="J674">
        <v>4654.7</v>
      </c>
      <c r="K674">
        <v>8737.83</v>
      </c>
      <c r="L674">
        <v>4654.33</v>
      </c>
      <c r="M674">
        <v>8737.82</v>
      </c>
      <c r="N674">
        <v>46.911667000000001</v>
      </c>
      <c r="O674">
        <v>-87.630499999999998</v>
      </c>
      <c r="P674">
        <v>46.905500000000004</v>
      </c>
      <c r="Q674">
        <v>-87.630332999999993</v>
      </c>
      <c r="R674">
        <v>8642.082101</v>
      </c>
      <c r="S674">
        <v>86</v>
      </c>
      <c r="T674">
        <v>94</v>
      </c>
      <c r="U674">
        <v>0.5</v>
      </c>
      <c r="V674">
        <v>2</v>
      </c>
      <c r="W674">
        <v>15.2</v>
      </c>
      <c r="X674">
        <v>15.4175</v>
      </c>
      <c r="Y674">
        <v>4.5999999999999999E-3</v>
      </c>
      <c r="Z674">
        <v>80.809600000000003</v>
      </c>
      <c r="AA674">
        <v>10</v>
      </c>
      <c r="AB674">
        <v>0.42</v>
      </c>
      <c r="AC674">
        <v>217</v>
      </c>
      <c r="AD674">
        <v>3</v>
      </c>
    </row>
    <row r="675" spans="1:30" x14ac:dyDescent="0.55000000000000004">
      <c r="A675">
        <v>94961</v>
      </c>
      <c r="B675" s="19">
        <v>42561</v>
      </c>
      <c r="C675">
        <v>1357</v>
      </c>
      <c r="D675">
        <v>2016</v>
      </c>
      <c r="E675">
        <v>25</v>
      </c>
      <c r="F675">
        <v>711</v>
      </c>
      <c r="G675">
        <v>3</v>
      </c>
      <c r="H675">
        <v>2030</v>
      </c>
      <c r="I675">
        <v>3</v>
      </c>
      <c r="J675">
        <v>4654.7</v>
      </c>
      <c r="K675">
        <v>8737.83</v>
      </c>
      <c r="L675">
        <v>4654.33</v>
      </c>
      <c r="M675">
        <v>8737.82</v>
      </c>
      <c r="N675">
        <v>46.911667000000001</v>
      </c>
      <c r="O675">
        <v>-87.630499999999998</v>
      </c>
      <c r="P675">
        <v>46.905500000000004</v>
      </c>
      <c r="Q675">
        <v>-87.630332999999993</v>
      </c>
      <c r="R675">
        <v>8642.082101</v>
      </c>
      <c r="S675">
        <v>86</v>
      </c>
      <c r="T675">
        <v>94</v>
      </c>
      <c r="U675">
        <v>0.5</v>
      </c>
      <c r="V675">
        <v>2</v>
      </c>
      <c r="W675">
        <v>15.2</v>
      </c>
      <c r="X675">
        <v>15.4175</v>
      </c>
      <c r="Y675">
        <v>4.5999999999999999E-3</v>
      </c>
      <c r="Z675">
        <v>80.809600000000003</v>
      </c>
      <c r="AA675">
        <v>10</v>
      </c>
      <c r="AB675">
        <v>0.42</v>
      </c>
      <c r="AC675">
        <v>217</v>
      </c>
      <c r="AD675">
        <v>5</v>
      </c>
    </row>
    <row r="676" spans="1:30" x14ac:dyDescent="0.55000000000000004">
      <c r="A676">
        <v>94967</v>
      </c>
      <c r="B676" s="19">
        <v>42562</v>
      </c>
      <c r="C676">
        <v>1010</v>
      </c>
      <c r="D676">
        <v>2016</v>
      </c>
      <c r="E676">
        <v>25</v>
      </c>
      <c r="F676">
        <v>712</v>
      </c>
      <c r="G676">
        <v>3</v>
      </c>
      <c r="H676">
        <v>2132</v>
      </c>
      <c r="I676">
        <v>3</v>
      </c>
      <c r="J676">
        <v>4640.33</v>
      </c>
      <c r="K676">
        <v>8642.7000000000007</v>
      </c>
      <c r="L676">
        <v>4639.97</v>
      </c>
      <c r="M676">
        <v>8642.65</v>
      </c>
      <c r="N676">
        <v>46.672167000000002</v>
      </c>
      <c r="O676">
        <v>-86.711667000000006</v>
      </c>
      <c r="P676">
        <v>46.666167000000002</v>
      </c>
      <c r="Q676">
        <v>-86.710832999999994</v>
      </c>
      <c r="R676">
        <v>12724.58951</v>
      </c>
      <c r="S676">
        <v>220</v>
      </c>
      <c r="T676">
        <v>216</v>
      </c>
      <c r="U676">
        <v>0.5</v>
      </c>
      <c r="V676">
        <v>2</v>
      </c>
      <c r="W676">
        <v>13.9</v>
      </c>
      <c r="X676">
        <v>15.2887</v>
      </c>
      <c r="Y676">
        <v>4.4999999999999998E-2</v>
      </c>
      <c r="Z676">
        <v>79.613299999999995</v>
      </c>
      <c r="AA676">
        <v>10</v>
      </c>
      <c r="AB676">
        <v>0.42</v>
      </c>
      <c r="AC676">
        <v>217</v>
      </c>
      <c r="AD676">
        <v>7</v>
      </c>
    </row>
    <row r="677" spans="1:30" x14ac:dyDescent="0.55000000000000004">
      <c r="A677">
        <v>94968</v>
      </c>
      <c r="B677" s="19">
        <v>42562</v>
      </c>
      <c r="C677">
        <v>1010</v>
      </c>
      <c r="D677">
        <v>2016</v>
      </c>
      <c r="E677">
        <v>25</v>
      </c>
      <c r="F677">
        <v>713</v>
      </c>
      <c r="G677">
        <v>3</v>
      </c>
      <c r="H677">
        <v>2132</v>
      </c>
      <c r="I677">
        <v>3</v>
      </c>
      <c r="J677">
        <v>4640.33</v>
      </c>
      <c r="K677">
        <v>8642.7000000000007</v>
      </c>
      <c r="L677">
        <v>4639.97</v>
      </c>
      <c r="M677">
        <v>8642.65</v>
      </c>
      <c r="N677">
        <v>46.672167000000002</v>
      </c>
      <c r="O677">
        <v>-86.711667000000006</v>
      </c>
      <c r="P677">
        <v>46.666167000000002</v>
      </c>
      <c r="Q677">
        <v>-86.710832999999994</v>
      </c>
      <c r="R677">
        <v>12724.58951</v>
      </c>
      <c r="S677">
        <v>220</v>
      </c>
      <c r="T677">
        <v>216</v>
      </c>
      <c r="U677">
        <v>0.5</v>
      </c>
      <c r="V677">
        <v>2</v>
      </c>
      <c r="W677">
        <v>13.9</v>
      </c>
      <c r="X677">
        <v>15.2887</v>
      </c>
      <c r="Y677">
        <v>4.4999999999999998E-2</v>
      </c>
      <c r="Z677">
        <v>79.613299999999995</v>
      </c>
      <c r="AA677">
        <v>10</v>
      </c>
      <c r="AB677">
        <v>0.42</v>
      </c>
      <c r="AC677">
        <v>217</v>
      </c>
      <c r="AD677">
        <v>8</v>
      </c>
    </row>
    <row r="678" spans="1:30" x14ac:dyDescent="0.55000000000000004">
      <c r="A678">
        <v>94969</v>
      </c>
      <c r="B678" s="19">
        <v>42562</v>
      </c>
      <c r="C678">
        <v>1218</v>
      </c>
      <c r="D678">
        <v>2016</v>
      </c>
      <c r="E678">
        <v>25</v>
      </c>
      <c r="F678">
        <v>714</v>
      </c>
      <c r="G678">
        <v>3</v>
      </c>
      <c r="H678">
        <v>2116</v>
      </c>
      <c r="I678">
        <v>3</v>
      </c>
      <c r="J678">
        <v>4645.08</v>
      </c>
      <c r="K678">
        <v>8631.93</v>
      </c>
      <c r="L678">
        <v>4644.97</v>
      </c>
      <c r="M678">
        <v>8632.48</v>
      </c>
      <c r="N678">
        <v>46.751333000000002</v>
      </c>
      <c r="O678">
        <v>-86.532167000000001</v>
      </c>
      <c r="P678">
        <v>46.749499999999998</v>
      </c>
      <c r="Q678">
        <v>-86.541332999999995</v>
      </c>
      <c r="R678">
        <v>22714.790079999999</v>
      </c>
      <c r="S678">
        <v>182</v>
      </c>
      <c r="T678">
        <v>175</v>
      </c>
      <c r="U678">
        <v>0.5</v>
      </c>
      <c r="V678">
        <v>2</v>
      </c>
      <c r="W678">
        <v>11.9</v>
      </c>
      <c r="X678">
        <v>12.941700000000001</v>
      </c>
      <c r="Y678">
        <v>0.20319999999999999</v>
      </c>
      <c r="Z678">
        <v>88.504300000000001</v>
      </c>
      <c r="AA678">
        <v>10</v>
      </c>
      <c r="AB678">
        <v>0.4</v>
      </c>
      <c r="AC678">
        <v>217</v>
      </c>
      <c r="AD678">
        <v>2</v>
      </c>
    </row>
    <row r="679" spans="1:30" x14ac:dyDescent="0.55000000000000004">
      <c r="A679">
        <v>94970</v>
      </c>
      <c r="B679" s="19">
        <v>42562</v>
      </c>
      <c r="C679">
        <v>1218</v>
      </c>
      <c r="D679">
        <v>2016</v>
      </c>
      <c r="E679">
        <v>25</v>
      </c>
      <c r="F679">
        <v>715</v>
      </c>
      <c r="G679">
        <v>3</v>
      </c>
      <c r="H679">
        <v>2116</v>
      </c>
      <c r="I679">
        <v>3</v>
      </c>
      <c r="J679">
        <v>4645.08</v>
      </c>
      <c r="K679">
        <v>8631.93</v>
      </c>
      <c r="L679">
        <v>4644.97</v>
      </c>
      <c r="M679">
        <v>8632.48</v>
      </c>
      <c r="N679">
        <v>46.751333000000002</v>
      </c>
      <c r="O679">
        <v>-86.532167000000001</v>
      </c>
      <c r="P679">
        <v>46.749499999999998</v>
      </c>
      <c r="Q679">
        <v>-86.541332999999995</v>
      </c>
      <c r="R679">
        <v>22714.790079999999</v>
      </c>
      <c r="S679">
        <v>182</v>
      </c>
      <c r="T679">
        <v>175</v>
      </c>
      <c r="U679">
        <v>0.5</v>
      </c>
      <c r="V679">
        <v>2</v>
      </c>
      <c r="W679">
        <v>11.9</v>
      </c>
      <c r="X679">
        <v>12.941700000000001</v>
      </c>
      <c r="Y679">
        <v>0.20319999999999999</v>
      </c>
      <c r="Z679">
        <v>88.504300000000001</v>
      </c>
      <c r="AA679">
        <v>10</v>
      </c>
      <c r="AB679">
        <v>0.4</v>
      </c>
      <c r="AC679">
        <v>217</v>
      </c>
      <c r="AD679">
        <v>2</v>
      </c>
    </row>
    <row r="680" spans="1:30" x14ac:dyDescent="0.55000000000000004">
      <c r="A680">
        <v>94971</v>
      </c>
      <c r="B680" s="19">
        <v>42562</v>
      </c>
      <c r="C680">
        <v>1427</v>
      </c>
      <c r="D680">
        <v>2016</v>
      </c>
      <c r="E680">
        <v>25</v>
      </c>
      <c r="F680">
        <v>716</v>
      </c>
      <c r="G680">
        <v>3</v>
      </c>
      <c r="H680">
        <v>2043</v>
      </c>
      <c r="I680">
        <v>3</v>
      </c>
      <c r="J680">
        <v>4638.75</v>
      </c>
      <c r="K680">
        <v>8618.85</v>
      </c>
      <c r="L680">
        <v>4639.2</v>
      </c>
      <c r="M680">
        <v>8618.59</v>
      </c>
      <c r="N680">
        <v>46.645833000000003</v>
      </c>
      <c r="O680">
        <v>-86.314166999999998</v>
      </c>
      <c r="P680">
        <v>46.653333000000003</v>
      </c>
      <c r="Q680">
        <v>-86.309832999999998</v>
      </c>
      <c r="R680">
        <v>4738.7657660000004</v>
      </c>
      <c r="S680">
        <v>27</v>
      </c>
      <c r="T680">
        <v>28</v>
      </c>
      <c r="U680">
        <v>0.5</v>
      </c>
      <c r="V680">
        <v>2</v>
      </c>
      <c r="W680">
        <v>12.2</v>
      </c>
      <c r="X680">
        <v>15.125400000000001</v>
      </c>
      <c r="Y680">
        <v>-0.19789999999999999</v>
      </c>
      <c r="Z680">
        <v>77.2042</v>
      </c>
      <c r="AA680">
        <v>10</v>
      </c>
      <c r="AB680">
        <v>0.47</v>
      </c>
      <c r="AC680">
        <v>127</v>
      </c>
      <c r="AD680">
        <v>2</v>
      </c>
    </row>
    <row r="681" spans="1:30" x14ac:dyDescent="0.55000000000000004">
      <c r="A681">
        <v>94971</v>
      </c>
      <c r="B681" s="19">
        <v>42562</v>
      </c>
      <c r="C681">
        <v>1427</v>
      </c>
      <c r="D681">
        <v>2016</v>
      </c>
      <c r="E681">
        <v>25</v>
      </c>
      <c r="F681">
        <v>716</v>
      </c>
      <c r="G681">
        <v>3</v>
      </c>
      <c r="H681">
        <v>2043</v>
      </c>
      <c r="I681">
        <v>3</v>
      </c>
      <c r="J681">
        <v>4638.75</v>
      </c>
      <c r="K681">
        <v>8618.85</v>
      </c>
      <c r="L681">
        <v>4639.2</v>
      </c>
      <c r="M681">
        <v>8618.59</v>
      </c>
      <c r="N681">
        <v>46.645833000000003</v>
      </c>
      <c r="O681">
        <v>-86.314166999999998</v>
      </c>
      <c r="P681">
        <v>46.653333000000003</v>
      </c>
      <c r="Q681">
        <v>-86.309832999999998</v>
      </c>
      <c r="R681">
        <v>4738.7657660000004</v>
      </c>
      <c r="S681">
        <v>27</v>
      </c>
      <c r="T681">
        <v>28</v>
      </c>
      <c r="U681">
        <v>0.5</v>
      </c>
      <c r="V681">
        <v>2</v>
      </c>
      <c r="W681">
        <v>12.2</v>
      </c>
      <c r="X681">
        <v>15.125400000000001</v>
      </c>
      <c r="Y681">
        <v>-0.19789999999999999</v>
      </c>
      <c r="Z681">
        <v>77.2042</v>
      </c>
      <c r="AA681">
        <v>10</v>
      </c>
      <c r="AB681">
        <v>0.47</v>
      </c>
      <c r="AC681">
        <v>217</v>
      </c>
      <c r="AD681">
        <v>38</v>
      </c>
    </row>
    <row r="682" spans="1:30" x14ac:dyDescent="0.55000000000000004">
      <c r="A682">
        <v>94972</v>
      </c>
      <c r="B682" s="19">
        <v>42562</v>
      </c>
      <c r="C682">
        <v>1427</v>
      </c>
      <c r="D682">
        <v>2016</v>
      </c>
      <c r="E682">
        <v>25</v>
      </c>
      <c r="F682">
        <v>717</v>
      </c>
      <c r="G682">
        <v>3</v>
      </c>
      <c r="H682">
        <v>2043</v>
      </c>
      <c r="I682">
        <v>3</v>
      </c>
      <c r="J682">
        <v>4638.75</v>
      </c>
      <c r="K682">
        <v>8618.85</v>
      </c>
      <c r="L682">
        <v>4639.2</v>
      </c>
      <c r="M682">
        <v>8618.59</v>
      </c>
      <c r="N682">
        <v>46.645833000000003</v>
      </c>
      <c r="O682">
        <v>-86.314166999999998</v>
      </c>
      <c r="P682">
        <v>46.653333000000003</v>
      </c>
      <c r="Q682">
        <v>-86.309832999999998</v>
      </c>
      <c r="R682">
        <v>4738.7657660000004</v>
      </c>
      <c r="S682">
        <v>27</v>
      </c>
      <c r="T682">
        <v>28</v>
      </c>
      <c r="U682">
        <v>0.5</v>
      </c>
      <c r="V682">
        <v>2</v>
      </c>
      <c r="W682">
        <v>12.2</v>
      </c>
      <c r="X682">
        <v>15.125400000000001</v>
      </c>
      <c r="Y682">
        <v>-0.19789999999999999</v>
      </c>
      <c r="Z682">
        <v>77.2042</v>
      </c>
      <c r="AA682">
        <v>10</v>
      </c>
      <c r="AB682">
        <v>0.47</v>
      </c>
      <c r="AC682">
        <v>131</v>
      </c>
      <c r="AD682">
        <v>1</v>
      </c>
    </row>
    <row r="683" spans="1:30" x14ac:dyDescent="0.55000000000000004">
      <c r="A683">
        <v>94972</v>
      </c>
      <c r="B683" s="19">
        <v>42562</v>
      </c>
      <c r="C683">
        <v>1427</v>
      </c>
      <c r="D683">
        <v>2016</v>
      </c>
      <c r="E683">
        <v>25</v>
      </c>
      <c r="F683">
        <v>717</v>
      </c>
      <c r="G683">
        <v>3</v>
      </c>
      <c r="H683">
        <v>2043</v>
      </c>
      <c r="I683">
        <v>3</v>
      </c>
      <c r="J683">
        <v>4638.75</v>
      </c>
      <c r="K683">
        <v>8618.85</v>
      </c>
      <c r="L683">
        <v>4639.2</v>
      </c>
      <c r="M683">
        <v>8618.59</v>
      </c>
      <c r="N683">
        <v>46.645833000000003</v>
      </c>
      <c r="O683">
        <v>-86.314166999999998</v>
      </c>
      <c r="P683">
        <v>46.653333000000003</v>
      </c>
      <c r="Q683">
        <v>-86.309832999999998</v>
      </c>
      <c r="R683">
        <v>4738.7657660000004</v>
      </c>
      <c r="S683">
        <v>27</v>
      </c>
      <c r="T683">
        <v>28</v>
      </c>
      <c r="U683">
        <v>0.5</v>
      </c>
      <c r="V683">
        <v>2</v>
      </c>
      <c r="W683">
        <v>12.2</v>
      </c>
      <c r="X683">
        <v>15.125400000000001</v>
      </c>
      <c r="Y683">
        <v>-0.19789999999999999</v>
      </c>
      <c r="Z683">
        <v>77.2042</v>
      </c>
      <c r="AA683">
        <v>10</v>
      </c>
      <c r="AB683">
        <v>0.47</v>
      </c>
      <c r="AC683">
        <v>217</v>
      </c>
      <c r="AD683">
        <v>9</v>
      </c>
    </row>
    <row r="684" spans="1:30" x14ac:dyDescent="0.55000000000000004">
      <c r="A684">
        <v>94974</v>
      </c>
      <c r="B684" s="19">
        <v>42563</v>
      </c>
      <c r="C684">
        <v>945</v>
      </c>
      <c r="D684">
        <v>2016</v>
      </c>
      <c r="E684">
        <v>25</v>
      </c>
      <c r="F684">
        <v>718</v>
      </c>
      <c r="G684">
        <v>3</v>
      </c>
      <c r="H684">
        <v>2125</v>
      </c>
      <c r="I684">
        <v>3</v>
      </c>
      <c r="J684">
        <v>4706.25</v>
      </c>
      <c r="K684">
        <v>8558.33</v>
      </c>
      <c r="L684">
        <v>4705.92</v>
      </c>
      <c r="M684">
        <v>8558.1200000000008</v>
      </c>
      <c r="N684">
        <v>47.104199999999999</v>
      </c>
      <c r="O684">
        <v>-85.972200000000001</v>
      </c>
      <c r="P684">
        <v>47.098700000000001</v>
      </c>
      <c r="Q684">
        <v>-85.968699999999998</v>
      </c>
      <c r="R684">
        <v>28316.628680000002</v>
      </c>
      <c r="S684">
        <v>189</v>
      </c>
      <c r="T684">
        <v>189</v>
      </c>
      <c r="U684">
        <v>0.5</v>
      </c>
      <c r="V684">
        <v>2</v>
      </c>
      <c r="W684">
        <v>11.4</v>
      </c>
      <c r="X684">
        <v>11.4397</v>
      </c>
      <c r="Y684">
        <v>8.5000000000000006E-2</v>
      </c>
      <c r="Z684">
        <v>45.608800000000002</v>
      </c>
      <c r="AA684">
        <v>10</v>
      </c>
      <c r="AB684">
        <v>0.4</v>
      </c>
      <c r="AC684">
        <v>217</v>
      </c>
      <c r="AD684">
        <v>39</v>
      </c>
    </row>
    <row r="685" spans="1:30" x14ac:dyDescent="0.55000000000000004">
      <c r="A685">
        <v>94975</v>
      </c>
      <c r="B685" s="19">
        <v>42563</v>
      </c>
      <c r="C685">
        <v>945</v>
      </c>
      <c r="D685">
        <v>2016</v>
      </c>
      <c r="E685">
        <v>25</v>
      </c>
      <c r="F685">
        <v>719</v>
      </c>
      <c r="G685">
        <v>3</v>
      </c>
      <c r="H685">
        <v>2125</v>
      </c>
      <c r="I685">
        <v>3</v>
      </c>
      <c r="J685">
        <v>4706.25</v>
      </c>
      <c r="K685">
        <v>8558.33</v>
      </c>
      <c r="L685">
        <v>4705.92</v>
      </c>
      <c r="M685">
        <v>8558.1200000000008</v>
      </c>
      <c r="N685">
        <v>47.104199999999999</v>
      </c>
      <c r="O685">
        <v>-85.972200000000001</v>
      </c>
      <c r="P685">
        <v>47.098700000000001</v>
      </c>
      <c r="Q685">
        <v>-85.968699999999998</v>
      </c>
      <c r="R685">
        <v>28316.628680000002</v>
      </c>
      <c r="S685">
        <v>189</v>
      </c>
      <c r="T685">
        <v>189</v>
      </c>
      <c r="U685">
        <v>0.5</v>
      </c>
      <c r="V685">
        <v>2</v>
      </c>
      <c r="W685">
        <v>11.4</v>
      </c>
      <c r="X685">
        <v>11.4397</v>
      </c>
      <c r="Y685">
        <v>8.5000000000000006E-2</v>
      </c>
      <c r="Z685">
        <v>45.608800000000002</v>
      </c>
      <c r="AA685">
        <v>10</v>
      </c>
      <c r="AB685">
        <v>0.4</v>
      </c>
      <c r="AC685">
        <v>217</v>
      </c>
      <c r="AD685">
        <v>34</v>
      </c>
    </row>
    <row r="686" spans="1:30" x14ac:dyDescent="0.55000000000000004">
      <c r="A686">
        <v>94976</v>
      </c>
      <c r="B686" s="19">
        <v>42563</v>
      </c>
      <c r="C686">
        <v>1217</v>
      </c>
      <c r="D686">
        <v>2016</v>
      </c>
      <c r="E686">
        <v>25</v>
      </c>
      <c r="F686">
        <v>720</v>
      </c>
      <c r="G686">
        <v>3</v>
      </c>
      <c r="H686">
        <v>2141</v>
      </c>
      <c r="I686">
        <v>3</v>
      </c>
      <c r="J686">
        <v>4707.1499999999996</v>
      </c>
      <c r="K686">
        <v>8609.68</v>
      </c>
      <c r="L686">
        <v>4707.55</v>
      </c>
      <c r="M686">
        <v>8610</v>
      </c>
      <c r="N686">
        <v>47.119166999999997</v>
      </c>
      <c r="O686">
        <v>-86.161332999999999</v>
      </c>
      <c r="P686">
        <v>47.125833</v>
      </c>
      <c r="Q686">
        <v>-86.166667000000004</v>
      </c>
      <c r="R686">
        <v>35566.606749999999</v>
      </c>
      <c r="S686">
        <v>143</v>
      </c>
      <c r="T686">
        <v>145</v>
      </c>
      <c r="U686">
        <v>0.5</v>
      </c>
      <c r="V686">
        <v>2</v>
      </c>
      <c r="W686">
        <v>10.3</v>
      </c>
      <c r="X686">
        <v>9.8674999999999997</v>
      </c>
      <c r="Y686">
        <v>-7.0000000000000001E-3</v>
      </c>
      <c r="Z686">
        <v>71.184700000000007</v>
      </c>
      <c r="AA686">
        <v>10</v>
      </c>
      <c r="AB686">
        <v>0.38</v>
      </c>
      <c r="AC686">
        <v>217</v>
      </c>
      <c r="AD686">
        <v>6</v>
      </c>
    </row>
    <row r="687" spans="1:30" x14ac:dyDescent="0.55000000000000004">
      <c r="A687">
        <v>94977</v>
      </c>
      <c r="B687" s="19">
        <v>42563</v>
      </c>
      <c r="C687">
        <v>1217</v>
      </c>
      <c r="D687">
        <v>2016</v>
      </c>
      <c r="E687">
        <v>25</v>
      </c>
      <c r="F687">
        <v>721</v>
      </c>
      <c r="G687">
        <v>3</v>
      </c>
      <c r="H687">
        <v>2141</v>
      </c>
      <c r="I687">
        <v>3</v>
      </c>
      <c r="J687">
        <v>4707.1499999999996</v>
      </c>
      <c r="K687">
        <v>8609.68</v>
      </c>
      <c r="L687">
        <v>4707.55</v>
      </c>
      <c r="M687">
        <v>8610</v>
      </c>
      <c r="N687">
        <v>47.119166999999997</v>
      </c>
      <c r="O687">
        <v>-86.161332999999999</v>
      </c>
      <c r="P687">
        <v>47.125833</v>
      </c>
      <c r="Q687">
        <v>-86.166667000000004</v>
      </c>
      <c r="R687">
        <v>35566.606749999999</v>
      </c>
      <c r="S687">
        <v>143</v>
      </c>
      <c r="T687">
        <v>145</v>
      </c>
      <c r="U687">
        <v>0.5</v>
      </c>
      <c r="V687">
        <v>2</v>
      </c>
      <c r="W687">
        <v>10.3</v>
      </c>
      <c r="X687">
        <v>9.8674999999999997</v>
      </c>
      <c r="Y687">
        <v>-7.0000000000000001E-3</v>
      </c>
      <c r="Z687">
        <v>71.184700000000007</v>
      </c>
      <c r="AA687">
        <v>10</v>
      </c>
      <c r="AB687">
        <v>0.38</v>
      </c>
      <c r="AC687">
        <v>217</v>
      </c>
      <c r="AD687">
        <v>5</v>
      </c>
    </row>
    <row r="688" spans="1:30" x14ac:dyDescent="0.55000000000000004">
      <c r="A688">
        <v>94980</v>
      </c>
      <c r="B688" s="19">
        <v>42564</v>
      </c>
      <c r="C688">
        <v>945</v>
      </c>
      <c r="D688">
        <v>2016</v>
      </c>
      <c r="E688">
        <v>25</v>
      </c>
      <c r="F688">
        <v>722</v>
      </c>
      <c r="G688">
        <v>3</v>
      </c>
      <c r="H688">
        <v>2039</v>
      </c>
      <c r="I688">
        <v>3</v>
      </c>
      <c r="J688">
        <v>4654.87</v>
      </c>
      <c r="K688">
        <v>8525.5300000000007</v>
      </c>
      <c r="L688">
        <v>4654.6099999999997</v>
      </c>
      <c r="M688">
        <v>8525.0400000000009</v>
      </c>
      <c r="N688">
        <v>46.914499999999997</v>
      </c>
      <c r="O688">
        <v>-85.4255</v>
      </c>
      <c r="P688">
        <v>46.910167000000001</v>
      </c>
      <c r="Q688">
        <v>-85.417332999999999</v>
      </c>
      <c r="R688">
        <v>21237.73359</v>
      </c>
      <c r="S688">
        <v>85</v>
      </c>
      <c r="T688">
        <v>90</v>
      </c>
      <c r="U688">
        <v>0.5</v>
      </c>
      <c r="V688">
        <v>2</v>
      </c>
      <c r="W688">
        <v>12.4</v>
      </c>
      <c r="X688">
        <v>12.065099999999999</v>
      </c>
      <c r="Y688">
        <v>-1.9900000000000001E-2</v>
      </c>
      <c r="Z688">
        <v>81.015199999999993</v>
      </c>
      <c r="AA688">
        <v>10</v>
      </c>
      <c r="AB688">
        <v>0.42</v>
      </c>
      <c r="AC688">
        <v>217</v>
      </c>
      <c r="AD688">
        <v>29</v>
      </c>
    </row>
    <row r="689" spans="1:30" x14ac:dyDescent="0.55000000000000004">
      <c r="A689">
        <v>94981</v>
      </c>
      <c r="B689" s="19">
        <v>42564</v>
      </c>
      <c r="C689">
        <v>945</v>
      </c>
      <c r="D689">
        <v>2016</v>
      </c>
      <c r="E689">
        <v>25</v>
      </c>
      <c r="F689">
        <v>723</v>
      </c>
      <c r="G689">
        <v>3</v>
      </c>
      <c r="H689">
        <v>2039</v>
      </c>
      <c r="I689">
        <v>3</v>
      </c>
      <c r="J689">
        <v>4654.87</v>
      </c>
      <c r="K689">
        <v>8525.5300000000007</v>
      </c>
      <c r="L689">
        <v>4654.6099999999997</v>
      </c>
      <c r="M689">
        <v>8525.0400000000009</v>
      </c>
      <c r="N689">
        <v>46.914499999999997</v>
      </c>
      <c r="O689">
        <v>-85.4255</v>
      </c>
      <c r="P689">
        <v>46.910167000000001</v>
      </c>
      <c r="Q689">
        <v>-85.417332999999999</v>
      </c>
      <c r="R689">
        <v>21237.73359</v>
      </c>
      <c r="S689">
        <v>85</v>
      </c>
      <c r="T689">
        <v>90</v>
      </c>
      <c r="U689">
        <v>0.5</v>
      </c>
      <c r="V689">
        <v>2</v>
      </c>
      <c r="W689">
        <v>12.4</v>
      </c>
      <c r="X689">
        <v>12.065099999999999</v>
      </c>
      <c r="Y689">
        <v>-1.9900000000000001E-2</v>
      </c>
      <c r="Z689">
        <v>81.015199999999993</v>
      </c>
      <c r="AA689">
        <v>10</v>
      </c>
      <c r="AB689">
        <v>0.42</v>
      </c>
      <c r="AC689">
        <v>217</v>
      </c>
      <c r="AD689">
        <v>15</v>
      </c>
    </row>
    <row r="690" spans="1:30" x14ac:dyDescent="0.55000000000000004">
      <c r="A690">
        <v>94984</v>
      </c>
      <c r="B690" s="19">
        <v>42564</v>
      </c>
      <c r="C690">
        <v>1138</v>
      </c>
      <c r="D690">
        <v>2016</v>
      </c>
      <c r="E690">
        <v>25</v>
      </c>
      <c r="F690">
        <v>724</v>
      </c>
      <c r="G690">
        <v>3</v>
      </c>
      <c r="H690">
        <v>2029</v>
      </c>
      <c r="I690">
        <v>3</v>
      </c>
      <c r="J690">
        <v>4658.97</v>
      </c>
      <c r="K690">
        <v>8511.9599999999991</v>
      </c>
      <c r="L690">
        <v>4658.62</v>
      </c>
      <c r="M690">
        <v>8511.9699999999993</v>
      </c>
      <c r="N690">
        <v>46.982832999999999</v>
      </c>
      <c r="O690">
        <v>-85.199332999999996</v>
      </c>
      <c r="P690">
        <v>46.976999999999997</v>
      </c>
      <c r="Q690">
        <v>-85.1995</v>
      </c>
      <c r="R690">
        <v>24573.107390000001</v>
      </c>
      <c r="S690">
        <v>96</v>
      </c>
      <c r="T690">
        <v>95</v>
      </c>
      <c r="U690">
        <v>0.5</v>
      </c>
      <c r="V690">
        <v>2</v>
      </c>
      <c r="W690">
        <v>12.6</v>
      </c>
      <c r="X690">
        <v>12.5946</v>
      </c>
      <c r="Y690">
        <v>0.1152</v>
      </c>
      <c r="Z690">
        <v>82.343400000000003</v>
      </c>
      <c r="AA690">
        <v>10</v>
      </c>
      <c r="AB690">
        <v>0.4</v>
      </c>
      <c r="AC690">
        <v>217</v>
      </c>
      <c r="AD690">
        <v>4</v>
      </c>
    </row>
    <row r="691" spans="1:30" x14ac:dyDescent="0.55000000000000004">
      <c r="A691">
        <v>94985</v>
      </c>
      <c r="B691" s="19">
        <v>42564</v>
      </c>
      <c r="C691">
        <v>1138</v>
      </c>
      <c r="D691">
        <v>2016</v>
      </c>
      <c r="E691">
        <v>25</v>
      </c>
      <c r="F691">
        <v>725</v>
      </c>
      <c r="G691">
        <v>3</v>
      </c>
      <c r="H691">
        <v>2029</v>
      </c>
      <c r="I691">
        <v>3</v>
      </c>
      <c r="J691">
        <v>4658.97</v>
      </c>
      <c r="K691">
        <v>8511.9599999999991</v>
      </c>
      <c r="L691">
        <v>4658.62</v>
      </c>
      <c r="M691">
        <v>8511.9699999999993</v>
      </c>
      <c r="N691">
        <v>46.982832999999999</v>
      </c>
      <c r="O691">
        <v>-85.199332999999996</v>
      </c>
      <c r="P691">
        <v>46.976999999999997</v>
      </c>
      <c r="Q691">
        <v>-85.1995</v>
      </c>
      <c r="R691">
        <v>24573.107390000001</v>
      </c>
      <c r="S691">
        <v>96</v>
      </c>
      <c r="T691">
        <v>95</v>
      </c>
      <c r="U691">
        <v>0.5</v>
      </c>
      <c r="V691">
        <v>2</v>
      </c>
      <c r="W691">
        <v>12.6</v>
      </c>
      <c r="X691">
        <v>12.5946</v>
      </c>
      <c r="Y691">
        <v>0.1152</v>
      </c>
      <c r="Z691">
        <v>82.343400000000003</v>
      </c>
      <c r="AA691">
        <v>10</v>
      </c>
      <c r="AB691">
        <v>0.4</v>
      </c>
      <c r="AC691">
        <v>217</v>
      </c>
      <c r="AD691">
        <v>1</v>
      </c>
    </row>
    <row r="692" spans="1:30" x14ac:dyDescent="0.55000000000000004">
      <c r="A692">
        <v>94986</v>
      </c>
      <c r="B692" s="19">
        <v>42564</v>
      </c>
      <c r="C692">
        <v>1433</v>
      </c>
      <c r="D692">
        <v>2016</v>
      </c>
      <c r="E692">
        <v>25</v>
      </c>
      <c r="F692">
        <v>726</v>
      </c>
      <c r="G692">
        <v>3</v>
      </c>
      <c r="H692">
        <v>2034</v>
      </c>
      <c r="I692">
        <v>3</v>
      </c>
      <c r="J692">
        <v>4645.72</v>
      </c>
      <c r="K692">
        <v>8451.9</v>
      </c>
      <c r="L692">
        <v>4645.3</v>
      </c>
      <c r="M692">
        <v>8451.93</v>
      </c>
      <c r="N692">
        <v>46.762</v>
      </c>
      <c r="O692">
        <v>-84.864999999999995</v>
      </c>
      <c r="P692">
        <v>46.755000000000003</v>
      </c>
      <c r="Q692">
        <v>-84.865499999999997</v>
      </c>
      <c r="R692">
        <v>6842.6294120000002</v>
      </c>
      <c r="S692">
        <v>61</v>
      </c>
      <c r="T692">
        <v>60</v>
      </c>
      <c r="U692">
        <v>0.5</v>
      </c>
      <c r="V692">
        <v>2</v>
      </c>
      <c r="W692">
        <v>15.4</v>
      </c>
      <c r="X692">
        <v>15.865399999999999</v>
      </c>
      <c r="Y692">
        <v>7.4700000000000003E-2</v>
      </c>
      <c r="Z692">
        <v>62.915300000000002</v>
      </c>
      <c r="AA692">
        <v>10</v>
      </c>
      <c r="AB692">
        <v>0.42</v>
      </c>
      <c r="AC692">
        <v>217</v>
      </c>
      <c r="AD692">
        <v>1</v>
      </c>
    </row>
    <row r="693" spans="1:30" x14ac:dyDescent="0.55000000000000004">
      <c r="A693">
        <v>94987</v>
      </c>
      <c r="B693" s="19">
        <v>42564</v>
      </c>
      <c r="C693">
        <v>1433</v>
      </c>
      <c r="D693">
        <v>2016</v>
      </c>
      <c r="E693">
        <v>25</v>
      </c>
      <c r="F693">
        <v>727</v>
      </c>
      <c r="G693">
        <v>3</v>
      </c>
      <c r="H693">
        <v>2034</v>
      </c>
      <c r="I693">
        <v>3</v>
      </c>
      <c r="J693">
        <v>4645.72</v>
      </c>
      <c r="K693">
        <v>8451.9</v>
      </c>
      <c r="L693">
        <v>4645.3</v>
      </c>
      <c r="M693">
        <v>8451.93</v>
      </c>
      <c r="N693">
        <v>46.762</v>
      </c>
      <c r="O693">
        <v>-84.864999999999995</v>
      </c>
      <c r="P693">
        <v>46.755000000000003</v>
      </c>
      <c r="Q693">
        <v>-84.865499999999997</v>
      </c>
      <c r="R693">
        <v>6842.6294120000002</v>
      </c>
      <c r="S693">
        <v>61</v>
      </c>
      <c r="T693">
        <v>60</v>
      </c>
      <c r="U693">
        <v>0.5</v>
      </c>
      <c r="V693">
        <v>2</v>
      </c>
      <c r="W693">
        <v>15.4</v>
      </c>
      <c r="X693">
        <v>15.865399999999999</v>
      </c>
      <c r="Y693">
        <v>7.4700000000000003E-2</v>
      </c>
      <c r="Z693">
        <v>62.915300000000002</v>
      </c>
      <c r="AA693">
        <v>10</v>
      </c>
      <c r="AB693">
        <v>0.42</v>
      </c>
      <c r="AC693">
        <v>217</v>
      </c>
      <c r="AD693">
        <v>4</v>
      </c>
    </row>
    <row r="694" spans="1:30" x14ac:dyDescent="0.55000000000000004">
      <c r="A694">
        <v>94989</v>
      </c>
      <c r="B694" s="19">
        <v>42566</v>
      </c>
      <c r="C694">
        <v>1048</v>
      </c>
      <c r="D694">
        <v>2016</v>
      </c>
      <c r="E694">
        <v>25</v>
      </c>
      <c r="F694">
        <v>728</v>
      </c>
      <c r="G694">
        <v>3</v>
      </c>
      <c r="H694">
        <v>2050</v>
      </c>
      <c r="I694">
        <v>3</v>
      </c>
      <c r="J694">
        <v>4639.1899999999996</v>
      </c>
      <c r="K694">
        <v>8500.5300000000007</v>
      </c>
      <c r="L694">
        <v>4634.87</v>
      </c>
      <c r="M694">
        <v>8500.1299999999992</v>
      </c>
      <c r="N694">
        <v>46.653167000000003</v>
      </c>
      <c r="O694">
        <v>-85.008832999999996</v>
      </c>
      <c r="P694">
        <v>46.581167000000001</v>
      </c>
      <c r="Q694">
        <v>-85.002167</v>
      </c>
      <c r="R694">
        <v>2067.1398880000002</v>
      </c>
      <c r="S694">
        <v>5.3</v>
      </c>
      <c r="T694">
        <v>5.4</v>
      </c>
      <c r="U694">
        <v>0.5</v>
      </c>
      <c r="V694">
        <v>2</v>
      </c>
      <c r="W694">
        <v>14.4</v>
      </c>
      <c r="X694">
        <v>14.6219</v>
      </c>
      <c r="Y694">
        <v>5.6300000000000003E-2</v>
      </c>
      <c r="Z694">
        <v>40.444400000000002</v>
      </c>
      <c r="AA694">
        <v>10</v>
      </c>
      <c r="AB694">
        <v>0.43</v>
      </c>
      <c r="AC694">
        <v>217</v>
      </c>
      <c r="AD694">
        <v>1</v>
      </c>
    </row>
    <row r="695" spans="1:30" x14ac:dyDescent="0.55000000000000004">
      <c r="A695">
        <v>94990</v>
      </c>
      <c r="B695" s="19">
        <v>42566</v>
      </c>
      <c r="C695">
        <v>1048</v>
      </c>
      <c r="D695">
        <v>2016</v>
      </c>
      <c r="E695">
        <v>25</v>
      </c>
      <c r="F695">
        <v>729</v>
      </c>
      <c r="G695">
        <v>3</v>
      </c>
      <c r="H695">
        <v>2050</v>
      </c>
      <c r="I695">
        <v>3</v>
      </c>
      <c r="J695">
        <v>4639.1899999999996</v>
      </c>
      <c r="K695">
        <v>8500.5300000000007</v>
      </c>
      <c r="L695">
        <v>4634.87</v>
      </c>
      <c r="M695">
        <v>8500.1299999999992</v>
      </c>
      <c r="N695">
        <v>46.653167000000003</v>
      </c>
      <c r="O695">
        <v>-85.008832999999996</v>
      </c>
      <c r="P695">
        <v>46.581167000000001</v>
      </c>
      <c r="Q695">
        <v>-85.002167</v>
      </c>
      <c r="R695">
        <v>2067.1398880000002</v>
      </c>
      <c r="S695">
        <v>5.3</v>
      </c>
      <c r="T695">
        <v>5.4</v>
      </c>
      <c r="U695">
        <v>0.5</v>
      </c>
      <c r="V695">
        <v>2</v>
      </c>
      <c r="W695">
        <v>14.4</v>
      </c>
      <c r="X695">
        <v>14.6219</v>
      </c>
      <c r="Y695">
        <v>5.6300000000000003E-2</v>
      </c>
      <c r="Z695">
        <v>40.444400000000002</v>
      </c>
      <c r="AA695">
        <v>10</v>
      </c>
      <c r="AB695">
        <v>0.43</v>
      </c>
      <c r="AC695">
        <v>0</v>
      </c>
      <c r="AD695">
        <v>0</v>
      </c>
    </row>
    <row r="696" spans="1:30" x14ac:dyDescent="0.55000000000000004">
      <c r="A696">
        <v>94992</v>
      </c>
      <c r="B696" s="19">
        <v>42566</v>
      </c>
      <c r="C696">
        <v>1444</v>
      </c>
      <c r="D696">
        <v>2016</v>
      </c>
      <c r="E696">
        <v>25</v>
      </c>
      <c r="F696">
        <v>730</v>
      </c>
      <c r="G696">
        <v>3</v>
      </c>
      <c r="H696">
        <v>2045</v>
      </c>
      <c r="I696">
        <v>3</v>
      </c>
      <c r="J696">
        <v>4707.2700000000004</v>
      </c>
      <c r="K696">
        <v>8454.4699999999993</v>
      </c>
      <c r="L696">
        <v>4706.93</v>
      </c>
      <c r="M696">
        <v>8454.6299999999992</v>
      </c>
      <c r="N696">
        <v>47.121167</v>
      </c>
      <c r="O696">
        <v>-84.907832999999997</v>
      </c>
      <c r="P696">
        <v>47.115499999999997</v>
      </c>
      <c r="Q696">
        <v>-84.910499999999999</v>
      </c>
      <c r="R696">
        <v>12245.65418</v>
      </c>
      <c r="S696">
        <v>39</v>
      </c>
      <c r="T696">
        <v>48</v>
      </c>
      <c r="U696">
        <v>0.5</v>
      </c>
      <c r="V696">
        <v>2</v>
      </c>
      <c r="W696">
        <v>13.4</v>
      </c>
      <c r="X696">
        <v>13.568300000000001</v>
      </c>
      <c r="Y696">
        <v>7.2099999999999997E-2</v>
      </c>
      <c r="Z696">
        <v>39.0732</v>
      </c>
      <c r="AA696">
        <v>10</v>
      </c>
      <c r="AB696">
        <v>0.4</v>
      </c>
      <c r="AC696">
        <v>217</v>
      </c>
      <c r="AD696">
        <v>8</v>
      </c>
    </row>
    <row r="697" spans="1:30" x14ac:dyDescent="0.55000000000000004">
      <c r="A697">
        <v>94993</v>
      </c>
      <c r="B697" s="19">
        <v>42566</v>
      </c>
      <c r="C697">
        <v>1444</v>
      </c>
      <c r="D697">
        <v>2016</v>
      </c>
      <c r="E697">
        <v>25</v>
      </c>
      <c r="F697">
        <v>731</v>
      </c>
      <c r="G697">
        <v>3</v>
      </c>
      <c r="H697">
        <v>2045</v>
      </c>
      <c r="I697">
        <v>3</v>
      </c>
      <c r="J697">
        <v>4707.2700000000004</v>
      </c>
      <c r="K697">
        <v>8454.4699999999993</v>
      </c>
      <c r="L697">
        <v>4706.93</v>
      </c>
      <c r="M697">
        <v>8454.6299999999992</v>
      </c>
      <c r="N697">
        <v>47.121167</v>
      </c>
      <c r="O697">
        <v>-84.907832999999997</v>
      </c>
      <c r="P697">
        <v>47.115499999999997</v>
      </c>
      <c r="Q697">
        <v>-84.910499999999999</v>
      </c>
      <c r="R697">
        <v>12245.65418</v>
      </c>
      <c r="S697">
        <v>39</v>
      </c>
      <c r="T697">
        <v>48</v>
      </c>
      <c r="U697">
        <v>0.5</v>
      </c>
      <c r="V697">
        <v>2</v>
      </c>
      <c r="W697">
        <v>13.4</v>
      </c>
      <c r="X697">
        <v>13.568300000000001</v>
      </c>
      <c r="Y697">
        <v>7.2099999999999997E-2</v>
      </c>
      <c r="Z697">
        <v>39.0732</v>
      </c>
      <c r="AA697">
        <v>10</v>
      </c>
      <c r="AB697">
        <v>0.4</v>
      </c>
      <c r="AC697">
        <v>217</v>
      </c>
      <c r="AD697">
        <v>23</v>
      </c>
    </row>
    <row r="698" spans="1:30" x14ac:dyDescent="0.55000000000000004">
      <c r="A698">
        <v>94995</v>
      </c>
      <c r="B698" s="19">
        <v>42566</v>
      </c>
      <c r="C698">
        <v>1643</v>
      </c>
      <c r="D698">
        <v>2016</v>
      </c>
      <c r="E698">
        <v>25</v>
      </c>
      <c r="F698">
        <v>732</v>
      </c>
      <c r="G698">
        <v>3</v>
      </c>
      <c r="H698">
        <v>2137</v>
      </c>
      <c r="I698">
        <v>3</v>
      </c>
      <c r="J698">
        <v>4713.28</v>
      </c>
      <c r="K698">
        <v>8506.16</v>
      </c>
      <c r="L698">
        <v>4712.8900000000003</v>
      </c>
      <c r="M698">
        <v>8506.16</v>
      </c>
      <c r="N698">
        <v>47.221333000000001</v>
      </c>
      <c r="O698">
        <v>-85.102666999999997</v>
      </c>
      <c r="P698">
        <v>47.214832999999999</v>
      </c>
      <c r="Q698">
        <v>-85.102666999999997</v>
      </c>
      <c r="R698">
        <v>26762.228330000002</v>
      </c>
      <c r="S698">
        <v>203</v>
      </c>
      <c r="T698">
        <v>210</v>
      </c>
      <c r="U698">
        <v>0.5</v>
      </c>
      <c r="V698">
        <v>2</v>
      </c>
      <c r="W698">
        <v>10.5</v>
      </c>
      <c r="X698">
        <v>10.365399999999999</v>
      </c>
      <c r="Y698">
        <v>0.19350000000000001</v>
      </c>
      <c r="Z698">
        <v>85.465299999999999</v>
      </c>
      <c r="AA698">
        <v>10</v>
      </c>
      <c r="AB698">
        <v>0.42</v>
      </c>
      <c r="AC698">
        <v>217</v>
      </c>
      <c r="AD698">
        <v>2</v>
      </c>
    </row>
    <row r="699" spans="1:30" x14ac:dyDescent="0.55000000000000004">
      <c r="A699">
        <v>94996</v>
      </c>
      <c r="B699" s="19">
        <v>42566</v>
      </c>
      <c r="C699">
        <v>1643</v>
      </c>
      <c r="D699">
        <v>2016</v>
      </c>
      <c r="E699">
        <v>25</v>
      </c>
      <c r="F699">
        <v>733</v>
      </c>
      <c r="G699">
        <v>3</v>
      </c>
      <c r="H699">
        <v>2137</v>
      </c>
      <c r="I699">
        <v>3</v>
      </c>
      <c r="J699">
        <v>4713.28</v>
      </c>
      <c r="K699">
        <v>8506.16</v>
      </c>
      <c r="L699">
        <v>4712.8900000000003</v>
      </c>
      <c r="M699">
        <v>8506.16</v>
      </c>
      <c r="N699">
        <v>47.221333000000001</v>
      </c>
      <c r="O699">
        <v>-85.102666999999997</v>
      </c>
      <c r="P699">
        <v>47.214832999999999</v>
      </c>
      <c r="Q699">
        <v>-85.102666999999997</v>
      </c>
      <c r="R699">
        <v>26762.228330000002</v>
      </c>
      <c r="S699">
        <v>203</v>
      </c>
      <c r="T699">
        <v>210</v>
      </c>
      <c r="U699">
        <v>0.5</v>
      </c>
      <c r="V699">
        <v>2</v>
      </c>
      <c r="W699">
        <v>10.5</v>
      </c>
      <c r="X699">
        <v>10.365399999999999</v>
      </c>
      <c r="Y699">
        <v>0.19350000000000001</v>
      </c>
      <c r="Z699">
        <v>85.465299999999999</v>
      </c>
      <c r="AA699">
        <v>10</v>
      </c>
      <c r="AB699">
        <v>0.42</v>
      </c>
      <c r="AC699">
        <v>217</v>
      </c>
      <c r="AD699">
        <v>8</v>
      </c>
    </row>
    <row r="700" spans="1:30" x14ac:dyDescent="0.55000000000000004">
      <c r="A700">
        <v>94999</v>
      </c>
      <c r="B700" s="19">
        <v>42567</v>
      </c>
      <c r="C700">
        <v>853</v>
      </c>
      <c r="D700">
        <v>2016</v>
      </c>
      <c r="E700">
        <v>25</v>
      </c>
      <c r="F700">
        <v>734</v>
      </c>
      <c r="G700">
        <v>3</v>
      </c>
      <c r="H700">
        <v>2121</v>
      </c>
      <c r="I700">
        <v>3</v>
      </c>
      <c r="J700">
        <v>4727.7299999999996</v>
      </c>
      <c r="K700">
        <v>8515.83</v>
      </c>
      <c r="L700">
        <v>4728.07</v>
      </c>
      <c r="M700">
        <v>8515.74</v>
      </c>
      <c r="N700">
        <v>47.462167000000001</v>
      </c>
      <c r="O700">
        <v>-85.263833000000005</v>
      </c>
      <c r="P700">
        <v>47.467832999999999</v>
      </c>
      <c r="Q700">
        <v>-85.262332999999998</v>
      </c>
      <c r="R700">
        <v>22827.845590000001</v>
      </c>
      <c r="S700">
        <v>289</v>
      </c>
      <c r="T700">
        <v>289</v>
      </c>
      <c r="U700">
        <v>0.5</v>
      </c>
      <c r="V700">
        <v>2</v>
      </c>
      <c r="W700">
        <v>11</v>
      </c>
      <c r="X700">
        <v>10.8461</v>
      </c>
      <c r="Y700">
        <v>-4.07E-2</v>
      </c>
      <c r="Z700">
        <v>74.794799999999995</v>
      </c>
      <c r="AA700">
        <v>10</v>
      </c>
      <c r="AB700">
        <v>0.42</v>
      </c>
      <c r="AC700">
        <v>217</v>
      </c>
      <c r="AD700">
        <v>5</v>
      </c>
    </row>
    <row r="701" spans="1:30" x14ac:dyDescent="0.55000000000000004">
      <c r="A701">
        <v>95000</v>
      </c>
      <c r="B701" s="19">
        <v>42567</v>
      </c>
      <c r="C701">
        <v>853</v>
      </c>
      <c r="D701">
        <v>2016</v>
      </c>
      <c r="E701">
        <v>25</v>
      </c>
      <c r="F701">
        <v>735</v>
      </c>
      <c r="G701">
        <v>3</v>
      </c>
      <c r="H701">
        <v>2121</v>
      </c>
      <c r="I701">
        <v>3</v>
      </c>
      <c r="J701">
        <v>4727.7299999999996</v>
      </c>
      <c r="K701">
        <v>8515.83</v>
      </c>
      <c r="L701">
        <v>4728.07</v>
      </c>
      <c r="M701">
        <v>8515.74</v>
      </c>
      <c r="N701">
        <v>47.462167000000001</v>
      </c>
      <c r="O701">
        <v>-85.263833000000005</v>
      </c>
      <c r="P701">
        <v>47.467832999999999</v>
      </c>
      <c r="Q701">
        <v>-85.262332999999998</v>
      </c>
      <c r="R701">
        <v>22827.845590000001</v>
      </c>
      <c r="S701">
        <v>289</v>
      </c>
      <c r="T701">
        <v>289</v>
      </c>
      <c r="U701">
        <v>0.5</v>
      </c>
      <c r="V701">
        <v>2</v>
      </c>
      <c r="W701">
        <v>11</v>
      </c>
      <c r="X701">
        <v>10.8461</v>
      </c>
      <c r="Y701">
        <v>-4.07E-2</v>
      </c>
      <c r="Z701">
        <v>74.794799999999995</v>
      </c>
      <c r="AA701">
        <v>10</v>
      </c>
      <c r="AB701">
        <v>0.42</v>
      </c>
      <c r="AC701">
        <v>217</v>
      </c>
      <c r="AD701">
        <v>6</v>
      </c>
    </row>
    <row r="702" spans="1:30" x14ac:dyDescent="0.55000000000000004">
      <c r="A702">
        <v>95001</v>
      </c>
      <c r="B702" s="19">
        <v>42567</v>
      </c>
      <c r="C702">
        <v>1220</v>
      </c>
      <c r="D702">
        <v>2016</v>
      </c>
      <c r="E702">
        <v>25</v>
      </c>
      <c r="F702">
        <v>736</v>
      </c>
      <c r="G702">
        <v>3</v>
      </c>
      <c r="H702">
        <v>2047</v>
      </c>
      <c r="I702">
        <v>3</v>
      </c>
      <c r="J702">
        <v>4750.2299999999996</v>
      </c>
      <c r="K702">
        <v>8529.0499999999993</v>
      </c>
      <c r="L702">
        <v>4750.37</v>
      </c>
      <c r="M702">
        <v>8528.4599999999991</v>
      </c>
      <c r="N702">
        <v>47.837167000000001</v>
      </c>
      <c r="O702">
        <v>-85.484166999999999</v>
      </c>
      <c r="P702">
        <v>47.839500000000001</v>
      </c>
      <c r="Q702">
        <v>-85.474333000000001</v>
      </c>
      <c r="R702">
        <v>8992.2673799999993</v>
      </c>
      <c r="S702">
        <v>80</v>
      </c>
      <c r="T702">
        <v>82</v>
      </c>
      <c r="U702">
        <v>0.5</v>
      </c>
      <c r="V702">
        <v>2</v>
      </c>
      <c r="W702">
        <v>13.5</v>
      </c>
      <c r="X702">
        <v>13.5436</v>
      </c>
      <c r="Y702">
        <v>7.0599999999999996E-2</v>
      </c>
      <c r="Z702">
        <v>71.709699999999998</v>
      </c>
      <c r="AA702">
        <v>10</v>
      </c>
      <c r="AB702">
        <v>0.43</v>
      </c>
      <c r="AC702">
        <v>0</v>
      </c>
      <c r="AD702">
        <v>0</v>
      </c>
    </row>
    <row r="703" spans="1:30" x14ac:dyDescent="0.55000000000000004">
      <c r="A703">
        <v>95002</v>
      </c>
      <c r="B703" s="19">
        <v>42567</v>
      </c>
      <c r="C703">
        <v>1220</v>
      </c>
      <c r="D703">
        <v>2016</v>
      </c>
      <c r="E703">
        <v>25</v>
      </c>
      <c r="F703">
        <v>737</v>
      </c>
      <c r="G703">
        <v>3</v>
      </c>
      <c r="H703">
        <v>2047</v>
      </c>
      <c r="I703">
        <v>3</v>
      </c>
      <c r="J703">
        <v>4750.2299999999996</v>
      </c>
      <c r="K703">
        <v>8529.0499999999993</v>
      </c>
      <c r="L703">
        <v>4750.37</v>
      </c>
      <c r="M703">
        <v>8528.4599999999991</v>
      </c>
      <c r="N703">
        <v>47.837167000000001</v>
      </c>
      <c r="O703">
        <v>-85.484166999999999</v>
      </c>
      <c r="P703">
        <v>47.839500000000001</v>
      </c>
      <c r="Q703">
        <v>-85.474333000000001</v>
      </c>
      <c r="R703">
        <v>8992.2673799999993</v>
      </c>
      <c r="S703">
        <v>80</v>
      </c>
      <c r="T703">
        <v>82</v>
      </c>
      <c r="U703">
        <v>0.5</v>
      </c>
      <c r="V703">
        <v>2</v>
      </c>
      <c r="W703">
        <v>13.5</v>
      </c>
      <c r="X703">
        <v>13.5436</v>
      </c>
      <c r="Y703">
        <v>7.0599999999999996E-2</v>
      </c>
      <c r="Z703">
        <v>71.709699999999998</v>
      </c>
      <c r="AA703">
        <v>10</v>
      </c>
      <c r="AB703">
        <v>0.43</v>
      </c>
      <c r="AC703">
        <v>0</v>
      </c>
      <c r="AD703">
        <v>0</v>
      </c>
    </row>
    <row r="704" spans="1:30" x14ac:dyDescent="0.55000000000000004">
      <c r="A704">
        <v>95005</v>
      </c>
      <c r="B704" s="19">
        <v>42567</v>
      </c>
      <c r="C704">
        <v>1438</v>
      </c>
      <c r="D704">
        <v>2016</v>
      </c>
      <c r="E704">
        <v>25</v>
      </c>
      <c r="F704">
        <v>738</v>
      </c>
      <c r="G704">
        <v>3</v>
      </c>
      <c r="H704">
        <v>2129</v>
      </c>
      <c r="I704">
        <v>3</v>
      </c>
      <c r="J704">
        <v>4739.18</v>
      </c>
      <c r="K704">
        <v>8533.49</v>
      </c>
      <c r="L704">
        <v>4739.66</v>
      </c>
      <c r="M704">
        <v>8532.27</v>
      </c>
      <c r="N704">
        <v>47.652999999999999</v>
      </c>
      <c r="O704">
        <v>-85.558166999999997</v>
      </c>
      <c r="P704">
        <v>47.661000000000001</v>
      </c>
      <c r="Q704">
        <v>-85.537833000000006</v>
      </c>
      <c r="R704">
        <v>9854.5266200000005</v>
      </c>
      <c r="S704">
        <v>201</v>
      </c>
      <c r="T704">
        <v>205</v>
      </c>
      <c r="U704">
        <v>0.5</v>
      </c>
      <c r="V704">
        <v>2</v>
      </c>
      <c r="W704">
        <v>11.7</v>
      </c>
      <c r="X704">
        <v>12.513299999999999</v>
      </c>
      <c r="Y704">
        <v>7.0900000000000005E-2</v>
      </c>
      <c r="Z704">
        <v>46.569899999999997</v>
      </c>
      <c r="AA704">
        <v>10</v>
      </c>
      <c r="AB704">
        <v>0.43</v>
      </c>
      <c r="AC704">
        <v>217</v>
      </c>
      <c r="AD704">
        <v>7</v>
      </c>
    </row>
    <row r="705" spans="1:30" x14ac:dyDescent="0.55000000000000004">
      <c r="A705">
        <v>95006</v>
      </c>
      <c r="B705" s="19">
        <v>42567</v>
      </c>
      <c r="C705">
        <v>1438</v>
      </c>
      <c r="D705">
        <v>2016</v>
      </c>
      <c r="E705">
        <v>25</v>
      </c>
      <c r="F705">
        <v>739</v>
      </c>
      <c r="G705">
        <v>3</v>
      </c>
      <c r="H705">
        <v>2129</v>
      </c>
      <c r="I705">
        <v>3</v>
      </c>
      <c r="J705">
        <v>4739.18</v>
      </c>
      <c r="K705">
        <v>8533.49</v>
      </c>
      <c r="L705">
        <v>4739.66</v>
      </c>
      <c r="M705">
        <v>8532.27</v>
      </c>
      <c r="N705">
        <v>47.652999999999999</v>
      </c>
      <c r="O705">
        <v>-85.558166999999997</v>
      </c>
      <c r="P705">
        <v>47.661000000000001</v>
      </c>
      <c r="Q705">
        <v>-85.537833000000006</v>
      </c>
      <c r="R705">
        <v>9854.5266200000005</v>
      </c>
      <c r="S705">
        <v>201</v>
      </c>
      <c r="T705">
        <v>205</v>
      </c>
      <c r="U705">
        <v>0.5</v>
      </c>
      <c r="V705">
        <v>2</v>
      </c>
      <c r="W705">
        <v>11.7</v>
      </c>
      <c r="X705">
        <v>12.513299999999999</v>
      </c>
      <c r="Y705">
        <v>7.0900000000000005E-2</v>
      </c>
      <c r="Z705">
        <v>46.569899999999997</v>
      </c>
      <c r="AA705">
        <v>10</v>
      </c>
      <c r="AB705">
        <v>0.43</v>
      </c>
      <c r="AC705">
        <v>217</v>
      </c>
      <c r="AD705">
        <v>10</v>
      </c>
    </row>
    <row r="706" spans="1:30" x14ac:dyDescent="0.55000000000000004">
      <c r="A706">
        <v>95008</v>
      </c>
      <c r="B706" s="19">
        <v>42567</v>
      </c>
      <c r="C706">
        <v>1722</v>
      </c>
      <c r="D706">
        <v>2016</v>
      </c>
      <c r="E706">
        <v>25</v>
      </c>
      <c r="F706">
        <v>740</v>
      </c>
      <c r="G706">
        <v>3</v>
      </c>
      <c r="H706">
        <v>2059</v>
      </c>
      <c r="I706">
        <v>3</v>
      </c>
      <c r="J706">
        <v>4742.2</v>
      </c>
      <c r="K706">
        <v>8557.77</v>
      </c>
      <c r="L706">
        <v>4742.0600000000004</v>
      </c>
      <c r="M706">
        <v>8557.26</v>
      </c>
      <c r="N706">
        <v>47.703333000000001</v>
      </c>
      <c r="O706">
        <v>-85.962833000000003</v>
      </c>
      <c r="P706">
        <v>47.701000000000001</v>
      </c>
      <c r="Q706">
        <v>-85.954333000000005</v>
      </c>
      <c r="R706">
        <v>1797.424289</v>
      </c>
      <c r="S706">
        <v>104</v>
      </c>
      <c r="T706">
        <v>110</v>
      </c>
      <c r="U706">
        <v>0.5</v>
      </c>
      <c r="V706">
        <v>2</v>
      </c>
      <c r="W706">
        <v>10.8</v>
      </c>
      <c r="X706">
        <v>10.2156</v>
      </c>
      <c r="Y706">
        <v>0.2273</v>
      </c>
      <c r="Z706">
        <v>87.351900000000001</v>
      </c>
      <c r="AA706">
        <v>10</v>
      </c>
      <c r="AB706">
        <v>0.4</v>
      </c>
      <c r="AC706">
        <v>217</v>
      </c>
      <c r="AD706">
        <v>9</v>
      </c>
    </row>
    <row r="707" spans="1:30" x14ac:dyDescent="0.55000000000000004">
      <c r="A707">
        <v>95009</v>
      </c>
      <c r="B707" s="19">
        <v>42567</v>
      </c>
      <c r="C707">
        <v>1722</v>
      </c>
      <c r="D707">
        <v>2016</v>
      </c>
      <c r="E707">
        <v>25</v>
      </c>
      <c r="F707">
        <v>741</v>
      </c>
      <c r="G707">
        <v>3</v>
      </c>
      <c r="H707">
        <v>2059</v>
      </c>
      <c r="I707">
        <v>3</v>
      </c>
      <c r="J707">
        <v>4742.2</v>
      </c>
      <c r="K707">
        <v>8557.77</v>
      </c>
      <c r="L707">
        <v>4742.0600000000004</v>
      </c>
      <c r="M707">
        <v>8557.26</v>
      </c>
      <c r="N707">
        <v>47.703333000000001</v>
      </c>
      <c r="O707">
        <v>-85.962833000000003</v>
      </c>
      <c r="P707">
        <v>47.701000000000001</v>
      </c>
      <c r="Q707">
        <v>-85.954333000000005</v>
      </c>
      <c r="R707">
        <v>1797.424289</v>
      </c>
      <c r="S707">
        <v>104</v>
      </c>
      <c r="T707">
        <v>110</v>
      </c>
      <c r="U707">
        <v>0.5</v>
      </c>
      <c r="V707">
        <v>2</v>
      </c>
      <c r="W707">
        <v>10.8</v>
      </c>
      <c r="X707">
        <v>10.2156</v>
      </c>
      <c r="Y707">
        <v>0.2273</v>
      </c>
      <c r="Z707">
        <v>87.351900000000001</v>
      </c>
      <c r="AA707">
        <v>10</v>
      </c>
      <c r="AB707">
        <v>0.4</v>
      </c>
      <c r="AC707">
        <v>217</v>
      </c>
      <c r="AD707">
        <v>5</v>
      </c>
    </row>
    <row r="708" spans="1:30" x14ac:dyDescent="0.55000000000000004">
      <c r="A708">
        <v>95010</v>
      </c>
      <c r="B708" s="19">
        <v>42568</v>
      </c>
      <c r="C708">
        <v>1049</v>
      </c>
      <c r="D708">
        <v>2016</v>
      </c>
      <c r="E708">
        <v>25</v>
      </c>
      <c r="F708">
        <v>742</v>
      </c>
      <c r="G708">
        <v>3</v>
      </c>
      <c r="H708">
        <v>2126</v>
      </c>
      <c r="I708">
        <v>3</v>
      </c>
      <c r="J708">
        <v>4724.1499999999996</v>
      </c>
      <c r="K708">
        <v>8628.26</v>
      </c>
      <c r="L708">
        <v>4724.55</v>
      </c>
      <c r="M708">
        <v>8628.39</v>
      </c>
      <c r="N708">
        <v>47.402500000000003</v>
      </c>
      <c r="O708">
        <v>-86.471000000000004</v>
      </c>
      <c r="P708">
        <v>47.409166999999997</v>
      </c>
      <c r="Q708">
        <v>-86.473167000000004</v>
      </c>
      <c r="R708">
        <v>48597.18664</v>
      </c>
      <c r="S708">
        <v>317</v>
      </c>
      <c r="T708">
        <v>316</v>
      </c>
      <c r="U708">
        <v>0.5</v>
      </c>
      <c r="V708">
        <v>2</v>
      </c>
      <c r="W708">
        <v>9</v>
      </c>
      <c r="X708">
        <v>9.0693999999999999</v>
      </c>
      <c r="Y708">
        <v>0.435</v>
      </c>
      <c r="Z708">
        <v>91.419700000000006</v>
      </c>
      <c r="AA708">
        <v>10</v>
      </c>
      <c r="AB708">
        <v>0.4</v>
      </c>
      <c r="AC708">
        <v>217</v>
      </c>
      <c r="AD708">
        <v>8</v>
      </c>
    </row>
    <row r="709" spans="1:30" x14ac:dyDescent="0.55000000000000004">
      <c r="A709">
        <v>95011</v>
      </c>
      <c r="B709" s="19">
        <v>42568</v>
      </c>
      <c r="C709">
        <v>1049</v>
      </c>
      <c r="D709">
        <v>2016</v>
      </c>
      <c r="E709">
        <v>25</v>
      </c>
      <c r="F709">
        <v>743</v>
      </c>
      <c r="G709">
        <v>3</v>
      </c>
      <c r="H709">
        <v>2126</v>
      </c>
      <c r="I709">
        <v>3</v>
      </c>
      <c r="J709">
        <v>4724.1499999999996</v>
      </c>
      <c r="K709">
        <v>8628.26</v>
      </c>
      <c r="L709">
        <v>4724.55</v>
      </c>
      <c r="M709">
        <v>8628.39</v>
      </c>
      <c r="N709">
        <v>47.402500000000003</v>
      </c>
      <c r="O709">
        <v>-86.471000000000004</v>
      </c>
      <c r="P709">
        <v>47.409166999999997</v>
      </c>
      <c r="Q709">
        <v>-86.473167000000004</v>
      </c>
      <c r="R709">
        <v>48597.18664</v>
      </c>
      <c r="S709">
        <v>317</v>
      </c>
      <c r="T709">
        <v>316</v>
      </c>
      <c r="U709">
        <v>0.5</v>
      </c>
      <c r="V709">
        <v>2</v>
      </c>
      <c r="W709">
        <v>9</v>
      </c>
      <c r="X709">
        <v>9.0693999999999999</v>
      </c>
      <c r="Y709">
        <v>0.435</v>
      </c>
      <c r="Z709">
        <v>91.419700000000006</v>
      </c>
      <c r="AA709">
        <v>10</v>
      </c>
      <c r="AB709">
        <v>0.4</v>
      </c>
      <c r="AC709">
        <v>217</v>
      </c>
      <c r="AD709">
        <v>7</v>
      </c>
    </row>
    <row r="710" spans="1:30" x14ac:dyDescent="0.55000000000000004">
      <c r="A710">
        <v>95013</v>
      </c>
      <c r="B710" s="19">
        <v>42568</v>
      </c>
      <c r="C710">
        <v>1433</v>
      </c>
      <c r="D710">
        <v>2016</v>
      </c>
      <c r="E710">
        <v>25</v>
      </c>
      <c r="F710">
        <v>744</v>
      </c>
      <c r="G710">
        <v>3</v>
      </c>
      <c r="H710">
        <v>2119</v>
      </c>
      <c r="I710">
        <v>3</v>
      </c>
      <c r="J710">
        <v>4749.37</v>
      </c>
      <c r="K710">
        <v>8641.81</v>
      </c>
      <c r="L710">
        <v>4749.8100000000004</v>
      </c>
      <c r="M710">
        <v>8641.99</v>
      </c>
      <c r="N710">
        <v>47.822833000000003</v>
      </c>
      <c r="O710">
        <v>-86.696832999999998</v>
      </c>
      <c r="P710">
        <v>47.830167000000003</v>
      </c>
      <c r="Q710">
        <v>-86.699832999999998</v>
      </c>
      <c r="R710">
        <v>56390.372300000003</v>
      </c>
      <c r="S710">
        <v>271</v>
      </c>
      <c r="T710">
        <v>270</v>
      </c>
      <c r="U710">
        <v>0.5</v>
      </c>
      <c r="V710">
        <v>2</v>
      </c>
      <c r="W710">
        <v>8.6999999999999993</v>
      </c>
      <c r="X710">
        <v>8.8756000000000004</v>
      </c>
      <c r="Y710">
        <v>9.1200000000000003E-2</v>
      </c>
      <c r="Z710">
        <v>63.3902</v>
      </c>
      <c r="AA710">
        <v>10</v>
      </c>
      <c r="AB710">
        <v>0.43</v>
      </c>
      <c r="AC710">
        <v>217</v>
      </c>
      <c r="AD710">
        <v>18</v>
      </c>
    </row>
    <row r="711" spans="1:30" x14ac:dyDescent="0.55000000000000004">
      <c r="A711">
        <v>95014</v>
      </c>
      <c r="B711" s="19">
        <v>42568</v>
      </c>
      <c r="C711">
        <v>1433</v>
      </c>
      <c r="D711">
        <v>2016</v>
      </c>
      <c r="E711">
        <v>25</v>
      </c>
      <c r="F711">
        <v>745</v>
      </c>
      <c r="G711">
        <v>3</v>
      </c>
      <c r="H711">
        <v>2119</v>
      </c>
      <c r="I711">
        <v>3</v>
      </c>
      <c r="J711">
        <v>4749.37</v>
      </c>
      <c r="K711">
        <v>8641.81</v>
      </c>
      <c r="L711">
        <v>4749.8100000000004</v>
      </c>
      <c r="M711">
        <v>8641.99</v>
      </c>
      <c r="N711">
        <v>47.822833000000003</v>
      </c>
      <c r="O711">
        <v>-86.696832999999998</v>
      </c>
      <c r="P711">
        <v>47.830167000000003</v>
      </c>
      <c r="Q711">
        <v>-86.699832999999998</v>
      </c>
      <c r="R711">
        <v>56390.372300000003</v>
      </c>
      <c r="S711">
        <v>271</v>
      </c>
      <c r="T711">
        <v>270</v>
      </c>
      <c r="U711">
        <v>0.5</v>
      </c>
      <c r="V711">
        <v>2</v>
      </c>
      <c r="W711">
        <v>8.6999999999999993</v>
      </c>
      <c r="X711">
        <v>8.8756000000000004</v>
      </c>
      <c r="Y711">
        <v>9.1200000000000003E-2</v>
      </c>
      <c r="Z711">
        <v>63.3902</v>
      </c>
      <c r="AA711">
        <v>10</v>
      </c>
      <c r="AB711">
        <v>0.43</v>
      </c>
      <c r="AC711">
        <v>217</v>
      </c>
      <c r="AD711">
        <v>17</v>
      </c>
    </row>
    <row r="712" spans="1:30" x14ac:dyDescent="0.55000000000000004">
      <c r="A712">
        <v>95025</v>
      </c>
      <c r="B712" s="19">
        <v>42569</v>
      </c>
      <c r="C712">
        <v>942</v>
      </c>
      <c r="D712">
        <v>2016</v>
      </c>
      <c r="E712">
        <v>25</v>
      </c>
      <c r="F712">
        <v>746</v>
      </c>
      <c r="G712">
        <v>3</v>
      </c>
      <c r="H712">
        <v>2135</v>
      </c>
      <c r="I712">
        <v>3</v>
      </c>
      <c r="J712">
        <v>4801.37</v>
      </c>
      <c r="K712">
        <v>8637.65</v>
      </c>
      <c r="L712">
        <v>4801.37</v>
      </c>
      <c r="M712">
        <v>8638.17</v>
      </c>
      <c r="N712">
        <v>48.022832999999999</v>
      </c>
      <c r="O712">
        <v>-86.627499999999998</v>
      </c>
      <c r="P712">
        <v>48.022832999999999</v>
      </c>
      <c r="Q712">
        <v>-86.636167</v>
      </c>
      <c r="R712">
        <v>43796.03703</v>
      </c>
      <c r="S712">
        <v>142</v>
      </c>
      <c r="T712">
        <v>142</v>
      </c>
      <c r="U712">
        <v>0.5</v>
      </c>
      <c r="V712">
        <v>2</v>
      </c>
      <c r="W712">
        <v>8.9</v>
      </c>
      <c r="X712">
        <v>8.8449000000000009</v>
      </c>
      <c r="Y712">
        <v>3.4000000000000002E-2</v>
      </c>
      <c r="Z712">
        <v>69.793300000000002</v>
      </c>
      <c r="AA712">
        <v>10</v>
      </c>
      <c r="AB712">
        <v>0.39</v>
      </c>
      <c r="AC712">
        <v>217</v>
      </c>
      <c r="AD712">
        <v>12</v>
      </c>
    </row>
    <row r="713" spans="1:30" x14ac:dyDescent="0.55000000000000004">
      <c r="A713">
        <v>95026</v>
      </c>
      <c r="B713" s="19">
        <v>42569</v>
      </c>
      <c r="C713">
        <v>942</v>
      </c>
      <c r="D713">
        <v>2016</v>
      </c>
      <c r="E713">
        <v>25</v>
      </c>
      <c r="F713">
        <v>747</v>
      </c>
      <c r="G713">
        <v>3</v>
      </c>
      <c r="H713">
        <v>2135</v>
      </c>
      <c r="I713">
        <v>3</v>
      </c>
      <c r="J713">
        <v>4801.37</v>
      </c>
      <c r="K713">
        <v>8637.65</v>
      </c>
      <c r="L713">
        <v>4801.37</v>
      </c>
      <c r="M713">
        <v>8638.17</v>
      </c>
      <c r="N713">
        <v>48.022832999999999</v>
      </c>
      <c r="O713">
        <v>-86.627499999999998</v>
      </c>
      <c r="P713">
        <v>48.022832999999999</v>
      </c>
      <c r="Q713">
        <v>-86.636167</v>
      </c>
      <c r="R713">
        <v>43796.03703</v>
      </c>
      <c r="S713">
        <v>142</v>
      </c>
      <c r="T713">
        <v>142</v>
      </c>
      <c r="U713">
        <v>0.5</v>
      </c>
      <c r="V713">
        <v>2</v>
      </c>
      <c r="W713">
        <v>8.9</v>
      </c>
      <c r="X713">
        <v>8.8449000000000009</v>
      </c>
      <c r="Y713">
        <v>3.4000000000000002E-2</v>
      </c>
      <c r="Z713">
        <v>69.793300000000002</v>
      </c>
      <c r="AA713">
        <v>10</v>
      </c>
      <c r="AB713">
        <v>0.39</v>
      </c>
      <c r="AC713">
        <v>217</v>
      </c>
      <c r="AD713">
        <v>10</v>
      </c>
    </row>
    <row r="714" spans="1:30" x14ac:dyDescent="0.55000000000000004">
      <c r="A714">
        <v>95018</v>
      </c>
      <c r="B714" s="19">
        <v>42569</v>
      </c>
      <c r="C714">
        <v>1330</v>
      </c>
      <c r="D714">
        <v>2016</v>
      </c>
      <c r="E714">
        <v>25</v>
      </c>
      <c r="F714">
        <v>748</v>
      </c>
      <c r="G714">
        <v>3</v>
      </c>
      <c r="H714">
        <v>2139</v>
      </c>
      <c r="I714">
        <v>3</v>
      </c>
      <c r="J714">
        <v>4821.3999999999996</v>
      </c>
      <c r="K714">
        <v>8658.51</v>
      </c>
      <c r="L714">
        <v>4821.63</v>
      </c>
      <c r="M714">
        <v>8658.09</v>
      </c>
      <c r="N714">
        <v>48.356667000000002</v>
      </c>
      <c r="O714">
        <v>-86.975166999999999</v>
      </c>
      <c r="P714">
        <v>48.360500000000002</v>
      </c>
      <c r="Q714">
        <v>-86.968166999999994</v>
      </c>
      <c r="R714">
        <v>29798.95262</v>
      </c>
      <c r="S714">
        <v>192</v>
      </c>
      <c r="T714">
        <v>189</v>
      </c>
      <c r="U714">
        <v>0.5</v>
      </c>
      <c r="V714">
        <v>2</v>
      </c>
      <c r="W714">
        <v>9</v>
      </c>
      <c r="X714">
        <v>8.7289999999999992</v>
      </c>
      <c r="Y714">
        <v>7.3599999999999999E-2</v>
      </c>
      <c r="Z714">
        <v>89.404799999999994</v>
      </c>
      <c r="AA714">
        <v>10</v>
      </c>
      <c r="AB714">
        <v>0.42</v>
      </c>
      <c r="AC714">
        <v>217</v>
      </c>
      <c r="AD714">
        <v>1</v>
      </c>
    </row>
    <row r="715" spans="1:30" x14ac:dyDescent="0.55000000000000004">
      <c r="A715">
        <v>95019</v>
      </c>
      <c r="B715" s="19">
        <v>42569</v>
      </c>
      <c r="C715">
        <v>1330</v>
      </c>
      <c r="D715">
        <v>2016</v>
      </c>
      <c r="E715">
        <v>25</v>
      </c>
      <c r="F715">
        <v>749</v>
      </c>
      <c r="G715">
        <v>3</v>
      </c>
      <c r="H715">
        <v>2139</v>
      </c>
      <c r="I715">
        <v>3</v>
      </c>
      <c r="J715">
        <v>4821.3999999999996</v>
      </c>
      <c r="K715">
        <v>8658.51</v>
      </c>
      <c r="L715">
        <v>4821.63</v>
      </c>
      <c r="M715">
        <v>8658.09</v>
      </c>
      <c r="N715">
        <v>48.356667000000002</v>
      </c>
      <c r="O715">
        <v>-86.975166999999999</v>
      </c>
      <c r="P715">
        <v>48.360500000000002</v>
      </c>
      <c r="Q715">
        <v>-86.968166999999994</v>
      </c>
      <c r="R715">
        <v>29798.95262</v>
      </c>
      <c r="S715">
        <v>192</v>
      </c>
      <c r="T715">
        <v>189</v>
      </c>
      <c r="U715">
        <v>0.5</v>
      </c>
      <c r="V715">
        <v>2</v>
      </c>
      <c r="W715">
        <v>9</v>
      </c>
      <c r="X715">
        <v>8.7289999999999992</v>
      </c>
      <c r="Y715">
        <v>7.3599999999999999E-2</v>
      </c>
      <c r="Z715">
        <v>89.404799999999994</v>
      </c>
      <c r="AA715">
        <v>10</v>
      </c>
      <c r="AB715">
        <v>0.42</v>
      </c>
      <c r="AC715">
        <v>217</v>
      </c>
      <c r="AD715">
        <v>1</v>
      </c>
    </row>
    <row r="716" spans="1:30" x14ac:dyDescent="0.55000000000000004">
      <c r="A716">
        <v>95020</v>
      </c>
      <c r="B716" s="19">
        <v>42569</v>
      </c>
      <c r="C716">
        <v>1728</v>
      </c>
      <c r="D716">
        <v>2016</v>
      </c>
      <c r="E716">
        <v>25</v>
      </c>
      <c r="F716">
        <v>750</v>
      </c>
      <c r="G716">
        <v>3</v>
      </c>
      <c r="H716">
        <v>2057</v>
      </c>
      <c r="I716">
        <v>3</v>
      </c>
      <c r="J716">
        <v>4836.91</v>
      </c>
      <c r="K716">
        <v>8627.93</v>
      </c>
      <c r="L716">
        <v>4837.1899999999996</v>
      </c>
      <c r="M716">
        <v>8627.49</v>
      </c>
      <c r="N716">
        <v>48.615167</v>
      </c>
      <c r="O716">
        <v>-86.465500000000006</v>
      </c>
      <c r="P716">
        <v>48.619833</v>
      </c>
      <c r="Q716">
        <v>-86.458167000000003</v>
      </c>
      <c r="R716">
        <v>9340.7490469999993</v>
      </c>
      <c r="S716">
        <v>97</v>
      </c>
      <c r="T716">
        <v>107</v>
      </c>
      <c r="U716">
        <v>0.5</v>
      </c>
      <c r="V716">
        <v>2</v>
      </c>
      <c r="W716">
        <v>13.7</v>
      </c>
      <c r="X716">
        <v>13.532400000000001</v>
      </c>
      <c r="Y716">
        <v>4.2700000000000002E-2</v>
      </c>
      <c r="Z716">
        <v>18.0761</v>
      </c>
      <c r="AA716">
        <v>10</v>
      </c>
      <c r="AB716">
        <v>0.43</v>
      </c>
      <c r="AC716">
        <v>217</v>
      </c>
      <c r="AD716">
        <v>8</v>
      </c>
    </row>
    <row r="717" spans="1:30" x14ac:dyDescent="0.55000000000000004">
      <c r="A717">
        <v>95020</v>
      </c>
      <c r="B717" s="19">
        <v>42569</v>
      </c>
      <c r="C717">
        <v>1728</v>
      </c>
      <c r="D717">
        <v>2016</v>
      </c>
      <c r="E717">
        <v>25</v>
      </c>
      <c r="F717">
        <v>750</v>
      </c>
      <c r="G717">
        <v>3</v>
      </c>
      <c r="H717">
        <v>2057</v>
      </c>
      <c r="I717">
        <v>3</v>
      </c>
      <c r="J717">
        <v>4836.91</v>
      </c>
      <c r="K717">
        <v>8627.93</v>
      </c>
      <c r="L717">
        <v>4837.1899999999996</v>
      </c>
      <c r="M717">
        <v>8627.49</v>
      </c>
      <c r="N717">
        <v>48.615167</v>
      </c>
      <c r="O717">
        <v>-86.465500000000006</v>
      </c>
      <c r="P717">
        <v>48.619833</v>
      </c>
      <c r="Q717">
        <v>-86.458167000000003</v>
      </c>
      <c r="R717">
        <v>9340.7490469999993</v>
      </c>
      <c r="S717">
        <v>97</v>
      </c>
      <c r="T717">
        <v>107</v>
      </c>
      <c r="U717">
        <v>0.5</v>
      </c>
      <c r="V717">
        <v>2</v>
      </c>
      <c r="W717">
        <v>13.7</v>
      </c>
      <c r="X717">
        <v>13.532400000000001</v>
      </c>
      <c r="Y717">
        <v>4.2700000000000002E-2</v>
      </c>
      <c r="Z717">
        <v>18.0761</v>
      </c>
      <c r="AA717">
        <v>10</v>
      </c>
      <c r="AB717">
        <v>0.43</v>
      </c>
      <c r="AC717">
        <v>109</v>
      </c>
      <c r="AD717">
        <v>1</v>
      </c>
    </row>
    <row r="718" spans="1:30" x14ac:dyDescent="0.55000000000000004">
      <c r="A718">
        <v>95021</v>
      </c>
      <c r="B718" s="19">
        <v>42569</v>
      </c>
      <c r="C718">
        <v>1728</v>
      </c>
      <c r="D718">
        <v>2016</v>
      </c>
      <c r="E718">
        <v>25</v>
      </c>
      <c r="F718">
        <v>751</v>
      </c>
      <c r="G718">
        <v>3</v>
      </c>
      <c r="H718">
        <v>2057</v>
      </c>
      <c r="I718">
        <v>3</v>
      </c>
      <c r="J718">
        <v>4836.91</v>
      </c>
      <c r="K718">
        <v>8627.93</v>
      </c>
      <c r="L718">
        <v>4837.1899999999996</v>
      </c>
      <c r="M718">
        <v>8627.49</v>
      </c>
      <c r="N718">
        <v>48.615167</v>
      </c>
      <c r="O718">
        <v>-86.465500000000006</v>
      </c>
      <c r="P718">
        <v>48.619833</v>
      </c>
      <c r="Q718">
        <v>-86.458167000000003</v>
      </c>
      <c r="R718">
        <v>9340.7490469999993</v>
      </c>
      <c r="S718">
        <v>97</v>
      </c>
      <c r="T718">
        <v>107</v>
      </c>
      <c r="U718">
        <v>0.5</v>
      </c>
      <c r="V718">
        <v>2</v>
      </c>
      <c r="W718">
        <v>13.7</v>
      </c>
      <c r="X718">
        <v>13.532400000000001</v>
      </c>
      <c r="Y718">
        <v>4.2700000000000002E-2</v>
      </c>
      <c r="Z718">
        <v>18.0761</v>
      </c>
      <c r="AA718">
        <v>10</v>
      </c>
      <c r="AB718">
        <v>0.43</v>
      </c>
      <c r="AC718">
        <v>217</v>
      </c>
      <c r="AD718">
        <v>12</v>
      </c>
    </row>
    <row r="719" spans="1:30" x14ac:dyDescent="0.55000000000000004">
      <c r="A719">
        <v>95023</v>
      </c>
      <c r="B719" s="19">
        <v>42570</v>
      </c>
      <c r="C719">
        <v>1002</v>
      </c>
      <c r="D719">
        <v>2016</v>
      </c>
      <c r="E719">
        <v>25</v>
      </c>
      <c r="F719">
        <v>752</v>
      </c>
      <c r="G719">
        <v>3</v>
      </c>
      <c r="H719">
        <v>2123</v>
      </c>
      <c r="I719">
        <v>3</v>
      </c>
      <c r="J719">
        <v>4838.1899999999996</v>
      </c>
      <c r="K719">
        <v>8705.2199999999993</v>
      </c>
      <c r="L719">
        <v>4838.5600000000004</v>
      </c>
      <c r="M719">
        <v>8705.25</v>
      </c>
      <c r="N719">
        <v>48.636499999999998</v>
      </c>
      <c r="O719">
        <v>-87.087000000000003</v>
      </c>
      <c r="P719">
        <v>48.642667000000003</v>
      </c>
      <c r="Q719">
        <v>-87.087500000000006</v>
      </c>
      <c r="R719">
        <v>2385.841629</v>
      </c>
      <c r="S719">
        <v>97</v>
      </c>
      <c r="T719">
        <v>107</v>
      </c>
      <c r="U719">
        <v>0.5</v>
      </c>
      <c r="V719">
        <v>2</v>
      </c>
      <c r="W719">
        <v>12</v>
      </c>
      <c r="X719">
        <v>11.9214</v>
      </c>
      <c r="Y719">
        <v>0.1231</v>
      </c>
      <c r="Z719">
        <v>76.358400000000003</v>
      </c>
      <c r="AA719">
        <v>10</v>
      </c>
      <c r="AB719">
        <v>0.4</v>
      </c>
      <c r="AC719">
        <v>217</v>
      </c>
      <c r="AD719">
        <v>3</v>
      </c>
    </row>
    <row r="720" spans="1:30" x14ac:dyDescent="0.55000000000000004">
      <c r="A720">
        <v>95024</v>
      </c>
      <c r="B720" s="19">
        <v>42570</v>
      </c>
      <c r="C720">
        <v>1002</v>
      </c>
      <c r="D720">
        <v>2016</v>
      </c>
      <c r="E720">
        <v>25</v>
      </c>
      <c r="F720">
        <v>753</v>
      </c>
      <c r="G720">
        <v>3</v>
      </c>
      <c r="H720">
        <v>2123</v>
      </c>
      <c r="I720">
        <v>3</v>
      </c>
      <c r="J720">
        <v>4838.1899999999996</v>
      </c>
      <c r="K720">
        <v>8705.2199999999993</v>
      </c>
      <c r="L720">
        <v>4838.5600000000004</v>
      </c>
      <c r="M720">
        <v>8705.25</v>
      </c>
      <c r="N720">
        <v>48.636499999999998</v>
      </c>
      <c r="O720">
        <v>-87.087000000000003</v>
      </c>
      <c r="P720">
        <v>48.642667000000003</v>
      </c>
      <c r="Q720">
        <v>-87.087500000000006</v>
      </c>
      <c r="R720">
        <v>2385.841629</v>
      </c>
      <c r="S720">
        <v>97</v>
      </c>
      <c r="T720">
        <v>107</v>
      </c>
      <c r="U720">
        <v>0.5</v>
      </c>
      <c r="V720">
        <v>2</v>
      </c>
      <c r="W720">
        <v>12</v>
      </c>
      <c r="X720">
        <v>11.9214</v>
      </c>
      <c r="Y720">
        <v>0.1231</v>
      </c>
      <c r="Z720">
        <v>76.358400000000003</v>
      </c>
      <c r="AA720">
        <v>10</v>
      </c>
      <c r="AB720">
        <v>0.4</v>
      </c>
      <c r="AC720">
        <v>217</v>
      </c>
      <c r="AD720">
        <v>2</v>
      </c>
    </row>
    <row r="721" spans="1:30" x14ac:dyDescent="0.55000000000000004">
      <c r="A721">
        <v>95027</v>
      </c>
      <c r="B721" s="19">
        <v>42571</v>
      </c>
      <c r="C721">
        <v>845</v>
      </c>
      <c r="D721">
        <v>2016</v>
      </c>
      <c r="E721">
        <v>25</v>
      </c>
      <c r="F721">
        <v>754</v>
      </c>
      <c r="G721">
        <v>3</v>
      </c>
      <c r="H721">
        <v>2037</v>
      </c>
      <c r="I721">
        <v>3</v>
      </c>
      <c r="J721">
        <v>4854.5200000000004</v>
      </c>
      <c r="K721">
        <v>8755.69</v>
      </c>
      <c r="L721">
        <v>4854.84</v>
      </c>
      <c r="M721">
        <v>8756.2000000000007</v>
      </c>
      <c r="N721">
        <v>48.908667000000001</v>
      </c>
      <c r="O721">
        <v>-87.928167000000002</v>
      </c>
      <c r="P721">
        <v>48.914000000000001</v>
      </c>
      <c r="Q721">
        <v>-87.936667</v>
      </c>
      <c r="R721">
        <v>2264.3785870000002</v>
      </c>
      <c r="S721">
        <v>21</v>
      </c>
      <c r="T721">
        <v>21</v>
      </c>
      <c r="U721">
        <v>0.5</v>
      </c>
      <c r="V721">
        <v>2</v>
      </c>
      <c r="W721">
        <v>16.399999999999999</v>
      </c>
      <c r="X721">
        <v>16.547999999999998</v>
      </c>
      <c r="Y721">
        <v>1.1123000000000001</v>
      </c>
      <c r="Z721">
        <v>74.4983</v>
      </c>
      <c r="AA721">
        <v>10</v>
      </c>
      <c r="AB721">
        <v>0.48</v>
      </c>
      <c r="AC721">
        <v>0</v>
      </c>
      <c r="AD721">
        <v>0</v>
      </c>
    </row>
    <row r="722" spans="1:30" x14ac:dyDescent="0.55000000000000004">
      <c r="A722">
        <v>95028</v>
      </c>
      <c r="B722" s="19">
        <v>42571</v>
      </c>
      <c r="C722">
        <v>845</v>
      </c>
      <c r="D722">
        <v>2016</v>
      </c>
      <c r="E722">
        <v>25</v>
      </c>
      <c r="F722">
        <v>755</v>
      </c>
      <c r="G722">
        <v>3</v>
      </c>
      <c r="H722">
        <v>2037</v>
      </c>
      <c r="I722">
        <v>3</v>
      </c>
      <c r="J722">
        <v>4854.5200000000004</v>
      </c>
      <c r="K722">
        <v>8755.69</v>
      </c>
      <c r="L722">
        <v>4854.84</v>
      </c>
      <c r="M722">
        <v>8756.2000000000007</v>
      </c>
      <c r="N722">
        <v>48.908667000000001</v>
      </c>
      <c r="O722">
        <v>-87.928167000000002</v>
      </c>
      <c r="P722">
        <v>48.914000000000001</v>
      </c>
      <c r="Q722">
        <v>-87.936667</v>
      </c>
      <c r="R722">
        <v>2264.3785870000002</v>
      </c>
      <c r="S722">
        <v>21</v>
      </c>
      <c r="T722">
        <v>21</v>
      </c>
      <c r="U722">
        <v>0.5</v>
      </c>
      <c r="V722">
        <v>2</v>
      </c>
      <c r="W722">
        <v>16.399999999999999</v>
      </c>
      <c r="X722">
        <v>16.547999999999998</v>
      </c>
      <c r="Y722">
        <v>1.1123000000000001</v>
      </c>
      <c r="Z722">
        <v>74.4983</v>
      </c>
      <c r="AA722">
        <v>10</v>
      </c>
      <c r="AB722">
        <v>0.48</v>
      </c>
      <c r="AC722">
        <v>217</v>
      </c>
      <c r="AD722">
        <v>1</v>
      </c>
    </row>
    <row r="723" spans="1:30" x14ac:dyDescent="0.55000000000000004">
      <c r="A723">
        <v>95030</v>
      </c>
      <c r="B723" s="19">
        <v>42571</v>
      </c>
      <c r="C723">
        <v>1358</v>
      </c>
      <c r="D723">
        <v>2016</v>
      </c>
      <c r="E723">
        <v>25</v>
      </c>
      <c r="F723">
        <v>756</v>
      </c>
      <c r="G723">
        <v>3</v>
      </c>
      <c r="H723">
        <v>2127</v>
      </c>
      <c r="I723">
        <v>3</v>
      </c>
      <c r="J723">
        <v>4818.03</v>
      </c>
      <c r="K723">
        <v>8739.51</v>
      </c>
      <c r="L723">
        <v>4817.6899999999996</v>
      </c>
      <c r="M723">
        <v>8739.56</v>
      </c>
      <c r="N723">
        <v>48.3005</v>
      </c>
      <c r="O723">
        <v>-87.658500000000004</v>
      </c>
      <c r="P723">
        <v>48.294832999999997</v>
      </c>
      <c r="Q723">
        <v>-87.659333000000004</v>
      </c>
      <c r="R723">
        <v>48653.205670000003</v>
      </c>
      <c r="S723">
        <v>231</v>
      </c>
      <c r="T723">
        <v>229</v>
      </c>
      <c r="U723">
        <v>0.5</v>
      </c>
      <c r="V723">
        <v>2</v>
      </c>
      <c r="W723">
        <v>10.7</v>
      </c>
      <c r="X723">
        <v>10.339600000000001</v>
      </c>
      <c r="Y723">
        <v>4.5100000000000001E-2</v>
      </c>
      <c r="Z723">
        <v>55.875100000000003</v>
      </c>
      <c r="AA723">
        <v>10</v>
      </c>
      <c r="AB723">
        <v>0.4</v>
      </c>
      <c r="AC723">
        <v>217</v>
      </c>
      <c r="AD723">
        <v>7</v>
      </c>
    </row>
    <row r="724" spans="1:30" x14ac:dyDescent="0.55000000000000004">
      <c r="A724">
        <v>95031</v>
      </c>
      <c r="B724" s="19">
        <v>42571</v>
      </c>
      <c r="C724">
        <v>1358</v>
      </c>
      <c r="D724">
        <v>2016</v>
      </c>
      <c r="E724">
        <v>25</v>
      </c>
      <c r="F724">
        <v>757</v>
      </c>
      <c r="G724">
        <v>3</v>
      </c>
      <c r="H724">
        <v>2127</v>
      </c>
      <c r="I724">
        <v>3</v>
      </c>
      <c r="J724">
        <v>4818.03</v>
      </c>
      <c r="K724">
        <v>8739.51</v>
      </c>
      <c r="L724">
        <v>4817.6899999999996</v>
      </c>
      <c r="M724">
        <v>8739.56</v>
      </c>
      <c r="N724">
        <v>48.3005</v>
      </c>
      <c r="O724">
        <v>-87.658500000000004</v>
      </c>
      <c r="P724">
        <v>48.294832999999997</v>
      </c>
      <c r="Q724">
        <v>-87.659333000000004</v>
      </c>
      <c r="R724">
        <v>48653.205670000003</v>
      </c>
      <c r="S724">
        <v>231</v>
      </c>
      <c r="T724">
        <v>229</v>
      </c>
      <c r="U724">
        <v>0.5</v>
      </c>
      <c r="V724">
        <v>2</v>
      </c>
      <c r="W724">
        <v>10.7</v>
      </c>
      <c r="X724">
        <v>10.339600000000001</v>
      </c>
      <c r="Y724">
        <v>4.5100000000000001E-2</v>
      </c>
      <c r="Z724">
        <v>55.875100000000003</v>
      </c>
      <c r="AA724">
        <v>10</v>
      </c>
      <c r="AB724">
        <v>0.4</v>
      </c>
      <c r="AC724">
        <v>217</v>
      </c>
      <c r="AD724">
        <v>3</v>
      </c>
    </row>
    <row r="725" spans="1:30" x14ac:dyDescent="0.55000000000000004">
      <c r="A725">
        <v>95034</v>
      </c>
      <c r="B725" s="19">
        <v>42572</v>
      </c>
      <c r="C725">
        <v>1130</v>
      </c>
      <c r="D725">
        <v>2016</v>
      </c>
      <c r="E725">
        <v>25</v>
      </c>
      <c r="F725">
        <v>758</v>
      </c>
      <c r="G725">
        <v>3</v>
      </c>
      <c r="H725">
        <v>2122</v>
      </c>
      <c r="I725">
        <v>3</v>
      </c>
      <c r="J725">
        <v>4750.8</v>
      </c>
      <c r="K725">
        <v>8743.44</v>
      </c>
      <c r="L725">
        <v>4751.21</v>
      </c>
      <c r="M725">
        <v>8743.43</v>
      </c>
      <c r="N725">
        <v>47.846666999999997</v>
      </c>
      <c r="O725">
        <v>-87.724000000000004</v>
      </c>
      <c r="P725">
        <v>47.853499999999997</v>
      </c>
      <c r="Q725">
        <v>-87.723832999999999</v>
      </c>
      <c r="R725">
        <v>42429.281479999998</v>
      </c>
      <c r="S725">
        <v>234</v>
      </c>
      <c r="T725">
        <v>226</v>
      </c>
      <c r="U725">
        <v>0.5</v>
      </c>
      <c r="V725">
        <v>2</v>
      </c>
      <c r="W725">
        <v>11.2</v>
      </c>
      <c r="X725">
        <v>10.047700000000001</v>
      </c>
      <c r="Y725">
        <v>0.1217</v>
      </c>
      <c r="Z725">
        <v>90.595699999999994</v>
      </c>
      <c r="AA725">
        <v>10</v>
      </c>
      <c r="AB725">
        <v>0.42</v>
      </c>
      <c r="AC725">
        <v>217</v>
      </c>
      <c r="AD725">
        <v>5</v>
      </c>
    </row>
    <row r="726" spans="1:30" x14ac:dyDescent="0.55000000000000004">
      <c r="A726">
        <v>95035</v>
      </c>
      <c r="B726" s="19">
        <v>42572</v>
      </c>
      <c r="C726">
        <v>1130</v>
      </c>
      <c r="D726">
        <v>2016</v>
      </c>
      <c r="E726">
        <v>25</v>
      </c>
      <c r="F726">
        <v>759</v>
      </c>
      <c r="G726">
        <v>3</v>
      </c>
      <c r="H726">
        <v>2122</v>
      </c>
      <c r="I726">
        <v>3</v>
      </c>
      <c r="J726">
        <v>4750.8</v>
      </c>
      <c r="K726">
        <v>8743.44</v>
      </c>
      <c r="L726">
        <v>4751.21</v>
      </c>
      <c r="M726">
        <v>8743.43</v>
      </c>
      <c r="N726">
        <v>47.846666999999997</v>
      </c>
      <c r="O726">
        <v>-87.724000000000004</v>
      </c>
      <c r="P726">
        <v>47.853499999999997</v>
      </c>
      <c r="Q726">
        <v>-87.723832999999999</v>
      </c>
      <c r="R726">
        <v>42429.281479999998</v>
      </c>
      <c r="S726">
        <v>234</v>
      </c>
      <c r="T726">
        <v>226</v>
      </c>
      <c r="U726">
        <v>0.5</v>
      </c>
      <c r="V726">
        <v>2</v>
      </c>
      <c r="W726">
        <v>11.2</v>
      </c>
      <c r="X726">
        <v>10.047700000000001</v>
      </c>
      <c r="Y726">
        <v>0.1217</v>
      </c>
      <c r="Z726">
        <v>90.595699999999994</v>
      </c>
      <c r="AA726">
        <v>10</v>
      </c>
      <c r="AB726">
        <v>0.42</v>
      </c>
      <c r="AC726">
        <v>217</v>
      </c>
      <c r="AD726">
        <v>11</v>
      </c>
    </row>
    <row r="727" spans="1:30" x14ac:dyDescent="0.55000000000000004">
      <c r="A727">
        <v>95036</v>
      </c>
      <c r="B727" s="19">
        <v>42572</v>
      </c>
      <c r="C727">
        <v>1424</v>
      </c>
      <c r="D727">
        <v>2016</v>
      </c>
      <c r="E727">
        <v>25</v>
      </c>
      <c r="F727">
        <v>760</v>
      </c>
      <c r="G727">
        <v>3</v>
      </c>
      <c r="H727">
        <v>2118</v>
      </c>
      <c r="I727">
        <v>3</v>
      </c>
      <c r="J727">
        <v>4752.46</v>
      </c>
      <c r="K727">
        <v>8803.4699999999993</v>
      </c>
      <c r="L727">
        <v>4752.47</v>
      </c>
      <c r="M727">
        <v>8804.11</v>
      </c>
      <c r="N727">
        <v>47.874333</v>
      </c>
      <c r="O727">
        <v>-88.057833000000002</v>
      </c>
      <c r="P727">
        <v>47.874499999999998</v>
      </c>
      <c r="Q727">
        <v>-88.0685</v>
      </c>
      <c r="R727">
        <v>42823.20031</v>
      </c>
      <c r="S727">
        <v>247</v>
      </c>
      <c r="T727">
        <v>250</v>
      </c>
      <c r="U727">
        <v>0.5</v>
      </c>
      <c r="V727">
        <v>2</v>
      </c>
      <c r="W727">
        <v>12</v>
      </c>
      <c r="X727">
        <v>12.101000000000001</v>
      </c>
      <c r="Y727">
        <v>8.2500000000000004E-2</v>
      </c>
      <c r="Z727">
        <v>70.906199999999998</v>
      </c>
      <c r="AA727">
        <v>10</v>
      </c>
      <c r="AB727">
        <v>0.43</v>
      </c>
      <c r="AC727">
        <v>0</v>
      </c>
      <c r="AD727">
        <v>0</v>
      </c>
    </row>
    <row r="728" spans="1:30" x14ac:dyDescent="0.55000000000000004">
      <c r="A728">
        <v>95037</v>
      </c>
      <c r="B728" s="19">
        <v>42572</v>
      </c>
      <c r="C728">
        <v>1424</v>
      </c>
      <c r="D728">
        <v>2016</v>
      </c>
      <c r="E728">
        <v>25</v>
      </c>
      <c r="F728">
        <v>761</v>
      </c>
      <c r="G728">
        <v>3</v>
      </c>
      <c r="H728">
        <v>2118</v>
      </c>
      <c r="I728">
        <v>3</v>
      </c>
      <c r="J728">
        <v>4752.46</v>
      </c>
      <c r="K728">
        <v>8803.4699999999993</v>
      </c>
      <c r="L728">
        <v>4752.47</v>
      </c>
      <c r="M728">
        <v>8804.11</v>
      </c>
      <c r="N728">
        <v>47.874333</v>
      </c>
      <c r="O728">
        <v>-88.057833000000002</v>
      </c>
      <c r="P728">
        <v>47.874499999999998</v>
      </c>
      <c r="Q728">
        <v>-88.0685</v>
      </c>
      <c r="R728">
        <v>42823.20031</v>
      </c>
      <c r="S728">
        <v>247</v>
      </c>
      <c r="T728">
        <v>250</v>
      </c>
      <c r="U728">
        <v>0.5</v>
      </c>
      <c r="V728">
        <v>2</v>
      </c>
      <c r="W728">
        <v>12</v>
      </c>
      <c r="X728">
        <v>12.101000000000001</v>
      </c>
      <c r="Y728">
        <v>8.2500000000000004E-2</v>
      </c>
      <c r="Z728">
        <v>70.906199999999998</v>
      </c>
      <c r="AA728">
        <v>10</v>
      </c>
      <c r="AB728">
        <v>0.43</v>
      </c>
      <c r="AC728">
        <v>217</v>
      </c>
      <c r="AD728">
        <v>3</v>
      </c>
    </row>
    <row r="729" spans="1:30" x14ac:dyDescent="0.55000000000000004">
      <c r="A729">
        <v>95039</v>
      </c>
      <c r="B729" s="19">
        <v>42573</v>
      </c>
      <c r="C729">
        <v>904</v>
      </c>
      <c r="D729">
        <v>2016</v>
      </c>
      <c r="E729">
        <v>25</v>
      </c>
      <c r="F729">
        <v>762</v>
      </c>
      <c r="G729">
        <v>3</v>
      </c>
      <c r="H729">
        <v>2134</v>
      </c>
      <c r="I729">
        <v>3</v>
      </c>
      <c r="J729">
        <v>4802.88</v>
      </c>
      <c r="K729">
        <v>8814.9500000000007</v>
      </c>
      <c r="L729">
        <v>4802.9399999999996</v>
      </c>
      <c r="M729">
        <v>8815.42</v>
      </c>
      <c r="N729">
        <v>48.048000000000002</v>
      </c>
      <c r="O729">
        <v>-88.249167</v>
      </c>
      <c r="P729">
        <v>48.048999999999999</v>
      </c>
      <c r="Q729">
        <v>-88.257000000000005</v>
      </c>
      <c r="R729">
        <v>18309.673719999999</v>
      </c>
      <c r="S729">
        <v>252</v>
      </c>
      <c r="T729">
        <v>253</v>
      </c>
      <c r="U729">
        <v>0.5</v>
      </c>
      <c r="V729">
        <v>2</v>
      </c>
      <c r="W729">
        <v>14</v>
      </c>
      <c r="X729">
        <v>14.2498</v>
      </c>
      <c r="Y729">
        <v>7.4200000000000002E-2</v>
      </c>
      <c r="Z729">
        <v>41.689700000000002</v>
      </c>
      <c r="AA729">
        <v>10</v>
      </c>
      <c r="AB729">
        <v>0.37</v>
      </c>
      <c r="AC729">
        <v>217</v>
      </c>
      <c r="AD729">
        <v>1</v>
      </c>
    </row>
    <row r="730" spans="1:30" x14ac:dyDescent="0.55000000000000004">
      <c r="A730">
        <v>95040</v>
      </c>
      <c r="B730" s="19">
        <v>42573</v>
      </c>
      <c r="C730">
        <v>904</v>
      </c>
      <c r="D730">
        <v>2016</v>
      </c>
      <c r="E730">
        <v>25</v>
      </c>
      <c r="F730">
        <v>763</v>
      </c>
      <c r="G730">
        <v>3</v>
      </c>
      <c r="H730">
        <v>2134</v>
      </c>
      <c r="I730">
        <v>3</v>
      </c>
      <c r="J730">
        <v>4802.88</v>
      </c>
      <c r="K730">
        <v>8814.9500000000007</v>
      </c>
      <c r="L730">
        <v>4802.9399999999996</v>
      </c>
      <c r="M730">
        <v>8815.42</v>
      </c>
      <c r="N730">
        <v>48.048000000000002</v>
      </c>
      <c r="O730">
        <v>-88.249167</v>
      </c>
      <c r="P730">
        <v>48.048999999999999</v>
      </c>
      <c r="Q730">
        <v>-88.257000000000005</v>
      </c>
      <c r="R730">
        <v>18309.673719999999</v>
      </c>
      <c r="S730">
        <v>252</v>
      </c>
      <c r="T730">
        <v>253</v>
      </c>
      <c r="U730">
        <v>0.5</v>
      </c>
      <c r="V730">
        <v>2</v>
      </c>
      <c r="W730">
        <v>14</v>
      </c>
      <c r="X730">
        <v>14.2498</v>
      </c>
      <c r="Y730">
        <v>7.4200000000000002E-2</v>
      </c>
      <c r="Z730">
        <v>41.689700000000002</v>
      </c>
      <c r="AA730">
        <v>10</v>
      </c>
      <c r="AB730">
        <v>0.37</v>
      </c>
      <c r="AC730">
        <v>217</v>
      </c>
      <c r="AD730">
        <v>2</v>
      </c>
    </row>
    <row r="731" spans="1:30" x14ac:dyDescent="0.55000000000000004">
      <c r="A731">
        <v>95042</v>
      </c>
      <c r="B731" s="19">
        <v>42573</v>
      </c>
      <c r="C731">
        <v>1252</v>
      </c>
      <c r="D731">
        <v>2016</v>
      </c>
      <c r="E731">
        <v>25</v>
      </c>
      <c r="F731">
        <v>764</v>
      </c>
      <c r="G731">
        <v>3</v>
      </c>
      <c r="H731">
        <v>2128</v>
      </c>
      <c r="I731">
        <v>3</v>
      </c>
      <c r="J731">
        <v>4750.0200000000004</v>
      </c>
      <c r="K731">
        <v>8845.2800000000007</v>
      </c>
      <c r="L731">
        <v>4750.2700000000004</v>
      </c>
      <c r="M731">
        <v>8844.75</v>
      </c>
      <c r="N731">
        <v>47.833666999999998</v>
      </c>
      <c r="O731">
        <v>-88.754666999999998</v>
      </c>
      <c r="P731">
        <v>47.837833000000003</v>
      </c>
      <c r="Q731">
        <v>-88.745833000000005</v>
      </c>
      <c r="R731">
        <v>11023.97098</v>
      </c>
      <c r="S731">
        <v>243</v>
      </c>
      <c r="T731">
        <v>244</v>
      </c>
      <c r="U731">
        <v>0.5</v>
      </c>
      <c r="V731">
        <v>2</v>
      </c>
      <c r="W731">
        <v>13.5</v>
      </c>
      <c r="X731">
        <v>13.4451</v>
      </c>
      <c r="Y731">
        <v>0.15</v>
      </c>
      <c r="Z731">
        <v>87.2607</v>
      </c>
      <c r="AA731">
        <v>10</v>
      </c>
      <c r="AB731">
        <v>0.42</v>
      </c>
      <c r="AC731">
        <v>217</v>
      </c>
      <c r="AD731">
        <v>15</v>
      </c>
    </row>
    <row r="732" spans="1:30" x14ac:dyDescent="0.55000000000000004">
      <c r="A732">
        <v>95043</v>
      </c>
      <c r="B732" s="19">
        <v>42573</v>
      </c>
      <c r="C732">
        <v>1252</v>
      </c>
      <c r="D732">
        <v>2016</v>
      </c>
      <c r="E732">
        <v>25</v>
      </c>
      <c r="F732">
        <v>765</v>
      </c>
      <c r="G732">
        <v>3</v>
      </c>
      <c r="H732">
        <v>2128</v>
      </c>
      <c r="I732">
        <v>3</v>
      </c>
      <c r="J732">
        <v>4750.0200000000004</v>
      </c>
      <c r="K732">
        <v>8845.2800000000007</v>
      </c>
      <c r="L732">
        <v>4750.2700000000004</v>
      </c>
      <c r="M732">
        <v>8844.75</v>
      </c>
      <c r="N732">
        <v>47.833666999999998</v>
      </c>
      <c r="O732">
        <v>-88.754666999999998</v>
      </c>
      <c r="P732">
        <v>47.837833000000003</v>
      </c>
      <c r="Q732">
        <v>-88.745833000000005</v>
      </c>
      <c r="R732">
        <v>11023.97098</v>
      </c>
      <c r="S732">
        <v>243</v>
      </c>
      <c r="T732">
        <v>244</v>
      </c>
      <c r="U732">
        <v>0.5</v>
      </c>
      <c r="V732">
        <v>2</v>
      </c>
      <c r="W732">
        <v>13.5</v>
      </c>
      <c r="X732">
        <v>13.4451</v>
      </c>
      <c r="Y732">
        <v>0.15</v>
      </c>
      <c r="Z732">
        <v>87.2607</v>
      </c>
      <c r="AA732">
        <v>10</v>
      </c>
      <c r="AB732">
        <v>0.42</v>
      </c>
      <c r="AC732">
        <v>217</v>
      </c>
      <c r="AD732">
        <v>26</v>
      </c>
    </row>
    <row r="733" spans="1:30" x14ac:dyDescent="0.55000000000000004">
      <c r="A733">
        <v>95045</v>
      </c>
      <c r="B733" s="19">
        <v>42574</v>
      </c>
      <c r="C733">
        <v>928</v>
      </c>
      <c r="D733">
        <v>2016</v>
      </c>
      <c r="E733">
        <v>25</v>
      </c>
      <c r="F733">
        <v>766</v>
      </c>
      <c r="G733">
        <v>3</v>
      </c>
      <c r="H733">
        <v>2140</v>
      </c>
      <c r="I733">
        <v>3</v>
      </c>
      <c r="J733">
        <v>4806.71</v>
      </c>
      <c r="K733">
        <v>8845.83</v>
      </c>
      <c r="L733">
        <v>4806.9399999999996</v>
      </c>
      <c r="M733">
        <v>8845.26</v>
      </c>
      <c r="N733">
        <v>48.111832999999997</v>
      </c>
      <c r="O733">
        <v>-88.763833000000005</v>
      </c>
      <c r="P733">
        <v>48.115667000000002</v>
      </c>
      <c r="Q733">
        <v>-88.754333000000003</v>
      </c>
      <c r="R733">
        <v>2539.5985660000001</v>
      </c>
      <c r="S733">
        <v>148</v>
      </c>
      <c r="T733">
        <v>155</v>
      </c>
      <c r="U733">
        <v>0.5</v>
      </c>
      <c r="V733">
        <v>2</v>
      </c>
      <c r="W733">
        <v>16.7</v>
      </c>
      <c r="X733">
        <v>16.694700000000001</v>
      </c>
      <c r="Y733">
        <v>0.3216</v>
      </c>
      <c r="Z733">
        <v>81.232399999999998</v>
      </c>
      <c r="AA733">
        <v>10</v>
      </c>
      <c r="AB733">
        <v>0.42</v>
      </c>
      <c r="AC733">
        <v>0</v>
      </c>
      <c r="AD733">
        <v>0</v>
      </c>
    </row>
    <row r="734" spans="1:30" x14ac:dyDescent="0.55000000000000004">
      <c r="A734">
        <v>95046</v>
      </c>
      <c r="B734" s="19">
        <v>42574</v>
      </c>
      <c r="C734">
        <v>928</v>
      </c>
      <c r="D734">
        <v>2016</v>
      </c>
      <c r="E734">
        <v>25</v>
      </c>
      <c r="F734">
        <v>767</v>
      </c>
      <c r="G734">
        <v>3</v>
      </c>
      <c r="H734">
        <v>2140</v>
      </c>
      <c r="I734">
        <v>3</v>
      </c>
      <c r="J734">
        <v>4806.71</v>
      </c>
      <c r="K734">
        <v>8845.83</v>
      </c>
      <c r="L734">
        <v>4806.9399999999996</v>
      </c>
      <c r="M734">
        <v>8845.26</v>
      </c>
      <c r="N734">
        <v>48.111832999999997</v>
      </c>
      <c r="O734">
        <v>-88.763833000000005</v>
      </c>
      <c r="P734">
        <v>48.115667000000002</v>
      </c>
      <c r="Q734">
        <v>-88.754333000000003</v>
      </c>
      <c r="R734">
        <v>2539.5985660000001</v>
      </c>
      <c r="S734">
        <v>148</v>
      </c>
      <c r="T734">
        <v>155</v>
      </c>
      <c r="U734">
        <v>0.5</v>
      </c>
      <c r="V734">
        <v>2</v>
      </c>
      <c r="W734">
        <v>16.7</v>
      </c>
      <c r="X734">
        <v>16.694700000000001</v>
      </c>
      <c r="Y734">
        <v>0.3216</v>
      </c>
      <c r="Z734">
        <v>81.232399999999998</v>
      </c>
      <c r="AA734">
        <v>10</v>
      </c>
      <c r="AB734">
        <v>0.42</v>
      </c>
      <c r="AC734">
        <v>217</v>
      </c>
      <c r="AD734">
        <v>1</v>
      </c>
    </row>
    <row r="735" spans="1:30" x14ac:dyDescent="0.55000000000000004">
      <c r="A735">
        <v>95050</v>
      </c>
      <c r="B735" s="19">
        <v>42574</v>
      </c>
      <c r="C735">
        <v>1146</v>
      </c>
      <c r="D735">
        <v>2016</v>
      </c>
      <c r="E735">
        <v>25</v>
      </c>
      <c r="F735">
        <v>768</v>
      </c>
      <c r="G735">
        <v>3</v>
      </c>
      <c r="H735">
        <v>2033</v>
      </c>
      <c r="I735">
        <v>3</v>
      </c>
      <c r="J735">
        <v>4821.71</v>
      </c>
      <c r="K735">
        <v>8842.7900000000009</v>
      </c>
      <c r="L735">
        <v>4821.3500000000004</v>
      </c>
      <c r="M735">
        <v>8843.17</v>
      </c>
      <c r="N735">
        <v>48.361832999999997</v>
      </c>
      <c r="O735">
        <v>-88.713166999999999</v>
      </c>
      <c r="P735">
        <v>48.355832999999997</v>
      </c>
      <c r="Q735">
        <v>-88.719499999999996</v>
      </c>
      <c r="R735">
        <v>1894.1755929999999</v>
      </c>
      <c r="S735">
        <v>20</v>
      </c>
      <c r="T735">
        <v>26</v>
      </c>
      <c r="U735">
        <v>0.5</v>
      </c>
      <c r="V735">
        <v>2</v>
      </c>
      <c r="W735">
        <v>16.3</v>
      </c>
      <c r="X735">
        <v>15.017899999999999</v>
      </c>
      <c r="Y735">
        <v>0.3805</v>
      </c>
      <c r="Z735">
        <v>71.156999999999996</v>
      </c>
      <c r="AA735">
        <v>10</v>
      </c>
      <c r="AB735">
        <v>0.43</v>
      </c>
      <c r="AC735">
        <v>217</v>
      </c>
      <c r="AD735">
        <v>1</v>
      </c>
    </row>
    <row r="736" spans="1:30" x14ac:dyDescent="0.55000000000000004">
      <c r="A736">
        <v>95051</v>
      </c>
      <c r="B736" s="19">
        <v>42574</v>
      </c>
      <c r="C736">
        <v>1146</v>
      </c>
      <c r="D736">
        <v>2016</v>
      </c>
      <c r="E736">
        <v>25</v>
      </c>
      <c r="F736">
        <v>769</v>
      </c>
      <c r="G736">
        <v>3</v>
      </c>
      <c r="H736">
        <v>2033</v>
      </c>
      <c r="I736">
        <v>3</v>
      </c>
      <c r="J736">
        <v>4821.71</v>
      </c>
      <c r="K736">
        <v>8842.7900000000009</v>
      </c>
      <c r="L736">
        <v>4821.3500000000004</v>
      </c>
      <c r="M736">
        <v>8843.17</v>
      </c>
      <c r="N736">
        <v>48.361832999999997</v>
      </c>
      <c r="O736">
        <v>-88.713166999999999</v>
      </c>
      <c r="P736">
        <v>48.355832999999997</v>
      </c>
      <c r="Q736">
        <v>-88.719499999999996</v>
      </c>
      <c r="R736">
        <v>1894.1755929999999</v>
      </c>
      <c r="S736">
        <v>20</v>
      </c>
      <c r="T736">
        <v>26</v>
      </c>
      <c r="U736">
        <v>0.5</v>
      </c>
      <c r="V736">
        <v>2</v>
      </c>
      <c r="W736">
        <v>16.3</v>
      </c>
      <c r="X736">
        <v>15.017899999999999</v>
      </c>
      <c r="Y736">
        <v>0.3805</v>
      </c>
      <c r="Z736">
        <v>71.156999999999996</v>
      </c>
      <c r="AA736">
        <v>10</v>
      </c>
      <c r="AB736">
        <v>0.43</v>
      </c>
      <c r="AC736">
        <v>0</v>
      </c>
      <c r="AD736">
        <v>0</v>
      </c>
    </row>
    <row r="737" spans="1:30" x14ac:dyDescent="0.55000000000000004">
      <c r="A737">
        <v>95048</v>
      </c>
      <c r="B737" s="19">
        <v>42574</v>
      </c>
      <c r="C737">
        <v>1357</v>
      </c>
      <c r="D737">
        <v>2016</v>
      </c>
      <c r="E737">
        <v>25</v>
      </c>
      <c r="F737">
        <v>770</v>
      </c>
      <c r="G737">
        <v>3</v>
      </c>
      <c r="H737">
        <v>2049</v>
      </c>
      <c r="I737">
        <v>3</v>
      </c>
      <c r="J737">
        <v>4820.1000000000004</v>
      </c>
      <c r="K737">
        <v>8905.44</v>
      </c>
      <c r="L737">
        <v>4820.18</v>
      </c>
      <c r="M737">
        <v>8904.9</v>
      </c>
      <c r="N737">
        <v>48.335000000000001</v>
      </c>
      <c r="O737">
        <v>-89.090666999999996</v>
      </c>
      <c r="P737">
        <v>48.336333000000003</v>
      </c>
      <c r="Q737">
        <v>-89.081666999999996</v>
      </c>
      <c r="R737">
        <v>3974.4432270000002</v>
      </c>
      <c r="S737">
        <v>31</v>
      </c>
      <c r="T737">
        <v>33</v>
      </c>
      <c r="U737">
        <v>0.5</v>
      </c>
      <c r="V737">
        <v>2</v>
      </c>
      <c r="W737">
        <v>18.7</v>
      </c>
      <c r="X737">
        <v>18.736999999999998</v>
      </c>
      <c r="Y737">
        <v>0.36180000000000001</v>
      </c>
      <c r="Z737">
        <v>82.611199999999997</v>
      </c>
      <c r="AA737">
        <v>10</v>
      </c>
      <c r="AB737">
        <v>0.42</v>
      </c>
      <c r="AC737">
        <v>109</v>
      </c>
      <c r="AD737">
        <v>2</v>
      </c>
    </row>
    <row r="738" spans="1:30" x14ac:dyDescent="0.55000000000000004">
      <c r="A738">
        <v>95048</v>
      </c>
      <c r="B738" s="19">
        <v>42574</v>
      </c>
      <c r="C738">
        <v>1357</v>
      </c>
      <c r="D738">
        <v>2016</v>
      </c>
      <c r="E738">
        <v>25</v>
      </c>
      <c r="F738">
        <v>770</v>
      </c>
      <c r="G738">
        <v>3</v>
      </c>
      <c r="H738">
        <v>2049</v>
      </c>
      <c r="I738">
        <v>3</v>
      </c>
      <c r="J738">
        <v>4820.1000000000004</v>
      </c>
      <c r="K738">
        <v>8905.44</v>
      </c>
      <c r="L738">
        <v>4820.18</v>
      </c>
      <c r="M738">
        <v>8904.9</v>
      </c>
      <c r="N738">
        <v>48.335000000000001</v>
      </c>
      <c r="O738">
        <v>-89.090666999999996</v>
      </c>
      <c r="P738">
        <v>48.336333000000003</v>
      </c>
      <c r="Q738">
        <v>-89.081666999999996</v>
      </c>
      <c r="R738">
        <v>3974.4432270000002</v>
      </c>
      <c r="S738">
        <v>31</v>
      </c>
      <c r="T738">
        <v>33</v>
      </c>
      <c r="U738">
        <v>0.5</v>
      </c>
      <c r="V738">
        <v>2</v>
      </c>
      <c r="W738">
        <v>18.7</v>
      </c>
      <c r="X738">
        <v>18.736999999999998</v>
      </c>
      <c r="Y738">
        <v>0.36180000000000001</v>
      </c>
      <c r="Z738">
        <v>82.611199999999997</v>
      </c>
      <c r="AA738">
        <v>10</v>
      </c>
      <c r="AB738">
        <v>0.42</v>
      </c>
      <c r="AC738">
        <v>217</v>
      </c>
      <c r="AD738">
        <v>1</v>
      </c>
    </row>
    <row r="739" spans="1:30" x14ac:dyDescent="0.55000000000000004">
      <c r="A739">
        <v>95049</v>
      </c>
      <c r="B739" s="19">
        <v>42574</v>
      </c>
      <c r="C739">
        <v>1357</v>
      </c>
      <c r="D739">
        <v>2016</v>
      </c>
      <c r="E739">
        <v>25</v>
      </c>
      <c r="F739">
        <v>771</v>
      </c>
      <c r="G739">
        <v>3</v>
      </c>
      <c r="H739">
        <v>2049</v>
      </c>
      <c r="I739">
        <v>3</v>
      </c>
      <c r="J739">
        <v>4820.1000000000004</v>
      </c>
      <c r="K739">
        <v>8905.44</v>
      </c>
      <c r="L739">
        <v>4820.18</v>
      </c>
      <c r="M739">
        <v>8904.9</v>
      </c>
      <c r="N739">
        <v>48.335000000000001</v>
      </c>
      <c r="O739">
        <v>-89.090666999999996</v>
      </c>
      <c r="P739">
        <v>48.336333000000003</v>
      </c>
      <c r="Q739">
        <v>-89.081666999999996</v>
      </c>
      <c r="R739">
        <v>3974.4432270000002</v>
      </c>
      <c r="S739">
        <v>31</v>
      </c>
      <c r="T739">
        <v>33</v>
      </c>
      <c r="U739">
        <v>0.5</v>
      </c>
      <c r="V739">
        <v>2</v>
      </c>
      <c r="W739">
        <v>18.7</v>
      </c>
      <c r="X739">
        <v>18.736999999999998</v>
      </c>
      <c r="Y739">
        <v>0.36180000000000001</v>
      </c>
      <c r="Z739">
        <v>82.611199999999997</v>
      </c>
      <c r="AA739">
        <v>10</v>
      </c>
      <c r="AB739">
        <v>0.42</v>
      </c>
      <c r="AC739">
        <v>109</v>
      </c>
      <c r="AD739">
        <v>1</v>
      </c>
    </row>
    <row r="740" spans="1:30" x14ac:dyDescent="0.55000000000000004">
      <c r="A740">
        <v>95054</v>
      </c>
      <c r="B740" s="19">
        <v>42575</v>
      </c>
      <c r="C740">
        <v>806</v>
      </c>
      <c r="D740">
        <v>2016</v>
      </c>
      <c r="E740">
        <v>25</v>
      </c>
      <c r="F740">
        <v>772</v>
      </c>
      <c r="G740">
        <v>3</v>
      </c>
      <c r="H740">
        <v>403</v>
      </c>
      <c r="I740">
        <v>3</v>
      </c>
      <c r="J740">
        <v>4815.26</v>
      </c>
      <c r="K740">
        <v>8910</v>
      </c>
      <c r="L740">
        <v>4814.92</v>
      </c>
      <c r="M740">
        <v>8910.24</v>
      </c>
      <c r="N740">
        <v>48.254333000000003</v>
      </c>
      <c r="O740">
        <v>-89.166667000000004</v>
      </c>
      <c r="P740">
        <v>48.248666999999998</v>
      </c>
      <c r="Q740">
        <v>-89.170666999999995</v>
      </c>
      <c r="R740">
        <v>254.71853870000001</v>
      </c>
      <c r="S740">
        <v>24.1</v>
      </c>
      <c r="T740">
        <v>27.5</v>
      </c>
      <c r="U740">
        <v>0.5</v>
      </c>
      <c r="V740">
        <v>2</v>
      </c>
      <c r="W740">
        <v>16.7</v>
      </c>
      <c r="X740">
        <v>17.023299999999999</v>
      </c>
      <c r="Y740">
        <v>1.0630999999999999</v>
      </c>
      <c r="Z740">
        <v>85.981800000000007</v>
      </c>
      <c r="AA740">
        <v>10</v>
      </c>
      <c r="AB740">
        <v>0.4</v>
      </c>
      <c r="AC740">
        <v>0</v>
      </c>
      <c r="AD740">
        <v>0</v>
      </c>
    </row>
    <row r="741" spans="1:30" x14ac:dyDescent="0.55000000000000004">
      <c r="A741">
        <v>95055</v>
      </c>
      <c r="B741" s="19">
        <v>42575</v>
      </c>
      <c r="C741">
        <v>806</v>
      </c>
      <c r="D741">
        <v>2016</v>
      </c>
      <c r="E741">
        <v>25</v>
      </c>
      <c r="F741">
        <v>773</v>
      </c>
      <c r="G741">
        <v>3</v>
      </c>
      <c r="H741">
        <v>403</v>
      </c>
      <c r="I741">
        <v>3</v>
      </c>
      <c r="J741">
        <v>4815.26</v>
      </c>
      <c r="K741">
        <v>8910</v>
      </c>
      <c r="L741">
        <v>4814.92</v>
      </c>
      <c r="M741">
        <v>8910.24</v>
      </c>
      <c r="N741">
        <v>48.254333000000003</v>
      </c>
      <c r="O741">
        <v>-89.166667000000004</v>
      </c>
      <c r="P741">
        <v>48.248666999999998</v>
      </c>
      <c r="Q741">
        <v>-89.170666999999995</v>
      </c>
      <c r="R741">
        <v>254.71853870000001</v>
      </c>
      <c r="S741">
        <v>24.1</v>
      </c>
      <c r="T741">
        <v>27.5</v>
      </c>
      <c r="U741">
        <v>0.5</v>
      </c>
      <c r="V741">
        <v>2</v>
      </c>
      <c r="W741">
        <v>16.7</v>
      </c>
      <c r="X741">
        <v>17.023299999999999</v>
      </c>
      <c r="Y741">
        <v>1.0630999999999999</v>
      </c>
      <c r="Z741">
        <v>85.981800000000007</v>
      </c>
      <c r="AA741">
        <v>10</v>
      </c>
      <c r="AB741">
        <v>0.4</v>
      </c>
      <c r="AC741">
        <v>904</v>
      </c>
      <c r="AD741">
        <v>1</v>
      </c>
    </row>
    <row r="742" spans="1:30" x14ac:dyDescent="0.55000000000000004">
      <c r="A742">
        <v>95056</v>
      </c>
      <c r="B742" s="19">
        <v>42575</v>
      </c>
      <c r="C742">
        <v>935</v>
      </c>
      <c r="D742">
        <v>2016</v>
      </c>
      <c r="E742">
        <v>25</v>
      </c>
      <c r="F742">
        <v>774</v>
      </c>
      <c r="G742">
        <v>3</v>
      </c>
      <c r="H742">
        <v>400</v>
      </c>
      <c r="I742">
        <v>3</v>
      </c>
      <c r="J742">
        <v>4805.3500000000004</v>
      </c>
      <c r="K742">
        <v>8920.73</v>
      </c>
      <c r="L742">
        <v>4805.21</v>
      </c>
      <c r="M742">
        <v>8921.2900000000009</v>
      </c>
      <c r="N742">
        <v>48.089167000000003</v>
      </c>
      <c r="O742">
        <v>-89.345500000000001</v>
      </c>
      <c r="P742">
        <v>48.086832999999999</v>
      </c>
      <c r="Q742">
        <v>-89.354832999999999</v>
      </c>
      <c r="R742">
        <v>199.16238820000001</v>
      </c>
      <c r="S742">
        <v>19</v>
      </c>
      <c r="T742">
        <v>46</v>
      </c>
      <c r="U742">
        <v>0.5</v>
      </c>
      <c r="V742">
        <v>2</v>
      </c>
      <c r="W742">
        <v>15.5</v>
      </c>
      <c r="X742">
        <v>15.162800000000001</v>
      </c>
      <c r="Y742">
        <v>6.6900000000000001E-2</v>
      </c>
      <c r="Z742">
        <v>40.215899999999998</v>
      </c>
      <c r="AA742">
        <v>10</v>
      </c>
      <c r="AB742">
        <v>0.43</v>
      </c>
      <c r="AC742">
        <v>0</v>
      </c>
      <c r="AD742">
        <v>0</v>
      </c>
    </row>
    <row r="743" spans="1:30" x14ac:dyDescent="0.55000000000000004">
      <c r="A743">
        <v>95057</v>
      </c>
      <c r="B743" s="19">
        <v>42575</v>
      </c>
      <c r="C743">
        <v>935</v>
      </c>
      <c r="D743">
        <v>2016</v>
      </c>
      <c r="E743">
        <v>25</v>
      </c>
      <c r="F743">
        <v>775</v>
      </c>
      <c r="G743">
        <v>3</v>
      </c>
      <c r="H743">
        <v>400</v>
      </c>
      <c r="I743">
        <v>3</v>
      </c>
      <c r="J743">
        <v>4805.3500000000004</v>
      </c>
      <c r="K743">
        <v>8920.73</v>
      </c>
      <c r="L743">
        <v>4805.21</v>
      </c>
      <c r="M743">
        <v>8921.2900000000009</v>
      </c>
      <c r="N743">
        <v>48.089167000000003</v>
      </c>
      <c r="O743">
        <v>-89.345500000000001</v>
      </c>
      <c r="P743">
        <v>48.086832999999999</v>
      </c>
      <c r="Q743">
        <v>-89.354832999999999</v>
      </c>
      <c r="R743">
        <v>199.16238820000001</v>
      </c>
      <c r="S743">
        <v>19</v>
      </c>
      <c r="T743">
        <v>46</v>
      </c>
      <c r="U743">
        <v>0.5</v>
      </c>
      <c r="V743">
        <v>2</v>
      </c>
      <c r="W743">
        <v>15.5</v>
      </c>
      <c r="X743">
        <v>15.162800000000001</v>
      </c>
      <c r="Y743">
        <v>6.6900000000000001E-2</v>
      </c>
      <c r="Z743">
        <v>40.215899999999998</v>
      </c>
      <c r="AA743">
        <v>10</v>
      </c>
      <c r="AB743">
        <v>0.43</v>
      </c>
      <c r="AC743">
        <v>0</v>
      </c>
      <c r="AD743">
        <v>0</v>
      </c>
    </row>
    <row r="744" spans="1:30" x14ac:dyDescent="0.55000000000000004">
      <c r="A744">
        <v>95058</v>
      </c>
      <c r="B744" s="19">
        <v>42575</v>
      </c>
      <c r="C744">
        <v>1416</v>
      </c>
      <c r="D744">
        <v>2016</v>
      </c>
      <c r="E744">
        <v>25</v>
      </c>
      <c r="F744">
        <v>776</v>
      </c>
      <c r="G744">
        <v>3</v>
      </c>
      <c r="H744">
        <v>2124</v>
      </c>
      <c r="I744">
        <v>3</v>
      </c>
      <c r="J744">
        <v>4730</v>
      </c>
      <c r="K744">
        <v>8959.77</v>
      </c>
      <c r="L744">
        <v>4729.68</v>
      </c>
      <c r="M744">
        <v>9000.02</v>
      </c>
      <c r="N744">
        <v>47.5</v>
      </c>
      <c r="O744">
        <v>-89.996167</v>
      </c>
      <c r="P744">
        <v>47.494667</v>
      </c>
      <c r="Q744">
        <v>-90.000332999999998</v>
      </c>
      <c r="R744">
        <v>34414.230860000003</v>
      </c>
      <c r="S744">
        <v>153</v>
      </c>
      <c r="T744">
        <v>153</v>
      </c>
      <c r="U744">
        <v>0.5</v>
      </c>
      <c r="V744">
        <v>2</v>
      </c>
      <c r="W744">
        <v>15</v>
      </c>
      <c r="X744">
        <v>14.8544</v>
      </c>
      <c r="Y744">
        <v>-3.1899999999999998E-2</v>
      </c>
      <c r="Z744">
        <v>88.391599999999997</v>
      </c>
      <c r="AA744">
        <v>10</v>
      </c>
      <c r="AB744">
        <v>0.42</v>
      </c>
      <c r="AC744">
        <v>217</v>
      </c>
      <c r="AD744">
        <v>8</v>
      </c>
    </row>
    <row r="745" spans="1:30" x14ac:dyDescent="0.55000000000000004">
      <c r="A745">
        <v>95059</v>
      </c>
      <c r="B745" s="19">
        <v>42575</v>
      </c>
      <c r="C745">
        <v>1416</v>
      </c>
      <c r="D745">
        <v>2016</v>
      </c>
      <c r="E745">
        <v>25</v>
      </c>
      <c r="F745">
        <v>777</v>
      </c>
      <c r="G745">
        <v>3</v>
      </c>
      <c r="H745">
        <v>2124</v>
      </c>
      <c r="I745">
        <v>3</v>
      </c>
      <c r="J745">
        <v>4730</v>
      </c>
      <c r="K745">
        <v>8959.77</v>
      </c>
      <c r="L745">
        <v>4729.68</v>
      </c>
      <c r="M745">
        <v>9000.02</v>
      </c>
      <c r="N745">
        <v>47.5</v>
      </c>
      <c r="O745">
        <v>-89.996167</v>
      </c>
      <c r="P745">
        <v>47.494667</v>
      </c>
      <c r="Q745">
        <v>-90.000332999999998</v>
      </c>
      <c r="R745">
        <v>34414.230860000003</v>
      </c>
      <c r="S745">
        <v>153</v>
      </c>
      <c r="T745">
        <v>153</v>
      </c>
      <c r="U745">
        <v>0.5</v>
      </c>
      <c r="V745">
        <v>2</v>
      </c>
      <c r="W745">
        <v>15</v>
      </c>
      <c r="X745">
        <v>14.8544</v>
      </c>
      <c r="Y745">
        <v>-3.1899999999999998E-2</v>
      </c>
      <c r="Z745">
        <v>88.391599999999997</v>
      </c>
      <c r="AA745">
        <v>10</v>
      </c>
      <c r="AB745">
        <v>0.42</v>
      </c>
      <c r="AC745">
        <v>217</v>
      </c>
      <c r="AD745">
        <v>9</v>
      </c>
    </row>
    <row r="746" spans="1:30" x14ac:dyDescent="0.55000000000000004">
      <c r="A746">
        <v>95061</v>
      </c>
      <c r="B746" s="19">
        <v>42575</v>
      </c>
      <c r="C746">
        <v>1713</v>
      </c>
      <c r="D746">
        <v>2016</v>
      </c>
      <c r="E746">
        <v>25</v>
      </c>
      <c r="F746">
        <v>778</v>
      </c>
      <c r="G746">
        <v>3</v>
      </c>
      <c r="H746">
        <v>65</v>
      </c>
      <c r="I746">
        <v>3</v>
      </c>
      <c r="J746">
        <v>4743.72</v>
      </c>
      <c r="K746">
        <v>9019.16</v>
      </c>
      <c r="L746">
        <v>4744.1499999999996</v>
      </c>
      <c r="M746">
        <v>9018.92</v>
      </c>
      <c r="N746">
        <v>47.728667000000002</v>
      </c>
      <c r="O746">
        <v>-90.319333</v>
      </c>
      <c r="P746">
        <v>47.735833</v>
      </c>
      <c r="Q746">
        <v>-90.315332999999995</v>
      </c>
      <c r="R746">
        <v>688.20263509999995</v>
      </c>
      <c r="S746">
        <v>141</v>
      </c>
      <c r="T746">
        <v>135</v>
      </c>
      <c r="U746">
        <v>0.5</v>
      </c>
      <c r="V746">
        <v>2</v>
      </c>
      <c r="W746">
        <v>14</v>
      </c>
      <c r="X746">
        <v>14.234400000000001</v>
      </c>
      <c r="Y746">
        <v>8.7800000000000003E-2</v>
      </c>
      <c r="Z746">
        <v>72.920199999999994</v>
      </c>
      <c r="AA746">
        <v>10</v>
      </c>
      <c r="AB746">
        <v>0.42</v>
      </c>
      <c r="AC746">
        <v>217</v>
      </c>
      <c r="AD746">
        <v>2</v>
      </c>
    </row>
    <row r="747" spans="1:30" x14ac:dyDescent="0.55000000000000004">
      <c r="A747">
        <v>95062</v>
      </c>
      <c r="B747" s="19">
        <v>42575</v>
      </c>
      <c r="C747">
        <v>1713</v>
      </c>
      <c r="D747">
        <v>2016</v>
      </c>
      <c r="E747">
        <v>25</v>
      </c>
      <c r="F747">
        <v>779</v>
      </c>
      <c r="G747">
        <v>3</v>
      </c>
      <c r="H747">
        <v>65</v>
      </c>
      <c r="I747">
        <v>3</v>
      </c>
      <c r="J747">
        <v>4743.72</v>
      </c>
      <c r="K747">
        <v>9019.16</v>
      </c>
      <c r="L747">
        <v>4744.1499999999996</v>
      </c>
      <c r="M747">
        <v>9018.92</v>
      </c>
      <c r="N747">
        <v>47.728667000000002</v>
      </c>
      <c r="O747">
        <v>-90.319333</v>
      </c>
      <c r="P747">
        <v>47.735833</v>
      </c>
      <c r="Q747">
        <v>-90.315332999999995</v>
      </c>
      <c r="R747">
        <v>688.20263509999995</v>
      </c>
      <c r="S747">
        <v>141</v>
      </c>
      <c r="T747">
        <v>135</v>
      </c>
      <c r="U747">
        <v>0.5</v>
      </c>
      <c r="V747">
        <v>2</v>
      </c>
      <c r="W747">
        <v>14</v>
      </c>
      <c r="X747">
        <v>14.234400000000001</v>
      </c>
      <c r="Y747">
        <v>8.7800000000000003E-2</v>
      </c>
      <c r="Z747">
        <v>72.920199999999994</v>
      </c>
      <c r="AA747">
        <v>10</v>
      </c>
      <c r="AB747">
        <v>0.42</v>
      </c>
      <c r="AC747">
        <v>217</v>
      </c>
      <c r="AD747">
        <v>5</v>
      </c>
    </row>
    <row r="748" spans="1:30" x14ac:dyDescent="0.55000000000000004">
      <c r="A748">
        <v>95063</v>
      </c>
      <c r="B748" s="19">
        <v>42576</v>
      </c>
      <c r="C748">
        <v>825</v>
      </c>
      <c r="D748">
        <v>2016</v>
      </c>
      <c r="E748">
        <v>25</v>
      </c>
      <c r="F748">
        <v>780</v>
      </c>
      <c r="G748">
        <v>3</v>
      </c>
      <c r="H748">
        <v>2133</v>
      </c>
      <c r="I748">
        <v>3</v>
      </c>
      <c r="J748">
        <v>4732.29</v>
      </c>
      <c r="K748">
        <v>9032.01</v>
      </c>
      <c r="L748">
        <v>4732.08</v>
      </c>
      <c r="M748">
        <v>9032.5</v>
      </c>
      <c r="N748">
        <v>47.538167000000001</v>
      </c>
      <c r="O748">
        <v>-90.533500000000004</v>
      </c>
      <c r="P748">
        <v>47.534666999999999</v>
      </c>
      <c r="Q748">
        <v>-90.541667000000004</v>
      </c>
      <c r="R748">
        <v>15638.0867</v>
      </c>
      <c r="S748">
        <v>184</v>
      </c>
      <c r="T748">
        <v>184</v>
      </c>
      <c r="U748">
        <v>0.5</v>
      </c>
      <c r="V748">
        <v>2</v>
      </c>
      <c r="W748">
        <v>15</v>
      </c>
      <c r="X748">
        <v>15.2784</v>
      </c>
      <c r="Y748">
        <v>0.31290000000000001</v>
      </c>
      <c r="Z748">
        <v>88.150599999999997</v>
      </c>
      <c r="AA748">
        <v>10</v>
      </c>
      <c r="AB748">
        <v>0.42</v>
      </c>
      <c r="AC748">
        <v>217</v>
      </c>
      <c r="AD748">
        <v>45</v>
      </c>
    </row>
    <row r="749" spans="1:30" x14ac:dyDescent="0.55000000000000004">
      <c r="A749">
        <v>95064</v>
      </c>
      <c r="B749" s="19">
        <v>42576</v>
      </c>
      <c r="C749">
        <v>825</v>
      </c>
      <c r="D749">
        <v>2016</v>
      </c>
      <c r="E749">
        <v>25</v>
      </c>
      <c r="F749">
        <v>781</v>
      </c>
      <c r="G749">
        <v>3</v>
      </c>
      <c r="H749">
        <v>2133</v>
      </c>
      <c r="I749">
        <v>3</v>
      </c>
      <c r="J749">
        <v>4732.29</v>
      </c>
      <c r="K749">
        <v>9032.01</v>
      </c>
      <c r="L749">
        <v>4732.08</v>
      </c>
      <c r="M749">
        <v>9032.5</v>
      </c>
      <c r="N749">
        <v>47.538167000000001</v>
      </c>
      <c r="O749">
        <v>-90.533500000000004</v>
      </c>
      <c r="P749">
        <v>47.534666999999999</v>
      </c>
      <c r="Q749">
        <v>-90.541667000000004</v>
      </c>
      <c r="R749">
        <v>15638.0867</v>
      </c>
      <c r="S749">
        <v>184</v>
      </c>
      <c r="T749">
        <v>184</v>
      </c>
      <c r="U749">
        <v>0.5</v>
      </c>
      <c r="V749">
        <v>2</v>
      </c>
      <c r="W749">
        <v>15</v>
      </c>
      <c r="X749">
        <v>15.2784</v>
      </c>
      <c r="Y749">
        <v>0.31290000000000001</v>
      </c>
      <c r="Z749">
        <v>88.150599999999997</v>
      </c>
      <c r="AA749">
        <v>10</v>
      </c>
      <c r="AB749">
        <v>0.42</v>
      </c>
      <c r="AC749">
        <v>217</v>
      </c>
      <c r="AD749">
        <v>24</v>
      </c>
    </row>
    <row r="750" spans="1:30" x14ac:dyDescent="0.55000000000000004">
      <c r="A750">
        <v>95066</v>
      </c>
      <c r="B750" s="19">
        <v>42578</v>
      </c>
      <c r="C750">
        <v>1241</v>
      </c>
      <c r="D750">
        <v>2016</v>
      </c>
      <c r="E750">
        <v>25</v>
      </c>
      <c r="F750">
        <v>782</v>
      </c>
      <c r="G750">
        <v>4</v>
      </c>
      <c r="H750">
        <v>301</v>
      </c>
      <c r="I750">
        <v>3</v>
      </c>
      <c r="J750">
        <v>4643.18</v>
      </c>
      <c r="K750">
        <v>9049.91</v>
      </c>
      <c r="L750">
        <v>4643.43</v>
      </c>
      <c r="M750">
        <v>9050.26</v>
      </c>
      <c r="N750">
        <v>46.719667000000001</v>
      </c>
      <c r="O750">
        <v>-90.831833000000003</v>
      </c>
      <c r="P750">
        <v>46.723832999999999</v>
      </c>
      <c r="Q750">
        <v>-90.837666999999996</v>
      </c>
      <c r="R750">
        <v>903.72856449999995</v>
      </c>
      <c r="S750">
        <v>19.3</v>
      </c>
      <c r="T750">
        <v>20.8</v>
      </c>
      <c r="U750">
        <v>0.5</v>
      </c>
      <c r="V750">
        <v>2</v>
      </c>
      <c r="W750">
        <v>21.3</v>
      </c>
      <c r="AA750">
        <v>10</v>
      </c>
      <c r="AB750">
        <v>0.4</v>
      </c>
      <c r="AC750">
        <v>0</v>
      </c>
      <c r="AD750">
        <v>0</v>
      </c>
    </row>
    <row r="751" spans="1:30" x14ac:dyDescent="0.55000000000000004">
      <c r="A751">
        <v>95067</v>
      </c>
      <c r="B751" s="19">
        <v>42578</v>
      </c>
      <c r="C751">
        <v>1241</v>
      </c>
      <c r="D751">
        <v>2016</v>
      </c>
      <c r="E751">
        <v>25</v>
      </c>
      <c r="F751">
        <v>783</v>
      </c>
      <c r="G751">
        <v>4</v>
      </c>
      <c r="H751">
        <v>301</v>
      </c>
      <c r="I751">
        <v>3</v>
      </c>
      <c r="J751">
        <v>4643.18</v>
      </c>
      <c r="K751">
        <v>9049.91</v>
      </c>
      <c r="L751">
        <v>4643.43</v>
      </c>
      <c r="M751">
        <v>9050.26</v>
      </c>
      <c r="N751">
        <v>46.719667000000001</v>
      </c>
      <c r="O751">
        <v>-90.831833000000003</v>
      </c>
      <c r="P751">
        <v>46.723832999999999</v>
      </c>
      <c r="Q751">
        <v>-90.837666999999996</v>
      </c>
      <c r="R751">
        <v>903.72856449999995</v>
      </c>
      <c r="S751">
        <v>19.3</v>
      </c>
      <c r="T751">
        <v>20.8</v>
      </c>
      <c r="U751">
        <v>0.5</v>
      </c>
      <c r="V751">
        <v>2</v>
      </c>
      <c r="W751">
        <v>21.3</v>
      </c>
      <c r="AA751">
        <v>10</v>
      </c>
      <c r="AB751">
        <v>0.4</v>
      </c>
      <c r="AC751">
        <v>0</v>
      </c>
      <c r="AD751">
        <v>0</v>
      </c>
    </row>
    <row r="752" spans="1:30" x14ac:dyDescent="0.55000000000000004">
      <c r="A752">
        <v>101753</v>
      </c>
      <c r="B752" s="19">
        <v>42870</v>
      </c>
      <c r="C752">
        <v>944</v>
      </c>
      <c r="D752">
        <v>2017</v>
      </c>
      <c r="E752">
        <v>25</v>
      </c>
      <c r="F752">
        <v>500</v>
      </c>
      <c r="G752">
        <v>1</v>
      </c>
      <c r="H752">
        <v>71</v>
      </c>
      <c r="I752">
        <v>3</v>
      </c>
      <c r="J752">
        <v>4656.4399999999996</v>
      </c>
      <c r="K752">
        <v>9047.09</v>
      </c>
      <c r="L752">
        <v>4656.42</v>
      </c>
      <c r="M752">
        <v>9047.5499999999993</v>
      </c>
      <c r="N752">
        <v>46.940666999999998</v>
      </c>
      <c r="O752">
        <v>-90.784833000000006</v>
      </c>
      <c r="P752">
        <v>46.940333000000003</v>
      </c>
      <c r="Q752">
        <v>-90.792500000000004</v>
      </c>
      <c r="R752">
        <v>249.6721489</v>
      </c>
      <c r="S752">
        <v>36.9</v>
      </c>
      <c r="T752">
        <v>32.700000000000003</v>
      </c>
      <c r="U752">
        <v>1</v>
      </c>
      <c r="V752">
        <v>2</v>
      </c>
      <c r="W752">
        <v>7.9</v>
      </c>
      <c r="X752">
        <v>6.2615499999999997</v>
      </c>
      <c r="Y752">
        <v>0.1356</v>
      </c>
      <c r="Z752">
        <v>62.352699999999999</v>
      </c>
      <c r="AA752">
        <v>10</v>
      </c>
      <c r="AB752">
        <v>0.42</v>
      </c>
      <c r="AC752">
        <v>217</v>
      </c>
      <c r="AD752">
        <v>30</v>
      </c>
    </row>
    <row r="753" spans="1:30" x14ac:dyDescent="0.55000000000000004">
      <c r="A753">
        <v>101754</v>
      </c>
      <c r="B753" s="19">
        <v>42870</v>
      </c>
      <c r="C753">
        <v>944</v>
      </c>
      <c r="D753">
        <v>2017</v>
      </c>
      <c r="E753">
        <v>25</v>
      </c>
      <c r="F753">
        <v>501</v>
      </c>
      <c r="G753">
        <v>1</v>
      </c>
      <c r="H753">
        <v>71</v>
      </c>
      <c r="I753">
        <v>3</v>
      </c>
      <c r="J753">
        <v>4656.4399999999996</v>
      </c>
      <c r="K753">
        <v>9047.09</v>
      </c>
      <c r="L753">
        <v>4656.42</v>
      </c>
      <c r="M753">
        <v>9047.5499999999993</v>
      </c>
      <c r="N753">
        <v>46.940666999999998</v>
      </c>
      <c r="O753">
        <v>-90.784833000000006</v>
      </c>
      <c r="P753">
        <v>46.940333000000003</v>
      </c>
      <c r="Q753">
        <v>-90.792500000000004</v>
      </c>
      <c r="R753">
        <v>249.6721489</v>
      </c>
      <c r="S753">
        <v>36.9</v>
      </c>
      <c r="T753">
        <v>32.700000000000003</v>
      </c>
      <c r="U753">
        <v>1</v>
      </c>
      <c r="V753">
        <v>2</v>
      </c>
      <c r="W753">
        <v>7.9</v>
      </c>
      <c r="X753">
        <v>6.2615499999999997</v>
      </c>
      <c r="Y753">
        <v>0.1356</v>
      </c>
      <c r="Z753">
        <v>62.352699999999999</v>
      </c>
      <c r="AA753">
        <v>10</v>
      </c>
      <c r="AB753">
        <v>0.42</v>
      </c>
      <c r="AC753">
        <v>217</v>
      </c>
      <c r="AD753">
        <v>20</v>
      </c>
    </row>
    <row r="754" spans="1:30" x14ac:dyDescent="0.55000000000000004">
      <c r="A754">
        <v>101755</v>
      </c>
      <c r="B754" s="19">
        <v>42870</v>
      </c>
      <c r="C754">
        <v>1108</v>
      </c>
      <c r="D754">
        <v>2017</v>
      </c>
      <c r="E754">
        <v>25</v>
      </c>
      <c r="F754">
        <v>502</v>
      </c>
      <c r="G754">
        <v>1</v>
      </c>
      <c r="H754">
        <v>75</v>
      </c>
      <c r="I754">
        <v>3</v>
      </c>
      <c r="J754">
        <v>4659.8599999999997</v>
      </c>
      <c r="K754">
        <v>9043.94</v>
      </c>
      <c r="L754">
        <v>4700.1400000000003</v>
      </c>
      <c r="M754">
        <v>9044.16</v>
      </c>
      <c r="N754">
        <v>46.997667</v>
      </c>
      <c r="O754">
        <v>-90.732332999999997</v>
      </c>
      <c r="P754">
        <v>47.002333</v>
      </c>
      <c r="Q754">
        <v>-90.736000000000004</v>
      </c>
      <c r="R754">
        <v>246.12315290000001</v>
      </c>
      <c r="S754">
        <v>47</v>
      </c>
      <c r="T754">
        <v>36.799999999999997</v>
      </c>
      <c r="U754">
        <v>1</v>
      </c>
      <c r="V754">
        <v>2</v>
      </c>
      <c r="W754">
        <v>5</v>
      </c>
      <c r="X754">
        <v>4.5727000000000002</v>
      </c>
      <c r="Y754">
        <v>0.14929999999999999</v>
      </c>
      <c r="Z754">
        <v>77.353849999999994</v>
      </c>
      <c r="AA754">
        <v>10</v>
      </c>
      <c r="AB754">
        <v>0.35</v>
      </c>
      <c r="AC754">
        <v>0</v>
      </c>
      <c r="AD754">
        <v>0</v>
      </c>
    </row>
    <row r="755" spans="1:30" x14ac:dyDescent="0.55000000000000004">
      <c r="A755">
        <v>101756</v>
      </c>
      <c r="B755" s="19">
        <v>42870</v>
      </c>
      <c r="C755">
        <v>1108</v>
      </c>
      <c r="D755">
        <v>2017</v>
      </c>
      <c r="E755">
        <v>25</v>
      </c>
      <c r="F755">
        <v>503</v>
      </c>
      <c r="G755">
        <v>1</v>
      </c>
      <c r="H755">
        <v>75</v>
      </c>
      <c r="I755">
        <v>3</v>
      </c>
      <c r="J755">
        <v>4659.8599999999997</v>
      </c>
      <c r="K755">
        <v>9043.94</v>
      </c>
      <c r="L755">
        <v>4700.1400000000003</v>
      </c>
      <c r="M755">
        <v>9044.16</v>
      </c>
      <c r="N755">
        <v>46.997667</v>
      </c>
      <c r="O755">
        <v>-90.732332999999997</v>
      </c>
      <c r="P755">
        <v>47.002333</v>
      </c>
      <c r="Q755">
        <v>-90.736000000000004</v>
      </c>
      <c r="R755">
        <v>246.12315290000001</v>
      </c>
      <c r="S755">
        <v>47</v>
      </c>
      <c r="T755">
        <v>36.799999999999997</v>
      </c>
      <c r="U755">
        <v>1</v>
      </c>
      <c r="V755">
        <v>2</v>
      </c>
      <c r="W755">
        <v>5</v>
      </c>
      <c r="X755">
        <v>4.5727000000000002</v>
      </c>
      <c r="Y755">
        <v>0.14929999999999999</v>
      </c>
      <c r="Z755">
        <v>77.353849999999994</v>
      </c>
      <c r="AA755">
        <v>10</v>
      </c>
      <c r="AB755">
        <v>0.35</v>
      </c>
      <c r="AC755">
        <v>217</v>
      </c>
      <c r="AD755">
        <v>2</v>
      </c>
    </row>
    <row r="756" spans="1:30" x14ac:dyDescent="0.55000000000000004">
      <c r="A756">
        <v>101757</v>
      </c>
      <c r="B756" s="19">
        <v>42870</v>
      </c>
      <c r="C756">
        <v>1304</v>
      </c>
      <c r="D756">
        <v>2017</v>
      </c>
      <c r="E756">
        <v>25</v>
      </c>
      <c r="F756">
        <v>504</v>
      </c>
      <c r="G756">
        <v>1</v>
      </c>
      <c r="H756">
        <v>86</v>
      </c>
      <c r="I756">
        <v>3</v>
      </c>
      <c r="J756">
        <v>4650.55</v>
      </c>
      <c r="K756">
        <v>9042.01</v>
      </c>
      <c r="L756">
        <v>4650.53</v>
      </c>
      <c r="M756">
        <v>9043.5499999999993</v>
      </c>
      <c r="N756">
        <v>46.842500000000001</v>
      </c>
      <c r="O756">
        <v>-90.700166999999993</v>
      </c>
      <c r="P756">
        <v>46.842167000000003</v>
      </c>
      <c r="Q756">
        <v>-90.725832999999994</v>
      </c>
      <c r="R756">
        <v>365.93498879999999</v>
      </c>
      <c r="S756">
        <v>48.3</v>
      </c>
      <c r="T756">
        <v>41.1</v>
      </c>
      <c r="U756">
        <v>1</v>
      </c>
      <c r="V756">
        <v>2</v>
      </c>
      <c r="W756">
        <v>6.3</v>
      </c>
      <c r="X756">
        <v>5.6258499999999998</v>
      </c>
      <c r="Y756">
        <v>0.40655000000000002</v>
      </c>
      <c r="Z756">
        <v>65.801100000000005</v>
      </c>
      <c r="AA756">
        <v>10</v>
      </c>
      <c r="AB756">
        <v>0.43</v>
      </c>
      <c r="AC756">
        <v>217</v>
      </c>
      <c r="AD756">
        <v>122</v>
      </c>
    </row>
    <row r="757" spans="1:30" x14ac:dyDescent="0.55000000000000004">
      <c r="A757">
        <v>101758</v>
      </c>
      <c r="B757" s="19">
        <v>42870</v>
      </c>
      <c r="C757">
        <v>1304</v>
      </c>
      <c r="D757">
        <v>2017</v>
      </c>
      <c r="E757">
        <v>25</v>
      </c>
      <c r="F757">
        <v>505</v>
      </c>
      <c r="G757">
        <v>1</v>
      </c>
      <c r="H757">
        <v>86</v>
      </c>
      <c r="I757">
        <v>3</v>
      </c>
      <c r="J757">
        <v>4650.55</v>
      </c>
      <c r="K757">
        <v>9042.01</v>
      </c>
      <c r="L757">
        <v>4650.53</v>
      </c>
      <c r="M757">
        <v>9043.5499999999993</v>
      </c>
      <c r="N757">
        <v>46.842500000000001</v>
      </c>
      <c r="O757">
        <v>-90.700166999999993</v>
      </c>
      <c r="P757">
        <v>46.842167000000003</v>
      </c>
      <c r="Q757">
        <v>-90.725832999999994</v>
      </c>
      <c r="R757">
        <v>365.93498879999999</v>
      </c>
      <c r="S757">
        <v>48.3</v>
      </c>
      <c r="T757">
        <v>41.1</v>
      </c>
      <c r="U757">
        <v>1</v>
      </c>
      <c r="V757">
        <v>2</v>
      </c>
      <c r="W757">
        <v>6.3</v>
      </c>
      <c r="X757">
        <v>5.6258499999999998</v>
      </c>
      <c r="Y757">
        <v>0.40655000000000002</v>
      </c>
      <c r="Z757">
        <v>65.801100000000005</v>
      </c>
      <c r="AA757">
        <v>10</v>
      </c>
      <c r="AB757">
        <v>0.43</v>
      </c>
      <c r="AC757">
        <v>217</v>
      </c>
      <c r="AD757">
        <v>92</v>
      </c>
    </row>
    <row r="758" spans="1:30" x14ac:dyDescent="0.55000000000000004">
      <c r="A758">
        <v>101759</v>
      </c>
      <c r="B758" s="19">
        <v>42871</v>
      </c>
      <c r="C758">
        <v>928</v>
      </c>
      <c r="D758">
        <v>2017</v>
      </c>
      <c r="E758">
        <v>25</v>
      </c>
      <c r="F758">
        <v>506</v>
      </c>
      <c r="G758">
        <v>1</v>
      </c>
      <c r="H758">
        <v>24</v>
      </c>
      <c r="I758">
        <v>3</v>
      </c>
      <c r="J758">
        <v>4650.71</v>
      </c>
      <c r="K758">
        <v>9028.2800000000007</v>
      </c>
      <c r="L758">
        <v>4651.04</v>
      </c>
      <c r="M758">
        <v>9028.3700000000008</v>
      </c>
      <c r="N758">
        <v>46.845167000000004</v>
      </c>
      <c r="O758">
        <v>-90.471333000000001</v>
      </c>
      <c r="P758">
        <v>46.850667000000001</v>
      </c>
      <c r="Q758">
        <v>-90.472832999999994</v>
      </c>
      <c r="R758">
        <v>2120.1913869999998</v>
      </c>
      <c r="S758">
        <v>55.3</v>
      </c>
      <c r="T758">
        <v>16.2</v>
      </c>
      <c r="U758">
        <v>1</v>
      </c>
      <c r="V758">
        <v>2</v>
      </c>
      <c r="W758">
        <v>4.7</v>
      </c>
      <c r="X758">
        <v>3.6114999999999999</v>
      </c>
      <c r="Y758">
        <v>0.30980000000000002</v>
      </c>
      <c r="Z758">
        <v>89.095349999999996</v>
      </c>
      <c r="AA758">
        <v>10</v>
      </c>
      <c r="AB758">
        <v>0.42</v>
      </c>
      <c r="AC758">
        <v>217</v>
      </c>
      <c r="AD758">
        <v>142</v>
      </c>
    </row>
    <row r="759" spans="1:30" x14ac:dyDescent="0.55000000000000004">
      <c r="A759">
        <v>101760</v>
      </c>
      <c r="B759" s="19">
        <v>42871</v>
      </c>
      <c r="C759">
        <v>928</v>
      </c>
      <c r="D759">
        <v>2017</v>
      </c>
      <c r="E759">
        <v>25</v>
      </c>
      <c r="F759">
        <v>507</v>
      </c>
      <c r="G759">
        <v>1</v>
      </c>
      <c r="H759">
        <v>24</v>
      </c>
      <c r="I759">
        <v>3</v>
      </c>
      <c r="J759">
        <v>4650.71</v>
      </c>
      <c r="K759">
        <v>9028.2800000000007</v>
      </c>
      <c r="L759">
        <v>4651.04</v>
      </c>
      <c r="M759">
        <v>9028.3700000000008</v>
      </c>
      <c r="N759">
        <v>46.845167000000004</v>
      </c>
      <c r="O759">
        <v>-90.471333000000001</v>
      </c>
      <c r="P759">
        <v>46.850667000000001</v>
      </c>
      <c r="Q759">
        <v>-90.472832999999994</v>
      </c>
      <c r="R759">
        <v>2120.1913869999998</v>
      </c>
      <c r="S759">
        <v>55.3</v>
      </c>
      <c r="T759">
        <v>16.2</v>
      </c>
      <c r="U759">
        <v>1</v>
      </c>
      <c r="V759">
        <v>2</v>
      </c>
      <c r="W759">
        <v>4.7</v>
      </c>
      <c r="X759">
        <v>3.6114999999999999</v>
      </c>
      <c r="Y759">
        <v>0.30980000000000002</v>
      </c>
      <c r="Z759">
        <v>89.095349999999996</v>
      </c>
      <c r="AA759">
        <v>10</v>
      </c>
      <c r="AB759">
        <v>0.42</v>
      </c>
      <c r="AC759">
        <v>217</v>
      </c>
      <c r="AD759">
        <v>154</v>
      </c>
    </row>
    <row r="760" spans="1:30" x14ac:dyDescent="0.55000000000000004">
      <c r="A760">
        <v>101761</v>
      </c>
      <c r="B760" s="19">
        <v>42871</v>
      </c>
      <c r="C760">
        <v>1102</v>
      </c>
      <c r="D760">
        <v>2017</v>
      </c>
      <c r="E760">
        <v>25</v>
      </c>
      <c r="F760">
        <v>508</v>
      </c>
      <c r="G760">
        <v>1</v>
      </c>
      <c r="H760">
        <v>2</v>
      </c>
      <c r="I760">
        <v>3</v>
      </c>
      <c r="J760">
        <v>4653.75</v>
      </c>
      <c r="K760">
        <v>9034.4</v>
      </c>
      <c r="L760">
        <v>4654.1099999999997</v>
      </c>
      <c r="M760">
        <v>9034.27</v>
      </c>
      <c r="N760">
        <v>46.895833000000003</v>
      </c>
      <c r="O760">
        <v>-90.573333000000005</v>
      </c>
      <c r="P760">
        <v>46.901833000000003</v>
      </c>
      <c r="Q760">
        <v>-90.571167000000003</v>
      </c>
      <c r="R760">
        <v>500.98315270000001</v>
      </c>
      <c r="S760">
        <v>98</v>
      </c>
      <c r="T760">
        <v>84</v>
      </c>
      <c r="U760">
        <v>1</v>
      </c>
      <c r="V760">
        <v>2</v>
      </c>
      <c r="W760">
        <v>4.3</v>
      </c>
      <c r="X760">
        <v>3.9437000000000002</v>
      </c>
      <c r="Y760">
        <v>0.28499999999999998</v>
      </c>
      <c r="Z760">
        <v>89.235249999999994</v>
      </c>
      <c r="AA760">
        <v>10</v>
      </c>
      <c r="AB760">
        <v>0.42</v>
      </c>
      <c r="AC760">
        <v>217</v>
      </c>
      <c r="AD760">
        <v>1441</v>
      </c>
    </row>
    <row r="761" spans="1:30" x14ac:dyDescent="0.55000000000000004">
      <c r="A761">
        <v>101762</v>
      </c>
      <c r="B761" s="19">
        <v>42871</v>
      </c>
      <c r="C761">
        <v>1102</v>
      </c>
      <c r="D761">
        <v>2017</v>
      </c>
      <c r="E761">
        <v>25</v>
      </c>
      <c r="F761">
        <v>509</v>
      </c>
      <c r="G761">
        <v>1</v>
      </c>
      <c r="H761">
        <v>2</v>
      </c>
      <c r="I761">
        <v>3</v>
      </c>
      <c r="J761">
        <v>4653.75</v>
      </c>
      <c r="K761">
        <v>9034.4</v>
      </c>
      <c r="L761">
        <v>4654.1099999999997</v>
      </c>
      <c r="M761">
        <v>9034.27</v>
      </c>
      <c r="N761">
        <v>46.895833000000003</v>
      </c>
      <c r="O761">
        <v>-90.573333000000005</v>
      </c>
      <c r="P761">
        <v>46.901833000000003</v>
      </c>
      <c r="Q761">
        <v>-90.571167000000003</v>
      </c>
      <c r="R761">
        <v>500.98315270000001</v>
      </c>
      <c r="S761">
        <v>98</v>
      </c>
      <c r="T761">
        <v>84</v>
      </c>
      <c r="U761">
        <v>1</v>
      </c>
      <c r="V761">
        <v>2</v>
      </c>
      <c r="W761">
        <v>4.3</v>
      </c>
      <c r="X761">
        <v>3.9437000000000002</v>
      </c>
      <c r="Y761">
        <v>0.28499999999999998</v>
      </c>
      <c r="Z761">
        <v>89.235249999999994</v>
      </c>
      <c r="AA761">
        <v>10</v>
      </c>
      <c r="AB761">
        <v>0.42</v>
      </c>
      <c r="AC761">
        <v>217</v>
      </c>
      <c r="AD761">
        <v>1300</v>
      </c>
    </row>
    <row r="762" spans="1:30" x14ac:dyDescent="0.55000000000000004">
      <c r="A762">
        <v>101763</v>
      </c>
      <c r="B762" s="19">
        <v>42871</v>
      </c>
      <c r="C762">
        <v>1308</v>
      </c>
      <c r="D762">
        <v>2017</v>
      </c>
      <c r="E762">
        <v>25</v>
      </c>
      <c r="F762">
        <v>510</v>
      </c>
      <c r="G762">
        <v>1</v>
      </c>
      <c r="H762">
        <v>87</v>
      </c>
      <c r="I762">
        <v>3</v>
      </c>
      <c r="J762">
        <v>4656.5280000000002</v>
      </c>
      <c r="K762">
        <v>9039.2039999999997</v>
      </c>
      <c r="L762">
        <v>4656.1400000000003</v>
      </c>
      <c r="M762">
        <v>9038.94</v>
      </c>
      <c r="N762">
        <v>46.942132999999998</v>
      </c>
      <c r="O762">
        <v>-90.653400000000005</v>
      </c>
      <c r="P762">
        <v>46.935667000000002</v>
      </c>
      <c r="Q762">
        <v>-90.649000000000001</v>
      </c>
      <c r="R762">
        <v>171.78592839999999</v>
      </c>
      <c r="S762">
        <v>60</v>
      </c>
      <c r="T762">
        <v>43</v>
      </c>
      <c r="U762">
        <v>1</v>
      </c>
      <c r="V762">
        <v>2</v>
      </c>
      <c r="W762">
        <v>4.5</v>
      </c>
      <c r="X762">
        <v>4.1395</v>
      </c>
      <c r="Y762">
        <v>0.2389</v>
      </c>
      <c r="Z762">
        <v>82.635249999999999</v>
      </c>
      <c r="AA762">
        <v>10</v>
      </c>
      <c r="AB762">
        <v>0.42</v>
      </c>
      <c r="AC762">
        <v>217</v>
      </c>
      <c r="AD762">
        <v>217</v>
      </c>
    </row>
    <row r="763" spans="1:30" x14ac:dyDescent="0.55000000000000004">
      <c r="A763">
        <v>101763</v>
      </c>
      <c r="B763" s="19">
        <v>42871</v>
      </c>
      <c r="C763">
        <v>1308</v>
      </c>
      <c r="D763">
        <v>2017</v>
      </c>
      <c r="E763">
        <v>25</v>
      </c>
      <c r="F763">
        <v>510</v>
      </c>
      <c r="G763">
        <v>1</v>
      </c>
      <c r="H763">
        <v>87</v>
      </c>
      <c r="I763">
        <v>3</v>
      </c>
      <c r="J763">
        <v>4656.5280000000002</v>
      </c>
      <c r="K763">
        <v>9039.2039999999997</v>
      </c>
      <c r="L763">
        <v>4656.1400000000003</v>
      </c>
      <c r="M763">
        <v>9038.94</v>
      </c>
      <c r="N763">
        <v>46.942132999999998</v>
      </c>
      <c r="O763">
        <v>-90.653400000000005</v>
      </c>
      <c r="P763">
        <v>46.935667000000002</v>
      </c>
      <c r="Q763">
        <v>-90.649000000000001</v>
      </c>
      <c r="R763">
        <v>171.78592839999999</v>
      </c>
      <c r="S763">
        <v>60</v>
      </c>
      <c r="T763">
        <v>43</v>
      </c>
      <c r="U763">
        <v>1</v>
      </c>
      <c r="V763">
        <v>2</v>
      </c>
      <c r="W763">
        <v>4.5</v>
      </c>
      <c r="X763">
        <v>4.1395</v>
      </c>
      <c r="Y763">
        <v>0.2389</v>
      </c>
      <c r="Z763">
        <v>82.635249999999999</v>
      </c>
      <c r="AA763">
        <v>10</v>
      </c>
      <c r="AB763">
        <v>0.42</v>
      </c>
      <c r="AC763">
        <v>904</v>
      </c>
      <c r="AD763">
        <v>1</v>
      </c>
    </row>
    <row r="764" spans="1:30" x14ac:dyDescent="0.55000000000000004">
      <c r="A764">
        <v>101764</v>
      </c>
      <c r="B764" s="19">
        <v>42871</v>
      </c>
      <c r="C764">
        <v>1308</v>
      </c>
      <c r="D764">
        <v>2017</v>
      </c>
      <c r="E764">
        <v>25</v>
      </c>
      <c r="F764">
        <v>511</v>
      </c>
      <c r="G764">
        <v>1</v>
      </c>
      <c r="H764">
        <v>87</v>
      </c>
      <c r="I764">
        <v>3</v>
      </c>
      <c r="J764">
        <v>4656.5280000000002</v>
      </c>
      <c r="K764">
        <v>9039.2039999999997</v>
      </c>
      <c r="L764">
        <v>4656.1400000000003</v>
      </c>
      <c r="M764">
        <v>9038.94</v>
      </c>
      <c r="N764">
        <v>46.942132999999998</v>
      </c>
      <c r="O764">
        <v>-90.653400000000005</v>
      </c>
      <c r="P764">
        <v>46.935667000000002</v>
      </c>
      <c r="Q764">
        <v>-90.649000000000001</v>
      </c>
      <c r="R764">
        <v>171.78592839999999</v>
      </c>
      <c r="S764">
        <v>60</v>
      </c>
      <c r="T764">
        <v>43</v>
      </c>
      <c r="U764">
        <v>1</v>
      </c>
      <c r="V764">
        <v>2</v>
      </c>
      <c r="W764">
        <v>4.5</v>
      </c>
      <c r="X764">
        <v>4.1395</v>
      </c>
      <c r="Y764">
        <v>0.2389</v>
      </c>
      <c r="Z764">
        <v>82.635249999999999</v>
      </c>
      <c r="AA764">
        <v>10</v>
      </c>
      <c r="AB764">
        <v>0.42</v>
      </c>
      <c r="AC764">
        <v>217</v>
      </c>
      <c r="AD764">
        <v>260</v>
      </c>
    </row>
    <row r="765" spans="1:30" x14ac:dyDescent="0.55000000000000004">
      <c r="A765">
        <v>101765</v>
      </c>
      <c r="B765" s="19">
        <v>42872</v>
      </c>
      <c r="C765">
        <v>958</v>
      </c>
      <c r="D765">
        <v>2017</v>
      </c>
      <c r="E765">
        <v>25</v>
      </c>
      <c r="F765">
        <v>512</v>
      </c>
      <c r="G765">
        <v>1</v>
      </c>
      <c r="H765">
        <v>52</v>
      </c>
      <c r="I765">
        <v>3</v>
      </c>
      <c r="J765">
        <v>4658.21</v>
      </c>
      <c r="K765">
        <v>9027.23</v>
      </c>
      <c r="L765">
        <v>4658.55</v>
      </c>
      <c r="M765">
        <v>9027.36</v>
      </c>
      <c r="N765">
        <v>46.970167000000004</v>
      </c>
      <c r="O765">
        <v>-90.453833000000003</v>
      </c>
      <c r="P765">
        <v>46.975833000000002</v>
      </c>
      <c r="Q765">
        <v>-90.456000000000003</v>
      </c>
      <c r="R765">
        <v>1238.123083</v>
      </c>
      <c r="S765">
        <v>74.3</v>
      </c>
      <c r="T765">
        <v>35</v>
      </c>
      <c r="U765">
        <v>1</v>
      </c>
      <c r="V765">
        <v>2</v>
      </c>
      <c r="W765">
        <v>5.4</v>
      </c>
      <c r="X765">
        <v>3.4387500000000002</v>
      </c>
      <c r="Y765">
        <v>0.2097</v>
      </c>
      <c r="Z765">
        <v>93.116650000000007</v>
      </c>
      <c r="AA765">
        <v>10</v>
      </c>
      <c r="AB765">
        <v>0.42</v>
      </c>
      <c r="AC765">
        <v>217</v>
      </c>
      <c r="AD765">
        <v>12</v>
      </c>
    </row>
    <row r="766" spans="1:30" x14ac:dyDescent="0.55000000000000004">
      <c r="A766">
        <v>101766</v>
      </c>
      <c r="B766" s="19">
        <v>42872</v>
      </c>
      <c r="C766">
        <v>958</v>
      </c>
      <c r="D766">
        <v>2017</v>
      </c>
      <c r="E766">
        <v>25</v>
      </c>
      <c r="F766">
        <v>513</v>
      </c>
      <c r="G766">
        <v>1</v>
      </c>
      <c r="H766">
        <v>52</v>
      </c>
      <c r="I766">
        <v>3</v>
      </c>
      <c r="J766">
        <v>4658.21</v>
      </c>
      <c r="K766">
        <v>9027.23</v>
      </c>
      <c r="L766">
        <v>4658.55</v>
      </c>
      <c r="M766">
        <v>9027.36</v>
      </c>
      <c r="N766">
        <v>46.970167000000004</v>
      </c>
      <c r="O766">
        <v>-90.453833000000003</v>
      </c>
      <c r="P766">
        <v>46.975833000000002</v>
      </c>
      <c r="Q766">
        <v>-90.456000000000003</v>
      </c>
      <c r="R766">
        <v>1238.123083</v>
      </c>
      <c r="S766">
        <v>74.3</v>
      </c>
      <c r="T766">
        <v>35</v>
      </c>
      <c r="U766">
        <v>1</v>
      </c>
      <c r="V766">
        <v>2</v>
      </c>
      <c r="W766">
        <v>5.4</v>
      </c>
      <c r="X766">
        <v>3.4387500000000002</v>
      </c>
      <c r="Y766">
        <v>0.2097</v>
      </c>
      <c r="Z766">
        <v>93.116650000000007</v>
      </c>
      <c r="AA766">
        <v>10</v>
      </c>
      <c r="AB766">
        <v>0.42</v>
      </c>
      <c r="AC766">
        <v>217</v>
      </c>
      <c r="AD766">
        <v>20</v>
      </c>
    </row>
    <row r="767" spans="1:30" x14ac:dyDescent="0.55000000000000004">
      <c r="A767">
        <v>101767</v>
      </c>
      <c r="B767" s="19">
        <v>42872</v>
      </c>
      <c r="C767">
        <v>1146</v>
      </c>
      <c r="D767">
        <v>2017</v>
      </c>
      <c r="E767">
        <v>25</v>
      </c>
      <c r="F767">
        <v>514</v>
      </c>
      <c r="G767">
        <v>1</v>
      </c>
      <c r="H767">
        <v>44</v>
      </c>
      <c r="I767">
        <v>3</v>
      </c>
      <c r="J767">
        <v>4701.88</v>
      </c>
      <c r="K767">
        <v>9029.7000000000007</v>
      </c>
      <c r="L767">
        <v>4701.8900000000003</v>
      </c>
      <c r="M767">
        <v>9029.14</v>
      </c>
      <c r="N767">
        <v>47.031332999999997</v>
      </c>
      <c r="O767">
        <v>-90.495000000000005</v>
      </c>
      <c r="P767">
        <v>47.031500000000001</v>
      </c>
      <c r="Q767">
        <v>-90.485667000000007</v>
      </c>
      <c r="R767">
        <v>1990.952313</v>
      </c>
      <c r="S767">
        <v>53.3</v>
      </c>
      <c r="T767">
        <v>45.3</v>
      </c>
      <c r="U767">
        <v>1</v>
      </c>
      <c r="V767">
        <v>2</v>
      </c>
      <c r="W767">
        <v>6.3</v>
      </c>
      <c r="X767">
        <v>4.8781499999999998</v>
      </c>
      <c r="Y767">
        <v>0.28275</v>
      </c>
      <c r="Z767">
        <v>85.664900000000003</v>
      </c>
      <c r="AA767">
        <v>10</v>
      </c>
      <c r="AB767">
        <v>0.43</v>
      </c>
      <c r="AC767">
        <v>217</v>
      </c>
      <c r="AD767">
        <v>45</v>
      </c>
    </row>
    <row r="768" spans="1:30" x14ac:dyDescent="0.55000000000000004">
      <c r="A768">
        <v>101768</v>
      </c>
      <c r="B768" s="19">
        <v>42872</v>
      </c>
      <c r="C768">
        <v>1146</v>
      </c>
      <c r="D768">
        <v>2017</v>
      </c>
      <c r="E768">
        <v>25</v>
      </c>
      <c r="F768">
        <v>515</v>
      </c>
      <c r="G768">
        <v>1</v>
      </c>
      <c r="H768">
        <v>44</v>
      </c>
      <c r="I768">
        <v>3</v>
      </c>
      <c r="J768">
        <v>4701.88</v>
      </c>
      <c r="K768">
        <v>9029.7000000000007</v>
      </c>
      <c r="L768">
        <v>4701.8900000000003</v>
      </c>
      <c r="M768">
        <v>9029.14</v>
      </c>
      <c r="N768">
        <v>47.031332999999997</v>
      </c>
      <c r="O768">
        <v>-90.495000000000005</v>
      </c>
      <c r="P768">
        <v>47.031500000000001</v>
      </c>
      <c r="Q768">
        <v>-90.485667000000007</v>
      </c>
      <c r="R768">
        <v>1990.952313</v>
      </c>
      <c r="S768">
        <v>53.3</v>
      </c>
      <c r="T768">
        <v>45.3</v>
      </c>
      <c r="U768">
        <v>1</v>
      </c>
      <c r="V768">
        <v>2</v>
      </c>
      <c r="W768">
        <v>6.3</v>
      </c>
      <c r="X768">
        <v>4.8781499999999998</v>
      </c>
      <c r="Y768">
        <v>0.28275</v>
      </c>
      <c r="Z768">
        <v>85.664900000000003</v>
      </c>
      <c r="AA768">
        <v>10</v>
      </c>
      <c r="AB768">
        <v>0.43</v>
      </c>
      <c r="AC768">
        <v>217</v>
      </c>
      <c r="AD768">
        <v>44</v>
      </c>
    </row>
    <row r="769" spans="1:30" x14ac:dyDescent="0.55000000000000004">
      <c r="A769">
        <v>101769</v>
      </c>
      <c r="B769" s="19">
        <v>42872</v>
      </c>
      <c r="C769">
        <v>1313</v>
      </c>
      <c r="D769">
        <v>2017</v>
      </c>
      <c r="E769">
        <v>25</v>
      </c>
      <c r="F769">
        <v>516</v>
      </c>
      <c r="G769">
        <v>1</v>
      </c>
      <c r="H769">
        <v>45</v>
      </c>
      <c r="I769">
        <v>3</v>
      </c>
      <c r="J769">
        <v>4658.97</v>
      </c>
      <c r="K769">
        <v>9033.17</v>
      </c>
      <c r="L769">
        <v>4659.25</v>
      </c>
      <c r="M769">
        <v>9033.4699999999993</v>
      </c>
      <c r="N769">
        <v>46.982832999999999</v>
      </c>
      <c r="O769">
        <v>-90.552833000000007</v>
      </c>
      <c r="P769">
        <v>46.987499999999997</v>
      </c>
      <c r="Q769">
        <v>-90.557833000000002</v>
      </c>
      <c r="R769">
        <v>979.68868829999997</v>
      </c>
      <c r="S769">
        <v>62.2</v>
      </c>
      <c r="T769">
        <v>20.6</v>
      </c>
      <c r="U769">
        <v>1</v>
      </c>
      <c r="V769">
        <v>2</v>
      </c>
      <c r="W769">
        <v>6</v>
      </c>
      <c r="X769">
        <v>4.62235</v>
      </c>
      <c r="Y769">
        <v>0.16980000000000001</v>
      </c>
      <c r="Z769">
        <v>64.355500000000006</v>
      </c>
      <c r="AA769">
        <v>10</v>
      </c>
      <c r="AB769">
        <v>0.4</v>
      </c>
      <c r="AC769">
        <v>217</v>
      </c>
      <c r="AD769">
        <v>699</v>
      </c>
    </row>
    <row r="770" spans="1:30" x14ac:dyDescent="0.55000000000000004">
      <c r="A770">
        <v>101770</v>
      </c>
      <c r="B770" s="19">
        <v>42872</v>
      </c>
      <c r="C770">
        <v>1313</v>
      </c>
      <c r="D770">
        <v>2017</v>
      </c>
      <c r="E770">
        <v>25</v>
      </c>
      <c r="F770">
        <v>517</v>
      </c>
      <c r="G770">
        <v>1</v>
      </c>
      <c r="H770">
        <v>45</v>
      </c>
      <c r="I770">
        <v>3</v>
      </c>
      <c r="J770">
        <v>4658.97</v>
      </c>
      <c r="K770">
        <v>9033.17</v>
      </c>
      <c r="L770">
        <v>4659.25</v>
      </c>
      <c r="M770">
        <v>9033.4699999999993</v>
      </c>
      <c r="N770">
        <v>46.982832999999999</v>
      </c>
      <c r="O770">
        <v>-90.552833000000007</v>
      </c>
      <c r="P770">
        <v>46.987499999999997</v>
      </c>
      <c r="Q770">
        <v>-90.557833000000002</v>
      </c>
      <c r="R770">
        <v>979.68868829999997</v>
      </c>
      <c r="S770">
        <v>62.2</v>
      </c>
      <c r="T770">
        <v>20.6</v>
      </c>
      <c r="U770">
        <v>1</v>
      </c>
      <c r="V770">
        <v>2</v>
      </c>
      <c r="W770">
        <v>6</v>
      </c>
      <c r="X770">
        <v>4.62235</v>
      </c>
      <c r="Y770">
        <v>0.16980000000000001</v>
      </c>
      <c r="Z770">
        <v>64.355500000000006</v>
      </c>
      <c r="AA770">
        <v>10</v>
      </c>
      <c r="AB770">
        <v>0.4</v>
      </c>
      <c r="AC770">
        <v>217</v>
      </c>
      <c r="AD770">
        <v>615</v>
      </c>
    </row>
    <row r="771" spans="1:30" x14ac:dyDescent="0.55000000000000004">
      <c r="A771">
        <v>101774</v>
      </c>
      <c r="B771" s="19">
        <v>42877</v>
      </c>
      <c r="C771">
        <v>1255</v>
      </c>
      <c r="D771">
        <v>2017</v>
      </c>
      <c r="E771">
        <v>25</v>
      </c>
      <c r="F771">
        <v>518</v>
      </c>
      <c r="G771">
        <v>1</v>
      </c>
      <c r="H771">
        <v>190</v>
      </c>
      <c r="I771">
        <v>3</v>
      </c>
      <c r="J771">
        <v>4737.2700000000004</v>
      </c>
      <c r="K771">
        <v>9042.7999999999993</v>
      </c>
      <c r="L771">
        <v>4737.6000000000004</v>
      </c>
      <c r="M771">
        <v>9042.51</v>
      </c>
      <c r="N771">
        <v>47.621167</v>
      </c>
      <c r="O771">
        <v>-90.713333000000006</v>
      </c>
      <c r="P771">
        <v>47.626666999999998</v>
      </c>
      <c r="Q771">
        <v>-90.708500000000001</v>
      </c>
      <c r="R771">
        <v>603.31760629999997</v>
      </c>
      <c r="S771">
        <v>72.5</v>
      </c>
      <c r="T771">
        <v>43.8</v>
      </c>
      <c r="U771">
        <v>1</v>
      </c>
      <c r="V771">
        <v>2</v>
      </c>
      <c r="W771">
        <v>4.2</v>
      </c>
      <c r="X771">
        <v>3.3651499999999999</v>
      </c>
      <c r="Y771">
        <v>0.13564999999999999</v>
      </c>
      <c r="Z771">
        <v>90.966750000000005</v>
      </c>
      <c r="AA771">
        <v>10</v>
      </c>
      <c r="AB771">
        <v>0.43</v>
      </c>
      <c r="AC771">
        <v>217</v>
      </c>
      <c r="AD771">
        <v>24</v>
      </c>
    </row>
    <row r="772" spans="1:30" x14ac:dyDescent="0.55000000000000004">
      <c r="A772">
        <v>101775</v>
      </c>
      <c r="B772" s="19">
        <v>42877</v>
      </c>
      <c r="C772">
        <v>1255</v>
      </c>
      <c r="D772">
        <v>2017</v>
      </c>
      <c r="E772">
        <v>25</v>
      </c>
      <c r="F772">
        <v>519</v>
      </c>
      <c r="G772">
        <v>1</v>
      </c>
      <c r="H772">
        <v>190</v>
      </c>
      <c r="I772">
        <v>3</v>
      </c>
      <c r="J772">
        <v>4737.2700000000004</v>
      </c>
      <c r="K772">
        <v>9042.7999999999993</v>
      </c>
      <c r="L772">
        <v>4737.6000000000004</v>
      </c>
      <c r="M772">
        <v>9042.51</v>
      </c>
      <c r="N772">
        <v>47.621167</v>
      </c>
      <c r="O772">
        <v>-90.713333000000006</v>
      </c>
      <c r="P772">
        <v>47.626666999999998</v>
      </c>
      <c r="Q772">
        <v>-90.708500000000001</v>
      </c>
      <c r="R772">
        <v>603.31760629999997</v>
      </c>
      <c r="S772">
        <v>72.5</v>
      </c>
      <c r="T772">
        <v>43.8</v>
      </c>
      <c r="U772">
        <v>1</v>
      </c>
      <c r="V772">
        <v>2</v>
      </c>
      <c r="W772">
        <v>4.2</v>
      </c>
      <c r="X772">
        <v>3.3651499999999999</v>
      </c>
      <c r="Y772">
        <v>0.13564999999999999</v>
      </c>
      <c r="Z772">
        <v>90.966750000000005</v>
      </c>
      <c r="AA772">
        <v>10</v>
      </c>
      <c r="AB772">
        <v>0.43</v>
      </c>
      <c r="AC772">
        <v>217</v>
      </c>
      <c r="AD772">
        <v>20</v>
      </c>
    </row>
    <row r="773" spans="1:30" x14ac:dyDescent="0.55000000000000004">
      <c r="A773">
        <v>101776</v>
      </c>
      <c r="B773" s="19">
        <v>42877</v>
      </c>
      <c r="C773">
        <v>1458</v>
      </c>
      <c r="D773">
        <v>2017</v>
      </c>
      <c r="E773">
        <v>25</v>
      </c>
      <c r="F773">
        <v>520</v>
      </c>
      <c r="G773">
        <v>1</v>
      </c>
      <c r="H773">
        <v>208</v>
      </c>
      <c r="I773">
        <v>3</v>
      </c>
      <c r="J773">
        <v>4741.3900000000003</v>
      </c>
      <c r="K773">
        <v>9031.65</v>
      </c>
      <c r="L773">
        <v>4741.6499999999996</v>
      </c>
      <c r="M773">
        <v>9031.99</v>
      </c>
      <c r="N773">
        <v>47.689833</v>
      </c>
      <c r="O773">
        <v>-90.527500000000003</v>
      </c>
      <c r="P773">
        <v>47.694167</v>
      </c>
      <c r="Q773">
        <v>-90.533167000000006</v>
      </c>
      <c r="R773">
        <v>707.46760229999995</v>
      </c>
      <c r="S773">
        <v>97.5</v>
      </c>
      <c r="T773">
        <v>41</v>
      </c>
      <c r="U773">
        <v>1</v>
      </c>
      <c r="V773">
        <v>2</v>
      </c>
      <c r="W773">
        <v>4.5</v>
      </c>
      <c r="X773">
        <v>3.4050500000000001</v>
      </c>
      <c r="Y773">
        <v>0.15525</v>
      </c>
      <c r="Z773">
        <v>68.193250000000006</v>
      </c>
      <c r="AA773">
        <v>10</v>
      </c>
      <c r="AB773">
        <v>0.42</v>
      </c>
      <c r="AC773">
        <v>217</v>
      </c>
      <c r="AD773">
        <v>3</v>
      </c>
    </row>
    <row r="774" spans="1:30" x14ac:dyDescent="0.55000000000000004">
      <c r="A774">
        <v>101777</v>
      </c>
      <c r="B774" s="19">
        <v>42877</v>
      </c>
      <c r="C774">
        <v>1458</v>
      </c>
      <c r="D774">
        <v>2017</v>
      </c>
      <c r="E774">
        <v>25</v>
      </c>
      <c r="F774">
        <v>521</v>
      </c>
      <c r="G774">
        <v>1</v>
      </c>
      <c r="H774">
        <v>208</v>
      </c>
      <c r="I774">
        <v>3</v>
      </c>
      <c r="J774">
        <v>4741.3900000000003</v>
      </c>
      <c r="K774">
        <v>9031.65</v>
      </c>
      <c r="L774">
        <v>4741.6499999999996</v>
      </c>
      <c r="M774">
        <v>9031.99</v>
      </c>
      <c r="N774">
        <v>47.689833</v>
      </c>
      <c r="O774">
        <v>-90.527500000000003</v>
      </c>
      <c r="P774">
        <v>47.694167</v>
      </c>
      <c r="Q774">
        <v>-90.533167000000006</v>
      </c>
      <c r="R774">
        <v>707.46760229999995</v>
      </c>
      <c r="S774">
        <v>97.5</v>
      </c>
      <c r="T774">
        <v>41</v>
      </c>
      <c r="U774">
        <v>1</v>
      </c>
      <c r="V774">
        <v>2</v>
      </c>
      <c r="W774">
        <v>4.5</v>
      </c>
      <c r="X774">
        <v>3.4050500000000001</v>
      </c>
      <c r="Y774">
        <v>0.15525</v>
      </c>
      <c r="Z774">
        <v>68.193250000000006</v>
      </c>
      <c r="AA774">
        <v>10</v>
      </c>
      <c r="AB774">
        <v>0.42</v>
      </c>
      <c r="AC774">
        <v>217</v>
      </c>
      <c r="AD774">
        <v>7</v>
      </c>
    </row>
    <row r="775" spans="1:30" x14ac:dyDescent="0.55000000000000004">
      <c r="A775">
        <v>101778</v>
      </c>
      <c r="B775" s="19">
        <v>42877</v>
      </c>
      <c r="C775">
        <v>1658</v>
      </c>
      <c r="D775">
        <v>2017</v>
      </c>
      <c r="E775">
        <v>25</v>
      </c>
      <c r="F775">
        <v>522</v>
      </c>
      <c r="G775">
        <v>1</v>
      </c>
      <c r="H775">
        <v>65</v>
      </c>
      <c r="I775">
        <v>3</v>
      </c>
      <c r="J775">
        <v>4744.6000000000004</v>
      </c>
      <c r="K775">
        <v>9018.5300000000007</v>
      </c>
      <c r="L775">
        <v>4744.74</v>
      </c>
      <c r="M775">
        <v>9019</v>
      </c>
      <c r="N775">
        <v>47.743333</v>
      </c>
      <c r="O775">
        <v>-90.308833000000007</v>
      </c>
      <c r="P775">
        <v>47.745666999999997</v>
      </c>
      <c r="Q775">
        <v>-90.316666999999995</v>
      </c>
      <c r="R775">
        <v>688.20263509999995</v>
      </c>
      <c r="S775">
        <v>102</v>
      </c>
      <c r="T775">
        <v>64</v>
      </c>
      <c r="U775">
        <v>1</v>
      </c>
      <c r="V775">
        <v>2</v>
      </c>
      <c r="W775">
        <v>3.6</v>
      </c>
      <c r="X775">
        <v>3.1487500000000002</v>
      </c>
      <c r="Y775">
        <v>0.17549999999999999</v>
      </c>
      <c r="Z775">
        <v>91.257649999999998</v>
      </c>
      <c r="AA775">
        <v>10</v>
      </c>
      <c r="AB775">
        <v>0.42</v>
      </c>
      <c r="AC775">
        <v>217</v>
      </c>
      <c r="AD775">
        <v>5</v>
      </c>
    </row>
    <row r="776" spans="1:30" x14ac:dyDescent="0.55000000000000004">
      <c r="A776">
        <v>101779</v>
      </c>
      <c r="B776" s="19">
        <v>42877</v>
      </c>
      <c r="C776">
        <v>1658</v>
      </c>
      <c r="D776">
        <v>2017</v>
      </c>
      <c r="E776">
        <v>25</v>
      </c>
      <c r="F776">
        <v>523</v>
      </c>
      <c r="G776">
        <v>1</v>
      </c>
      <c r="H776">
        <v>65</v>
      </c>
      <c r="I776">
        <v>3</v>
      </c>
      <c r="J776">
        <v>4744.6000000000004</v>
      </c>
      <c r="K776">
        <v>9018.5300000000007</v>
      </c>
      <c r="L776">
        <v>4744.74</v>
      </c>
      <c r="M776">
        <v>9019</v>
      </c>
      <c r="N776">
        <v>47.743333</v>
      </c>
      <c r="O776">
        <v>-90.308833000000007</v>
      </c>
      <c r="P776">
        <v>47.745666999999997</v>
      </c>
      <c r="Q776">
        <v>-90.316666999999995</v>
      </c>
      <c r="R776">
        <v>688.20263509999995</v>
      </c>
      <c r="S776">
        <v>102</v>
      </c>
      <c r="T776">
        <v>64</v>
      </c>
      <c r="U776">
        <v>1</v>
      </c>
      <c r="V776">
        <v>2</v>
      </c>
      <c r="W776">
        <v>3.6</v>
      </c>
      <c r="X776">
        <v>3.1487500000000002</v>
      </c>
      <c r="Y776">
        <v>0.17549999999999999</v>
      </c>
      <c r="Z776">
        <v>91.257649999999998</v>
      </c>
      <c r="AA776">
        <v>10</v>
      </c>
      <c r="AB776">
        <v>0.42</v>
      </c>
      <c r="AC776">
        <v>217</v>
      </c>
      <c r="AD776">
        <v>6</v>
      </c>
    </row>
    <row r="777" spans="1:30" x14ac:dyDescent="0.55000000000000004">
      <c r="A777">
        <v>101782</v>
      </c>
      <c r="B777" s="19">
        <v>42878</v>
      </c>
      <c r="C777">
        <v>1054</v>
      </c>
      <c r="D777">
        <v>2017</v>
      </c>
      <c r="E777">
        <v>25</v>
      </c>
      <c r="F777">
        <v>524</v>
      </c>
      <c r="G777">
        <v>1</v>
      </c>
      <c r="H777">
        <v>172</v>
      </c>
      <c r="I777">
        <v>3</v>
      </c>
      <c r="J777">
        <v>4720.13</v>
      </c>
      <c r="K777">
        <v>9110.3700000000008</v>
      </c>
      <c r="L777">
        <v>4720.07</v>
      </c>
      <c r="M777">
        <v>9110.69</v>
      </c>
      <c r="N777">
        <v>47.335500000000003</v>
      </c>
      <c r="O777">
        <v>-91.172832999999997</v>
      </c>
      <c r="P777">
        <v>47.334499999999998</v>
      </c>
      <c r="Q777">
        <v>-91.178167000000002</v>
      </c>
      <c r="R777">
        <v>370.65774320000003</v>
      </c>
      <c r="S777">
        <v>485</v>
      </c>
      <c r="U777">
        <v>1</v>
      </c>
      <c r="V777">
        <v>2</v>
      </c>
      <c r="W777">
        <v>3.5</v>
      </c>
      <c r="X777">
        <v>3.3608500000000001</v>
      </c>
      <c r="Y777">
        <v>0.12859999999999999</v>
      </c>
      <c r="Z777">
        <v>89.581850000000003</v>
      </c>
      <c r="AA777">
        <v>10</v>
      </c>
      <c r="AB777">
        <v>0.42</v>
      </c>
      <c r="AC777">
        <v>0</v>
      </c>
      <c r="AD777">
        <v>0</v>
      </c>
    </row>
    <row r="778" spans="1:30" x14ac:dyDescent="0.55000000000000004">
      <c r="A778">
        <v>101783</v>
      </c>
      <c r="B778" s="19">
        <v>42878</v>
      </c>
      <c r="C778">
        <v>1054</v>
      </c>
      <c r="D778">
        <v>2017</v>
      </c>
      <c r="E778">
        <v>25</v>
      </c>
      <c r="F778">
        <v>525</v>
      </c>
      <c r="G778">
        <v>1</v>
      </c>
      <c r="H778">
        <v>172</v>
      </c>
      <c r="I778">
        <v>3</v>
      </c>
      <c r="J778">
        <v>4720.13</v>
      </c>
      <c r="K778">
        <v>9110.3700000000008</v>
      </c>
      <c r="L778">
        <v>4720.07</v>
      </c>
      <c r="M778">
        <v>9110.69</v>
      </c>
      <c r="N778">
        <v>47.335500000000003</v>
      </c>
      <c r="O778">
        <v>-91.172832999999997</v>
      </c>
      <c r="P778">
        <v>47.334499999999998</v>
      </c>
      <c r="Q778">
        <v>-91.178167000000002</v>
      </c>
      <c r="R778">
        <v>370.65774320000003</v>
      </c>
      <c r="S778">
        <v>485</v>
      </c>
      <c r="U778">
        <v>1</v>
      </c>
      <c r="V778">
        <v>2</v>
      </c>
      <c r="W778">
        <v>3.5</v>
      </c>
      <c r="X778">
        <v>3.3608500000000001</v>
      </c>
      <c r="Y778">
        <v>0.12859999999999999</v>
      </c>
      <c r="Z778">
        <v>89.581850000000003</v>
      </c>
      <c r="AA778">
        <v>10</v>
      </c>
      <c r="AB778">
        <v>0.42</v>
      </c>
      <c r="AC778">
        <v>217</v>
      </c>
      <c r="AD778">
        <v>2</v>
      </c>
    </row>
    <row r="779" spans="1:30" x14ac:dyDescent="0.55000000000000004">
      <c r="A779">
        <v>101784</v>
      </c>
      <c r="B779" s="19">
        <v>42878</v>
      </c>
      <c r="C779">
        <v>1351</v>
      </c>
      <c r="D779">
        <v>2017</v>
      </c>
      <c r="E779">
        <v>25</v>
      </c>
      <c r="F779">
        <v>526</v>
      </c>
      <c r="G779">
        <v>1</v>
      </c>
      <c r="H779">
        <v>188</v>
      </c>
      <c r="I779">
        <v>3</v>
      </c>
      <c r="J779">
        <v>4704.8599999999997</v>
      </c>
      <c r="K779">
        <v>9132.9</v>
      </c>
      <c r="L779">
        <v>4704.93</v>
      </c>
      <c r="M779">
        <v>9133.42</v>
      </c>
      <c r="N779">
        <v>47.081000000000003</v>
      </c>
      <c r="O779">
        <v>-91.548333</v>
      </c>
      <c r="P779">
        <v>47.082166999999998</v>
      </c>
      <c r="Q779">
        <v>-91.557000000000002</v>
      </c>
      <c r="R779">
        <v>1203.670781</v>
      </c>
      <c r="S779">
        <v>55</v>
      </c>
      <c r="T779">
        <v>38.6</v>
      </c>
      <c r="U779">
        <v>1</v>
      </c>
      <c r="V779">
        <v>2</v>
      </c>
      <c r="W779">
        <v>3.8</v>
      </c>
      <c r="X779">
        <v>3.4933999999999998</v>
      </c>
      <c r="Y779">
        <v>0.1192</v>
      </c>
      <c r="Z779">
        <v>90.744600000000005</v>
      </c>
      <c r="AA779">
        <v>10</v>
      </c>
      <c r="AB779">
        <v>0.42</v>
      </c>
      <c r="AC779">
        <v>217</v>
      </c>
      <c r="AD779">
        <v>12</v>
      </c>
    </row>
    <row r="780" spans="1:30" x14ac:dyDescent="0.55000000000000004">
      <c r="A780">
        <v>101785</v>
      </c>
      <c r="B780" s="19">
        <v>42878</v>
      </c>
      <c r="C780">
        <v>1351</v>
      </c>
      <c r="D780">
        <v>2017</v>
      </c>
      <c r="E780">
        <v>25</v>
      </c>
      <c r="F780">
        <v>527</v>
      </c>
      <c r="G780">
        <v>1</v>
      </c>
      <c r="H780">
        <v>188</v>
      </c>
      <c r="I780">
        <v>3</v>
      </c>
      <c r="J780">
        <v>4704.8599999999997</v>
      </c>
      <c r="K780">
        <v>9132.9</v>
      </c>
      <c r="L780">
        <v>4704.93</v>
      </c>
      <c r="M780">
        <v>9133.42</v>
      </c>
      <c r="N780">
        <v>47.081000000000003</v>
      </c>
      <c r="O780">
        <v>-91.548333</v>
      </c>
      <c r="P780">
        <v>47.082166999999998</v>
      </c>
      <c r="Q780">
        <v>-91.557000000000002</v>
      </c>
      <c r="R780">
        <v>1203.670781</v>
      </c>
      <c r="S780">
        <v>55</v>
      </c>
      <c r="T780">
        <v>38.6</v>
      </c>
      <c r="U780">
        <v>1</v>
      </c>
      <c r="V780">
        <v>2</v>
      </c>
      <c r="W780">
        <v>3.8</v>
      </c>
      <c r="X780">
        <v>3.4933999999999998</v>
      </c>
      <c r="Y780">
        <v>0.1192</v>
      </c>
      <c r="Z780">
        <v>90.744600000000005</v>
      </c>
      <c r="AA780">
        <v>10</v>
      </c>
      <c r="AB780">
        <v>0.42</v>
      </c>
      <c r="AC780">
        <v>217</v>
      </c>
      <c r="AD780">
        <v>4</v>
      </c>
    </row>
    <row r="781" spans="1:30" x14ac:dyDescent="0.55000000000000004">
      <c r="A781">
        <v>101786</v>
      </c>
      <c r="B781" s="19">
        <v>42878</v>
      </c>
      <c r="C781">
        <v>1521</v>
      </c>
      <c r="D781">
        <v>2017</v>
      </c>
      <c r="E781">
        <v>25</v>
      </c>
      <c r="F781">
        <v>528</v>
      </c>
      <c r="G781">
        <v>1</v>
      </c>
      <c r="H781">
        <v>36</v>
      </c>
      <c r="I781">
        <v>3</v>
      </c>
      <c r="J781">
        <v>4659.99</v>
      </c>
      <c r="K781">
        <v>9141.1299999999992</v>
      </c>
      <c r="L781">
        <v>4659.97</v>
      </c>
      <c r="M781">
        <v>9141.68</v>
      </c>
      <c r="N781">
        <v>46.999833000000002</v>
      </c>
      <c r="O781">
        <v>-91.685500000000005</v>
      </c>
      <c r="P781">
        <v>46.999499999999998</v>
      </c>
      <c r="Q781">
        <v>-91.694666999999995</v>
      </c>
      <c r="R781">
        <v>629.54925539999999</v>
      </c>
      <c r="S781">
        <v>38.6</v>
      </c>
      <c r="T781">
        <v>32</v>
      </c>
      <c r="U781">
        <v>1</v>
      </c>
      <c r="V781">
        <v>2</v>
      </c>
      <c r="W781">
        <v>4</v>
      </c>
      <c r="X781">
        <v>3.4657499999999999</v>
      </c>
      <c r="Y781">
        <v>0.12540000000000001</v>
      </c>
      <c r="Z781">
        <v>88.404750000000007</v>
      </c>
      <c r="AA781">
        <v>10</v>
      </c>
      <c r="AB781">
        <v>0.43</v>
      </c>
      <c r="AC781">
        <v>217</v>
      </c>
      <c r="AD781">
        <v>2</v>
      </c>
    </row>
    <row r="782" spans="1:30" x14ac:dyDescent="0.55000000000000004">
      <c r="A782">
        <v>101786</v>
      </c>
      <c r="B782" s="19">
        <v>42878</v>
      </c>
      <c r="C782">
        <v>1521</v>
      </c>
      <c r="D782">
        <v>2017</v>
      </c>
      <c r="E782">
        <v>25</v>
      </c>
      <c r="F782">
        <v>528</v>
      </c>
      <c r="G782">
        <v>1</v>
      </c>
      <c r="H782">
        <v>36</v>
      </c>
      <c r="I782">
        <v>3</v>
      </c>
      <c r="J782">
        <v>4659.99</v>
      </c>
      <c r="K782">
        <v>9141.1299999999992</v>
      </c>
      <c r="L782">
        <v>4659.97</v>
      </c>
      <c r="M782">
        <v>9141.68</v>
      </c>
      <c r="N782">
        <v>46.999833000000002</v>
      </c>
      <c r="O782">
        <v>-91.685500000000005</v>
      </c>
      <c r="P782">
        <v>46.999499999999998</v>
      </c>
      <c r="Q782">
        <v>-91.694666999999995</v>
      </c>
      <c r="R782">
        <v>629.54925539999999</v>
      </c>
      <c r="S782">
        <v>38.6</v>
      </c>
      <c r="T782">
        <v>32</v>
      </c>
      <c r="U782">
        <v>1</v>
      </c>
      <c r="V782">
        <v>2</v>
      </c>
      <c r="W782">
        <v>4</v>
      </c>
      <c r="X782">
        <v>3.4657499999999999</v>
      </c>
      <c r="Y782">
        <v>0.12540000000000001</v>
      </c>
      <c r="Z782">
        <v>88.404750000000007</v>
      </c>
      <c r="AA782">
        <v>10</v>
      </c>
      <c r="AB782">
        <v>0.43</v>
      </c>
      <c r="AC782">
        <v>300</v>
      </c>
      <c r="AD782">
        <v>1</v>
      </c>
    </row>
    <row r="783" spans="1:30" x14ac:dyDescent="0.55000000000000004">
      <c r="A783">
        <v>101787</v>
      </c>
      <c r="B783" s="19">
        <v>42878</v>
      </c>
      <c r="C783">
        <v>1521</v>
      </c>
      <c r="D783">
        <v>2017</v>
      </c>
      <c r="E783">
        <v>25</v>
      </c>
      <c r="F783">
        <v>529</v>
      </c>
      <c r="G783">
        <v>1</v>
      </c>
      <c r="H783">
        <v>36</v>
      </c>
      <c r="I783">
        <v>3</v>
      </c>
      <c r="J783">
        <v>4659.99</v>
      </c>
      <c r="K783">
        <v>9141.1299999999992</v>
      </c>
      <c r="L783">
        <v>4659.97</v>
      </c>
      <c r="M783">
        <v>9141.68</v>
      </c>
      <c r="N783">
        <v>46.999833000000002</v>
      </c>
      <c r="O783">
        <v>-91.685500000000005</v>
      </c>
      <c r="P783">
        <v>46.999499999999998</v>
      </c>
      <c r="Q783">
        <v>-91.694666999999995</v>
      </c>
      <c r="R783">
        <v>629.54925539999999</v>
      </c>
      <c r="S783">
        <v>38.6</v>
      </c>
      <c r="T783">
        <v>32</v>
      </c>
      <c r="U783">
        <v>1</v>
      </c>
      <c r="V783">
        <v>2</v>
      </c>
      <c r="W783">
        <v>4</v>
      </c>
      <c r="X783">
        <v>3.4657499999999999</v>
      </c>
      <c r="Y783">
        <v>0.12540000000000001</v>
      </c>
      <c r="Z783">
        <v>88.404750000000007</v>
      </c>
      <c r="AA783">
        <v>10</v>
      </c>
      <c r="AB783">
        <v>0.43</v>
      </c>
      <c r="AC783">
        <v>217</v>
      </c>
      <c r="AD783">
        <v>2</v>
      </c>
    </row>
    <row r="784" spans="1:30" x14ac:dyDescent="0.55000000000000004">
      <c r="A784">
        <v>101794</v>
      </c>
      <c r="B784" s="19">
        <v>42879</v>
      </c>
      <c r="C784">
        <v>730</v>
      </c>
      <c r="D784">
        <v>2017</v>
      </c>
      <c r="E784">
        <v>25</v>
      </c>
      <c r="F784">
        <v>530</v>
      </c>
      <c r="G784">
        <v>1</v>
      </c>
      <c r="H784">
        <v>210</v>
      </c>
      <c r="I784">
        <v>3</v>
      </c>
      <c r="J784">
        <v>4644.01</v>
      </c>
      <c r="K784">
        <v>9201.93</v>
      </c>
      <c r="L784">
        <v>4643.66</v>
      </c>
      <c r="M784">
        <v>9201.75</v>
      </c>
      <c r="N784">
        <v>46.733499999999999</v>
      </c>
      <c r="O784">
        <v>-92.032167000000001</v>
      </c>
      <c r="P784">
        <v>46.727666999999997</v>
      </c>
      <c r="Q784">
        <v>-92.029167000000001</v>
      </c>
      <c r="R784">
        <v>1160.9052320000001</v>
      </c>
      <c r="S784">
        <v>16.899999999999999</v>
      </c>
      <c r="T784">
        <v>14.5</v>
      </c>
      <c r="U784">
        <v>1</v>
      </c>
      <c r="V784">
        <v>2</v>
      </c>
      <c r="W784">
        <v>7.3</v>
      </c>
      <c r="X784">
        <v>7.7884000000000002</v>
      </c>
      <c r="Y784">
        <v>1.00105</v>
      </c>
      <c r="Z784">
        <v>15.2386</v>
      </c>
      <c r="AA784">
        <v>10</v>
      </c>
      <c r="AB784">
        <v>0.43</v>
      </c>
      <c r="AC784">
        <v>109</v>
      </c>
      <c r="AD784">
        <v>15</v>
      </c>
    </row>
    <row r="785" spans="1:30" x14ac:dyDescent="0.55000000000000004">
      <c r="A785">
        <v>101794</v>
      </c>
      <c r="B785" s="19">
        <v>42879</v>
      </c>
      <c r="C785">
        <v>730</v>
      </c>
      <c r="D785">
        <v>2017</v>
      </c>
      <c r="E785">
        <v>25</v>
      </c>
      <c r="F785">
        <v>530</v>
      </c>
      <c r="G785">
        <v>1</v>
      </c>
      <c r="H785">
        <v>210</v>
      </c>
      <c r="I785">
        <v>3</v>
      </c>
      <c r="J785">
        <v>4644.01</v>
      </c>
      <c r="K785">
        <v>9201.93</v>
      </c>
      <c r="L785">
        <v>4643.66</v>
      </c>
      <c r="M785">
        <v>9201.75</v>
      </c>
      <c r="N785">
        <v>46.733499999999999</v>
      </c>
      <c r="O785">
        <v>-92.032167000000001</v>
      </c>
      <c r="P785">
        <v>46.727666999999997</v>
      </c>
      <c r="Q785">
        <v>-92.029167000000001</v>
      </c>
      <c r="R785">
        <v>1160.9052320000001</v>
      </c>
      <c r="S785">
        <v>16.899999999999999</v>
      </c>
      <c r="T785">
        <v>14.5</v>
      </c>
      <c r="U785">
        <v>1</v>
      </c>
      <c r="V785">
        <v>2</v>
      </c>
      <c r="W785">
        <v>7.3</v>
      </c>
      <c r="X785">
        <v>7.7884000000000002</v>
      </c>
      <c r="Y785">
        <v>1.00105</v>
      </c>
      <c r="Z785">
        <v>15.2386</v>
      </c>
      <c r="AA785">
        <v>10</v>
      </c>
      <c r="AB785">
        <v>0.43</v>
      </c>
      <c r="AC785">
        <v>217</v>
      </c>
      <c r="AD785">
        <v>50</v>
      </c>
    </row>
    <row r="786" spans="1:30" x14ac:dyDescent="0.55000000000000004">
      <c r="A786">
        <v>101795</v>
      </c>
      <c r="B786" s="19">
        <v>42879</v>
      </c>
      <c r="C786">
        <v>730</v>
      </c>
      <c r="D786">
        <v>2017</v>
      </c>
      <c r="E786">
        <v>25</v>
      </c>
      <c r="F786">
        <v>531</v>
      </c>
      <c r="G786">
        <v>1</v>
      </c>
      <c r="H786">
        <v>210</v>
      </c>
      <c r="I786">
        <v>3</v>
      </c>
      <c r="J786">
        <v>4644.01</v>
      </c>
      <c r="K786">
        <v>9201.93</v>
      </c>
      <c r="L786">
        <v>4643.66</v>
      </c>
      <c r="M786">
        <v>9201.75</v>
      </c>
      <c r="N786">
        <v>46.733499999999999</v>
      </c>
      <c r="O786">
        <v>-92.032167000000001</v>
      </c>
      <c r="P786">
        <v>46.727666999999997</v>
      </c>
      <c r="Q786">
        <v>-92.029167000000001</v>
      </c>
      <c r="R786">
        <v>1160.9052320000001</v>
      </c>
      <c r="S786">
        <v>16.899999999999999</v>
      </c>
      <c r="T786">
        <v>14.5</v>
      </c>
      <c r="U786">
        <v>1</v>
      </c>
      <c r="V786">
        <v>2</v>
      </c>
      <c r="W786">
        <v>7.3</v>
      </c>
      <c r="X786">
        <v>7.7884000000000002</v>
      </c>
      <c r="Y786">
        <v>1.00105</v>
      </c>
      <c r="Z786">
        <v>15.2386</v>
      </c>
      <c r="AA786">
        <v>10</v>
      </c>
      <c r="AB786">
        <v>0.43</v>
      </c>
      <c r="AC786">
        <v>217</v>
      </c>
      <c r="AD786">
        <v>80</v>
      </c>
    </row>
    <row r="787" spans="1:30" x14ac:dyDescent="0.55000000000000004">
      <c r="A787">
        <v>101796</v>
      </c>
      <c r="B787" s="19">
        <v>42879</v>
      </c>
      <c r="C787">
        <v>1013</v>
      </c>
      <c r="D787">
        <v>2017</v>
      </c>
      <c r="E787">
        <v>25</v>
      </c>
      <c r="F787">
        <v>532</v>
      </c>
      <c r="G787">
        <v>1</v>
      </c>
      <c r="H787">
        <v>206</v>
      </c>
      <c r="I787">
        <v>3</v>
      </c>
      <c r="J787">
        <v>4647.38</v>
      </c>
      <c r="K787">
        <v>9138.32</v>
      </c>
      <c r="L787">
        <v>4647.08</v>
      </c>
      <c r="M787">
        <v>9138.06</v>
      </c>
      <c r="N787">
        <v>46.789667000000001</v>
      </c>
      <c r="O787">
        <v>-91.638666999999998</v>
      </c>
      <c r="P787">
        <v>46.784666999999999</v>
      </c>
      <c r="Q787">
        <v>-91.634332999999998</v>
      </c>
      <c r="R787">
        <v>2834.1058560000001</v>
      </c>
      <c r="S787">
        <v>47.8</v>
      </c>
      <c r="T787">
        <v>43.3</v>
      </c>
      <c r="U787">
        <v>1</v>
      </c>
      <c r="V787">
        <v>2</v>
      </c>
      <c r="W787">
        <v>5.5</v>
      </c>
      <c r="X787">
        <v>4.7772500000000004</v>
      </c>
      <c r="Y787">
        <v>-0.27255000000000001</v>
      </c>
      <c r="Z787">
        <v>74.578500000000005</v>
      </c>
      <c r="AA787">
        <v>10</v>
      </c>
      <c r="AB787">
        <v>0.42</v>
      </c>
      <c r="AC787">
        <v>217</v>
      </c>
      <c r="AD787">
        <v>316</v>
      </c>
    </row>
    <row r="788" spans="1:30" x14ac:dyDescent="0.55000000000000004">
      <c r="A788">
        <v>101797</v>
      </c>
      <c r="B788" s="19">
        <v>42879</v>
      </c>
      <c r="C788">
        <v>1013</v>
      </c>
      <c r="D788">
        <v>2017</v>
      </c>
      <c r="E788">
        <v>25</v>
      </c>
      <c r="F788">
        <v>533</v>
      </c>
      <c r="G788">
        <v>1</v>
      </c>
      <c r="H788">
        <v>206</v>
      </c>
      <c r="I788">
        <v>3</v>
      </c>
      <c r="J788">
        <v>4647.38</v>
      </c>
      <c r="K788">
        <v>9138.32</v>
      </c>
      <c r="L788">
        <v>4647.08</v>
      </c>
      <c r="M788">
        <v>9138.06</v>
      </c>
      <c r="N788">
        <v>46.789667000000001</v>
      </c>
      <c r="O788">
        <v>-91.638666999999998</v>
      </c>
      <c r="P788">
        <v>46.784666999999999</v>
      </c>
      <c r="Q788">
        <v>-91.634332999999998</v>
      </c>
      <c r="R788">
        <v>2834.1058560000001</v>
      </c>
      <c r="S788">
        <v>47.8</v>
      </c>
      <c r="T788">
        <v>43.3</v>
      </c>
      <c r="U788">
        <v>1</v>
      </c>
      <c r="V788">
        <v>2</v>
      </c>
      <c r="W788">
        <v>5.5</v>
      </c>
      <c r="X788">
        <v>4.7772500000000004</v>
      </c>
      <c r="Y788">
        <v>-0.27255000000000001</v>
      </c>
      <c r="Z788">
        <v>74.578500000000005</v>
      </c>
      <c r="AA788">
        <v>10</v>
      </c>
      <c r="AB788">
        <v>0.42</v>
      </c>
      <c r="AC788">
        <v>217</v>
      </c>
      <c r="AD788">
        <v>294</v>
      </c>
    </row>
    <row r="789" spans="1:30" x14ac:dyDescent="0.55000000000000004">
      <c r="A789">
        <v>101798</v>
      </c>
      <c r="B789" s="19">
        <v>42879</v>
      </c>
      <c r="C789">
        <v>1235</v>
      </c>
      <c r="D789">
        <v>2017</v>
      </c>
      <c r="E789">
        <v>25</v>
      </c>
      <c r="F789">
        <v>534</v>
      </c>
      <c r="G789">
        <v>1</v>
      </c>
      <c r="H789">
        <v>205</v>
      </c>
      <c r="I789">
        <v>3</v>
      </c>
      <c r="J789">
        <v>4649.5</v>
      </c>
      <c r="K789">
        <v>9125.44</v>
      </c>
      <c r="L789">
        <v>4649.3100000000004</v>
      </c>
      <c r="M789">
        <v>9125.3799999999992</v>
      </c>
      <c r="N789">
        <v>46.825000000000003</v>
      </c>
      <c r="O789">
        <v>-91.424000000000007</v>
      </c>
      <c r="P789">
        <v>46.821832999999998</v>
      </c>
      <c r="Q789">
        <v>-91.423000000000002</v>
      </c>
      <c r="R789">
        <v>1605.8109830000001</v>
      </c>
      <c r="S789">
        <v>49.7</v>
      </c>
      <c r="T789">
        <v>45.3</v>
      </c>
      <c r="U789">
        <v>1</v>
      </c>
      <c r="V789">
        <v>2</v>
      </c>
      <c r="W789">
        <v>5.0999999999999996</v>
      </c>
      <c r="X789">
        <v>4.7384000000000004</v>
      </c>
      <c r="Y789">
        <v>-0.28960000000000002</v>
      </c>
      <c r="Z789">
        <v>64.085250000000002</v>
      </c>
      <c r="AA789">
        <v>10</v>
      </c>
      <c r="AB789">
        <v>0.42</v>
      </c>
      <c r="AC789">
        <v>217</v>
      </c>
      <c r="AD789">
        <v>253</v>
      </c>
    </row>
    <row r="790" spans="1:30" x14ac:dyDescent="0.55000000000000004">
      <c r="A790">
        <v>101799</v>
      </c>
      <c r="B790" s="19">
        <v>42879</v>
      </c>
      <c r="C790">
        <v>1235</v>
      </c>
      <c r="D790">
        <v>2017</v>
      </c>
      <c r="E790">
        <v>25</v>
      </c>
      <c r="F790">
        <v>535</v>
      </c>
      <c r="G790">
        <v>1</v>
      </c>
      <c r="H790">
        <v>205</v>
      </c>
      <c r="I790">
        <v>3</v>
      </c>
      <c r="J790">
        <v>4649.5</v>
      </c>
      <c r="K790">
        <v>9125.44</v>
      </c>
      <c r="L790">
        <v>4649.3100000000004</v>
      </c>
      <c r="M790">
        <v>9125.3799999999992</v>
      </c>
      <c r="N790">
        <v>46.825000000000003</v>
      </c>
      <c r="O790">
        <v>-91.424000000000007</v>
      </c>
      <c r="P790">
        <v>46.821832999999998</v>
      </c>
      <c r="Q790">
        <v>-91.423000000000002</v>
      </c>
      <c r="R790">
        <v>1605.8109830000001</v>
      </c>
      <c r="S790">
        <v>49.7</v>
      </c>
      <c r="T790">
        <v>45.3</v>
      </c>
      <c r="U790">
        <v>1</v>
      </c>
      <c r="V790">
        <v>2</v>
      </c>
      <c r="W790">
        <v>5.0999999999999996</v>
      </c>
      <c r="X790">
        <v>4.7384000000000004</v>
      </c>
      <c r="Y790">
        <v>-0.28960000000000002</v>
      </c>
      <c r="Z790">
        <v>64.085250000000002</v>
      </c>
      <c r="AA790">
        <v>10</v>
      </c>
      <c r="AB790">
        <v>0.42</v>
      </c>
      <c r="AC790">
        <v>217</v>
      </c>
      <c r="AD790">
        <v>277</v>
      </c>
    </row>
    <row r="791" spans="1:30" x14ac:dyDescent="0.55000000000000004">
      <c r="A791">
        <v>101800</v>
      </c>
      <c r="B791" s="19">
        <v>42879</v>
      </c>
      <c r="C791">
        <v>1540</v>
      </c>
      <c r="D791">
        <v>2017</v>
      </c>
      <c r="E791">
        <v>25</v>
      </c>
      <c r="F791">
        <v>536</v>
      </c>
      <c r="G791">
        <v>1</v>
      </c>
      <c r="H791">
        <v>187</v>
      </c>
      <c r="I791">
        <v>3</v>
      </c>
      <c r="J791">
        <v>4654.75</v>
      </c>
      <c r="K791">
        <v>9149.77</v>
      </c>
      <c r="L791">
        <v>4654.8599999999997</v>
      </c>
      <c r="M791">
        <v>9150.2999999999993</v>
      </c>
      <c r="N791">
        <v>46.912500000000001</v>
      </c>
      <c r="O791">
        <v>-91.829499999999996</v>
      </c>
      <c r="P791">
        <v>46.914332999999999</v>
      </c>
      <c r="Q791">
        <v>-91.838333000000006</v>
      </c>
      <c r="R791">
        <v>651.91209979999996</v>
      </c>
      <c r="S791">
        <v>55.3</v>
      </c>
      <c r="T791">
        <v>34.6</v>
      </c>
      <c r="U791">
        <v>1</v>
      </c>
      <c r="V791">
        <v>2</v>
      </c>
      <c r="W791">
        <v>4.2</v>
      </c>
      <c r="X791">
        <v>3.8065000000000002</v>
      </c>
      <c r="Y791">
        <v>5.8200000000000002E-2</v>
      </c>
      <c r="Z791">
        <v>48.554549999999999</v>
      </c>
      <c r="AA791">
        <v>10</v>
      </c>
      <c r="AB791">
        <v>0.42</v>
      </c>
      <c r="AC791">
        <v>217</v>
      </c>
      <c r="AD791">
        <v>27</v>
      </c>
    </row>
    <row r="792" spans="1:30" x14ac:dyDescent="0.55000000000000004">
      <c r="A792">
        <v>101801</v>
      </c>
      <c r="B792" s="19">
        <v>42879</v>
      </c>
      <c r="C792">
        <v>1540</v>
      </c>
      <c r="D792">
        <v>2017</v>
      </c>
      <c r="E792">
        <v>25</v>
      </c>
      <c r="F792">
        <v>537</v>
      </c>
      <c r="G792">
        <v>1</v>
      </c>
      <c r="H792">
        <v>187</v>
      </c>
      <c r="I792">
        <v>3</v>
      </c>
      <c r="J792">
        <v>4654.75</v>
      </c>
      <c r="K792">
        <v>9149.77</v>
      </c>
      <c r="L792">
        <v>4654.8599999999997</v>
      </c>
      <c r="M792">
        <v>9150.2999999999993</v>
      </c>
      <c r="N792">
        <v>46.912500000000001</v>
      </c>
      <c r="O792">
        <v>-91.829499999999996</v>
      </c>
      <c r="P792">
        <v>46.914332999999999</v>
      </c>
      <c r="Q792">
        <v>-91.838333000000006</v>
      </c>
      <c r="R792">
        <v>651.91209979999996</v>
      </c>
      <c r="S792">
        <v>55.3</v>
      </c>
      <c r="T792">
        <v>34.6</v>
      </c>
      <c r="U792">
        <v>1</v>
      </c>
      <c r="V792">
        <v>2</v>
      </c>
      <c r="W792">
        <v>4.2</v>
      </c>
      <c r="X792">
        <v>3.8065000000000002</v>
      </c>
      <c r="Y792">
        <v>5.8200000000000002E-2</v>
      </c>
      <c r="Z792">
        <v>48.554549999999999</v>
      </c>
      <c r="AA792">
        <v>10</v>
      </c>
      <c r="AB792">
        <v>0.42</v>
      </c>
      <c r="AC792">
        <v>217</v>
      </c>
      <c r="AD792">
        <v>21</v>
      </c>
    </row>
    <row r="793" spans="1:30" x14ac:dyDescent="0.55000000000000004">
      <c r="A793">
        <v>101802</v>
      </c>
      <c r="B793" s="19">
        <v>42879</v>
      </c>
      <c r="C793">
        <v>1716</v>
      </c>
      <c r="D793">
        <v>2017</v>
      </c>
      <c r="E793">
        <v>25</v>
      </c>
      <c r="F793">
        <v>538</v>
      </c>
      <c r="G793">
        <v>1</v>
      </c>
      <c r="H793">
        <v>186</v>
      </c>
      <c r="I793">
        <v>3</v>
      </c>
      <c r="J793">
        <v>4650.2299999999996</v>
      </c>
      <c r="K793">
        <v>9158.6200000000008</v>
      </c>
      <c r="L793">
        <v>4649.97</v>
      </c>
      <c r="M793">
        <v>9159.0499999999993</v>
      </c>
      <c r="N793">
        <v>46.837167000000001</v>
      </c>
      <c r="O793">
        <v>-91.977000000000004</v>
      </c>
      <c r="P793">
        <v>46.832833000000001</v>
      </c>
      <c r="Q793">
        <v>-91.984166999999999</v>
      </c>
      <c r="R793">
        <v>494.95535469999999</v>
      </c>
      <c r="S793">
        <v>41.3</v>
      </c>
      <c r="T793">
        <v>39.200000000000003</v>
      </c>
      <c r="U793">
        <v>1</v>
      </c>
      <c r="V793">
        <v>2</v>
      </c>
      <c r="W793">
        <v>4.7</v>
      </c>
      <c r="X793">
        <v>3.86</v>
      </c>
      <c r="Y793">
        <v>0.114</v>
      </c>
      <c r="Z793">
        <v>83.670500000000004</v>
      </c>
      <c r="AA793">
        <v>10</v>
      </c>
      <c r="AB793">
        <v>0.43</v>
      </c>
      <c r="AC793">
        <v>217</v>
      </c>
      <c r="AD793">
        <v>113</v>
      </c>
    </row>
    <row r="794" spans="1:30" x14ac:dyDescent="0.55000000000000004">
      <c r="A794">
        <v>101803</v>
      </c>
      <c r="B794" s="19">
        <v>42879</v>
      </c>
      <c r="C794">
        <v>1716</v>
      </c>
      <c r="D794">
        <v>2017</v>
      </c>
      <c r="E794">
        <v>25</v>
      </c>
      <c r="F794">
        <v>539</v>
      </c>
      <c r="G794">
        <v>1</v>
      </c>
      <c r="H794">
        <v>186</v>
      </c>
      <c r="I794">
        <v>3</v>
      </c>
      <c r="J794">
        <v>4650.2299999999996</v>
      </c>
      <c r="K794">
        <v>9158.6200000000008</v>
      </c>
      <c r="L794">
        <v>4649.97</v>
      </c>
      <c r="M794">
        <v>9159.0499999999993</v>
      </c>
      <c r="N794">
        <v>46.837167000000001</v>
      </c>
      <c r="O794">
        <v>-91.977000000000004</v>
      </c>
      <c r="P794">
        <v>46.832833000000001</v>
      </c>
      <c r="Q794">
        <v>-91.984166999999999</v>
      </c>
      <c r="R794">
        <v>494.95535469999999</v>
      </c>
      <c r="S794">
        <v>41.3</v>
      </c>
      <c r="T794">
        <v>39.200000000000003</v>
      </c>
      <c r="U794">
        <v>1</v>
      </c>
      <c r="V794">
        <v>2</v>
      </c>
      <c r="W794">
        <v>4.7</v>
      </c>
      <c r="X794">
        <v>3.86</v>
      </c>
      <c r="Y794">
        <v>0.114</v>
      </c>
      <c r="Z794">
        <v>83.670500000000004</v>
      </c>
      <c r="AA794">
        <v>10</v>
      </c>
      <c r="AB794">
        <v>0.43</v>
      </c>
      <c r="AC794">
        <v>217</v>
      </c>
      <c r="AD794">
        <v>136</v>
      </c>
    </row>
    <row r="795" spans="1:30" x14ac:dyDescent="0.55000000000000004">
      <c r="A795">
        <v>101804</v>
      </c>
      <c r="B795" s="19">
        <v>42880</v>
      </c>
      <c r="C795">
        <v>1035</v>
      </c>
      <c r="D795">
        <v>2017</v>
      </c>
      <c r="E795">
        <v>25</v>
      </c>
      <c r="F795">
        <v>540</v>
      </c>
      <c r="G795">
        <v>1</v>
      </c>
      <c r="H795">
        <v>151</v>
      </c>
      <c r="I795">
        <v>3</v>
      </c>
      <c r="J795">
        <v>4653.41</v>
      </c>
      <c r="K795">
        <v>9113.4599999999991</v>
      </c>
      <c r="L795">
        <v>4653.1499999999996</v>
      </c>
      <c r="M795">
        <v>9113.1</v>
      </c>
      <c r="N795">
        <v>46.890166999999998</v>
      </c>
      <c r="O795">
        <v>-91.224333000000001</v>
      </c>
      <c r="P795">
        <v>46.885832999999998</v>
      </c>
      <c r="Q795">
        <v>-91.218333000000001</v>
      </c>
      <c r="R795">
        <v>852.98955160000003</v>
      </c>
      <c r="S795">
        <v>74.2</v>
      </c>
      <c r="T795">
        <v>56.7</v>
      </c>
      <c r="U795">
        <v>1</v>
      </c>
      <c r="V795">
        <v>2</v>
      </c>
      <c r="W795">
        <v>6.4</v>
      </c>
      <c r="X795">
        <v>5.0579000000000001</v>
      </c>
      <c r="Y795">
        <v>8.0949999999999994E-2</v>
      </c>
      <c r="Z795">
        <v>63.297499999999999</v>
      </c>
      <c r="AA795">
        <v>10</v>
      </c>
      <c r="AB795">
        <v>0.42</v>
      </c>
      <c r="AC795">
        <v>217</v>
      </c>
      <c r="AD795">
        <v>79</v>
      </c>
    </row>
    <row r="796" spans="1:30" x14ac:dyDescent="0.55000000000000004">
      <c r="A796">
        <v>101805</v>
      </c>
      <c r="B796" s="19">
        <v>42880</v>
      </c>
      <c r="C796">
        <v>1035</v>
      </c>
      <c r="D796">
        <v>2017</v>
      </c>
      <c r="E796">
        <v>25</v>
      </c>
      <c r="F796">
        <v>541</v>
      </c>
      <c r="G796">
        <v>1</v>
      </c>
      <c r="H796">
        <v>151</v>
      </c>
      <c r="I796">
        <v>3</v>
      </c>
      <c r="J796">
        <v>4653.41</v>
      </c>
      <c r="K796">
        <v>9113.4599999999991</v>
      </c>
      <c r="L796">
        <v>4653.1499999999996</v>
      </c>
      <c r="M796">
        <v>9113.1</v>
      </c>
      <c r="N796">
        <v>46.890166999999998</v>
      </c>
      <c r="O796">
        <v>-91.224333000000001</v>
      </c>
      <c r="P796">
        <v>46.885832999999998</v>
      </c>
      <c r="Q796">
        <v>-91.218333000000001</v>
      </c>
      <c r="R796">
        <v>852.98955160000003</v>
      </c>
      <c r="S796">
        <v>74.2</v>
      </c>
      <c r="T796">
        <v>56.7</v>
      </c>
      <c r="U796">
        <v>1</v>
      </c>
      <c r="V796">
        <v>2</v>
      </c>
      <c r="W796">
        <v>6.4</v>
      </c>
      <c r="X796">
        <v>5.0579000000000001</v>
      </c>
      <c r="Y796">
        <v>8.0949999999999994E-2</v>
      </c>
      <c r="Z796">
        <v>63.297499999999999</v>
      </c>
      <c r="AA796">
        <v>10</v>
      </c>
      <c r="AB796">
        <v>0.42</v>
      </c>
      <c r="AC796">
        <v>217</v>
      </c>
      <c r="AD796">
        <v>76</v>
      </c>
    </row>
    <row r="797" spans="1:30" x14ac:dyDescent="0.55000000000000004">
      <c r="A797">
        <v>101806</v>
      </c>
      <c r="B797" s="19">
        <v>42880</v>
      </c>
      <c r="C797">
        <v>1327</v>
      </c>
      <c r="D797">
        <v>2017</v>
      </c>
      <c r="E797">
        <v>25</v>
      </c>
      <c r="F797">
        <v>542</v>
      </c>
      <c r="G797">
        <v>1</v>
      </c>
      <c r="H797">
        <v>76</v>
      </c>
      <c r="I797">
        <v>3</v>
      </c>
      <c r="J797">
        <v>4653.57</v>
      </c>
      <c r="K797">
        <v>9106.26</v>
      </c>
      <c r="L797">
        <v>4653.33</v>
      </c>
      <c r="M797">
        <v>9106</v>
      </c>
      <c r="N797">
        <v>46.892833000000003</v>
      </c>
      <c r="O797">
        <v>-91.104332999999997</v>
      </c>
      <c r="P797">
        <v>46.888832999999998</v>
      </c>
      <c r="Q797">
        <v>-91.1</v>
      </c>
      <c r="R797">
        <v>465.72166900000002</v>
      </c>
      <c r="S797">
        <v>35.200000000000003</v>
      </c>
      <c r="T797">
        <v>32.799999999999997</v>
      </c>
      <c r="U797">
        <v>1</v>
      </c>
      <c r="V797">
        <v>2</v>
      </c>
      <c r="W797">
        <v>6.6</v>
      </c>
      <c r="X797">
        <v>5.9821499999999999</v>
      </c>
      <c r="Y797">
        <v>0.13705000000000001</v>
      </c>
      <c r="Z797">
        <v>77.964749999999995</v>
      </c>
      <c r="AA797">
        <v>10</v>
      </c>
      <c r="AB797">
        <v>0.4</v>
      </c>
      <c r="AC797">
        <v>217</v>
      </c>
      <c r="AD797">
        <v>23</v>
      </c>
    </row>
    <row r="798" spans="1:30" x14ac:dyDescent="0.55000000000000004">
      <c r="A798">
        <v>101807</v>
      </c>
      <c r="B798" s="19">
        <v>42880</v>
      </c>
      <c r="C798">
        <v>1327</v>
      </c>
      <c r="D798">
        <v>2017</v>
      </c>
      <c r="E798">
        <v>25</v>
      </c>
      <c r="F798">
        <v>543</v>
      </c>
      <c r="G798">
        <v>1</v>
      </c>
      <c r="H798">
        <v>76</v>
      </c>
      <c r="I798">
        <v>3</v>
      </c>
      <c r="J798">
        <v>4653.57</v>
      </c>
      <c r="K798">
        <v>9106.26</v>
      </c>
      <c r="L798">
        <v>4653.33</v>
      </c>
      <c r="M798">
        <v>9106</v>
      </c>
      <c r="N798">
        <v>46.892833000000003</v>
      </c>
      <c r="O798">
        <v>-91.104332999999997</v>
      </c>
      <c r="P798">
        <v>46.888832999999998</v>
      </c>
      <c r="Q798">
        <v>-91.1</v>
      </c>
      <c r="R798">
        <v>465.72166900000002</v>
      </c>
      <c r="S798">
        <v>35.200000000000003</v>
      </c>
      <c r="T798">
        <v>32.799999999999997</v>
      </c>
      <c r="U798">
        <v>1</v>
      </c>
      <c r="V798">
        <v>2</v>
      </c>
      <c r="W798">
        <v>6.6</v>
      </c>
      <c r="X798">
        <v>5.9821499999999999</v>
      </c>
      <c r="Y798">
        <v>0.13705000000000001</v>
      </c>
      <c r="Z798">
        <v>77.964749999999995</v>
      </c>
      <c r="AA798">
        <v>10</v>
      </c>
      <c r="AB798">
        <v>0.4</v>
      </c>
      <c r="AC798">
        <v>217</v>
      </c>
      <c r="AD798">
        <v>19</v>
      </c>
    </row>
    <row r="799" spans="1:30" x14ac:dyDescent="0.55000000000000004">
      <c r="A799">
        <v>101808</v>
      </c>
      <c r="B799" s="19">
        <v>42880</v>
      </c>
      <c r="C799">
        <v>1514</v>
      </c>
      <c r="D799">
        <v>2017</v>
      </c>
      <c r="E799">
        <v>25</v>
      </c>
      <c r="F799">
        <v>544</v>
      </c>
      <c r="G799">
        <v>1</v>
      </c>
      <c r="H799">
        <v>139</v>
      </c>
      <c r="I799">
        <v>3</v>
      </c>
      <c r="J799">
        <v>4658.45</v>
      </c>
      <c r="K799">
        <v>9101.56</v>
      </c>
      <c r="L799">
        <v>4658.3720000000003</v>
      </c>
      <c r="M799">
        <v>9101.0239999999994</v>
      </c>
      <c r="N799">
        <v>46.974167000000001</v>
      </c>
      <c r="O799">
        <v>-91.025999999999996</v>
      </c>
      <c r="P799">
        <v>46.972867000000001</v>
      </c>
      <c r="Q799">
        <v>-91.017066999999997</v>
      </c>
      <c r="R799">
        <v>1020.4776900000001</v>
      </c>
      <c r="S799">
        <v>50.1</v>
      </c>
      <c r="T799">
        <v>40.9</v>
      </c>
      <c r="U799">
        <v>1</v>
      </c>
      <c r="V799">
        <v>2</v>
      </c>
      <c r="W799">
        <v>6.1</v>
      </c>
      <c r="X799">
        <v>6.5583499999999999</v>
      </c>
      <c r="Y799">
        <v>4.0000000000000002E-4</v>
      </c>
      <c r="Z799">
        <v>72.651250000000005</v>
      </c>
      <c r="AA799">
        <v>10</v>
      </c>
      <c r="AB799">
        <v>0.4</v>
      </c>
      <c r="AC799">
        <v>217</v>
      </c>
      <c r="AD799">
        <v>12</v>
      </c>
    </row>
    <row r="800" spans="1:30" x14ac:dyDescent="0.55000000000000004">
      <c r="A800">
        <v>101809</v>
      </c>
      <c r="B800" s="19">
        <v>42880</v>
      </c>
      <c r="C800">
        <v>1514</v>
      </c>
      <c r="D800">
        <v>2017</v>
      </c>
      <c r="E800">
        <v>25</v>
      </c>
      <c r="F800">
        <v>545</v>
      </c>
      <c r="G800">
        <v>1</v>
      </c>
      <c r="H800">
        <v>139</v>
      </c>
      <c r="I800">
        <v>3</v>
      </c>
      <c r="J800">
        <v>4658.45</v>
      </c>
      <c r="K800">
        <v>9101.56</v>
      </c>
      <c r="L800">
        <v>4658.3720000000003</v>
      </c>
      <c r="M800">
        <v>9101.0239999999994</v>
      </c>
      <c r="N800">
        <v>46.974167000000001</v>
      </c>
      <c r="O800">
        <v>-91.025999999999996</v>
      </c>
      <c r="P800">
        <v>46.972867000000001</v>
      </c>
      <c r="Q800">
        <v>-91.017066999999997</v>
      </c>
      <c r="R800">
        <v>1020.4776900000001</v>
      </c>
      <c r="S800">
        <v>50.1</v>
      </c>
      <c r="T800">
        <v>40.9</v>
      </c>
      <c r="U800">
        <v>1</v>
      </c>
      <c r="V800">
        <v>2</v>
      </c>
      <c r="W800">
        <v>6.1</v>
      </c>
      <c r="X800">
        <v>6.5583499999999999</v>
      </c>
      <c r="Y800">
        <v>4.0000000000000002E-4</v>
      </c>
      <c r="Z800">
        <v>72.651250000000005</v>
      </c>
      <c r="AA800">
        <v>10</v>
      </c>
      <c r="AB800">
        <v>0.4</v>
      </c>
      <c r="AC800">
        <v>217</v>
      </c>
      <c r="AD800">
        <v>6</v>
      </c>
    </row>
    <row r="801" spans="1:30" x14ac:dyDescent="0.55000000000000004">
      <c r="A801">
        <v>101813</v>
      </c>
      <c r="B801" s="19">
        <v>42886</v>
      </c>
      <c r="C801">
        <v>949</v>
      </c>
      <c r="D801">
        <v>2017</v>
      </c>
      <c r="E801">
        <v>25</v>
      </c>
      <c r="F801">
        <v>546</v>
      </c>
      <c r="G801">
        <v>1</v>
      </c>
      <c r="H801">
        <v>184</v>
      </c>
      <c r="I801">
        <v>3</v>
      </c>
      <c r="J801">
        <v>4638.1400000000003</v>
      </c>
      <c r="K801">
        <v>9020.4</v>
      </c>
      <c r="L801">
        <v>4637.7700000000004</v>
      </c>
      <c r="M801">
        <v>9020.2099999999991</v>
      </c>
      <c r="N801">
        <v>46.635666999999998</v>
      </c>
      <c r="O801">
        <v>-90.34</v>
      </c>
      <c r="P801">
        <v>46.6295</v>
      </c>
      <c r="Q801">
        <v>-90.336832999999999</v>
      </c>
      <c r="R801">
        <v>678.27412460000005</v>
      </c>
      <c r="S801">
        <v>37.1</v>
      </c>
      <c r="T801">
        <v>33.299999999999997</v>
      </c>
      <c r="U801">
        <v>1</v>
      </c>
      <c r="V801">
        <v>2</v>
      </c>
      <c r="W801">
        <v>9.9</v>
      </c>
      <c r="X801">
        <v>8.0340000000000007</v>
      </c>
      <c r="Y801">
        <v>0.70525000000000004</v>
      </c>
      <c r="Z801">
        <v>50.809899999999999</v>
      </c>
      <c r="AA801">
        <v>10</v>
      </c>
      <c r="AB801">
        <v>0.42</v>
      </c>
      <c r="AC801">
        <v>217</v>
      </c>
      <c r="AD801">
        <v>7537</v>
      </c>
    </row>
    <row r="802" spans="1:30" x14ac:dyDescent="0.55000000000000004">
      <c r="A802">
        <v>101814</v>
      </c>
      <c r="B802" s="19">
        <v>42886</v>
      </c>
      <c r="C802">
        <v>949</v>
      </c>
      <c r="D802">
        <v>2017</v>
      </c>
      <c r="E802">
        <v>25</v>
      </c>
      <c r="F802">
        <v>547</v>
      </c>
      <c r="G802">
        <v>1</v>
      </c>
      <c r="H802">
        <v>184</v>
      </c>
      <c r="I802">
        <v>3</v>
      </c>
      <c r="J802">
        <v>4638.1400000000003</v>
      </c>
      <c r="K802">
        <v>9020.4</v>
      </c>
      <c r="L802">
        <v>4637.7700000000004</v>
      </c>
      <c r="M802">
        <v>9020.2099999999991</v>
      </c>
      <c r="N802">
        <v>46.635666999999998</v>
      </c>
      <c r="O802">
        <v>-90.34</v>
      </c>
      <c r="P802">
        <v>46.6295</v>
      </c>
      <c r="Q802">
        <v>-90.336832999999999</v>
      </c>
      <c r="R802">
        <v>678.27412460000005</v>
      </c>
      <c r="S802">
        <v>37.1</v>
      </c>
      <c r="T802">
        <v>33.299999999999997</v>
      </c>
      <c r="U802">
        <v>1</v>
      </c>
      <c r="V802">
        <v>2</v>
      </c>
      <c r="W802">
        <v>9.9</v>
      </c>
      <c r="X802">
        <v>8.0340000000000007</v>
      </c>
      <c r="Y802">
        <v>0.70525000000000004</v>
      </c>
      <c r="Z802">
        <v>50.809899999999999</v>
      </c>
      <c r="AA802">
        <v>10</v>
      </c>
      <c r="AB802">
        <v>0.42</v>
      </c>
      <c r="AC802">
        <v>217</v>
      </c>
      <c r="AD802">
        <v>2349</v>
      </c>
    </row>
    <row r="803" spans="1:30" x14ac:dyDescent="0.55000000000000004">
      <c r="A803">
        <v>101815</v>
      </c>
      <c r="B803" s="19">
        <v>42886</v>
      </c>
      <c r="C803">
        <v>1331</v>
      </c>
      <c r="D803">
        <v>2017</v>
      </c>
      <c r="E803">
        <v>25</v>
      </c>
      <c r="F803">
        <v>548</v>
      </c>
      <c r="G803">
        <v>1</v>
      </c>
      <c r="H803">
        <v>192</v>
      </c>
      <c r="I803">
        <v>3</v>
      </c>
      <c r="J803">
        <v>4642.22</v>
      </c>
      <c r="K803">
        <v>9002.16</v>
      </c>
      <c r="L803">
        <v>4641.87</v>
      </c>
      <c r="M803">
        <v>9001.92</v>
      </c>
      <c r="N803">
        <v>46.703667000000003</v>
      </c>
      <c r="O803">
        <v>-90.036000000000001</v>
      </c>
      <c r="P803">
        <v>46.697833000000003</v>
      </c>
      <c r="Q803">
        <v>-90.031999999999996</v>
      </c>
      <c r="R803">
        <v>1206.208648</v>
      </c>
      <c r="S803">
        <v>38.200000000000003</v>
      </c>
      <c r="T803">
        <v>29.8</v>
      </c>
      <c r="U803">
        <v>1</v>
      </c>
      <c r="V803">
        <v>2</v>
      </c>
      <c r="W803">
        <v>10</v>
      </c>
      <c r="X803">
        <v>8.3443000000000005</v>
      </c>
      <c r="Y803">
        <v>0.25080000000000002</v>
      </c>
      <c r="Z803">
        <v>56.815849999999998</v>
      </c>
      <c r="AA803">
        <v>10</v>
      </c>
      <c r="AB803">
        <v>0.4</v>
      </c>
      <c r="AC803">
        <v>217</v>
      </c>
      <c r="AD803">
        <v>153</v>
      </c>
    </row>
    <row r="804" spans="1:30" x14ac:dyDescent="0.55000000000000004">
      <c r="A804">
        <v>101816</v>
      </c>
      <c r="B804" s="19">
        <v>42886</v>
      </c>
      <c r="C804">
        <v>1331</v>
      </c>
      <c r="D804">
        <v>2017</v>
      </c>
      <c r="E804">
        <v>25</v>
      </c>
      <c r="F804">
        <v>549</v>
      </c>
      <c r="G804">
        <v>1</v>
      </c>
      <c r="H804">
        <v>192</v>
      </c>
      <c r="I804">
        <v>3</v>
      </c>
      <c r="J804">
        <v>4642.22</v>
      </c>
      <c r="K804">
        <v>9002.16</v>
      </c>
      <c r="L804">
        <v>4641.87</v>
      </c>
      <c r="M804">
        <v>9001.92</v>
      </c>
      <c r="N804">
        <v>46.703667000000003</v>
      </c>
      <c r="O804">
        <v>-90.036000000000001</v>
      </c>
      <c r="P804">
        <v>46.697833000000003</v>
      </c>
      <c r="Q804">
        <v>-90.031999999999996</v>
      </c>
      <c r="R804">
        <v>1206.208648</v>
      </c>
      <c r="S804">
        <v>38.200000000000003</v>
      </c>
      <c r="T804">
        <v>29.8</v>
      </c>
      <c r="U804">
        <v>1</v>
      </c>
      <c r="V804">
        <v>2</v>
      </c>
      <c r="W804">
        <v>10</v>
      </c>
      <c r="X804">
        <v>8.3443000000000005</v>
      </c>
      <c r="Y804">
        <v>0.25080000000000002</v>
      </c>
      <c r="Z804">
        <v>56.815849999999998</v>
      </c>
      <c r="AA804">
        <v>10</v>
      </c>
      <c r="AB804">
        <v>0.4</v>
      </c>
      <c r="AC804">
        <v>217</v>
      </c>
      <c r="AD804">
        <v>107</v>
      </c>
    </row>
    <row r="805" spans="1:30" x14ac:dyDescent="0.55000000000000004">
      <c r="A805">
        <v>101820</v>
      </c>
      <c r="B805" s="19">
        <v>42886</v>
      </c>
      <c r="C805">
        <v>1637</v>
      </c>
      <c r="D805">
        <v>2017</v>
      </c>
      <c r="E805">
        <v>25</v>
      </c>
      <c r="F805">
        <v>550</v>
      </c>
      <c r="G805">
        <v>1</v>
      </c>
      <c r="H805">
        <v>57</v>
      </c>
      <c r="I805">
        <v>3</v>
      </c>
      <c r="J805">
        <v>4654.2</v>
      </c>
      <c r="K805">
        <v>8922</v>
      </c>
      <c r="L805">
        <v>4654.09</v>
      </c>
      <c r="M805">
        <v>8921.4500000000007</v>
      </c>
      <c r="N805">
        <v>46.903333000000003</v>
      </c>
      <c r="O805">
        <v>-89.366667000000007</v>
      </c>
      <c r="P805">
        <v>46.901499999999999</v>
      </c>
      <c r="Q805">
        <v>-89.357500000000002</v>
      </c>
      <c r="R805">
        <v>3061.657843</v>
      </c>
      <c r="S805">
        <v>28.7</v>
      </c>
      <c r="T805">
        <v>22.4</v>
      </c>
      <c r="U805">
        <v>1</v>
      </c>
      <c r="V805">
        <v>2</v>
      </c>
      <c r="W805">
        <v>6.2</v>
      </c>
      <c r="X805">
        <v>5.3406000000000002</v>
      </c>
      <c r="Y805">
        <v>0.15989999999999999</v>
      </c>
      <c r="Z805">
        <v>82.732650000000007</v>
      </c>
      <c r="AA805">
        <v>10</v>
      </c>
      <c r="AB805">
        <v>0.42</v>
      </c>
      <c r="AC805">
        <v>217</v>
      </c>
      <c r="AD805">
        <v>101</v>
      </c>
    </row>
    <row r="806" spans="1:30" x14ac:dyDescent="0.55000000000000004">
      <c r="A806">
        <v>101821</v>
      </c>
      <c r="B806" s="19">
        <v>42886</v>
      </c>
      <c r="C806">
        <v>1637</v>
      </c>
      <c r="D806">
        <v>2017</v>
      </c>
      <c r="E806">
        <v>25</v>
      </c>
      <c r="F806">
        <v>551</v>
      </c>
      <c r="G806">
        <v>1</v>
      </c>
      <c r="H806">
        <v>57</v>
      </c>
      <c r="I806">
        <v>3</v>
      </c>
      <c r="J806">
        <v>4654.2</v>
      </c>
      <c r="K806">
        <v>8922</v>
      </c>
      <c r="L806">
        <v>4654.09</v>
      </c>
      <c r="M806">
        <v>8921.4500000000007</v>
      </c>
      <c r="N806">
        <v>46.903333000000003</v>
      </c>
      <c r="O806">
        <v>-89.366667000000007</v>
      </c>
      <c r="P806">
        <v>46.901499999999999</v>
      </c>
      <c r="Q806">
        <v>-89.357500000000002</v>
      </c>
      <c r="R806">
        <v>3061.657843</v>
      </c>
      <c r="S806">
        <v>28.7</v>
      </c>
      <c r="T806">
        <v>22.4</v>
      </c>
      <c r="U806">
        <v>1</v>
      </c>
      <c r="V806">
        <v>2</v>
      </c>
      <c r="W806">
        <v>6.2</v>
      </c>
      <c r="X806">
        <v>5.3406000000000002</v>
      </c>
      <c r="Y806">
        <v>0.15989999999999999</v>
      </c>
      <c r="Z806">
        <v>82.732650000000007</v>
      </c>
      <c r="AA806">
        <v>10</v>
      </c>
      <c r="AB806">
        <v>0.42</v>
      </c>
      <c r="AC806">
        <v>217</v>
      </c>
      <c r="AD806">
        <v>22</v>
      </c>
    </row>
    <row r="807" spans="1:30" x14ac:dyDescent="0.55000000000000004">
      <c r="A807">
        <v>101825</v>
      </c>
      <c r="B807" s="19">
        <v>42887</v>
      </c>
      <c r="C807">
        <v>801</v>
      </c>
      <c r="D807">
        <v>2017</v>
      </c>
      <c r="E807">
        <v>25</v>
      </c>
      <c r="F807">
        <v>552</v>
      </c>
      <c r="G807">
        <v>1</v>
      </c>
      <c r="H807">
        <v>183</v>
      </c>
      <c r="I807">
        <v>3</v>
      </c>
      <c r="J807">
        <v>4659.58</v>
      </c>
      <c r="K807">
        <v>8910.02</v>
      </c>
      <c r="L807">
        <v>4659.68</v>
      </c>
      <c r="M807">
        <v>8909.44</v>
      </c>
      <c r="N807">
        <v>46.993000000000002</v>
      </c>
      <c r="O807">
        <v>-89.167000000000002</v>
      </c>
      <c r="P807">
        <v>46.994667</v>
      </c>
      <c r="Q807">
        <v>-89.157332999999994</v>
      </c>
      <c r="R807">
        <v>1085.9954769999999</v>
      </c>
      <c r="S807">
        <v>25.9</v>
      </c>
      <c r="T807">
        <v>22.5</v>
      </c>
      <c r="U807">
        <v>1</v>
      </c>
      <c r="V807">
        <v>2</v>
      </c>
      <c r="W807">
        <v>7.2</v>
      </c>
      <c r="X807">
        <v>5.9894499999999997</v>
      </c>
      <c r="Y807">
        <v>-0.39984999999999998</v>
      </c>
      <c r="Z807">
        <v>50.091850000000001</v>
      </c>
      <c r="AA807">
        <v>10</v>
      </c>
      <c r="AB807">
        <v>0.43</v>
      </c>
      <c r="AC807">
        <v>217</v>
      </c>
      <c r="AD807">
        <v>524</v>
      </c>
    </row>
    <row r="808" spans="1:30" x14ac:dyDescent="0.55000000000000004">
      <c r="A808">
        <v>101826</v>
      </c>
      <c r="B808" s="19">
        <v>42887</v>
      </c>
      <c r="C808">
        <v>801</v>
      </c>
      <c r="D808">
        <v>2017</v>
      </c>
      <c r="E808">
        <v>25</v>
      </c>
      <c r="F808">
        <v>553</v>
      </c>
      <c r="G808">
        <v>1</v>
      </c>
      <c r="H808">
        <v>183</v>
      </c>
      <c r="I808">
        <v>3</v>
      </c>
      <c r="J808">
        <v>4659.58</v>
      </c>
      <c r="K808">
        <v>8910.02</v>
      </c>
      <c r="L808">
        <v>4659.68</v>
      </c>
      <c r="M808">
        <v>8909.44</v>
      </c>
      <c r="N808">
        <v>46.993000000000002</v>
      </c>
      <c r="O808">
        <v>-89.167000000000002</v>
      </c>
      <c r="P808">
        <v>46.994667</v>
      </c>
      <c r="Q808">
        <v>-89.157332999999994</v>
      </c>
      <c r="R808">
        <v>1085.9954769999999</v>
      </c>
      <c r="S808">
        <v>25.9</v>
      </c>
      <c r="T808">
        <v>22.5</v>
      </c>
      <c r="U808">
        <v>1</v>
      </c>
      <c r="V808">
        <v>2</v>
      </c>
      <c r="W808">
        <v>7.2</v>
      </c>
      <c r="X808">
        <v>5.9894499999999997</v>
      </c>
      <c r="Y808">
        <v>-0.39984999999999998</v>
      </c>
      <c r="Z808">
        <v>50.091850000000001</v>
      </c>
      <c r="AA808">
        <v>10</v>
      </c>
      <c r="AB808">
        <v>0.43</v>
      </c>
      <c r="AC808">
        <v>217</v>
      </c>
      <c r="AD808">
        <v>300</v>
      </c>
    </row>
    <row r="809" spans="1:30" x14ac:dyDescent="0.55000000000000004">
      <c r="A809">
        <v>101827</v>
      </c>
      <c r="B809" s="19">
        <v>42887</v>
      </c>
      <c r="C809">
        <v>1109</v>
      </c>
      <c r="D809">
        <v>2017</v>
      </c>
      <c r="E809">
        <v>25</v>
      </c>
      <c r="F809">
        <v>554</v>
      </c>
      <c r="G809">
        <v>1</v>
      </c>
      <c r="H809">
        <v>182</v>
      </c>
      <c r="I809">
        <v>3</v>
      </c>
      <c r="J809">
        <v>4709.26</v>
      </c>
      <c r="K809">
        <v>8853.75</v>
      </c>
      <c r="L809">
        <v>4709.16</v>
      </c>
      <c r="M809">
        <v>8853.14</v>
      </c>
      <c r="N809">
        <v>47.154333000000001</v>
      </c>
      <c r="O809">
        <v>-88.895832999999996</v>
      </c>
      <c r="P809">
        <v>47.152667000000001</v>
      </c>
      <c r="Q809">
        <v>-88.885666999999998</v>
      </c>
      <c r="R809">
        <v>3033.4925290000001</v>
      </c>
      <c r="S809">
        <v>52.2</v>
      </c>
      <c r="T809">
        <v>47.1</v>
      </c>
      <c r="U809">
        <v>1</v>
      </c>
      <c r="V809">
        <v>2</v>
      </c>
      <c r="W809">
        <v>7.2</v>
      </c>
      <c r="X809">
        <v>5.8203500000000004</v>
      </c>
      <c r="Y809">
        <v>0.12964999999999999</v>
      </c>
      <c r="Z809">
        <v>53.583100000000002</v>
      </c>
      <c r="AA809">
        <v>10</v>
      </c>
      <c r="AB809">
        <v>0.42</v>
      </c>
      <c r="AC809">
        <v>217</v>
      </c>
      <c r="AD809">
        <v>12</v>
      </c>
    </row>
    <row r="810" spans="1:30" x14ac:dyDescent="0.55000000000000004">
      <c r="A810">
        <v>101828</v>
      </c>
      <c r="B810" s="19">
        <v>42887</v>
      </c>
      <c r="C810">
        <v>1109</v>
      </c>
      <c r="D810">
        <v>2017</v>
      </c>
      <c r="E810">
        <v>25</v>
      </c>
      <c r="F810">
        <v>555</v>
      </c>
      <c r="G810">
        <v>1</v>
      </c>
      <c r="H810">
        <v>182</v>
      </c>
      <c r="I810">
        <v>3</v>
      </c>
      <c r="J810">
        <v>4709.26</v>
      </c>
      <c r="K810">
        <v>8853.75</v>
      </c>
      <c r="L810">
        <v>4709.16</v>
      </c>
      <c r="M810">
        <v>8853.14</v>
      </c>
      <c r="N810">
        <v>47.154333000000001</v>
      </c>
      <c r="O810">
        <v>-88.895832999999996</v>
      </c>
      <c r="P810">
        <v>47.152667000000001</v>
      </c>
      <c r="Q810">
        <v>-88.885666999999998</v>
      </c>
      <c r="R810">
        <v>3033.4925290000001</v>
      </c>
      <c r="S810">
        <v>52.2</v>
      </c>
      <c r="T810">
        <v>47.1</v>
      </c>
      <c r="U810">
        <v>1</v>
      </c>
      <c r="V810">
        <v>2</v>
      </c>
      <c r="W810">
        <v>7.2</v>
      </c>
      <c r="X810">
        <v>5.8203500000000004</v>
      </c>
      <c r="Y810">
        <v>0.12964999999999999</v>
      </c>
      <c r="Z810">
        <v>53.583100000000002</v>
      </c>
      <c r="AA810">
        <v>10</v>
      </c>
      <c r="AB810">
        <v>0.42</v>
      </c>
      <c r="AC810">
        <v>217</v>
      </c>
      <c r="AD810">
        <v>5</v>
      </c>
    </row>
    <row r="811" spans="1:30" x14ac:dyDescent="0.55000000000000004">
      <c r="A811">
        <v>101829</v>
      </c>
      <c r="B811" s="19">
        <v>42887</v>
      </c>
      <c r="C811">
        <v>1444</v>
      </c>
      <c r="D811">
        <v>2017</v>
      </c>
      <c r="E811">
        <v>25</v>
      </c>
      <c r="F811">
        <v>556</v>
      </c>
      <c r="G811">
        <v>1</v>
      </c>
      <c r="H811">
        <v>181</v>
      </c>
      <c r="I811">
        <v>3</v>
      </c>
      <c r="J811">
        <v>4720.7299999999996</v>
      </c>
      <c r="K811">
        <v>8929.2800000000007</v>
      </c>
      <c r="L811">
        <v>4720.42</v>
      </c>
      <c r="M811">
        <v>8829.07</v>
      </c>
      <c r="N811">
        <v>47.345500000000001</v>
      </c>
      <c r="O811">
        <v>-89.488</v>
      </c>
      <c r="P811">
        <v>47.340333000000001</v>
      </c>
      <c r="Q811">
        <v>-88.484499999999997</v>
      </c>
      <c r="R811">
        <v>1103.1946</v>
      </c>
      <c r="S811">
        <v>72</v>
      </c>
      <c r="T811">
        <v>30.3</v>
      </c>
      <c r="U811">
        <v>1</v>
      </c>
      <c r="V811">
        <v>2</v>
      </c>
      <c r="W811">
        <v>7.3</v>
      </c>
      <c r="X811">
        <v>5.6185499999999999</v>
      </c>
      <c r="Y811">
        <v>2.3300000000000001E-2</v>
      </c>
      <c r="Z811">
        <v>40.577500000000001</v>
      </c>
      <c r="AA811">
        <v>10</v>
      </c>
      <c r="AB811">
        <v>0.4</v>
      </c>
      <c r="AC811">
        <v>217</v>
      </c>
      <c r="AD811">
        <v>3</v>
      </c>
    </row>
    <row r="812" spans="1:30" x14ac:dyDescent="0.55000000000000004">
      <c r="A812">
        <v>101830</v>
      </c>
      <c r="B812" s="19">
        <v>42887</v>
      </c>
      <c r="C812">
        <v>1444</v>
      </c>
      <c r="D812">
        <v>2017</v>
      </c>
      <c r="E812">
        <v>25</v>
      </c>
      <c r="F812">
        <v>557</v>
      </c>
      <c r="G812">
        <v>1</v>
      </c>
      <c r="H812">
        <v>181</v>
      </c>
      <c r="I812">
        <v>3</v>
      </c>
      <c r="J812">
        <v>4720.7299999999996</v>
      </c>
      <c r="K812">
        <v>8929.2800000000007</v>
      </c>
      <c r="L812">
        <v>4720.42</v>
      </c>
      <c r="M812">
        <v>8829.07</v>
      </c>
      <c r="N812">
        <v>47.345500000000001</v>
      </c>
      <c r="O812">
        <v>-89.488</v>
      </c>
      <c r="P812">
        <v>47.340333000000001</v>
      </c>
      <c r="Q812">
        <v>-88.484499999999997</v>
      </c>
      <c r="R812">
        <v>1103.1946</v>
      </c>
      <c r="S812">
        <v>72</v>
      </c>
      <c r="T812">
        <v>30.3</v>
      </c>
      <c r="U812">
        <v>1</v>
      </c>
      <c r="V812">
        <v>2</v>
      </c>
      <c r="W812">
        <v>7.3</v>
      </c>
      <c r="X812">
        <v>5.6185499999999999</v>
      </c>
      <c r="Y812">
        <v>2.3300000000000001E-2</v>
      </c>
      <c r="Z812">
        <v>40.577500000000001</v>
      </c>
      <c r="AA812">
        <v>10</v>
      </c>
      <c r="AB812">
        <v>0.4</v>
      </c>
      <c r="AC812">
        <v>217</v>
      </c>
      <c r="AD812">
        <v>1</v>
      </c>
    </row>
    <row r="813" spans="1:30" x14ac:dyDescent="0.55000000000000004">
      <c r="A813">
        <v>101831</v>
      </c>
      <c r="B813" s="19">
        <v>42888</v>
      </c>
      <c r="C813">
        <v>1003</v>
      </c>
      <c r="D813">
        <v>2017</v>
      </c>
      <c r="E813">
        <v>25</v>
      </c>
      <c r="F813">
        <v>558</v>
      </c>
      <c r="G813">
        <v>1</v>
      </c>
      <c r="H813">
        <v>82</v>
      </c>
      <c r="I813">
        <v>3</v>
      </c>
      <c r="J813">
        <v>4658.49</v>
      </c>
      <c r="K813">
        <v>8823.39</v>
      </c>
      <c r="L813">
        <v>4658.76</v>
      </c>
      <c r="M813">
        <v>8823.76</v>
      </c>
      <c r="N813">
        <v>46.974832999999997</v>
      </c>
      <c r="O813">
        <v>-88.389832999999996</v>
      </c>
      <c r="P813">
        <v>46.979332999999997</v>
      </c>
      <c r="Q813">
        <v>-88.396000000000001</v>
      </c>
      <c r="R813">
        <v>1045.25918</v>
      </c>
      <c r="S813">
        <v>42.1</v>
      </c>
      <c r="T813">
        <v>17.7</v>
      </c>
      <c r="U813">
        <v>1</v>
      </c>
      <c r="V813">
        <v>2</v>
      </c>
      <c r="W813">
        <v>7.5</v>
      </c>
      <c r="X813">
        <v>5.9603999999999999</v>
      </c>
      <c r="Y813">
        <v>0.15805</v>
      </c>
      <c r="Z813">
        <v>87.900949999999995</v>
      </c>
      <c r="AA813">
        <v>10</v>
      </c>
      <c r="AB813">
        <v>0.42</v>
      </c>
      <c r="AC813">
        <v>217</v>
      </c>
      <c r="AD813">
        <v>4</v>
      </c>
    </row>
    <row r="814" spans="1:30" x14ac:dyDescent="0.55000000000000004">
      <c r="A814">
        <v>101832</v>
      </c>
      <c r="B814" s="19">
        <v>42888</v>
      </c>
      <c r="C814">
        <v>1003</v>
      </c>
      <c r="D814">
        <v>2017</v>
      </c>
      <c r="E814">
        <v>25</v>
      </c>
      <c r="F814">
        <v>559</v>
      </c>
      <c r="G814">
        <v>1</v>
      </c>
      <c r="H814">
        <v>82</v>
      </c>
      <c r="I814">
        <v>3</v>
      </c>
      <c r="J814">
        <v>4658.49</v>
      </c>
      <c r="K814">
        <v>8823.39</v>
      </c>
      <c r="L814">
        <v>4658.76</v>
      </c>
      <c r="M814">
        <v>8823.76</v>
      </c>
      <c r="N814">
        <v>46.974832999999997</v>
      </c>
      <c r="O814">
        <v>-88.389832999999996</v>
      </c>
      <c r="P814">
        <v>46.979332999999997</v>
      </c>
      <c r="Q814">
        <v>-88.396000000000001</v>
      </c>
      <c r="R814">
        <v>1045.25918</v>
      </c>
      <c r="S814">
        <v>42.1</v>
      </c>
      <c r="T814">
        <v>17.7</v>
      </c>
      <c r="U814">
        <v>1</v>
      </c>
      <c r="V814">
        <v>2</v>
      </c>
      <c r="W814">
        <v>7.5</v>
      </c>
      <c r="X814">
        <v>5.9603999999999999</v>
      </c>
      <c r="Y814">
        <v>0.15805</v>
      </c>
      <c r="Z814">
        <v>87.900949999999995</v>
      </c>
      <c r="AA814">
        <v>10</v>
      </c>
      <c r="AB814">
        <v>0.42</v>
      </c>
      <c r="AC814">
        <v>217</v>
      </c>
      <c r="AD814">
        <v>1</v>
      </c>
    </row>
    <row r="815" spans="1:30" x14ac:dyDescent="0.55000000000000004">
      <c r="A815">
        <v>101833</v>
      </c>
      <c r="B815" s="19">
        <v>42888</v>
      </c>
      <c r="C815">
        <v>1144</v>
      </c>
      <c r="D815">
        <v>2017</v>
      </c>
      <c r="E815">
        <v>25</v>
      </c>
      <c r="F815">
        <v>560</v>
      </c>
      <c r="G815">
        <v>1</v>
      </c>
      <c r="H815">
        <v>84</v>
      </c>
      <c r="I815">
        <v>3</v>
      </c>
      <c r="J815">
        <v>4654.62</v>
      </c>
      <c r="K815">
        <v>8819.4500000000007</v>
      </c>
      <c r="L815">
        <v>4654.22</v>
      </c>
      <c r="M815">
        <v>8819.36</v>
      </c>
      <c r="N815">
        <v>46.910333000000001</v>
      </c>
      <c r="O815">
        <v>-88.324167000000003</v>
      </c>
      <c r="P815">
        <v>46.903666999999999</v>
      </c>
      <c r="Q815">
        <v>-88.322666999999996</v>
      </c>
      <c r="R815">
        <v>799.8589594</v>
      </c>
      <c r="S815">
        <v>58.9</v>
      </c>
      <c r="T815">
        <v>39</v>
      </c>
      <c r="U815">
        <v>1</v>
      </c>
      <c r="V815">
        <v>2</v>
      </c>
      <c r="W815">
        <v>6.2</v>
      </c>
      <c r="X815">
        <v>5.1595000000000004</v>
      </c>
      <c r="Y815">
        <v>0.16689999999999999</v>
      </c>
      <c r="Z815">
        <v>86.760099999999994</v>
      </c>
      <c r="AA815">
        <v>10</v>
      </c>
      <c r="AB815">
        <v>0.42</v>
      </c>
      <c r="AC815">
        <v>217</v>
      </c>
      <c r="AD815">
        <v>33</v>
      </c>
    </row>
    <row r="816" spans="1:30" x14ac:dyDescent="0.55000000000000004">
      <c r="A816">
        <v>101834</v>
      </c>
      <c r="B816" s="19">
        <v>42888</v>
      </c>
      <c r="C816">
        <v>1144</v>
      </c>
      <c r="D816">
        <v>2017</v>
      </c>
      <c r="E816">
        <v>25</v>
      </c>
      <c r="F816">
        <v>561</v>
      </c>
      <c r="G816">
        <v>1</v>
      </c>
      <c r="H816">
        <v>84</v>
      </c>
      <c r="I816">
        <v>3</v>
      </c>
      <c r="J816">
        <v>4654.62</v>
      </c>
      <c r="K816">
        <v>8819.4500000000007</v>
      </c>
      <c r="L816">
        <v>4654.22</v>
      </c>
      <c r="M816">
        <v>8819.36</v>
      </c>
      <c r="N816">
        <v>46.910333000000001</v>
      </c>
      <c r="O816">
        <v>-88.324167000000003</v>
      </c>
      <c r="P816">
        <v>46.903666999999999</v>
      </c>
      <c r="Q816">
        <v>-88.322666999999996</v>
      </c>
      <c r="R816">
        <v>799.8589594</v>
      </c>
      <c r="S816">
        <v>58.9</v>
      </c>
      <c r="T816">
        <v>39</v>
      </c>
      <c r="U816">
        <v>1</v>
      </c>
      <c r="V816">
        <v>2</v>
      </c>
      <c r="W816">
        <v>6.2</v>
      </c>
      <c r="X816">
        <v>5.1595000000000004</v>
      </c>
      <c r="Y816">
        <v>0.16689999999999999</v>
      </c>
      <c r="Z816">
        <v>86.760099999999994</v>
      </c>
      <c r="AA816">
        <v>10</v>
      </c>
      <c r="AB816">
        <v>0.42</v>
      </c>
      <c r="AC816">
        <v>217</v>
      </c>
      <c r="AD816">
        <v>27</v>
      </c>
    </row>
    <row r="817" spans="1:30" x14ac:dyDescent="0.55000000000000004">
      <c r="A817">
        <v>101835</v>
      </c>
      <c r="B817" s="19">
        <v>42888</v>
      </c>
      <c r="C817">
        <v>1543</v>
      </c>
      <c r="D817">
        <v>2017</v>
      </c>
      <c r="E817">
        <v>25</v>
      </c>
      <c r="F817">
        <v>562</v>
      </c>
      <c r="G817">
        <v>1</v>
      </c>
      <c r="H817">
        <v>85</v>
      </c>
      <c r="I817">
        <v>3</v>
      </c>
      <c r="J817">
        <v>4711.87</v>
      </c>
      <c r="K817">
        <v>8808.68</v>
      </c>
      <c r="L817">
        <v>4712.25</v>
      </c>
      <c r="M817">
        <v>8808.7099999999991</v>
      </c>
      <c r="N817">
        <v>47.197833000000003</v>
      </c>
      <c r="O817">
        <v>-88.144666999999998</v>
      </c>
      <c r="P817">
        <v>47.204166999999998</v>
      </c>
      <c r="Q817">
        <v>-88.145167000000001</v>
      </c>
      <c r="R817">
        <v>906.76383169999997</v>
      </c>
      <c r="S817">
        <v>45.9</v>
      </c>
      <c r="T817">
        <v>50.8</v>
      </c>
      <c r="U817">
        <v>1</v>
      </c>
      <c r="V817">
        <v>2</v>
      </c>
      <c r="W817">
        <v>6.1</v>
      </c>
      <c r="X817">
        <v>5.5216000000000003</v>
      </c>
      <c r="Y817">
        <v>2.7E-2</v>
      </c>
      <c r="Z817">
        <v>75.287450000000007</v>
      </c>
      <c r="AA817">
        <v>10</v>
      </c>
      <c r="AB817">
        <v>0.42</v>
      </c>
      <c r="AC817">
        <v>217</v>
      </c>
      <c r="AD817">
        <v>44</v>
      </c>
    </row>
    <row r="818" spans="1:30" x14ac:dyDescent="0.55000000000000004">
      <c r="A818">
        <v>101836</v>
      </c>
      <c r="B818" s="19">
        <v>42888</v>
      </c>
      <c r="C818">
        <v>1543</v>
      </c>
      <c r="D818">
        <v>2017</v>
      </c>
      <c r="E818">
        <v>25</v>
      </c>
      <c r="F818">
        <v>563</v>
      </c>
      <c r="G818">
        <v>1</v>
      </c>
      <c r="H818">
        <v>85</v>
      </c>
      <c r="I818">
        <v>3</v>
      </c>
      <c r="J818">
        <v>4711.87</v>
      </c>
      <c r="K818">
        <v>8808.68</v>
      </c>
      <c r="L818">
        <v>4712.25</v>
      </c>
      <c r="M818">
        <v>8808.7099999999991</v>
      </c>
      <c r="N818">
        <v>47.197833000000003</v>
      </c>
      <c r="O818">
        <v>-88.144666999999998</v>
      </c>
      <c r="P818">
        <v>47.204166999999998</v>
      </c>
      <c r="Q818">
        <v>-88.145167000000001</v>
      </c>
      <c r="R818">
        <v>906.76383169999997</v>
      </c>
      <c r="S818">
        <v>45.9</v>
      </c>
      <c r="T818">
        <v>50.8</v>
      </c>
      <c r="U818">
        <v>1</v>
      </c>
      <c r="V818">
        <v>2</v>
      </c>
      <c r="W818">
        <v>6.1</v>
      </c>
      <c r="X818">
        <v>5.5216000000000003</v>
      </c>
      <c r="Y818">
        <v>2.7E-2</v>
      </c>
      <c r="Z818">
        <v>75.287450000000007</v>
      </c>
      <c r="AA818">
        <v>10</v>
      </c>
      <c r="AB818">
        <v>0.42</v>
      </c>
      <c r="AC818">
        <v>217</v>
      </c>
      <c r="AD818">
        <v>27</v>
      </c>
    </row>
    <row r="819" spans="1:30" x14ac:dyDescent="0.55000000000000004">
      <c r="A819">
        <v>101841</v>
      </c>
      <c r="B819" s="19">
        <v>42888</v>
      </c>
      <c r="C819">
        <v>1816</v>
      </c>
      <c r="D819">
        <v>2017</v>
      </c>
      <c r="E819">
        <v>25</v>
      </c>
      <c r="F819">
        <v>564</v>
      </c>
      <c r="G819">
        <v>1</v>
      </c>
      <c r="H819">
        <v>101</v>
      </c>
      <c r="I819">
        <v>3</v>
      </c>
      <c r="J819">
        <v>4721.76</v>
      </c>
      <c r="K819">
        <v>8749.42</v>
      </c>
      <c r="L819">
        <v>4722.12</v>
      </c>
      <c r="M819">
        <v>8749.18</v>
      </c>
      <c r="N819">
        <v>47.362667000000002</v>
      </c>
      <c r="O819">
        <v>-87.823667</v>
      </c>
      <c r="P819">
        <v>47.368667000000002</v>
      </c>
      <c r="Q819">
        <v>-87.819666999999995</v>
      </c>
      <c r="R819">
        <v>1293.317943</v>
      </c>
      <c r="S819">
        <v>49.9</v>
      </c>
      <c r="T819">
        <v>53.7</v>
      </c>
      <c r="U819">
        <v>1</v>
      </c>
      <c r="V819">
        <v>2</v>
      </c>
      <c r="W819">
        <v>10.6</v>
      </c>
      <c r="X819">
        <v>7.1174999999999997</v>
      </c>
      <c r="Y819">
        <v>0.10015</v>
      </c>
      <c r="Z819">
        <v>89.217500000000001</v>
      </c>
      <c r="AA819">
        <v>10</v>
      </c>
      <c r="AB819">
        <v>0.43</v>
      </c>
      <c r="AC819">
        <v>217</v>
      </c>
      <c r="AD819">
        <v>24</v>
      </c>
    </row>
    <row r="820" spans="1:30" x14ac:dyDescent="0.55000000000000004">
      <c r="A820">
        <v>101842</v>
      </c>
      <c r="B820" s="19">
        <v>42888</v>
      </c>
      <c r="C820">
        <v>1816</v>
      </c>
      <c r="D820">
        <v>2017</v>
      </c>
      <c r="E820">
        <v>25</v>
      </c>
      <c r="F820">
        <v>565</v>
      </c>
      <c r="G820">
        <v>1</v>
      </c>
      <c r="H820">
        <v>101</v>
      </c>
      <c r="I820">
        <v>3</v>
      </c>
      <c r="J820">
        <v>4721.76</v>
      </c>
      <c r="K820">
        <v>8749.42</v>
      </c>
      <c r="L820">
        <v>4722.12</v>
      </c>
      <c r="M820">
        <v>8749.18</v>
      </c>
      <c r="N820">
        <v>47.362667000000002</v>
      </c>
      <c r="O820">
        <v>-87.823667</v>
      </c>
      <c r="P820">
        <v>47.368667000000002</v>
      </c>
      <c r="Q820">
        <v>-87.819666999999995</v>
      </c>
      <c r="R820">
        <v>1293.317943</v>
      </c>
      <c r="S820">
        <v>49.9</v>
      </c>
      <c r="T820">
        <v>53.7</v>
      </c>
      <c r="U820">
        <v>1</v>
      </c>
      <c r="V820">
        <v>2</v>
      </c>
      <c r="W820">
        <v>10.6</v>
      </c>
      <c r="X820">
        <v>7.1174999999999997</v>
      </c>
      <c r="Y820">
        <v>0.10015</v>
      </c>
      <c r="Z820">
        <v>89.217500000000001</v>
      </c>
      <c r="AA820">
        <v>10</v>
      </c>
      <c r="AB820">
        <v>0.43</v>
      </c>
      <c r="AC820">
        <v>217</v>
      </c>
      <c r="AD820">
        <v>26</v>
      </c>
    </row>
    <row r="821" spans="1:30" x14ac:dyDescent="0.55000000000000004">
      <c r="A821">
        <v>101844</v>
      </c>
      <c r="B821" s="19">
        <v>42889</v>
      </c>
      <c r="C821">
        <v>1203</v>
      </c>
      <c r="D821">
        <v>2017</v>
      </c>
      <c r="E821">
        <v>25</v>
      </c>
      <c r="F821">
        <v>566</v>
      </c>
      <c r="G821">
        <v>1</v>
      </c>
      <c r="H821">
        <v>142</v>
      </c>
      <c r="I821">
        <v>3</v>
      </c>
      <c r="J821">
        <v>4651.93</v>
      </c>
      <c r="K821">
        <v>8743.0300000000007</v>
      </c>
      <c r="L821">
        <v>4651.59</v>
      </c>
      <c r="M821">
        <v>8743.2800000000007</v>
      </c>
      <c r="N821">
        <v>46.865499999999997</v>
      </c>
      <c r="O821">
        <v>-87.717167000000003</v>
      </c>
      <c r="P821">
        <v>46.859833000000002</v>
      </c>
      <c r="Q821">
        <v>-87.721333000000001</v>
      </c>
      <c r="R821">
        <v>1281.0560129999999</v>
      </c>
      <c r="S821">
        <v>70</v>
      </c>
      <c r="T821">
        <v>44.2</v>
      </c>
      <c r="U821">
        <v>1</v>
      </c>
      <c r="V821">
        <v>2</v>
      </c>
      <c r="W821">
        <v>9.1</v>
      </c>
      <c r="X821">
        <v>7.71835</v>
      </c>
      <c r="Y821">
        <v>0.18165000000000001</v>
      </c>
      <c r="Z821">
        <v>60.928750000000001</v>
      </c>
      <c r="AA821">
        <v>10</v>
      </c>
      <c r="AB821">
        <v>0.42</v>
      </c>
      <c r="AC821">
        <v>217</v>
      </c>
      <c r="AD821">
        <v>1</v>
      </c>
    </row>
    <row r="822" spans="1:30" x14ac:dyDescent="0.55000000000000004">
      <c r="A822">
        <v>101845</v>
      </c>
      <c r="B822" s="19">
        <v>42889</v>
      </c>
      <c r="C822">
        <v>1203</v>
      </c>
      <c r="D822">
        <v>2017</v>
      </c>
      <c r="E822">
        <v>25</v>
      </c>
      <c r="F822">
        <v>567</v>
      </c>
      <c r="G822">
        <v>1</v>
      </c>
      <c r="H822">
        <v>142</v>
      </c>
      <c r="I822">
        <v>3</v>
      </c>
      <c r="J822">
        <v>4651.93</v>
      </c>
      <c r="K822">
        <v>8743.0300000000007</v>
      </c>
      <c r="L822">
        <v>4651.59</v>
      </c>
      <c r="M822">
        <v>8743.2800000000007</v>
      </c>
      <c r="N822">
        <v>46.865499999999997</v>
      </c>
      <c r="O822">
        <v>-87.717167000000003</v>
      </c>
      <c r="P822">
        <v>46.859833000000002</v>
      </c>
      <c r="Q822">
        <v>-87.721333000000001</v>
      </c>
      <c r="R822">
        <v>1281.0560129999999</v>
      </c>
      <c r="S822">
        <v>70</v>
      </c>
      <c r="T822">
        <v>44.2</v>
      </c>
      <c r="U822">
        <v>1</v>
      </c>
      <c r="V822">
        <v>2</v>
      </c>
      <c r="W822">
        <v>9.1</v>
      </c>
      <c r="X822">
        <v>7.71835</v>
      </c>
      <c r="Y822">
        <v>0.18165000000000001</v>
      </c>
      <c r="Z822">
        <v>60.928750000000001</v>
      </c>
      <c r="AA822">
        <v>10</v>
      </c>
      <c r="AB822">
        <v>0.42</v>
      </c>
      <c r="AC822">
        <v>217</v>
      </c>
      <c r="AD822">
        <v>2</v>
      </c>
    </row>
    <row r="823" spans="1:30" x14ac:dyDescent="0.55000000000000004">
      <c r="A823">
        <v>101846</v>
      </c>
      <c r="B823" s="19">
        <v>42889</v>
      </c>
      <c r="C823">
        <v>1405</v>
      </c>
      <c r="D823">
        <v>2017</v>
      </c>
      <c r="E823">
        <v>25</v>
      </c>
      <c r="F823">
        <v>568</v>
      </c>
      <c r="G823">
        <v>1</v>
      </c>
      <c r="H823">
        <v>196</v>
      </c>
      <c r="I823">
        <v>3</v>
      </c>
      <c r="J823">
        <v>4647.41</v>
      </c>
      <c r="K823">
        <v>8732.9</v>
      </c>
      <c r="L823">
        <v>4647.09</v>
      </c>
      <c r="M823">
        <v>8733.16</v>
      </c>
      <c r="N823">
        <v>46.790166999999997</v>
      </c>
      <c r="O823">
        <v>-87.548333</v>
      </c>
      <c r="P823">
        <v>46.784832999999999</v>
      </c>
      <c r="Q823">
        <v>-87.552667</v>
      </c>
      <c r="R823">
        <v>2612.8436059999999</v>
      </c>
      <c r="S823">
        <v>58.7</v>
      </c>
      <c r="T823">
        <v>38</v>
      </c>
      <c r="U823">
        <v>1</v>
      </c>
      <c r="V823">
        <v>2</v>
      </c>
      <c r="W823">
        <v>6.8</v>
      </c>
      <c r="X823">
        <v>5.3745500000000002</v>
      </c>
      <c r="Y823">
        <v>-2.6849999999999999E-2</v>
      </c>
      <c r="Z823">
        <v>37.647599999999997</v>
      </c>
      <c r="AA823">
        <v>10</v>
      </c>
      <c r="AB823">
        <v>0.42</v>
      </c>
      <c r="AC823">
        <v>217</v>
      </c>
      <c r="AD823">
        <v>3</v>
      </c>
    </row>
    <row r="824" spans="1:30" x14ac:dyDescent="0.55000000000000004">
      <c r="A824">
        <v>101847</v>
      </c>
      <c r="B824" s="19">
        <v>42889</v>
      </c>
      <c r="C824">
        <v>1405</v>
      </c>
      <c r="D824">
        <v>2017</v>
      </c>
      <c r="E824">
        <v>25</v>
      </c>
      <c r="F824">
        <v>569</v>
      </c>
      <c r="G824">
        <v>1</v>
      </c>
      <c r="H824">
        <v>196</v>
      </c>
      <c r="I824">
        <v>3</v>
      </c>
      <c r="J824">
        <v>4647.41</v>
      </c>
      <c r="K824">
        <v>8732.9</v>
      </c>
      <c r="L824">
        <v>4647.09</v>
      </c>
      <c r="M824">
        <v>8733.16</v>
      </c>
      <c r="N824">
        <v>46.790166999999997</v>
      </c>
      <c r="O824">
        <v>-87.548333</v>
      </c>
      <c r="P824">
        <v>46.784832999999999</v>
      </c>
      <c r="Q824">
        <v>-87.552667</v>
      </c>
      <c r="R824">
        <v>2612.8436059999999</v>
      </c>
      <c r="S824">
        <v>58.7</v>
      </c>
      <c r="T824">
        <v>38</v>
      </c>
      <c r="U824">
        <v>1</v>
      </c>
      <c r="V824">
        <v>2</v>
      </c>
      <c r="W824">
        <v>6.8</v>
      </c>
      <c r="X824">
        <v>5.3745500000000002</v>
      </c>
      <c r="Y824">
        <v>-2.6849999999999999E-2</v>
      </c>
      <c r="Z824">
        <v>37.647599999999997</v>
      </c>
      <c r="AA824">
        <v>10</v>
      </c>
      <c r="AB824">
        <v>0.42</v>
      </c>
      <c r="AC824">
        <v>217</v>
      </c>
      <c r="AD824">
        <v>1</v>
      </c>
    </row>
    <row r="825" spans="1:30" x14ac:dyDescent="0.55000000000000004">
      <c r="A825">
        <v>101852</v>
      </c>
      <c r="B825" s="19">
        <v>42890</v>
      </c>
      <c r="C825">
        <v>745</v>
      </c>
      <c r="D825">
        <v>2017</v>
      </c>
      <c r="E825">
        <v>25</v>
      </c>
      <c r="F825">
        <v>570</v>
      </c>
      <c r="G825">
        <v>1</v>
      </c>
      <c r="H825">
        <v>120</v>
      </c>
      <c r="I825">
        <v>3</v>
      </c>
      <c r="J825">
        <v>4630.6400000000003</v>
      </c>
      <c r="K825">
        <v>8715.16</v>
      </c>
      <c r="L825">
        <v>4630.53</v>
      </c>
      <c r="M825">
        <v>8714.65</v>
      </c>
      <c r="N825">
        <v>46.510666999999998</v>
      </c>
      <c r="O825">
        <v>-87.252667000000002</v>
      </c>
      <c r="P825">
        <v>46.508833000000003</v>
      </c>
      <c r="Q825">
        <v>-87.244167000000004</v>
      </c>
      <c r="R825">
        <v>3733.016885</v>
      </c>
      <c r="S825">
        <v>21.9</v>
      </c>
      <c r="T825">
        <v>21.5</v>
      </c>
      <c r="U825">
        <v>1</v>
      </c>
      <c r="V825">
        <v>2</v>
      </c>
      <c r="W825">
        <v>7.9</v>
      </c>
      <c r="X825">
        <v>6.4206000000000003</v>
      </c>
      <c r="Y825">
        <v>-7.4950000000000003E-2</v>
      </c>
      <c r="Z825">
        <v>48.255749999999999</v>
      </c>
      <c r="AA825">
        <v>10</v>
      </c>
      <c r="AB825">
        <v>0.42</v>
      </c>
      <c r="AC825">
        <v>217</v>
      </c>
      <c r="AD825">
        <v>5</v>
      </c>
    </row>
    <row r="826" spans="1:30" x14ac:dyDescent="0.55000000000000004">
      <c r="A826">
        <v>101853</v>
      </c>
      <c r="B826" s="19">
        <v>42890</v>
      </c>
      <c r="C826">
        <v>745</v>
      </c>
      <c r="D826">
        <v>2017</v>
      </c>
      <c r="E826">
        <v>25</v>
      </c>
      <c r="F826">
        <v>571</v>
      </c>
      <c r="G826">
        <v>1</v>
      </c>
      <c r="H826">
        <v>120</v>
      </c>
      <c r="I826">
        <v>3</v>
      </c>
      <c r="J826">
        <v>4630.6400000000003</v>
      </c>
      <c r="K826">
        <v>8715.16</v>
      </c>
      <c r="L826">
        <v>4630.53</v>
      </c>
      <c r="M826">
        <v>8714.65</v>
      </c>
      <c r="N826">
        <v>46.510666999999998</v>
      </c>
      <c r="O826">
        <v>-87.252667000000002</v>
      </c>
      <c r="P826">
        <v>46.508833000000003</v>
      </c>
      <c r="Q826">
        <v>-87.244167000000004</v>
      </c>
      <c r="R826">
        <v>3733.016885</v>
      </c>
      <c r="S826">
        <v>21.9</v>
      </c>
      <c r="T826">
        <v>21.5</v>
      </c>
      <c r="U826">
        <v>1</v>
      </c>
      <c r="V826">
        <v>2</v>
      </c>
      <c r="W826">
        <v>7.9</v>
      </c>
      <c r="X826">
        <v>6.4206000000000003</v>
      </c>
      <c r="Y826">
        <v>-7.4950000000000003E-2</v>
      </c>
      <c r="Z826">
        <v>48.255749999999999</v>
      </c>
      <c r="AA826">
        <v>10</v>
      </c>
      <c r="AB826">
        <v>0.42</v>
      </c>
      <c r="AC826">
        <v>217</v>
      </c>
      <c r="AD826">
        <v>0</v>
      </c>
    </row>
    <row r="827" spans="1:30" x14ac:dyDescent="0.55000000000000004">
      <c r="A827">
        <v>101855</v>
      </c>
      <c r="B827" s="19">
        <v>42890</v>
      </c>
      <c r="C827">
        <v>1049</v>
      </c>
      <c r="D827">
        <v>2017</v>
      </c>
      <c r="E827">
        <v>25</v>
      </c>
      <c r="F827">
        <v>572</v>
      </c>
      <c r="G827">
        <v>1</v>
      </c>
      <c r="H827">
        <v>88</v>
      </c>
      <c r="I827">
        <v>3</v>
      </c>
      <c r="J827">
        <v>4631.6400000000003</v>
      </c>
      <c r="K827">
        <v>8656.16</v>
      </c>
      <c r="L827">
        <v>4631.49</v>
      </c>
      <c r="M827">
        <v>8655.7099999999991</v>
      </c>
      <c r="N827">
        <v>46.527332999999999</v>
      </c>
      <c r="O827">
        <v>-86.936000000000007</v>
      </c>
      <c r="P827">
        <v>46.524833000000001</v>
      </c>
      <c r="Q827">
        <v>-86.9285</v>
      </c>
      <c r="R827">
        <v>4575.3649349999996</v>
      </c>
      <c r="S827">
        <v>29.3</v>
      </c>
      <c r="T827">
        <v>31</v>
      </c>
      <c r="U827">
        <v>1</v>
      </c>
      <c r="V827">
        <v>2</v>
      </c>
      <c r="W827">
        <v>7.1</v>
      </c>
      <c r="X827">
        <v>5.4537500000000003</v>
      </c>
      <c r="Y827">
        <v>-9.6000000000000002E-2</v>
      </c>
      <c r="Z827">
        <v>75.165499999999994</v>
      </c>
      <c r="AA827">
        <v>10</v>
      </c>
      <c r="AB827">
        <v>0.42</v>
      </c>
      <c r="AC827">
        <v>217</v>
      </c>
      <c r="AD827">
        <v>1</v>
      </c>
    </row>
    <row r="828" spans="1:30" x14ac:dyDescent="0.55000000000000004">
      <c r="A828">
        <v>101856</v>
      </c>
      <c r="B828" s="19">
        <v>42890</v>
      </c>
      <c r="C828">
        <v>1049</v>
      </c>
      <c r="D828">
        <v>2017</v>
      </c>
      <c r="E828">
        <v>25</v>
      </c>
      <c r="F828">
        <v>573</v>
      </c>
      <c r="G828">
        <v>1</v>
      </c>
      <c r="H828">
        <v>88</v>
      </c>
      <c r="I828">
        <v>3</v>
      </c>
      <c r="J828">
        <v>4631.6400000000003</v>
      </c>
      <c r="K828">
        <v>8656.16</v>
      </c>
      <c r="L828">
        <v>4631.49</v>
      </c>
      <c r="M828">
        <v>8655.7099999999991</v>
      </c>
      <c r="N828">
        <v>46.527332999999999</v>
      </c>
      <c r="O828">
        <v>-86.936000000000007</v>
      </c>
      <c r="P828">
        <v>46.524833000000001</v>
      </c>
      <c r="Q828">
        <v>-86.9285</v>
      </c>
      <c r="R828">
        <v>4575.3649349999996</v>
      </c>
      <c r="S828">
        <v>29.3</v>
      </c>
      <c r="T828">
        <v>31</v>
      </c>
      <c r="U828">
        <v>1</v>
      </c>
      <c r="V828">
        <v>2</v>
      </c>
      <c r="W828">
        <v>7.1</v>
      </c>
      <c r="X828">
        <v>5.4537500000000003</v>
      </c>
      <c r="Y828">
        <v>-9.6000000000000002E-2</v>
      </c>
      <c r="Z828">
        <v>75.165499999999994</v>
      </c>
      <c r="AA828">
        <v>10</v>
      </c>
      <c r="AB828">
        <v>0.42</v>
      </c>
      <c r="AC828">
        <v>0</v>
      </c>
      <c r="AD828">
        <v>0</v>
      </c>
    </row>
    <row r="829" spans="1:30" x14ac:dyDescent="0.55000000000000004">
      <c r="A829">
        <v>101857</v>
      </c>
      <c r="B829" s="19">
        <v>42890</v>
      </c>
      <c r="C829">
        <v>1307</v>
      </c>
      <c r="D829">
        <v>2017</v>
      </c>
      <c r="E829">
        <v>25</v>
      </c>
      <c r="F829">
        <v>574</v>
      </c>
      <c r="G829">
        <v>1</v>
      </c>
      <c r="H829">
        <v>209</v>
      </c>
      <c r="I829">
        <v>3</v>
      </c>
      <c r="J829">
        <v>4631.67</v>
      </c>
      <c r="K829">
        <v>8643.73</v>
      </c>
      <c r="L829">
        <v>4631.63</v>
      </c>
      <c r="M829">
        <v>8643.2099999999991</v>
      </c>
      <c r="N829">
        <v>46.527833000000001</v>
      </c>
      <c r="O829">
        <v>-86.728832999999995</v>
      </c>
      <c r="P829">
        <v>46.527166999999999</v>
      </c>
      <c r="Q829">
        <v>-86.720167000000004</v>
      </c>
      <c r="R829">
        <v>508.61472559999999</v>
      </c>
      <c r="S829">
        <v>64</v>
      </c>
      <c r="T829">
        <v>75.3</v>
      </c>
      <c r="U829">
        <v>1</v>
      </c>
      <c r="V829">
        <v>2</v>
      </c>
      <c r="W829">
        <v>10.8</v>
      </c>
      <c r="X829">
        <v>8.6678999999999995</v>
      </c>
      <c r="Y829">
        <v>0.1575</v>
      </c>
      <c r="Z829">
        <v>61.93065</v>
      </c>
      <c r="AA829">
        <v>10</v>
      </c>
      <c r="AB829">
        <v>0.42</v>
      </c>
      <c r="AC829">
        <v>217</v>
      </c>
      <c r="AD829">
        <v>3</v>
      </c>
    </row>
    <row r="830" spans="1:30" x14ac:dyDescent="0.55000000000000004">
      <c r="A830">
        <v>101858</v>
      </c>
      <c r="B830" s="19">
        <v>42890</v>
      </c>
      <c r="C830">
        <v>1307</v>
      </c>
      <c r="D830">
        <v>2017</v>
      </c>
      <c r="E830">
        <v>25</v>
      </c>
      <c r="F830">
        <v>575</v>
      </c>
      <c r="G830">
        <v>1</v>
      </c>
      <c r="H830">
        <v>209</v>
      </c>
      <c r="I830">
        <v>3</v>
      </c>
      <c r="J830">
        <v>4631.67</v>
      </c>
      <c r="K830">
        <v>8643.73</v>
      </c>
      <c r="L830">
        <v>4631.63</v>
      </c>
      <c r="M830">
        <v>8643.2099999999991</v>
      </c>
      <c r="N830">
        <v>46.527833000000001</v>
      </c>
      <c r="O830">
        <v>-86.728832999999995</v>
      </c>
      <c r="P830">
        <v>46.527166999999999</v>
      </c>
      <c r="Q830">
        <v>-86.720167000000004</v>
      </c>
      <c r="R830">
        <v>508.61472559999999</v>
      </c>
      <c r="S830">
        <v>64</v>
      </c>
      <c r="T830">
        <v>75.3</v>
      </c>
      <c r="U830">
        <v>1</v>
      </c>
      <c r="V830">
        <v>2</v>
      </c>
      <c r="W830">
        <v>10.8</v>
      </c>
      <c r="X830">
        <v>8.6678999999999995</v>
      </c>
      <c r="Y830">
        <v>0.1575</v>
      </c>
      <c r="Z830">
        <v>61.93065</v>
      </c>
      <c r="AA830">
        <v>10</v>
      </c>
      <c r="AB830">
        <v>0.42</v>
      </c>
      <c r="AC830">
        <v>0</v>
      </c>
      <c r="AD830">
        <v>0</v>
      </c>
    </row>
    <row r="831" spans="1:30" x14ac:dyDescent="0.55000000000000004">
      <c r="A831">
        <v>101859</v>
      </c>
      <c r="B831" s="19">
        <v>42890</v>
      </c>
      <c r="C831">
        <v>1559</v>
      </c>
      <c r="D831">
        <v>2017</v>
      </c>
      <c r="E831">
        <v>25</v>
      </c>
      <c r="F831">
        <v>576</v>
      </c>
      <c r="G831">
        <v>1</v>
      </c>
      <c r="H831">
        <v>178</v>
      </c>
      <c r="I831">
        <v>3</v>
      </c>
      <c r="J831">
        <v>4639.21</v>
      </c>
      <c r="K831">
        <v>8619.31</v>
      </c>
      <c r="L831">
        <v>4639.33</v>
      </c>
      <c r="M831">
        <v>8618.7999999999993</v>
      </c>
      <c r="N831">
        <v>46.653500000000001</v>
      </c>
      <c r="O831">
        <v>-86.321832999999998</v>
      </c>
      <c r="P831">
        <v>46.655500000000004</v>
      </c>
      <c r="Q831">
        <v>-86.313333</v>
      </c>
      <c r="R831">
        <v>5623.3878450000002</v>
      </c>
      <c r="S831">
        <v>36</v>
      </c>
      <c r="T831">
        <v>31.7</v>
      </c>
      <c r="U831">
        <v>1</v>
      </c>
      <c r="V831">
        <v>2</v>
      </c>
      <c r="W831">
        <v>6.6</v>
      </c>
      <c r="X831">
        <v>5.3432000000000004</v>
      </c>
      <c r="Y831">
        <v>-3.4799999999999998E-2</v>
      </c>
      <c r="Z831">
        <v>62.822749999999999</v>
      </c>
      <c r="AA831">
        <v>10</v>
      </c>
      <c r="AB831">
        <v>0.42</v>
      </c>
      <c r="AC831">
        <v>0</v>
      </c>
      <c r="AD831">
        <v>0</v>
      </c>
    </row>
    <row r="832" spans="1:30" x14ac:dyDescent="0.55000000000000004">
      <c r="A832">
        <v>101860</v>
      </c>
      <c r="B832" s="19">
        <v>42890</v>
      </c>
      <c r="C832">
        <v>1559</v>
      </c>
      <c r="D832">
        <v>2017</v>
      </c>
      <c r="E832">
        <v>25</v>
      </c>
      <c r="F832">
        <v>577</v>
      </c>
      <c r="G832">
        <v>1</v>
      </c>
      <c r="H832">
        <v>178</v>
      </c>
      <c r="I832">
        <v>3</v>
      </c>
      <c r="J832">
        <v>4639.21</v>
      </c>
      <c r="K832">
        <v>8619.31</v>
      </c>
      <c r="L832">
        <v>4639.33</v>
      </c>
      <c r="M832">
        <v>8618.7999999999993</v>
      </c>
      <c r="N832">
        <v>46.653500000000001</v>
      </c>
      <c r="O832">
        <v>-86.321832999999998</v>
      </c>
      <c r="P832">
        <v>46.655500000000004</v>
      </c>
      <c r="Q832">
        <v>-86.313333</v>
      </c>
      <c r="R832">
        <v>5623.3878450000002</v>
      </c>
      <c r="S832">
        <v>36</v>
      </c>
      <c r="T832">
        <v>31.7</v>
      </c>
      <c r="U832">
        <v>1</v>
      </c>
      <c r="V832">
        <v>2</v>
      </c>
      <c r="W832">
        <v>6.6</v>
      </c>
      <c r="X832">
        <v>5.3432000000000004</v>
      </c>
      <c r="Y832">
        <v>-3.4799999999999998E-2</v>
      </c>
      <c r="Z832">
        <v>62.822749999999999</v>
      </c>
      <c r="AA832">
        <v>10</v>
      </c>
      <c r="AB832">
        <v>0.42</v>
      </c>
      <c r="AC832">
        <v>0</v>
      </c>
      <c r="AD832">
        <v>0</v>
      </c>
    </row>
    <row r="833" spans="1:30" x14ac:dyDescent="0.55000000000000004">
      <c r="A833">
        <v>101863</v>
      </c>
      <c r="B833" s="19">
        <v>42891</v>
      </c>
      <c r="C833">
        <v>752</v>
      </c>
      <c r="D833">
        <v>2017</v>
      </c>
      <c r="E833">
        <v>25</v>
      </c>
      <c r="F833">
        <v>578</v>
      </c>
      <c r="G833">
        <v>1</v>
      </c>
      <c r="H833">
        <v>177</v>
      </c>
      <c r="I833">
        <v>3</v>
      </c>
      <c r="J833">
        <v>4643.26</v>
      </c>
      <c r="K833">
        <v>8546.93</v>
      </c>
      <c r="L833">
        <v>4643.3599999999997</v>
      </c>
      <c r="M833">
        <v>8546.34</v>
      </c>
      <c r="N833">
        <v>46.720999999999997</v>
      </c>
      <c r="O833">
        <v>-85.782167000000001</v>
      </c>
      <c r="P833">
        <v>46.722667000000001</v>
      </c>
      <c r="Q833">
        <v>-85.772333000000003</v>
      </c>
      <c r="R833">
        <v>4893.4349730000004</v>
      </c>
      <c r="S833">
        <v>19.3</v>
      </c>
      <c r="T833">
        <v>20</v>
      </c>
      <c r="U833">
        <v>1</v>
      </c>
      <c r="V833">
        <v>2</v>
      </c>
      <c r="W833">
        <v>7</v>
      </c>
      <c r="X833">
        <v>5.4183500000000002</v>
      </c>
      <c r="Y833">
        <v>-8.8450000000000001E-2</v>
      </c>
      <c r="Z833">
        <v>83.337850000000003</v>
      </c>
      <c r="AA833">
        <v>10</v>
      </c>
      <c r="AB833">
        <v>0.43</v>
      </c>
      <c r="AC833">
        <v>217</v>
      </c>
      <c r="AD833">
        <v>7</v>
      </c>
    </row>
    <row r="834" spans="1:30" x14ac:dyDescent="0.55000000000000004">
      <c r="A834">
        <v>101864</v>
      </c>
      <c r="B834" s="19">
        <v>42891</v>
      </c>
      <c r="C834">
        <v>752</v>
      </c>
      <c r="D834">
        <v>2017</v>
      </c>
      <c r="E834">
        <v>25</v>
      </c>
      <c r="F834">
        <v>579</v>
      </c>
      <c r="G834">
        <v>1</v>
      </c>
      <c r="H834">
        <v>177</v>
      </c>
      <c r="I834">
        <v>3</v>
      </c>
      <c r="J834">
        <v>4643.26</v>
      </c>
      <c r="K834">
        <v>8546.93</v>
      </c>
      <c r="L834">
        <v>4643.3599999999997</v>
      </c>
      <c r="M834">
        <v>8546.34</v>
      </c>
      <c r="N834">
        <v>46.720999999999997</v>
      </c>
      <c r="O834">
        <v>-85.782167000000001</v>
      </c>
      <c r="P834">
        <v>46.722667000000001</v>
      </c>
      <c r="Q834">
        <v>-85.772333000000003</v>
      </c>
      <c r="R834">
        <v>4893.4349730000004</v>
      </c>
      <c r="S834">
        <v>19.3</v>
      </c>
      <c r="T834">
        <v>20</v>
      </c>
      <c r="U834">
        <v>1</v>
      </c>
      <c r="V834">
        <v>2</v>
      </c>
      <c r="W834">
        <v>7</v>
      </c>
      <c r="X834">
        <v>5.4183500000000002</v>
      </c>
      <c r="Y834">
        <v>-8.8450000000000001E-2</v>
      </c>
      <c r="Z834">
        <v>83.337850000000003</v>
      </c>
      <c r="AA834">
        <v>10</v>
      </c>
      <c r="AB834">
        <v>0.43</v>
      </c>
      <c r="AC834">
        <v>217</v>
      </c>
      <c r="AD834">
        <v>6</v>
      </c>
    </row>
    <row r="835" spans="1:30" x14ac:dyDescent="0.55000000000000004">
      <c r="A835">
        <v>101866</v>
      </c>
      <c r="B835" s="19">
        <v>42891</v>
      </c>
      <c r="C835">
        <v>1107</v>
      </c>
      <c r="D835">
        <v>2017</v>
      </c>
      <c r="E835">
        <v>25</v>
      </c>
      <c r="F835">
        <v>580</v>
      </c>
      <c r="G835">
        <v>1</v>
      </c>
      <c r="H835">
        <v>176</v>
      </c>
      <c r="I835">
        <v>3</v>
      </c>
      <c r="J835">
        <v>4647.17</v>
      </c>
      <c r="K835">
        <v>8519.4500000000007</v>
      </c>
      <c r="L835">
        <v>4646.84</v>
      </c>
      <c r="M835">
        <v>8519.25</v>
      </c>
      <c r="N835">
        <v>46.786166999999999</v>
      </c>
      <c r="O835">
        <v>-85.324167000000003</v>
      </c>
      <c r="P835">
        <v>46.780667000000001</v>
      </c>
      <c r="Q835">
        <v>-85.320832999999993</v>
      </c>
      <c r="R835">
        <v>5180.0277290000004</v>
      </c>
      <c r="S835">
        <v>49.3</v>
      </c>
      <c r="T835">
        <v>29.2</v>
      </c>
      <c r="U835">
        <v>1</v>
      </c>
      <c r="V835">
        <v>2</v>
      </c>
      <c r="W835">
        <v>7</v>
      </c>
      <c r="X835">
        <v>6.2217500000000001</v>
      </c>
      <c r="Y835">
        <v>4.9299999999999997E-2</v>
      </c>
      <c r="Z835">
        <v>66.379800000000003</v>
      </c>
      <c r="AA835">
        <v>10</v>
      </c>
      <c r="AB835">
        <v>0.42</v>
      </c>
      <c r="AC835">
        <v>217</v>
      </c>
      <c r="AD835">
        <v>1</v>
      </c>
    </row>
    <row r="836" spans="1:30" x14ac:dyDescent="0.55000000000000004">
      <c r="A836">
        <v>101867</v>
      </c>
      <c r="B836" s="19">
        <v>42891</v>
      </c>
      <c r="C836">
        <v>1107</v>
      </c>
      <c r="D836">
        <v>2017</v>
      </c>
      <c r="E836">
        <v>25</v>
      </c>
      <c r="F836">
        <v>581</v>
      </c>
      <c r="G836">
        <v>1</v>
      </c>
      <c r="H836">
        <v>176</v>
      </c>
      <c r="I836">
        <v>3</v>
      </c>
      <c r="J836">
        <v>4647.17</v>
      </c>
      <c r="K836">
        <v>8519.4500000000007</v>
      </c>
      <c r="L836">
        <v>4646.84</v>
      </c>
      <c r="M836">
        <v>8519.25</v>
      </c>
      <c r="N836">
        <v>46.786166999999999</v>
      </c>
      <c r="O836">
        <v>-85.324167000000003</v>
      </c>
      <c r="P836">
        <v>46.780667000000001</v>
      </c>
      <c r="Q836">
        <v>-85.320832999999993</v>
      </c>
      <c r="R836">
        <v>5180.0277290000004</v>
      </c>
      <c r="S836">
        <v>49.3</v>
      </c>
      <c r="T836">
        <v>29.2</v>
      </c>
      <c r="U836">
        <v>1</v>
      </c>
      <c r="V836">
        <v>2</v>
      </c>
      <c r="W836">
        <v>7</v>
      </c>
      <c r="X836">
        <v>6.2217500000000001</v>
      </c>
      <c r="Y836">
        <v>4.9299999999999997E-2</v>
      </c>
      <c r="Z836">
        <v>66.379800000000003</v>
      </c>
      <c r="AA836">
        <v>10</v>
      </c>
      <c r="AB836">
        <v>0.42</v>
      </c>
      <c r="AC836">
        <v>0</v>
      </c>
      <c r="AD836">
        <v>0</v>
      </c>
    </row>
    <row r="837" spans="1:30" x14ac:dyDescent="0.55000000000000004">
      <c r="A837">
        <v>101868</v>
      </c>
      <c r="B837" s="19">
        <v>42891</v>
      </c>
      <c r="C837">
        <v>1335</v>
      </c>
      <c r="D837">
        <v>2017</v>
      </c>
      <c r="E837">
        <v>25</v>
      </c>
      <c r="F837">
        <v>582</v>
      </c>
      <c r="G837">
        <v>1</v>
      </c>
      <c r="H837">
        <v>195</v>
      </c>
      <c r="I837">
        <v>3</v>
      </c>
      <c r="J837">
        <v>4647.82</v>
      </c>
      <c r="K837">
        <v>8500.09</v>
      </c>
      <c r="L837">
        <v>4647.84</v>
      </c>
      <c r="M837">
        <v>8459.3700000000008</v>
      </c>
      <c r="N837">
        <v>46.796999999999997</v>
      </c>
      <c r="O837">
        <v>-85.001499999999993</v>
      </c>
      <c r="P837">
        <v>46.797333000000002</v>
      </c>
      <c r="Q837">
        <v>-84.989500000000007</v>
      </c>
      <c r="R837">
        <v>2765.9801950000001</v>
      </c>
      <c r="S837">
        <v>12</v>
      </c>
      <c r="T837">
        <v>11.7</v>
      </c>
      <c r="U837">
        <v>1</v>
      </c>
      <c r="V837">
        <v>2</v>
      </c>
      <c r="W837">
        <v>6.3</v>
      </c>
      <c r="X837">
        <v>5.6776999999999997</v>
      </c>
      <c r="Y837">
        <v>6.5750000000000003E-2</v>
      </c>
      <c r="Z837">
        <v>76.823949999999996</v>
      </c>
      <c r="AA837">
        <v>10</v>
      </c>
      <c r="AB837">
        <v>0.47</v>
      </c>
      <c r="AC837">
        <v>0</v>
      </c>
      <c r="AD837">
        <v>0</v>
      </c>
    </row>
    <row r="838" spans="1:30" x14ac:dyDescent="0.55000000000000004">
      <c r="A838">
        <v>101869</v>
      </c>
      <c r="B838" s="19">
        <v>42891</v>
      </c>
      <c r="C838">
        <v>1335</v>
      </c>
      <c r="D838">
        <v>2017</v>
      </c>
      <c r="E838">
        <v>25</v>
      </c>
      <c r="F838">
        <v>583</v>
      </c>
      <c r="G838">
        <v>1</v>
      </c>
      <c r="H838">
        <v>195</v>
      </c>
      <c r="I838">
        <v>3</v>
      </c>
      <c r="J838">
        <v>4647.82</v>
      </c>
      <c r="K838">
        <v>8500.09</v>
      </c>
      <c r="L838">
        <v>4647.84</v>
      </c>
      <c r="M838">
        <v>8459.3700000000008</v>
      </c>
      <c r="N838">
        <v>46.796999999999997</v>
      </c>
      <c r="O838">
        <v>-85.001499999999993</v>
      </c>
      <c r="P838">
        <v>46.797333000000002</v>
      </c>
      <c r="Q838">
        <v>-84.989500000000007</v>
      </c>
      <c r="R838">
        <v>2765.9801950000001</v>
      </c>
      <c r="S838">
        <v>12</v>
      </c>
      <c r="T838">
        <v>11.7</v>
      </c>
      <c r="U838">
        <v>1</v>
      </c>
      <c r="V838">
        <v>2</v>
      </c>
      <c r="W838">
        <v>6.3</v>
      </c>
      <c r="X838">
        <v>5.6776999999999997</v>
      </c>
      <c r="Y838">
        <v>6.5750000000000003E-2</v>
      </c>
      <c r="Z838">
        <v>76.823949999999996</v>
      </c>
      <c r="AA838">
        <v>10</v>
      </c>
      <c r="AB838">
        <v>0.47</v>
      </c>
      <c r="AC838">
        <v>0</v>
      </c>
      <c r="AD838">
        <v>0</v>
      </c>
    </row>
    <row r="839" spans="1:30" x14ac:dyDescent="0.55000000000000004">
      <c r="A839">
        <v>101871</v>
      </c>
      <c r="B839" s="19">
        <v>42892</v>
      </c>
      <c r="C839">
        <v>930</v>
      </c>
      <c r="D839">
        <v>2017</v>
      </c>
      <c r="E839">
        <v>25</v>
      </c>
      <c r="F839">
        <v>584</v>
      </c>
      <c r="G839">
        <v>1</v>
      </c>
      <c r="H839">
        <v>174</v>
      </c>
      <c r="I839">
        <v>3</v>
      </c>
      <c r="J839">
        <v>4631.33</v>
      </c>
      <c r="K839">
        <v>8443.43</v>
      </c>
      <c r="L839">
        <v>4631.04</v>
      </c>
      <c r="M839">
        <v>8443.76</v>
      </c>
      <c r="N839">
        <v>46.522167000000003</v>
      </c>
      <c r="O839">
        <v>-84.723832999999999</v>
      </c>
      <c r="P839">
        <v>46.517333000000001</v>
      </c>
      <c r="Q839">
        <v>-84.729332999999997</v>
      </c>
      <c r="R839">
        <v>5117.9945829999997</v>
      </c>
      <c r="S839">
        <v>49.3</v>
      </c>
      <c r="T839">
        <v>47.2</v>
      </c>
      <c r="U839">
        <v>1</v>
      </c>
      <c r="V839">
        <v>2</v>
      </c>
      <c r="W839">
        <v>7.5</v>
      </c>
      <c r="X839">
        <v>7.2920999999999996</v>
      </c>
      <c r="Y839">
        <v>3.1550000000000002E-2</v>
      </c>
      <c r="Z839">
        <v>64.7316</v>
      </c>
      <c r="AA839">
        <v>10</v>
      </c>
      <c r="AB839">
        <v>0.42</v>
      </c>
      <c r="AC839">
        <v>217</v>
      </c>
      <c r="AD839">
        <v>6</v>
      </c>
    </row>
    <row r="840" spans="1:30" x14ac:dyDescent="0.55000000000000004">
      <c r="A840">
        <v>101872</v>
      </c>
      <c r="B840" s="19">
        <v>42892</v>
      </c>
      <c r="C840">
        <v>930</v>
      </c>
      <c r="D840">
        <v>2017</v>
      </c>
      <c r="E840">
        <v>25</v>
      </c>
      <c r="F840">
        <v>585</v>
      </c>
      <c r="G840">
        <v>1</v>
      </c>
      <c r="H840">
        <v>174</v>
      </c>
      <c r="I840">
        <v>3</v>
      </c>
      <c r="J840">
        <v>4631.33</v>
      </c>
      <c r="K840">
        <v>8443.43</v>
      </c>
      <c r="L840">
        <v>4631.04</v>
      </c>
      <c r="M840">
        <v>8443.76</v>
      </c>
      <c r="N840">
        <v>46.522167000000003</v>
      </c>
      <c r="O840">
        <v>-84.723832999999999</v>
      </c>
      <c r="P840">
        <v>46.517333000000001</v>
      </c>
      <c r="Q840">
        <v>-84.729332999999997</v>
      </c>
      <c r="R840">
        <v>5117.9945829999997</v>
      </c>
      <c r="S840">
        <v>49.3</v>
      </c>
      <c r="T840">
        <v>47.2</v>
      </c>
      <c r="U840">
        <v>1</v>
      </c>
      <c r="V840">
        <v>2</v>
      </c>
      <c r="W840">
        <v>7.5</v>
      </c>
      <c r="X840">
        <v>7.2920999999999996</v>
      </c>
      <c r="Y840">
        <v>3.1550000000000002E-2</v>
      </c>
      <c r="Z840">
        <v>64.7316</v>
      </c>
      <c r="AA840">
        <v>10</v>
      </c>
      <c r="AB840">
        <v>0.42</v>
      </c>
      <c r="AC840">
        <v>0</v>
      </c>
      <c r="AD840">
        <v>0</v>
      </c>
    </row>
    <row r="841" spans="1:30" x14ac:dyDescent="0.55000000000000004">
      <c r="A841">
        <v>101873</v>
      </c>
      <c r="B841" s="19">
        <v>42892</v>
      </c>
      <c r="C841">
        <v>1048</v>
      </c>
      <c r="D841">
        <v>2017</v>
      </c>
      <c r="E841">
        <v>25</v>
      </c>
      <c r="F841">
        <v>586</v>
      </c>
      <c r="G841">
        <v>1</v>
      </c>
      <c r="H841">
        <v>193</v>
      </c>
      <c r="I841">
        <v>3</v>
      </c>
      <c r="J841">
        <v>4631.21</v>
      </c>
      <c r="K841">
        <v>8451.35</v>
      </c>
      <c r="L841">
        <v>4630.96</v>
      </c>
      <c r="M841">
        <v>8451.77</v>
      </c>
      <c r="N841">
        <v>46.520167000000001</v>
      </c>
      <c r="O841">
        <v>-84.855833000000004</v>
      </c>
      <c r="P841">
        <v>46.515999999999998</v>
      </c>
      <c r="Q841">
        <v>-84.862832999999995</v>
      </c>
      <c r="R841">
        <v>4531.7732919999999</v>
      </c>
      <c r="S841">
        <v>64</v>
      </c>
      <c r="T841">
        <v>53.2</v>
      </c>
      <c r="U841">
        <v>1</v>
      </c>
      <c r="V841">
        <v>2</v>
      </c>
      <c r="W841">
        <v>9.5</v>
      </c>
      <c r="X841">
        <v>8.8870000000000005</v>
      </c>
      <c r="Y841">
        <v>6.8150000000000002E-2</v>
      </c>
      <c r="Z841">
        <v>67.889899999999997</v>
      </c>
      <c r="AA841">
        <v>10</v>
      </c>
      <c r="AB841">
        <v>0.41</v>
      </c>
      <c r="AC841">
        <v>217</v>
      </c>
      <c r="AD841">
        <v>1</v>
      </c>
    </row>
    <row r="842" spans="1:30" x14ac:dyDescent="0.55000000000000004">
      <c r="A842">
        <v>101874</v>
      </c>
      <c r="B842" s="19">
        <v>42892</v>
      </c>
      <c r="C842">
        <v>1048</v>
      </c>
      <c r="D842">
        <v>2017</v>
      </c>
      <c r="E842">
        <v>25</v>
      </c>
      <c r="F842">
        <v>587</v>
      </c>
      <c r="G842">
        <v>1</v>
      </c>
      <c r="H842">
        <v>193</v>
      </c>
      <c r="I842">
        <v>3</v>
      </c>
      <c r="J842">
        <v>4631.21</v>
      </c>
      <c r="K842">
        <v>8451.35</v>
      </c>
      <c r="L842">
        <v>4630.96</v>
      </c>
      <c r="M842">
        <v>8451.77</v>
      </c>
      <c r="N842">
        <v>46.520167000000001</v>
      </c>
      <c r="O842">
        <v>-84.855833000000004</v>
      </c>
      <c r="P842">
        <v>46.515999999999998</v>
      </c>
      <c r="Q842">
        <v>-84.862832999999995</v>
      </c>
      <c r="R842">
        <v>4531.7732919999999</v>
      </c>
      <c r="S842">
        <v>64</v>
      </c>
      <c r="T842">
        <v>53.2</v>
      </c>
      <c r="U842">
        <v>1</v>
      </c>
      <c r="V842">
        <v>2</v>
      </c>
      <c r="W842">
        <v>9.5</v>
      </c>
      <c r="X842">
        <v>8.8870000000000005</v>
      </c>
      <c r="Y842">
        <v>6.8150000000000002E-2</v>
      </c>
      <c r="Z842">
        <v>67.889899999999997</v>
      </c>
      <c r="AA842">
        <v>10</v>
      </c>
      <c r="AB842">
        <v>0.41</v>
      </c>
      <c r="AC842">
        <v>0</v>
      </c>
      <c r="AD842">
        <v>0</v>
      </c>
    </row>
    <row r="843" spans="1:30" x14ac:dyDescent="0.55000000000000004">
      <c r="A843">
        <v>101877</v>
      </c>
      <c r="B843" s="19">
        <v>42892</v>
      </c>
      <c r="C843">
        <v>1226</v>
      </c>
      <c r="D843">
        <v>2017</v>
      </c>
      <c r="E843">
        <v>25</v>
      </c>
      <c r="F843">
        <v>588</v>
      </c>
      <c r="G843">
        <v>1</v>
      </c>
      <c r="H843">
        <v>79</v>
      </c>
      <c r="I843">
        <v>3</v>
      </c>
      <c r="J843">
        <v>4634.12</v>
      </c>
      <c r="K843">
        <v>8451.26</v>
      </c>
      <c r="L843">
        <v>4634</v>
      </c>
      <c r="M843">
        <v>8452.01</v>
      </c>
      <c r="N843">
        <v>46.568666999999998</v>
      </c>
      <c r="O843">
        <v>-84.854332999999997</v>
      </c>
      <c r="P843">
        <v>46.566667000000002</v>
      </c>
      <c r="Q843">
        <v>-84.866833</v>
      </c>
      <c r="R843">
        <v>9346.6455089999999</v>
      </c>
      <c r="S843">
        <v>77</v>
      </c>
      <c r="T843">
        <v>65.2</v>
      </c>
      <c r="U843">
        <v>1</v>
      </c>
      <c r="V843">
        <v>2</v>
      </c>
      <c r="W843">
        <v>8.5</v>
      </c>
      <c r="X843">
        <v>8.0465</v>
      </c>
      <c r="Y843">
        <v>-0.22015000000000001</v>
      </c>
      <c r="Z843">
        <v>49.638150000000003</v>
      </c>
      <c r="AA843">
        <v>10</v>
      </c>
      <c r="AB843">
        <v>0.42</v>
      </c>
      <c r="AC843">
        <v>0</v>
      </c>
      <c r="AD843">
        <v>0</v>
      </c>
    </row>
    <row r="844" spans="1:30" x14ac:dyDescent="0.55000000000000004">
      <c r="A844">
        <v>101878</v>
      </c>
      <c r="B844" s="19">
        <v>42892</v>
      </c>
      <c r="C844">
        <v>1226</v>
      </c>
      <c r="D844">
        <v>2017</v>
      </c>
      <c r="E844">
        <v>25</v>
      </c>
      <c r="F844">
        <v>589</v>
      </c>
      <c r="G844">
        <v>1</v>
      </c>
      <c r="H844">
        <v>79</v>
      </c>
      <c r="I844">
        <v>3</v>
      </c>
      <c r="J844">
        <v>4634.12</v>
      </c>
      <c r="K844">
        <v>8451.26</v>
      </c>
      <c r="L844">
        <v>4634</v>
      </c>
      <c r="M844">
        <v>8452.01</v>
      </c>
      <c r="N844">
        <v>46.568666999999998</v>
      </c>
      <c r="O844">
        <v>-84.854332999999997</v>
      </c>
      <c r="P844">
        <v>46.566667000000002</v>
      </c>
      <c r="Q844">
        <v>-84.866833</v>
      </c>
      <c r="R844">
        <v>9346.6455089999999</v>
      </c>
      <c r="S844">
        <v>77</v>
      </c>
      <c r="T844">
        <v>65.2</v>
      </c>
      <c r="U844">
        <v>1</v>
      </c>
      <c r="V844">
        <v>2</v>
      </c>
      <c r="W844">
        <v>8.5</v>
      </c>
      <c r="X844">
        <v>8.0465</v>
      </c>
      <c r="Y844">
        <v>-0.22015000000000001</v>
      </c>
      <c r="Z844">
        <v>49.638150000000003</v>
      </c>
      <c r="AA844">
        <v>10</v>
      </c>
      <c r="AB844">
        <v>0.42</v>
      </c>
      <c r="AC844">
        <v>0</v>
      </c>
      <c r="AD844">
        <v>0</v>
      </c>
    </row>
    <row r="845" spans="1:30" x14ac:dyDescent="0.55000000000000004">
      <c r="A845">
        <v>101879</v>
      </c>
      <c r="B845" s="19">
        <v>42892</v>
      </c>
      <c r="C845">
        <v>1430</v>
      </c>
      <c r="D845">
        <v>2017</v>
      </c>
      <c r="E845">
        <v>25</v>
      </c>
      <c r="F845">
        <v>590</v>
      </c>
      <c r="G845">
        <v>1</v>
      </c>
      <c r="H845">
        <v>194</v>
      </c>
      <c r="I845">
        <v>3</v>
      </c>
      <c r="J845">
        <v>4637.6499999999996</v>
      </c>
      <c r="K845">
        <v>8451</v>
      </c>
      <c r="L845">
        <v>4637.55</v>
      </c>
      <c r="M845">
        <v>8452.64</v>
      </c>
      <c r="N845">
        <v>46.627499999999998</v>
      </c>
      <c r="O845">
        <v>-84.85</v>
      </c>
      <c r="P845">
        <v>46.625833</v>
      </c>
      <c r="Q845">
        <v>-84.877332999999993</v>
      </c>
      <c r="R845">
        <v>10597.364310000001</v>
      </c>
      <c r="S845">
        <v>99</v>
      </c>
      <c r="T845">
        <v>70.8</v>
      </c>
      <c r="U845">
        <v>1</v>
      </c>
      <c r="V845">
        <v>2</v>
      </c>
      <c r="W845">
        <v>8.1</v>
      </c>
      <c r="X845">
        <v>7.3269000000000002</v>
      </c>
      <c r="Y845">
        <v>9.0550000000000005E-2</v>
      </c>
      <c r="Z845">
        <v>71.794600000000003</v>
      </c>
      <c r="AA845">
        <v>10</v>
      </c>
      <c r="AB845">
        <v>0.39</v>
      </c>
      <c r="AC845">
        <v>0</v>
      </c>
      <c r="AD845">
        <v>0</v>
      </c>
    </row>
    <row r="846" spans="1:30" x14ac:dyDescent="0.55000000000000004">
      <c r="A846">
        <v>101880</v>
      </c>
      <c r="B846" s="19">
        <v>42892</v>
      </c>
      <c r="C846">
        <v>1430</v>
      </c>
      <c r="D846">
        <v>2017</v>
      </c>
      <c r="E846">
        <v>25</v>
      </c>
      <c r="F846">
        <v>591</v>
      </c>
      <c r="G846">
        <v>1</v>
      </c>
      <c r="H846">
        <v>194</v>
      </c>
      <c r="I846">
        <v>3</v>
      </c>
      <c r="J846">
        <v>4637.6499999999996</v>
      </c>
      <c r="K846">
        <v>8451</v>
      </c>
      <c r="L846">
        <v>4637.55</v>
      </c>
      <c r="M846">
        <v>8452.64</v>
      </c>
      <c r="N846">
        <v>46.627499999999998</v>
      </c>
      <c r="O846">
        <v>-84.85</v>
      </c>
      <c r="P846">
        <v>46.625833</v>
      </c>
      <c r="Q846">
        <v>-84.877332999999993</v>
      </c>
      <c r="R846">
        <v>10597.364310000001</v>
      </c>
      <c r="S846">
        <v>99</v>
      </c>
      <c r="T846">
        <v>70.8</v>
      </c>
      <c r="U846">
        <v>1</v>
      </c>
      <c r="V846">
        <v>2</v>
      </c>
      <c r="W846">
        <v>8.1</v>
      </c>
      <c r="X846">
        <v>7.3269000000000002</v>
      </c>
      <c r="Y846">
        <v>9.0550000000000005E-2</v>
      </c>
      <c r="Z846">
        <v>71.794600000000003</v>
      </c>
      <c r="AA846">
        <v>10</v>
      </c>
      <c r="AB846">
        <v>0.39</v>
      </c>
      <c r="AC846">
        <v>0</v>
      </c>
      <c r="AD846">
        <v>0</v>
      </c>
    </row>
    <row r="847" spans="1:30" x14ac:dyDescent="0.55000000000000004">
      <c r="A847">
        <v>101882</v>
      </c>
      <c r="B847" s="19">
        <v>42894</v>
      </c>
      <c r="C847">
        <v>1018</v>
      </c>
      <c r="D847">
        <v>2017</v>
      </c>
      <c r="E847">
        <v>25</v>
      </c>
      <c r="F847">
        <v>592</v>
      </c>
      <c r="G847">
        <v>1</v>
      </c>
      <c r="H847">
        <v>460</v>
      </c>
      <c r="I847">
        <v>3</v>
      </c>
      <c r="J847">
        <v>4640.6899999999996</v>
      </c>
      <c r="K847">
        <v>8433.6299999999992</v>
      </c>
      <c r="L847">
        <v>4640.42</v>
      </c>
      <c r="M847">
        <v>8434.99</v>
      </c>
      <c r="N847">
        <v>46.678167000000002</v>
      </c>
      <c r="O847">
        <v>-84.560500000000005</v>
      </c>
      <c r="P847">
        <v>46.673667000000002</v>
      </c>
      <c r="Q847">
        <v>-84.583167000000003</v>
      </c>
      <c r="R847">
        <v>632.35152389999996</v>
      </c>
      <c r="S847">
        <v>16.7</v>
      </c>
      <c r="T847">
        <v>23</v>
      </c>
      <c r="U847">
        <v>1</v>
      </c>
      <c r="V847">
        <v>2</v>
      </c>
      <c r="W847">
        <v>13.9</v>
      </c>
      <c r="X847">
        <v>10.938750000000001</v>
      </c>
      <c r="Y847">
        <v>0.38755000000000001</v>
      </c>
      <c r="Z847">
        <v>75.046250000000001</v>
      </c>
      <c r="AA847">
        <v>10</v>
      </c>
      <c r="AB847">
        <v>0.43</v>
      </c>
      <c r="AC847">
        <v>0</v>
      </c>
      <c r="AD847">
        <v>0</v>
      </c>
    </row>
    <row r="848" spans="1:30" x14ac:dyDescent="0.55000000000000004">
      <c r="A848">
        <v>101883</v>
      </c>
      <c r="B848" s="19">
        <v>42894</v>
      </c>
      <c r="C848">
        <v>1018</v>
      </c>
      <c r="D848">
        <v>2017</v>
      </c>
      <c r="E848">
        <v>25</v>
      </c>
      <c r="F848">
        <v>593</v>
      </c>
      <c r="G848">
        <v>1</v>
      </c>
      <c r="H848">
        <v>460</v>
      </c>
      <c r="I848">
        <v>3</v>
      </c>
      <c r="J848">
        <v>4640.6899999999996</v>
      </c>
      <c r="K848">
        <v>8433.6299999999992</v>
      </c>
      <c r="L848">
        <v>4640.42</v>
      </c>
      <c r="M848">
        <v>8434.99</v>
      </c>
      <c r="N848">
        <v>46.678167000000002</v>
      </c>
      <c r="O848">
        <v>-84.560500000000005</v>
      </c>
      <c r="P848">
        <v>46.673667000000002</v>
      </c>
      <c r="Q848">
        <v>-84.583167000000003</v>
      </c>
      <c r="R848">
        <v>632.35152389999996</v>
      </c>
      <c r="S848">
        <v>16.7</v>
      </c>
      <c r="T848">
        <v>23</v>
      </c>
      <c r="U848">
        <v>1</v>
      </c>
      <c r="V848">
        <v>2</v>
      </c>
      <c r="W848">
        <v>13.9</v>
      </c>
      <c r="X848">
        <v>10.938750000000001</v>
      </c>
      <c r="Y848">
        <v>0.38755000000000001</v>
      </c>
      <c r="Z848">
        <v>75.046250000000001</v>
      </c>
      <c r="AA848">
        <v>10</v>
      </c>
      <c r="AB848">
        <v>0.43</v>
      </c>
      <c r="AC848">
        <v>0</v>
      </c>
      <c r="AD848">
        <v>0</v>
      </c>
    </row>
    <row r="849" spans="1:30" x14ac:dyDescent="0.55000000000000004">
      <c r="A849">
        <v>101885</v>
      </c>
      <c r="B849" s="19">
        <v>42894</v>
      </c>
      <c r="C849">
        <v>1153</v>
      </c>
      <c r="D849">
        <v>2017</v>
      </c>
      <c r="E849">
        <v>25</v>
      </c>
      <c r="F849">
        <v>594</v>
      </c>
      <c r="G849">
        <v>1</v>
      </c>
      <c r="H849">
        <v>459</v>
      </c>
      <c r="I849">
        <v>3</v>
      </c>
      <c r="J849">
        <v>4646.34</v>
      </c>
      <c r="K849">
        <v>8435.58</v>
      </c>
      <c r="L849">
        <v>4646.1899999999996</v>
      </c>
      <c r="M849">
        <v>8436.14</v>
      </c>
      <c r="N849">
        <v>46.772333000000003</v>
      </c>
      <c r="O849">
        <v>-84.593000000000004</v>
      </c>
      <c r="P849">
        <v>46.769832999999998</v>
      </c>
      <c r="Q849">
        <v>-84.602333000000002</v>
      </c>
      <c r="R849">
        <v>2748.0519340000001</v>
      </c>
      <c r="S849">
        <v>18.2</v>
      </c>
      <c r="T849">
        <v>27.2</v>
      </c>
      <c r="U849">
        <v>1</v>
      </c>
      <c r="V849">
        <v>2</v>
      </c>
      <c r="W849">
        <v>12.3</v>
      </c>
      <c r="X849">
        <v>10.70595</v>
      </c>
      <c r="Y849">
        <v>0.18465000000000001</v>
      </c>
      <c r="Z849">
        <v>70.437899999999999</v>
      </c>
      <c r="AA849">
        <v>10</v>
      </c>
      <c r="AB849">
        <v>0.42</v>
      </c>
      <c r="AC849">
        <v>217</v>
      </c>
      <c r="AD849">
        <v>1</v>
      </c>
    </row>
    <row r="850" spans="1:30" x14ac:dyDescent="0.55000000000000004">
      <c r="A850">
        <v>101886</v>
      </c>
      <c r="B850" s="19">
        <v>42894</v>
      </c>
      <c r="C850">
        <v>1153</v>
      </c>
      <c r="D850">
        <v>2017</v>
      </c>
      <c r="E850">
        <v>25</v>
      </c>
      <c r="F850">
        <v>595</v>
      </c>
      <c r="G850">
        <v>1</v>
      </c>
      <c r="H850">
        <v>459</v>
      </c>
      <c r="I850">
        <v>3</v>
      </c>
      <c r="J850">
        <v>4646.34</v>
      </c>
      <c r="K850">
        <v>8435.58</v>
      </c>
      <c r="L850">
        <v>4646.1899999999996</v>
      </c>
      <c r="M850">
        <v>8436.14</v>
      </c>
      <c r="N850">
        <v>46.772333000000003</v>
      </c>
      <c r="O850">
        <v>-84.593000000000004</v>
      </c>
      <c r="P850">
        <v>46.769832999999998</v>
      </c>
      <c r="Q850">
        <v>-84.602333000000002</v>
      </c>
      <c r="R850">
        <v>2748.0519340000001</v>
      </c>
      <c r="S850">
        <v>18.2</v>
      </c>
      <c r="T850">
        <v>27.2</v>
      </c>
      <c r="U850">
        <v>1</v>
      </c>
      <c r="V850">
        <v>2</v>
      </c>
      <c r="W850">
        <v>12.3</v>
      </c>
      <c r="X850">
        <v>10.70595</v>
      </c>
      <c r="Y850">
        <v>0.18465000000000001</v>
      </c>
      <c r="Z850">
        <v>70.437899999999999</v>
      </c>
      <c r="AA850">
        <v>10</v>
      </c>
      <c r="AB850">
        <v>0.42</v>
      </c>
      <c r="AC850">
        <v>0</v>
      </c>
      <c r="AD850">
        <v>0</v>
      </c>
    </row>
    <row r="851" spans="1:30" x14ac:dyDescent="0.55000000000000004">
      <c r="A851">
        <v>101887</v>
      </c>
      <c r="B851" s="19">
        <v>42894</v>
      </c>
      <c r="C851">
        <v>1417</v>
      </c>
      <c r="D851">
        <v>2017</v>
      </c>
      <c r="E851">
        <v>25</v>
      </c>
      <c r="F851">
        <v>596</v>
      </c>
      <c r="G851">
        <v>1</v>
      </c>
      <c r="H851">
        <v>461</v>
      </c>
      <c r="I851">
        <v>3</v>
      </c>
      <c r="J851">
        <v>4656.66</v>
      </c>
      <c r="K851">
        <v>8443.65</v>
      </c>
      <c r="L851">
        <v>4656.2700000000004</v>
      </c>
      <c r="M851">
        <v>8443.66</v>
      </c>
      <c r="N851">
        <v>46.944333</v>
      </c>
      <c r="O851">
        <v>-84.727500000000006</v>
      </c>
      <c r="P851">
        <v>46.937832999999998</v>
      </c>
      <c r="Q851">
        <v>-84.727666999999997</v>
      </c>
      <c r="R851">
        <v>740.19289609999998</v>
      </c>
      <c r="S851">
        <v>47.2</v>
      </c>
      <c r="T851">
        <v>68</v>
      </c>
      <c r="U851">
        <v>1</v>
      </c>
      <c r="V851">
        <v>2</v>
      </c>
      <c r="W851">
        <v>13.8</v>
      </c>
      <c r="X851">
        <v>11.074</v>
      </c>
      <c r="Y851">
        <v>0.15759999999999999</v>
      </c>
      <c r="Z851">
        <v>84.635999999999996</v>
      </c>
      <c r="AA851">
        <v>10</v>
      </c>
      <c r="AB851">
        <v>0.41</v>
      </c>
      <c r="AC851">
        <v>0</v>
      </c>
      <c r="AD851">
        <v>0</v>
      </c>
    </row>
    <row r="852" spans="1:30" x14ac:dyDescent="0.55000000000000004">
      <c r="A852">
        <v>101888</v>
      </c>
      <c r="B852" s="19">
        <v>42894</v>
      </c>
      <c r="C852">
        <v>1417</v>
      </c>
      <c r="D852">
        <v>2017</v>
      </c>
      <c r="E852">
        <v>25</v>
      </c>
      <c r="F852">
        <v>597</v>
      </c>
      <c r="G852">
        <v>1</v>
      </c>
      <c r="H852">
        <v>461</v>
      </c>
      <c r="I852">
        <v>3</v>
      </c>
      <c r="J852">
        <v>4656.66</v>
      </c>
      <c r="K852">
        <v>8443.65</v>
      </c>
      <c r="L852">
        <v>4656.2700000000004</v>
      </c>
      <c r="M852">
        <v>8443.66</v>
      </c>
      <c r="N852">
        <v>46.944333</v>
      </c>
      <c r="O852">
        <v>-84.727500000000006</v>
      </c>
      <c r="P852">
        <v>46.937832999999998</v>
      </c>
      <c r="Q852">
        <v>-84.727666999999997</v>
      </c>
      <c r="R852">
        <v>740.19289609999998</v>
      </c>
      <c r="S852">
        <v>47.2</v>
      </c>
      <c r="T852">
        <v>68</v>
      </c>
      <c r="U852">
        <v>1</v>
      </c>
      <c r="V852">
        <v>2</v>
      </c>
      <c r="W852">
        <v>13.8</v>
      </c>
      <c r="X852">
        <v>11.074</v>
      </c>
      <c r="Y852">
        <v>0.15759999999999999</v>
      </c>
      <c r="Z852">
        <v>84.635999999999996</v>
      </c>
      <c r="AA852">
        <v>10</v>
      </c>
      <c r="AB852">
        <v>0.41</v>
      </c>
      <c r="AC852">
        <v>217</v>
      </c>
      <c r="AD852">
        <v>0</v>
      </c>
    </row>
    <row r="853" spans="1:30" x14ac:dyDescent="0.55000000000000004">
      <c r="A853">
        <v>101890</v>
      </c>
      <c r="B853" s="19">
        <v>42894</v>
      </c>
      <c r="C853">
        <v>1645</v>
      </c>
      <c r="D853">
        <v>2017</v>
      </c>
      <c r="E853">
        <v>25</v>
      </c>
      <c r="F853">
        <v>598</v>
      </c>
      <c r="G853">
        <v>1</v>
      </c>
      <c r="H853">
        <v>457</v>
      </c>
      <c r="I853">
        <v>3</v>
      </c>
      <c r="J853">
        <v>4709.8999999999996</v>
      </c>
      <c r="K853">
        <v>8443.4</v>
      </c>
      <c r="L853">
        <v>4709.8599999999997</v>
      </c>
      <c r="M853">
        <v>8442.86</v>
      </c>
      <c r="N853">
        <v>47.164999999999999</v>
      </c>
      <c r="O853">
        <v>-84.723332999999997</v>
      </c>
      <c r="P853">
        <v>47.164332999999999</v>
      </c>
      <c r="Q853">
        <v>-84.714332999999996</v>
      </c>
      <c r="R853">
        <v>404.23685260000002</v>
      </c>
      <c r="S853">
        <v>168</v>
      </c>
      <c r="T853">
        <v>94</v>
      </c>
      <c r="U853">
        <v>1</v>
      </c>
      <c r="V853">
        <v>2</v>
      </c>
      <c r="W853">
        <v>8.1999999999999993</v>
      </c>
      <c r="X853">
        <v>5.7217000000000002</v>
      </c>
      <c r="Y853">
        <v>0.11735</v>
      </c>
      <c r="Z853">
        <v>90.930400000000006</v>
      </c>
      <c r="AA853">
        <v>10</v>
      </c>
      <c r="AB853">
        <v>0.42</v>
      </c>
      <c r="AC853">
        <v>0</v>
      </c>
      <c r="AD853">
        <v>0</v>
      </c>
    </row>
    <row r="854" spans="1:30" x14ac:dyDescent="0.55000000000000004">
      <c r="A854">
        <v>101891</v>
      </c>
      <c r="B854" s="19">
        <v>42894</v>
      </c>
      <c r="C854">
        <v>1645</v>
      </c>
      <c r="D854">
        <v>2017</v>
      </c>
      <c r="E854">
        <v>25</v>
      </c>
      <c r="F854">
        <v>599</v>
      </c>
      <c r="G854">
        <v>1</v>
      </c>
      <c r="H854">
        <v>457</v>
      </c>
      <c r="I854">
        <v>3</v>
      </c>
      <c r="J854">
        <v>4709.8999999999996</v>
      </c>
      <c r="K854">
        <v>8443.4</v>
      </c>
      <c r="L854">
        <v>4709.8599999999997</v>
      </c>
      <c r="M854">
        <v>8442.86</v>
      </c>
      <c r="N854">
        <v>47.164999999999999</v>
      </c>
      <c r="O854">
        <v>-84.723332999999997</v>
      </c>
      <c r="P854">
        <v>47.164332999999999</v>
      </c>
      <c r="Q854">
        <v>-84.714332999999996</v>
      </c>
      <c r="R854">
        <v>404.23685260000002</v>
      </c>
      <c r="S854">
        <v>168</v>
      </c>
      <c r="T854">
        <v>94</v>
      </c>
      <c r="U854">
        <v>1</v>
      </c>
      <c r="V854">
        <v>2</v>
      </c>
      <c r="W854">
        <v>8.1999999999999993</v>
      </c>
      <c r="X854">
        <v>5.7217000000000002</v>
      </c>
      <c r="Y854">
        <v>0.11735</v>
      </c>
      <c r="Z854">
        <v>90.930400000000006</v>
      </c>
      <c r="AA854">
        <v>10</v>
      </c>
      <c r="AB854">
        <v>0.42</v>
      </c>
      <c r="AC854">
        <v>217</v>
      </c>
      <c r="AD854">
        <v>1</v>
      </c>
    </row>
    <row r="855" spans="1:30" x14ac:dyDescent="0.55000000000000004">
      <c r="A855">
        <v>101895</v>
      </c>
      <c r="B855" s="19">
        <v>42895</v>
      </c>
      <c r="C855">
        <v>734</v>
      </c>
      <c r="D855">
        <v>2017</v>
      </c>
      <c r="E855">
        <v>25</v>
      </c>
      <c r="F855">
        <v>600</v>
      </c>
      <c r="G855">
        <v>1</v>
      </c>
      <c r="H855">
        <v>456</v>
      </c>
      <c r="I855">
        <v>3</v>
      </c>
      <c r="J855">
        <v>4719.0200000000004</v>
      </c>
      <c r="K855">
        <v>8438.7800000000007</v>
      </c>
      <c r="L855">
        <v>4718.83</v>
      </c>
      <c r="M855">
        <v>8439.36</v>
      </c>
      <c r="N855">
        <v>47.317</v>
      </c>
      <c r="O855">
        <v>-84.646332999999998</v>
      </c>
      <c r="P855">
        <v>47.313833000000002</v>
      </c>
      <c r="Q855">
        <v>-84.656000000000006</v>
      </c>
      <c r="R855">
        <v>2445.814742</v>
      </c>
      <c r="S855">
        <v>26</v>
      </c>
      <c r="T855">
        <v>56.4</v>
      </c>
      <c r="U855">
        <v>1</v>
      </c>
      <c r="V855">
        <v>2</v>
      </c>
      <c r="W855">
        <v>8.9</v>
      </c>
      <c r="X855">
        <v>8.3217999999999996</v>
      </c>
      <c r="Y855">
        <v>0.28784999999999999</v>
      </c>
      <c r="Z855">
        <v>83.877949999999998</v>
      </c>
      <c r="AA855">
        <v>10</v>
      </c>
      <c r="AB855">
        <v>0.47</v>
      </c>
      <c r="AC855">
        <v>217</v>
      </c>
      <c r="AD855">
        <v>46</v>
      </c>
    </row>
    <row r="856" spans="1:30" x14ac:dyDescent="0.55000000000000004">
      <c r="A856">
        <v>101895</v>
      </c>
      <c r="B856" s="19">
        <v>42895</v>
      </c>
      <c r="C856">
        <v>734</v>
      </c>
      <c r="D856">
        <v>2017</v>
      </c>
      <c r="E856">
        <v>25</v>
      </c>
      <c r="F856">
        <v>600</v>
      </c>
      <c r="G856">
        <v>1</v>
      </c>
      <c r="H856">
        <v>456</v>
      </c>
      <c r="I856">
        <v>3</v>
      </c>
      <c r="J856">
        <v>4719.0200000000004</v>
      </c>
      <c r="K856">
        <v>8438.7800000000007</v>
      </c>
      <c r="L856">
        <v>4718.83</v>
      </c>
      <c r="M856">
        <v>8439.36</v>
      </c>
      <c r="N856">
        <v>47.317</v>
      </c>
      <c r="O856">
        <v>-84.646332999999998</v>
      </c>
      <c r="P856">
        <v>47.313833000000002</v>
      </c>
      <c r="Q856">
        <v>-84.656000000000006</v>
      </c>
      <c r="R856">
        <v>2445.814742</v>
      </c>
      <c r="S856">
        <v>26</v>
      </c>
      <c r="T856">
        <v>56.4</v>
      </c>
      <c r="U856">
        <v>1</v>
      </c>
      <c r="V856">
        <v>2</v>
      </c>
      <c r="W856">
        <v>8.9</v>
      </c>
      <c r="X856">
        <v>8.3217999999999996</v>
      </c>
      <c r="Y856">
        <v>0.28784999999999999</v>
      </c>
      <c r="Z856">
        <v>83.877949999999998</v>
      </c>
      <c r="AA856">
        <v>10</v>
      </c>
      <c r="AB856">
        <v>0.47</v>
      </c>
      <c r="AC856">
        <v>900</v>
      </c>
      <c r="AD856">
        <v>1</v>
      </c>
    </row>
    <row r="857" spans="1:30" x14ac:dyDescent="0.55000000000000004">
      <c r="A857">
        <v>101896</v>
      </c>
      <c r="B857" s="19">
        <v>42895</v>
      </c>
      <c r="C857">
        <v>734</v>
      </c>
      <c r="D857">
        <v>2017</v>
      </c>
      <c r="E857">
        <v>25</v>
      </c>
      <c r="F857">
        <v>601</v>
      </c>
      <c r="G857">
        <v>1</v>
      </c>
      <c r="H857">
        <v>456</v>
      </c>
      <c r="I857">
        <v>3</v>
      </c>
      <c r="J857">
        <v>4719.0200000000004</v>
      </c>
      <c r="K857">
        <v>8438.7800000000007</v>
      </c>
      <c r="L857">
        <v>4718.83</v>
      </c>
      <c r="M857">
        <v>8439.36</v>
      </c>
      <c r="N857">
        <v>47.317</v>
      </c>
      <c r="O857">
        <v>-84.646332999999998</v>
      </c>
      <c r="P857">
        <v>47.313833000000002</v>
      </c>
      <c r="Q857">
        <v>-84.656000000000006</v>
      </c>
      <c r="R857">
        <v>2445.814742</v>
      </c>
      <c r="S857">
        <v>26</v>
      </c>
      <c r="T857">
        <v>56.4</v>
      </c>
      <c r="U857">
        <v>1</v>
      </c>
      <c r="V857">
        <v>2</v>
      </c>
      <c r="W857">
        <v>8.9</v>
      </c>
      <c r="X857">
        <v>8.3217999999999996</v>
      </c>
      <c r="Y857">
        <v>0.28784999999999999</v>
      </c>
      <c r="Z857">
        <v>83.877949999999998</v>
      </c>
      <c r="AA857">
        <v>10</v>
      </c>
      <c r="AB857">
        <v>0.47</v>
      </c>
      <c r="AC857">
        <v>217</v>
      </c>
      <c r="AD857">
        <v>42</v>
      </c>
    </row>
    <row r="858" spans="1:30" x14ac:dyDescent="0.55000000000000004">
      <c r="A858">
        <v>101897</v>
      </c>
      <c r="B858" s="19">
        <v>42895</v>
      </c>
      <c r="C858">
        <v>1028</v>
      </c>
      <c r="D858">
        <v>2017</v>
      </c>
      <c r="E858">
        <v>25</v>
      </c>
      <c r="F858">
        <v>602</v>
      </c>
      <c r="G858">
        <v>1</v>
      </c>
      <c r="H858">
        <v>455</v>
      </c>
      <c r="I858">
        <v>3</v>
      </c>
      <c r="J858">
        <v>4733.21</v>
      </c>
      <c r="K858">
        <v>8457.48</v>
      </c>
      <c r="L858">
        <v>4733.01</v>
      </c>
      <c r="M858">
        <v>8458.09</v>
      </c>
      <c r="N858">
        <v>47.5535</v>
      </c>
      <c r="O858">
        <v>-84.957999999999998</v>
      </c>
      <c r="P858">
        <v>47.550167000000002</v>
      </c>
      <c r="Q858">
        <v>-84.968166999999994</v>
      </c>
      <c r="R858">
        <v>505.07846460000002</v>
      </c>
      <c r="S858">
        <v>23.3</v>
      </c>
      <c r="T858">
        <v>78.3</v>
      </c>
      <c r="U858">
        <v>1</v>
      </c>
      <c r="V858">
        <v>2</v>
      </c>
      <c r="W858">
        <v>5.9</v>
      </c>
      <c r="X858">
        <v>5.4684499999999998</v>
      </c>
      <c r="Y858">
        <v>1.4200000000000001E-2</v>
      </c>
      <c r="Z858">
        <v>62.152749999999997</v>
      </c>
      <c r="AA858">
        <v>10</v>
      </c>
      <c r="AB858">
        <v>0.5</v>
      </c>
      <c r="AC858">
        <v>217</v>
      </c>
      <c r="AD858">
        <v>1</v>
      </c>
    </row>
    <row r="859" spans="1:30" x14ac:dyDescent="0.55000000000000004">
      <c r="A859">
        <v>101898</v>
      </c>
      <c r="B859" s="19">
        <v>42895</v>
      </c>
      <c r="C859">
        <v>1028</v>
      </c>
      <c r="D859">
        <v>2017</v>
      </c>
      <c r="E859">
        <v>25</v>
      </c>
      <c r="F859">
        <v>603</v>
      </c>
      <c r="G859">
        <v>1</v>
      </c>
      <c r="H859">
        <v>455</v>
      </c>
      <c r="I859">
        <v>3</v>
      </c>
      <c r="J859">
        <v>4733.21</v>
      </c>
      <c r="K859">
        <v>8457.48</v>
      </c>
      <c r="L859">
        <v>4733.01</v>
      </c>
      <c r="M859">
        <v>8458.09</v>
      </c>
      <c r="N859">
        <v>47.5535</v>
      </c>
      <c r="O859">
        <v>-84.957999999999998</v>
      </c>
      <c r="P859">
        <v>47.550167000000002</v>
      </c>
      <c r="Q859">
        <v>-84.968166999999994</v>
      </c>
      <c r="R859">
        <v>505.07846460000002</v>
      </c>
      <c r="S859">
        <v>23.3</v>
      </c>
      <c r="T859">
        <v>78.3</v>
      </c>
      <c r="U859">
        <v>1</v>
      </c>
      <c r="V859">
        <v>2</v>
      </c>
      <c r="W859">
        <v>5.9</v>
      </c>
      <c r="X859">
        <v>5.4684499999999998</v>
      </c>
      <c r="Y859">
        <v>1.4200000000000001E-2</v>
      </c>
      <c r="Z859">
        <v>62.152749999999997</v>
      </c>
      <c r="AA859">
        <v>10</v>
      </c>
      <c r="AB859">
        <v>0.5</v>
      </c>
      <c r="AC859">
        <v>217</v>
      </c>
      <c r="AD859">
        <v>1</v>
      </c>
    </row>
    <row r="860" spans="1:30" x14ac:dyDescent="0.55000000000000004">
      <c r="A860">
        <v>101899</v>
      </c>
      <c r="B860" s="19">
        <v>42895</v>
      </c>
      <c r="C860">
        <v>1215</v>
      </c>
      <c r="D860">
        <v>2017</v>
      </c>
      <c r="E860">
        <v>25</v>
      </c>
      <c r="F860">
        <v>604</v>
      </c>
      <c r="G860">
        <v>1</v>
      </c>
      <c r="H860">
        <v>454</v>
      </c>
      <c r="I860">
        <v>3</v>
      </c>
      <c r="J860">
        <v>4740.43</v>
      </c>
      <c r="K860">
        <v>8459.9599999999991</v>
      </c>
      <c r="L860">
        <v>4740.5</v>
      </c>
      <c r="M860">
        <v>8459.4500000000007</v>
      </c>
      <c r="N860">
        <v>47.673833000000002</v>
      </c>
      <c r="O860">
        <v>-84.999332999999993</v>
      </c>
      <c r="P860">
        <v>47.674999999999997</v>
      </c>
      <c r="Q860">
        <v>-84.990832999999995</v>
      </c>
      <c r="R860">
        <v>392.59048360000003</v>
      </c>
      <c r="S860">
        <v>94</v>
      </c>
      <c r="T860">
        <v>70.3</v>
      </c>
      <c r="U860">
        <v>1</v>
      </c>
      <c r="V860">
        <v>2</v>
      </c>
      <c r="W860">
        <v>5.3</v>
      </c>
      <c r="X860">
        <v>4.6510999999999996</v>
      </c>
      <c r="Y860">
        <v>3.5099999999999999E-2</v>
      </c>
      <c r="Z860">
        <v>51.893599999999999</v>
      </c>
      <c r="AA860">
        <v>10</v>
      </c>
      <c r="AB860">
        <v>0.4</v>
      </c>
      <c r="AC860">
        <v>0</v>
      </c>
      <c r="AD860">
        <v>0</v>
      </c>
    </row>
    <row r="861" spans="1:30" x14ac:dyDescent="0.55000000000000004">
      <c r="A861">
        <v>101900</v>
      </c>
      <c r="B861" s="19">
        <v>42895</v>
      </c>
      <c r="C861">
        <v>1215</v>
      </c>
      <c r="D861">
        <v>2017</v>
      </c>
      <c r="E861">
        <v>25</v>
      </c>
      <c r="F861">
        <v>605</v>
      </c>
      <c r="G861">
        <v>1</v>
      </c>
      <c r="H861">
        <v>454</v>
      </c>
      <c r="I861">
        <v>3</v>
      </c>
      <c r="J861">
        <v>4740.43</v>
      </c>
      <c r="K861">
        <v>8459.9599999999991</v>
      </c>
      <c r="L861">
        <v>4740.5</v>
      </c>
      <c r="M861">
        <v>8459.4500000000007</v>
      </c>
      <c r="N861">
        <v>47.673833000000002</v>
      </c>
      <c r="O861">
        <v>-84.999332999999993</v>
      </c>
      <c r="P861">
        <v>47.674999999999997</v>
      </c>
      <c r="Q861">
        <v>-84.990832999999995</v>
      </c>
      <c r="R861">
        <v>392.59048360000003</v>
      </c>
      <c r="S861">
        <v>94</v>
      </c>
      <c r="T861">
        <v>70.3</v>
      </c>
      <c r="U861">
        <v>1</v>
      </c>
      <c r="V861">
        <v>2</v>
      </c>
      <c r="W861">
        <v>5.3</v>
      </c>
      <c r="X861">
        <v>4.6510999999999996</v>
      </c>
      <c r="Y861">
        <v>3.5099999999999999E-2</v>
      </c>
      <c r="Z861">
        <v>51.893599999999999</v>
      </c>
      <c r="AA861">
        <v>10</v>
      </c>
      <c r="AB861">
        <v>0.4</v>
      </c>
      <c r="AC861">
        <v>0</v>
      </c>
      <c r="AD861">
        <v>0</v>
      </c>
    </row>
    <row r="862" spans="1:30" x14ac:dyDescent="0.55000000000000004">
      <c r="A862">
        <v>101903</v>
      </c>
      <c r="B862" s="19">
        <v>42895</v>
      </c>
      <c r="C862">
        <v>1519</v>
      </c>
      <c r="D862">
        <v>2017</v>
      </c>
      <c r="E862">
        <v>25</v>
      </c>
      <c r="F862">
        <v>606</v>
      </c>
      <c r="G862">
        <v>1</v>
      </c>
      <c r="H862">
        <v>451</v>
      </c>
      <c r="I862">
        <v>3</v>
      </c>
      <c r="J862">
        <v>4756.8500000000004</v>
      </c>
      <c r="K862">
        <v>8511.1299999999992</v>
      </c>
      <c r="L862">
        <v>4756.49</v>
      </c>
      <c r="M862">
        <v>8510.9699999999993</v>
      </c>
      <c r="N862">
        <v>47.947499999999998</v>
      </c>
      <c r="O862">
        <v>-85.185500000000005</v>
      </c>
      <c r="P862">
        <v>47.941499999999998</v>
      </c>
      <c r="Q862">
        <v>-85.182833000000002</v>
      </c>
      <c r="R862">
        <v>1060.3185840000001</v>
      </c>
      <c r="S862">
        <v>16.8</v>
      </c>
      <c r="T862">
        <v>34.299999999999997</v>
      </c>
      <c r="U862">
        <v>1</v>
      </c>
      <c r="V862">
        <v>2</v>
      </c>
      <c r="W862">
        <v>6.3</v>
      </c>
      <c r="X862">
        <v>4.7089499999999997</v>
      </c>
      <c r="Y862">
        <v>-8.8400000000000006E-2</v>
      </c>
      <c r="Z862">
        <v>67.823049999999995</v>
      </c>
      <c r="AA862">
        <v>10</v>
      </c>
      <c r="AB862">
        <v>0.42</v>
      </c>
      <c r="AC862">
        <v>217</v>
      </c>
      <c r="AD862">
        <v>1</v>
      </c>
    </row>
    <row r="863" spans="1:30" x14ac:dyDescent="0.55000000000000004">
      <c r="A863">
        <v>101904</v>
      </c>
      <c r="B863" s="19">
        <v>42895</v>
      </c>
      <c r="C863">
        <v>1519</v>
      </c>
      <c r="D863">
        <v>2017</v>
      </c>
      <c r="E863">
        <v>25</v>
      </c>
      <c r="F863">
        <v>607</v>
      </c>
      <c r="G863">
        <v>1</v>
      </c>
      <c r="H863">
        <v>451</v>
      </c>
      <c r="I863">
        <v>3</v>
      </c>
      <c r="J863">
        <v>4756.8500000000004</v>
      </c>
      <c r="K863">
        <v>8511.1299999999992</v>
      </c>
      <c r="L863">
        <v>4756.49</v>
      </c>
      <c r="M863">
        <v>8510.9699999999993</v>
      </c>
      <c r="N863">
        <v>47.947499999999998</v>
      </c>
      <c r="O863">
        <v>-85.185500000000005</v>
      </c>
      <c r="P863">
        <v>47.941499999999998</v>
      </c>
      <c r="Q863">
        <v>-85.182833000000002</v>
      </c>
      <c r="R863">
        <v>1060.3185840000001</v>
      </c>
      <c r="S863">
        <v>16.8</v>
      </c>
      <c r="T863">
        <v>34.299999999999997</v>
      </c>
      <c r="U863">
        <v>1</v>
      </c>
      <c r="V863">
        <v>2</v>
      </c>
      <c r="W863">
        <v>6.3</v>
      </c>
      <c r="X863">
        <v>4.7089499999999997</v>
      </c>
      <c r="Y863">
        <v>-8.8400000000000006E-2</v>
      </c>
      <c r="Z863">
        <v>67.823049999999995</v>
      </c>
      <c r="AA863">
        <v>10</v>
      </c>
      <c r="AB863">
        <v>0.42</v>
      </c>
      <c r="AC863">
        <v>217</v>
      </c>
      <c r="AD863">
        <v>2</v>
      </c>
    </row>
    <row r="864" spans="1:30" x14ac:dyDescent="0.55000000000000004">
      <c r="A864">
        <v>101906</v>
      </c>
      <c r="B864" s="19">
        <v>42895</v>
      </c>
      <c r="C864">
        <v>1728</v>
      </c>
      <c r="D864">
        <v>2017</v>
      </c>
      <c r="E864">
        <v>25</v>
      </c>
      <c r="F864">
        <v>608</v>
      </c>
      <c r="G864">
        <v>1</v>
      </c>
      <c r="H864">
        <v>462</v>
      </c>
      <c r="I864">
        <v>3</v>
      </c>
      <c r="J864">
        <v>4757.2</v>
      </c>
      <c r="K864">
        <v>8456.8700000000008</v>
      </c>
      <c r="L864">
        <v>4756.8</v>
      </c>
      <c r="M864">
        <v>8456.75</v>
      </c>
      <c r="N864">
        <v>47.953333000000001</v>
      </c>
      <c r="O864">
        <v>-84.947833000000003</v>
      </c>
      <c r="P864">
        <v>47.946666999999998</v>
      </c>
      <c r="Q864">
        <v>-84.945832999999993</v>
      </c>
      <c r="R864">
        <v>898.44834530000003</v>
      </c>
      <c r="S864">
        <v>21.3</v>
      </c>
      <c r="T864">
        <v>105</v>
      </c>
      <c r="U864">
        <v>1</v>
      </c>
      <c r="V864">
        <v>2</v>
      </c>
      <c r="W864">
        <v>8.9</v>
      </c>
      <c r="X864">
        <v>6.1317000000000004</v>
      </c>
      <c r="Y864">
        <v>9.75E-3</v>
      </c>
      <c r="Z864">
        <v>63.933149999999998</v>
      </c>
      <c r="AA864">
        <v>10</v>
      </c>
      <c r="AB864">
        <v>0.42</v>
      </c>
      <c r="AC864">
        <v>217</v>
      </c>
      <c r="AD864">
        <v>22</v>
      </c>
    </row>
    <row r="865" spans="1:30" x14ac:dyDescent="0.55000000000000004">
      <c r="A865">
        <v>101907</v>
      </c>
      <c r="B865" s="19">
        <v>42895</v>
      </c>
      <c r="C865">
        <v>1728</v>
      </c>
      <c r="D865">
        <v>2017</v>
      </c>
      <c r="E865">
        <v>25</v>
      </c>
      <c r="F865">
        <v>609</v>
      </c>
      <c r="G865">
        <v>1</v>
      </c>
      <c r="H865">
        <v>462</v>
      </c>
      <c r="I865">
        <v>3</v>
      </c>
      <c r="J865">
        <v>4757.2</v>
      </c>
      <c r="K865">
        <v>8456.8700000000008</v>
      </c>
      <c r="L865">
        <v>4756.8</v>
      </c>
      <c r="M865">
        <v>8456.75</v>
      </c>
      <c r="N865">
        <v>47.953333000000001</v>
      </c>
      <c r="O865">
        <v>-84.947833000000003</v>
      </c>
      <c r="P865">
        <v>47.946666999999998</v>
      </c>
      <c r="Q865">
        <v>-84.945832999999993</v>
      </c>
      <c r="R865">
        <v>898.44834530000003</v>
      </c>
      <c r="S865">
        <v>21.3</v>
      </c>
      <c r="T865">
        <v>105</v>
      </c>
      <c r="U865">
        <v>1</v>
      </c>
      <c r="V865">
        <v>2</v>
      </c>
      <c r="W865">
        <v>8.9</v>
      </c>
      <c r="X865">
        <v>6.1317000000000004</v>
      </c>
      <c r="Y865">
        <v>9.75E-3</v>
      </c>
      <c r="Z865">
        <v>63.933149999999998</v>
      </c>
      <c r="AA865">
        <v>10</v>
      </c>
      <c r="AB865">
        <v>0.42</v>
      </c>
      <c r="AC865">
        <v>217</v>
      </c>
      <c r="AD865">
        <v>13</v>
      </c>
    </row>
    <row r="866" spans="1:30" x14ac:dyDescent="0.55000000000000004">
      <c r="A866">
        <v>101909</v>
      </c>
      <c r="B866" s="19">
        <v>42896</v>
      </c>
      <c r="C866">
        <v>920</v>
      </c>
      <c r="D866">
        <v>2017</v>
      </c>
      <c r="E866">
        <v>25</v>
      </c>
      <c r="F866">
        <v>610</v>
      </c>
      <c r="G866">
        <v>1</v>
      </c>
      <c r="H866">
        <v>463</v>
      </c>
      <c r="I866">
        <v>3</v>
      </c>
      <c r="J866">
        <v>4755.07</v>
      </c>
      <c r="K866">
        <v>8525.67</v>
      </c>
      <c r="L866">
        <v>4754.63</v>
      </c>
      <c r="M866">
        <v>8524.91</v>
      </c>
      <c r="N866">
        <v>47.917833000000002</v>
      </c>
      <c r="O866">
        <v>-85.427833000000007</v>
      </c>
      <c r="P866">
        <v>47.910499999999999</v>
      </c>
      <c r="Q866">
        <v>-85.415166999999997</v>
      </c>
      <c r="R866">
        <v>487.48221030000002</v>
      </c>
      <c r="S866">
        <v>24.2</v>
      </c>
      <c r="T866">
        <v>64.5</v>
      </c>
      <c r="U866">
        <v>1</v>
      </c>
      <c r="V866">
        <v>2</v>
      </c>
      <c r="W866">
        <v>5.6</v>
      </c>
      <c r="X866">
        <v>4.2931499999999998</v>
      </c>
      <c r="Y866">
        <v>0.41394999999999998</v>
      </c>
      <c r="Z866">
        <v>89.063649999999996</v>
      </c>
      <c r="AA866">
        <v>10</v>
      </c>
      <c r="AB866">
        <v>0.49</v>
      </c>
      <c r="AC866">
        <v>217</v>
      </c>
      <c r="AD866">
        <v>645</v>
      </c>
    </row>
    <row r="867" spans="1:30" x14ac:dyDescent="0.55000000000000004">
      <c r="A867">
        <v>101910</v>
      </c>
      <c r="B867" s="19">
        <v>42896</v>
      </c>
      <c r="C867">
        <v>920</v>
      </c>
      <c r="D867">
        <v>2017</v>
      </c>
      <c r="E867">
        <v>25</v>
      </c>
      <c r="F867">
        <v>611</v>
      </c>
      <c r="G867">
        <v>1</v>
      </c>
      <c r="H867">
        <v>463</v>
      </c>
      <c r="I867">
        <v>3</v>
      </c>
      <c r="J867">
        <v>4755.07</v>
      </c>
      <c r="K867">
        <v>8525.67</v>
      </c>
      <c r="L867">
        <v>4754.63</v>
      </c>
      <c r="M867">
        <v>8524.91</v>
      </c>
      <c r="N867">
        <v>47.917833000000002</v>
      </c>
      <c r="O867">
        <v>-85.427833000000007</v>
      </c>
      <c r="P867">
        <v>47.910499999999999</v>
      </c>
      <c r="Q867">
        <v>-85.415166999999997</v>
      </c>
      <c r="R867">
        <v>487.48221030000002</v>
      </c>
      <c r="S867">
        <v>24.2</v>
      </c>
      <c r="T867">
        <v>64.5</v>
      </c>
      <c r="U867">
        <v>1</v>
      </c>
      <c r="V867">
        <v>2</v>
      </c>
      <c r="W867">
        <v>5.6</v>
      </c>
      <c r="X867">
        <v>4.2931499999999998</v>
      </c>
      <c r="Y867">
        <v>0.41394999999999998</v>
      </c>
      <c r="Z867">
        <v>89.063649999999996</v>
      </c>
      <c r="AA867">
        <v>10</v>
      </c>
      <c r="AB867">
        <v>0.49</v>
      </c>
      <c r="AC867">
        <v>217</v>
      </c>
      <c r="AD867">
        <v>315</v>
      </c>
    </row>
    <row r="868" spans="1:30" x14ac:dyDescent="0.55000000000000004">
      <c r="A868">
        <v>101913</v>
      </c>
      <c r="B868" s="19">
        <v>42896</v>
      </c>
      <c r="C868">
        <v>1418</v>
      </c>
      <c r="D868">
        <v>2017</v>
      </c>
      <c r="E868">
        <v>25</v>
      </c>
      <c r="F868">
        <v>612</v>
      </c>
      <c r="G868">
        <v>1</v>
      </c>
      <c r="H868">
        <v>465</v>
      </c>
      <c r="I868">
        <v>3</v>
      </c>
      <c r="J868">
        <v>4807.53</v>
      </c>
      <c r="K868">
        <v>8604</v>
      </c>
      <c r="L868">
        <v>4807.4399999999996</v>
      </c>
      <c r="M868">
        <v>8603.44</v>
      </c>
      <c r="N868">
        <v>48.125500000000002</v>
      </c>
      <c r="O868">
        <v>-86.066666999999995</v>
      </c>
      <c r="P868">
        <v>48.124000000000002</v>
      </c>
      <c r="Q868">
        <v>-86.057333</v>
      </c>
      <c r="R868">
        <v>428.47106969999999</v>
      </c>
      <c r="S868">
        <v>103</v>
      </c>
      <c r="T868">
        <v>49.9</v>
      </c>
      <c r="U868">
        <v>1</v>
      </c>
      <c r="V868">
        <v>2</v>
      </c>
      <c r="W868">
        <v>5.7</v>
      </c>
      <c r="X868">
        <v>4.3624000000000001</v>
      </c>
      <c r="Y868">
        <v>9.2649999999999996E-2</v>
      </c>
      <c r="Z868">
        <v>88.251249999999999</v>
      </c>
      <c r="AA868">
        <v>10</v>
      </c>
      <c r="AB868">
        <v>0.42</v>
      </c>
      <c r="AC868">
        <v>0</v>
      </c>
      <c r="AD868">
        <v>0</v>
      </c>
    </row>
    <row r="869" spans="1:30" x14ac:dyDescent="0.55000000000000004">
      <c r="A869">
        <v>101914</v>
      </c>
      <c r="B869" s="19">
        <v>42896</v>
      </c>
      <c r="C869">
        <v>1418</v>
      </c>
      <c r="D869">
        <v>2017</v>
      </c>
      <c r="E869">
        <v>25</v>
      </c>
      <c r="F869">
        <v>613</v>
      </c>
      <c r="G869">
        <v>1</v>
      </c>
      <c r="H869">
        <v>465</v>
      </c>
      <c r="I869">
        <v>3</v>
      </c>
      <c r="J869">
        <v>4807.53</v>
      </c>
      <c r="K869">
        <v>8604</v>
      </c>
      <c r="L869">
        <v>4807.4399999999996</v>
      </c>
      <c r="M869">
        <v>8603.44</v>
      </c>
      <c r="N869">
        <v>48.125500000000002</v>
      </c>
      <c r="O869">
        <v>-86.066666999999995</v>
      </c>
      <c r="P869">
        <v>48.124000000000002</v>
      </c>
      <c r="Q869">
        <v>-86.057333</v>
      </c>
      <c r="R869">
        <v>428.47106969999999</v>
      </c>
      <c r="S869">
        <v>103</v>
      </c>
      <c r="T869">
        <v>49.9</v>
      </c>
      <c r="U869">
        <v>1</v>
      </c>
      <c r="V869">
        <v>2</v>
      </c>
      <c r="W869">
        <v>5.7</v>
      </c>
      <c r="X869">
        <v>4.3624000000000001</v>
      </c>
      <c r="Y869">
        <v>9.2649999999999996E-2</v>
      </c>
      <c r="Z869">
        <v>88.251249999999999</v>
      </c>
      <c r="AA869">
        <v>10</v>
      </c>
      <c r="AB869">
        <v>0.42</v>
      </c>
      <c r="AC869">
        <v>217</v>
      </c>
      <c r="AD869">
        <v>1</v>
      </c>
    </row>
    <row r="870" spans="1:30" x14ac:dyDescent="0.55000000000000004">
      <c r="A870">
        <v>101916</v>
      </c>
      <c r="B870" s="19">
        <v>42897</v>
      </c>
      <c r="C870">
        <v>741</v>
      </c>
      <c r="D870">
        <v>2017</v>
      </c>
      <c r="E870">
        <v>25</v>
      </c>
      <c r="F870">
        <v>614</v>
      </c>
      <c r="G870">
        <v>1</v>
      </c>
      <c r="H870">
        <v>422</v>
      </c>
      <c r="I870">
        <v>3</v>
      </c>
      <c r="J870">
        <v>4838.16</v>
      </c>
      <c r="K870">
        <v>8631.51</v>
      </c>
      <c r="L870">
        <v>4837.87</v>
      </c>
      <c r="M870">
        <v>8621.1299999999992</v>
      </c>
      <c r="N870">
        <v>48.636000000000003</v>
      </c>
      <c r="O870">
        <v>-86.525166999999996</v>
      </c>
      <c r="P870">
        <v>48.631166999999998</v>
      </c>
      <c r="Q870">
        <v>-86.352166999999994</v>
      </c>
      <c r="R870">
        <v>443.99107350000003</v>
      </c>
      <c r="S870">
        <v>77</v>
      </c>
      <c r="T870">
        <v>42.4</v>
      </c>
      <c r="U870">
        <v>1</v>
      </c>
      <c r="V870">
        <v>2</v>
      </c>
      <c r="W870">
        <v>6</v>
      </c>
      <c r="X870">
        <v>4.7141000000000002</v>
      </c>
      <c r="Y870">
        <v>0.14685000000000001</v>
      </c>
      <c r="Z870">
        <v>84.23115</v>
      </c>
      <c r="AA870">
        <v>10</v>
      </c>
      <c r="AB870">
        <v>0.4</v>
      </c>
      <c r="AC870">
        <v>217</v>
      </c>
      <c r="AD870">
        <v>24</v>
      </c>
    </row>
    <row r="871" spans="1:30" x14ac:dyDescent="0.55000000000000004">
      <c r="A871">
        <v>101917</v>
      </c>
      <c r="B871" s="19">
        <v>42897</v>
      </c>
      <c r="C871">
        <v>741</v>
      </c>
      <c r="D871">
        <v>2017</v>
      </c>
      <c r="E871">
        <v>25</v>
      </c>
      <c r="F871">
        <v>615</v>
      </c>
      <c r="G871">
        <v>1</v>
      </c>
      <c r="H871">
        <v>422</v>
      </c>
      <c r="I871">
        <v>3</v>
      </c>
      <c r="J871">
        <v>4838.16</v>
      </c>
      <c r="K871">
        <v>8621.51</v>
      </c>
      <c r="L871">
        <v>4837.87</v>
      </c>
      <c r="M871">
        <v>8621.1299999999992</v>
      </c>
      <c r="N871">
        <v>48.636000000000003</v>
      </c>
      <c r="O871">
        <v>-86.358500000000006</v>
      </c>
      <c r="P871">
        <v>48.631166999999998</v>
      </c>
      <c r="Q871">
        <v>-86.352166999999994</v>
      </c>
      <c r="R871">
        <v>443.99107350000003</v>
      </c>
      <c r="S871">
        <v>77</v>
      </c>
      <c r="T871">
        <v>42.4</v>
      </c>
      <c r="U871">
        <v>1</v>
      </c>
      <c r="V871">
        <v>2</v>
      </c>
      <c r="W871">
        <v>6</v>
      </c>
      <c r="X871">
        <v>4.7141000000000002</v>
      </c>
      <c r="Y871">
        <v>0.14685000000000001</v>
      </c>
      <c r="Z871">
        <v>84.23115</v>
      </c>
      <c r="AA871">
        <v>10</v>
      </c>
      <c r="AB871">
        <v>0.4</v>
      </c>
      <c r="AC871">
        <v>217</v>
      </c>
      <c r="AD871">
        <v>17</v>
      </c>
    </row>
    <row r="872" spans="1:30" x14ac:dyDescent="0.55000000000000004">
      <c r="A872">
        <v>101920</v>
      </c>
      <c r="B872" s="19">
        <v>42897</v>
      </c>
      <c r="C872">
        <v>1020</v>
      </c>
      <c r="D872">
        <v>2017</v>
      </c>
      <c r="E872">
        <v>25</v>
      </c>
      <c r="F872">
        <v>616</v>
      </c>
      <c r="G872">
        <v>1</v>
      </c>
      <c r="H872">
        <v>420</v>
      </c>
      <c r="I872">
        <v>3</v>
      </c>
      <c r="J872">
        <v>4846.1499999999996</v>
      </c>
      <c r="K872">
        <v>8637.8799999999992</v>
      </c>
      <c r="L872">
        <v>4846.99</v>
      </c>
      <c r="M872">
        <v>8646.36</v>
      </c>
      <c r="N872">
        <v>48.769167000000003</v>
      </c>
      <c r="O872">
        <v>-86.631332999999998</v>
      </c>
      <c r="P872">
        <v>48.783166999999999</v>
      </c>
      <c r="Q872">
        <v>-86.772666999999998</v>
      </c>
      <c r="R872">
        <v>947.66548560000001</v>
      </c>
      <c r="S872">
        <v>15.5</v>
      </c>
      <c r="T872">
        <v>29.5</v>
      </c>
      <c r="U872">
        <v>1</v>
      </c>
      <c r="V872">
        <v>2</v>
      </c>
      <c r="W872">
        <v>9.6999999999999993</v>
      </c>
      <c r="X872">
        <v>6.0903499999999999</v>
      </c>
      <c r="Y872">
        <v>0.40475</v>
      </c>
      <c r="Z872">
        <v>23.360299999999999</v>
      </c>
      <c r="AA872">
        <v>10</v>
      </c>
      <c r="AB872">
        <v>0.4</v>
      </c>
      <c r="AC872">
        <v>217</v>
      </c>
      <c r="AD872">
        <v>3</v>
      </c>
    </row>
    <row r="873" spans="1:30" x14ac:dyDescent="0.55000000000000004">
      <c r="A873">
        <v>101921</v>
      </c>
      <c r="B873" s="19">
        <v>42897</v>
      </c>
      <c r="C873">
        <v>1020</v>
      </c>
      <c r="D873">
        <v>2017</v>
      </c>
      <c r="E873">
        <v>25</v>
      </c>
      <c r="F873">
        <v>617</v>
      </c>
      <c r="G873">
        <v>1</v>
      </c>
      <c r="H873">
        <v>420</v>
      </c>
      <c r="I873">
        <v>3</v>
      </c>
      <c r="J873">
        <v>4846.1499999999996</v>
      </c>
      <c r="K873">
        <v>8637.8799999999992</v>
      </c>
      <c r="L873">
        <v>4846.99</v>
      </c>
      <c r="M873">
        <v>8646.36</v>
      </c>
      <c r="N873">
        <v>48.769167000000003</v>
      </c>
      <c r="O873">
        <v>-86.631332999999998</v>
      </c>
      <c r="P873">
        <v>48.783166999999999</v>
      </c>
      <c r="Q873">
        <v>-86.772666999999998</v>
      </c>
      <c r="R873">
        <v>947.66548560000001</v>
      </c>
      <c r="S873">
        <v>15.5</v>
      </c>
      <c r="T873">
        <v>29.5</v>
      </c>
      <c r="U873">
        <v>1</v>
      </c>
      <c r="V873">
        <v>2</v>
      </c>
      <c r="W873">
        <v>9.6999999999999993</v>
      </c>
      <c r="X873">
        <v>6.0903499999999999</v>
      </c>
      <c r="Y873">
        <v>0.40475</v>
      </c>
      <c r="Z873">
        <v>23.360299999999999</v>
      </c>
      <c r="AA873">
        <v>10</v>
      </c>
      <c r="AB873">
        <v>0.4</v>
      </c>
      <c r="AC873">
        <v>217</v>
      </c>
      <c r="AD873">
        <v>9</v>
      </c>
    </row>
    <row r="874" spans="1:30" x14ac:dyDescent="0.55000000000000004">
      <c r="A874">
        <v>101921</v>
      </c>
      <c r="B874" s="19">
        <v>42897</v>
      </c>
      <c r="C874">
        <v>1020</v>
      </c>
      <c r="D874">
        <v>2017</v>
      </c>
      <c r="E874">
        <v>25</v>
      </c>
      <c r="F874">
        <v>617</v>
      </c>
      <c r="G874">
        <v>1</v>
      </c>
      <c r="H874">
        <v>420</v>
      </c>
      <c r="I874">
        <v>3</v>
      </c>
      <c r="J874">
        <v>4846.1499999999996</v>
      </c>
      <c r="K874">
        <v>8637.8799999999992</v>
      </c>
      <c r="L874">
        <v>4846.99</v>
      </c>
      <c r="M874">
        <v>8646.36</v>
      </c>
      <c r="N874">
        <v>48.769167000000003</v>
      </c>
      <c r="O874">
        <v>-86.631332999999998</v>
      </c>
      <c r="P874">
        <v>48.783166999999999</v>
      </c>
      <c r="Q874">
        <v>-86.772666999999998</v>
      </c>
      <c r="R874">
        <v>947.66548560000001</v>
      </c>
      <c r="S874">
        <v>15.5</v>
      </c>
      <c r="T874">
        <v>29.5</v>
      </c>
      <c r="U874">
        <v>1</v>
      </c>
      <c r="V874">
        <v>2</v>
      </c>
      <c r="W874">
        <v>9.6999999999999993</v>
      </c>
      <c r="X874">
        <v>6.0903499999999999</v>
      </c>
      <c r="Y874">
        <v>0.40475</v>
      </c>
      <c r="Z874">
        <v>23.360299999999999</v>
      </c>
      <c r="AA874">
        <v>10</v>
      </c>
      <c r="AB874">
        <v>0.4</v>
      </c>
      <c r="AC874">
        <v>316</v>
      </c>
      <c r="AD874">
        <v>1</v>
      </c>
    </row>
    <row r="875" spans="1:30" x14ac:dyDescent="0.55000000000000004">
      <c r="A875">
        <v>101925</v>
      </c>
      <c r="B875" s="19">
        <v>42897</v>
      </c>
      <c r="C875">
        <v>1225</v>
      </c>
      <c r="D875">
        <v>2017</v>
      </c>
      <c r="E875">
        <v>25</v>
      </c>
      <c r="F875">
        <v>618</v>
      </c>
      <c r="G875">
        <v>1</v>
      </c>
      <c r="H875">
        <v>419</v>
      </c>
      <c r="I875">
        <v>3</v>
      </c>
      <c r="J875">
        <v>4847.38</v>
      </c>
      <c r="K875">
        <v>8659.25</v>
      </c>
      <c r="L875">
        <v>4847.68</v>
      </c>
      <c r="M875">
        <v>8658.84</v>
      </c>
      <c r="N875">
        <v>48.789667000000001</v>
      </c>
      <c r="O875">
        <v>-86.987499999999997</v>
      </c>
      <c r="P875">
        <v>48.794666999999997</v>
      </c>
      <c r="Q875">
        <v>-86.980666999999997</v>
      </c>
      <c r="R875">
        <v>305.36636490000001</v>
      </c>
      <c r="S875">
        <v>45.3</v>
      </c>
      <c r="T875">
        <v>42.7</v>
      </c>
      <c r="U875">
        <v>1</v>
      </c>
      <c r="V875">
        <v>2</v>
      </c>
      <c r="W875">
        <v>6.5</v>
      </c>
      <c r="X875">
        <v>6.7337499999999997</v>
      </c>
      <c r="Y875">
        <v>0.61104999999999998</v>
      </c>
      <c r="Z875">
        <v>81.215000000000003</v>
      </c>
      <c r="AA875">
        <v>10</v>
      </c>
      <c r="AB875">
        <v>0.42</v>
      </c>
      <c r="AC875">
        <v>217</v>
      </c>
      <c r="AD875">
        <v>38</v>
      </c>
    </row>
    <row r="876" spans="1:30" x14ac:dyDescent="0.55000000000000004">
      <c r="A876">
        <v>101926</v>
      </c>
      <c r="B876" s="19">
        <v>42897</v>
      </c>
      <c r="C876">
        <v>1225</v>
      </c>
      <c r="D876">
        <v>2017</v>
      </c>
      <c r="E876">
        <v>25</v>
      </c>
      <c r="F876">
        <v>619</v>
      </c>
      <c r="G876">
        <v>1</v>
      </c>
      <c r="H876">
        <v>419</v>
      </c>
      <c r="I876">
        <v>3</v>
      </c>
      <c r="J876">
        <v>4847.38</v>
      </c>
      <c r="K876">
        <v>8659.25</v>
      </c>
      <c r="L876">
        <v>4847.68</v>
      </c>
      <c r="M876">
        <v>8658.84</v>
      </c>
      <c r="N876">
        <v>48.789667000000001</v>
      </c>
      <c r="O876">
        <v>-86.987499999999997</v>
      </c>
      <c r="P876">
        <v>48.794666999999997</v>
      </c>
      <c r="Q876">
        <v>-86.980666999999997</v>
      </c>
      <c r="R876">
        <v>305.36636490000001</v>
      </c>
      <c r="S876">
        <v>45.3</v>
      </c>
      <c r="T876">
        <v>42.7</v>
      </c>
      <c r="U876">
        <v>1</v>
      </c>
      <c r="V876">
        <v>2</v>
      </c>
      <c r="W876">
        <v>6.5</v>
      </c>
      <c r="X876">
        <v>6.7337499999999997</v>
      </c>
      <c r="Y876">
        <v>0.61104999999999998</v>
      </c>
      <c r="Z876">
        <v>81.215000000000003</v>
      </c>
      <c r="AA876">
        <v>10</v>
      </c>
      <c r="AB876">
        <v>0.42</v>
      </c>
      <c r="AC876">
        <v>217</v>
      </c>
      <c r="AD876">
        <v>13</v>
      </c>
    </row>
    <row r="877" spans="1:30" x14ac:dyDescent="0.55000000000000004">
      <c r="A877">
        <v>101927</v>
      </c>
      <c r="B877" s="19">
        <v>42897</v>
      </c>
      <c r="C877">
        <v>1409</v>
      </c>
      <c r="D877">
        <v>2017</v>
      </c>
      <c r="E877">
        <v>25</v>
      </c>
      <c r="F877">
        <v>620</v>
      </c>
      <c r="G877">
        <v>1</v>
      </c>
      <c r="H877">
        <v>418</v>
      </c>
      <c r="I877">
        <v>3</v>
      </c>
      <c r="J877">
        <v>4846.3</v>
      </c>
      <c r="K877">
        <v>8709.98</v>
      </c>
      <c r="L877">
        <v>4846.6899999999996</v>
      </c>
      <c r="M877">
        <v>8710.2000000000007</v>
      </c>
      <c r="N877">
        <v>48.771667000000001</v>
      </c>
      <c r="O877">
        <v>-87.166332999999995</v>
      </c>
      <c r="P877">
        <v>48.778167000000003</v>
      </c>
      <c r="Q877">
        <v>-87.17</v>
      </c>
      <c r="R877">
        <v>670.05564040000002</v>
      </c>
      <c r="S877">
        <v>42.7</v>
      </c>
      <c r="T877">
        <v>31.3</v>
      </c>
      <c r="U877">
        <v>1</v>
      </c>
      <c r="V877">
        <v>2</v>
      </c>
      <c r="W877">
        <v>9.1</v>
      </c>
      <c r="X877">
        <v>7.25345</v>
      </c>
      <c r="Y877">
        <v>0.79720000000000002</v>
      </c>
      <c r="Z877">
        <v>83.691100000000006</v>
      </c>
      <c r="AA877">
        <v>10</v>
      </c>
      <c r="AB877">
        <v>0.42</v>
      </c>
      <c r="AC877">
        <v>217</v>
      </c>
      <c r="AD877">
        <v>18</v>
      </c>
    </row>
    <row r="878" spans="1:30" x14ac:dyDescent="0.55000000000000004">
      <c r="A878">
        <v>101928</v>
      </c>
      <c r="B878" s="19">
        <v>42897</v>
      </c>
      <c r="C878">
        <v>1409</v>
      </c>
      <c r="D878">
        <v>2017</v>
      </c>
      <c r="E878">
        <v>25</v>
      </c>
      <c r="F878">
        <v>621</v>
      </c>
      <c r="G878">
        <v>1</v>
      </c>
      <c r="H878">
        <v>418</v>
      </c>
      <c r="I878">
        <v>3</v>
      </c>
      <c r="J878">
        <v>4846.3</v>
      </c>
      <c r="K878">
        <v>8709.98</v>
      </c>
      <c r="L878">
        <v>4846.6899999999996</v>
      </c>
      <c r="M878">
        <v>8710.2000000000007</v>
      </c>
      <c r="N878">
        <v>48.771667000000001</v>
      </c>
      <c r="O878">
        <v>-87.166332999999995</v>
      </c>
      <c r="P878">
        <v>48.778167000000003</v>
      </c>
      <c r="Q878">
        <v>-87.17</v>
      </c>
      <c r="R878">
        <v>670.05564040000002</v>
      </c>
      <c r="S878">
        <v>42.7</v>
      </c>
      <c r="T878">
        <v>31.3</v>
      </c>
      <c r="U878">
        <v>1</v>
      </c>
      <c r="V878">
        <v>2</v>
      </c>
      <c r="W878">
        <v>9.1</v>
      </c>
      <c r="X878">
        <v>7.25345</v>
      </c>
      <c r="Y878">
        <v>0.79720000000000002</v>
      </c>
      <c r="Z878">
        <v>83.691100000000006</v>
      </c>
      <c r="AA878">
        <v>10</v>
      </c>
      <c r="AB878">
        <v>0.42</v>
      </c>
      <c r="AC878">
        <v>217</v>
      </c>
      <c r="AD878">
        <v>12</v>
      </c>
    </row>
    <row r="879" spans="1:30" x14ac:dyDescent="0.55000000000000004">
      <c r="A879">
        <v>101929</v>
      </c>
      <c r="B879" s="19">
        <v>42897</v>
      </c>
      <c r="C879">
        <v>1619</v>
      </c>
      <c r="D879">
        <v>2017</v>
      </c>
      <c r="E879">
        <v>25</v>
      </c>
      <c r="F879">
        <v>622</v>
      </c>
      <c r="G879">
        <v>1</v>
      </c>
      <c r="H879">
        <v>417</v>
      </c>
      <c r="I879">
        <v>3</v>
      </c>
      <c r="J879">
        <v>4849.7</v>
      </c>
      <c r="K879">
        <v>8728.19</v>
      </c>
      <c r="L879">
        <v>4849.95</v>
      </c>
      <c r="M879">
        <v>8728.65</v>
      </c>
      <c r="N879">
        <v>48.828333000000001</v>
      </c>
      <c r="O879">
        <v>-87.469832999999994</v>
      </c>
      <c r="P879">
        <v>48.832500000000003</v>
      </c>
      <c r="Q879">
        <v>-87.477500000000006</v>
      </c>
      <c r="R879">
        <v>436.81210759999999</v>
      </c>
      <c r="S879">
        <v>69.2</v>
      </c>
      <c r="T879">
        <v>65.7</v>
      </c>
      <c r="U879">
        <v>1</v>
      </c>
      <c r="V879">
        <v>2</v>
      </c>
      <c r="W879">
        <v>8.3000000000000007</v>
      </c>
      <c r="X879">
        <v>6.8451000000000004</v>
      </c>
      <c r="Y879">
        <v>0.23635</v>
      </c>
      <c r="Z879">
        <v>84.907749999999993</v>
      </c>
      <c r="AA879">
        <v>10</v>
      </c>
      <c r="AB879">
        <v>0.42</v>
      </c>
      <c r="AC879">
        <v>217</v>
      </c>
      <c r="AD879">
        <v>22</v>
      </c>
    </row>
    <row r="880" spans="1:30" x14ac:dyDescent="0.55000000000000004">
      <c r="A880">
        <v>101930</v>
      </c>
      <c r="B880" s="19">
        <v>42897</v>
      </c>
      <c r="C880">
        <v>1619</v>
      </c>
      <c r="D880">
        <v>2017</v>
      </c>
      <c r="E880">
        <v>25</v>
      </c>
      <c r="F880">
        <v>623</v>
      </c>
      <c r="G880">
        <v>1</v>
      </c>
      <c r="H880">
        <v>417</v>
      </c>
      <c r="I880">
        <v>3</v>
      </c>
      <c r="J880">
        <v>4849.7</v>
      </c>
      <c r="K880">
        <v>8728.19</v>
      </c>
      <c r="L880">
        <v>4849.95</v>
      </c>
      <c r="M880">
        <v>8728.65</v>
      </c>
      <c r="N880">
        <v>48.828333000000001</v>
      </c>
      <c r="O880">
        <v>-87.469832999999994</v>
      </c>
      <c r="P880">
        <v>48.832500000000003</v>
      </c>
      <c r="Q880">
        <v>-87.477500000000006</v>
      </c>
      <c r="R880">
        <v>436.81210759999999</v>
      </c>
      <c r="S880">
        <v>69.2</v>
      </c>
      <c r="T880">
        <v>65.7</v>
      </c>
      <c r="U880">
        <v>1</v>
      </c>
      <c r="V880">
        <v>2</v>
      </c>
      <c r="W880">
        <v>8.3000000000000007</v>
      </c>
      <c r="X880">
        <v>6.8451000000000004</v>
      </c>
      <c r="Y880">
        <v>0.23635</v>
      </c>
      <c r="Z880">
        <v>84.907749999999993</v>
      </c>
      <c r="AA880">
        <v>10</v>
      </c>
      <c r="AB880">
        <v>0.42</v>
      </c>
      <c r="AC880">
        <v>217</v>
      </c>
      <c r="AD880">
        <v>31</v>
      </c>
    </row>
    <row r="881" spans="1:30" x14ac:dyDescent="0.55000000000000004">
      <c r="A881">
        <v>101933</v>
      </c>
      <c r="B881" s="19">
        <v>42898</v>
      </c>
      <c r="C881">
        <v>803</v>
      </c>
      <c r="D881">
        <v>2017</v>
      </c>
      <c r="E881">
        <v>25</v>
      </c>
      <c r="F881">
        <v>624</v>
      </c>
      <c r="G881">
        <v>1</v>
      </c>
      <c r="H881">
        <v>415</v>
      </c>
      <c r="I881">
        <v>3</v>
      </c>
      <c r="J881">
        <v>4853.33</v>
      </c>
      <c r="K881">
        <v>8745.3799999999992</v>
      </c>
      <c r="L881">
        <v>4853.5</v>
      </c>
      <c r="M881">
        <v>8745.7999999999993</v>
      </c>
      <c r="N881">
        <v>48.888832999999998</v>
      </c>
      <c r="O881">
        <v>-87.756332999999998</v>
      </c>
      <c r="P881">
        <v>48.891666999999998</v>
      </c>
      <c r="Q881">
        <v>-87.763333000000003</v>
      </c>
      <c r="R881">
        <v>368.87364580000002</v>
      </c>
      <c r="S881">
        <v>45.6</v>
      </c>
      <c r="T881">
        <v>35.1</v>
      </c>
      <c r="U881">
        <v>1</v>
      </c>
      <c r="V881">
        <v>2</v>
      </c>
      <c r="W881">
        <v>9.1999999999999993</v>
      </c>
      <c r="X881">
        <v>8.4232499999999995</v>
      </c>
      <c r="Y881">
        <v>0.65500000000000003</v>
      </c>
      <c r="Z881">
        <v>82.405150000000006</v>
      </c>
      <c r="AA881">
        <v>10</v>
      </c>
      <c r="AB881">
        <v>0.43</v>
      </c>
      <c r="AC881">
        <v>217</v>
      </c>
      <c r="AD881">
        <v>35</v>
      </c>
    </row>
    <row r="882" spans="1:30" x14ac:dyDescent="0.55000000000000004">
      <c r="A882">
        <v>101934</v>
      </c>
      <c r="B882" s="19">
        <v>42898</v>
      </c>
      <c r="C882">
        <v>803</v>
      </c>
      <c r="D882">
        <v>2017</v>
      </c>
      <c r="E882">
        <v>25</v>
      </c>
      <c r="F882">
        <v>625</v>
      </c>
      <c r="G882">
        <v>1</v>
      </c>
      <c r="H882">
        <v>415</v>
      </c>
      <c r="I882">
        <v>3</v>
      </c>
      <c r="J882">
        <v>4853.33</v>
      </c>
      <c r="K882">
        <v>8745.3799999999992</v>
      </c>
      <c r="L882">
        <v>4853.5</v>
      </c>
      <c r="M882">
        <v>8745.7999999999993</v>
      </c>
      <c r="N882">
        <v>48.888832999999998</v>
      </c>
      <c r="O882">
        <v>-87.756332999999998</v>
      </c>
      <c r="P882">
        <v>48.891666999999998</v>
      </c>
      <c r="Q882">
        <v>-87.763333000000003</v>
      </c>
      <c r="R882">
        <v>368.87364580000002</v>
      </c>
      <c r="S882">
        <v>45.6</v>
      </c>
      <c r="T882">
        <v>35.1</v>
      </c>
      <c r="U882">
        <v>1</v>
      </c>
      <c r="V882">
        <v>2</v>
      </c>
      <c r="W882">
        <v>9.1999999999999993</v>
      </c>
      <c r="X882">
        <v>8.4232499999999995</v>
      </c>
      <c r="Y882">
        <v>0.65500000000000003</v>
      </c>
      <c r="Z882">
        <v>82.405150000000006</v>
      </c>
      <c r="AA882">
        <v>10</v>
      </c>
      <c r="AB882">
        <v>0.43</v>
      </c>
      <c r="AC882">
        <v>217</v>
      </c>
      <c r="AD882">
        <v>26</v>
      </c>
    </row>
    <row r="883" spans="1:30" x14ac:dyDescent="0.55000000000000004">
      <c r="A883">
        <v>101935</v>
      </c>
      <c r="B883" s="19">
        <v>42898</v>
      </c>
      <c r="C883">
        <v>952</v>
      </c>
      <c r="D883">
        <v>2017</v>
      </c>
      <c r="E883">
        <v>25</v>
      </c>
      <c r="F883">
        <v>626</v>
      </c>
      <c r="G883">
        <v>1</v>
      </c>
      <c r="H883">
        <v>414</v>
      </c>
      <c r="I883">
        <v>3</v>
      </c>
      <c r="J883">
        <v>4856.4799999999996</v>
      </c>
      <c r="K883">
        <v>8758.39</v>
      </c>
      <c r="L883">
        <v>4856.87</v>
      </c>
      <c r="M883">
        <v>8758.4699999999993</v>
      </c>
      <c r="N883">
        <v>48.941333</v>
      </c>
      <c r="O883">
        <v>-87.973167000000004</v>
      </c>
      <c r="P883">
        <v>48.947833000000003</v>
      </c>
      <c r="Q883">
        <v>-87.974500000000006</v>
      </c>
      <c r="R883">
        <v>120.4588639</v>
      </c>
      <c r="S883">
        <v>20.9</v>
      </c>
      <c r="T883">
        <v>18.3</v>
      </c>
      <c r="U883">
        <v>1</v>
      </c>
      <c r="V883">
        <v>2</v>
      </c>
      <c r="W883">
        <v>11.3</v>
      </c>
      <c r="X883">
        <v>11.1648</v>
      </c>
      <c r="Y883">
        <v>8.9050000000000004E-2</v>
      </c>
      <c r="Z883">
        <v>70.473150000000004</v>
      </c>
      <c r="AA883">
        <v>10</v>
      </c>
      <c r="AB883">
        <v>0.42</v>
      </c>
      <c r="AC883">
        <v>0</v>
      </c>
      <c r="AD883">
        <v>0</v>
      </c>
    </row>
    <row r="884" spans="1:30" x14ac:dyDescent="0.55000000000000004">
      <c r="A884">
        <v>101936</v>
      </c>
      <c r="B884" s="19">
        <v>42898</v>
      </c>
      <c r="C884">
        <v>952</v>
      </c>
      <c r="D884">
        <v>2017</v>
      </c>
      <c r="E884">
        <v>25</v>
      </c>
      <c r="F884">
        <v>627</v>
      </c>
      <c r="G884">
        <v>1</v>
      </c>
      <c r="H884">
        <v>414</v>
      </c>
      <c r="I884">
        <v>3</v>
      </c>
      <c r="J884">
        <v>4856.4799999999996</v>
      </c>
      <c r="K884">
        <v>8758.39</v>
      </c>
      <c r="L884">
        <v>4856.87</v>
      </c>
      <c r="M884">
        <v>8758.4699999999993</v>
      </c>
      <c r="N884">
        <v>48.941333</v>
      </c>
      <c r="O884">
        <v>-87.973167000000004</v>
      </c>
      <c r="P884">
        <v>48.947833000000003</v>
      </c>
      <c r="Q884">
        <v>-87.974500000000006</v>
      </c>
      <c r="R884">
        <v>120.4588639</v>
      </c>
      <c r="S884">
        <v>20.9</v>
      </c>
      <c r="T884">
        <v>18.3</v>
      </c>
      <c r="U884">
        <v>1</v>
      </c>
      <c r="V884">
        <v>2</v>
      </c>
      <c r="W884">
        <v>11.3</v>
      </c>
      <c r="X884">
        <v>11.1648</v>
      </c>
      <c r="Y884">
        <v>8.9050000000000004E-2</v>
      </c>
      <c r="Z884">
        <v>70.473150000000004</v>
      </c>
      <c r="AA884">
        <v>10</v>
      </c>
      <c r="AB884">
        <v>0.42</v>
      </c>
      <c r="AC884">
        <v>0</v>
      </c>
      <c r="AD884">
        <v>0</v>
      </c>
    </row>
    <row r="885" spans="1:30" x14ac:dyDescent="0.55000000000000004">
      <c r="A885">
        <v>101937</v>
      </c>
      <c r="B885" s="19">
        <v>42898</v>
      </c>
      <c r="C885">
        <v>1146</v>
      </c>
      <c r="D885">
        <v>2017</v>
      </c>
      <c r="E885">
        <v>25</v>
      </c>
      <c r="F885">
        <v>628</v>
      </c>
      <c r="G885">
        <v>1</v>
      </c>
      <c r="H885">
        <v>413</v>
      </c>
      <c r="I885">
        <v>3</v>
      </c>
      <c r="J885">
        <v>4856.18</v>
      </c>
      <c r="K885">
        <v>8813.31</v>
      </c>
      <c r="L885">
        <v>4856.1899999999996</v>
      </c>
      <c r="M885">
        <v>8813.92</v>
      </c>
      <c r="N885">
        <v>48.936332999999998</v>
      </c>
      <c r="O885">
        <v>-88.221833000000004</v>
      </c>
      <c r="P885">
        <v>48.936500000000002</v>
      </c>
      <c r="Q885">
        <v>-88.231999999999999</v>
      </c>
      <c r="R885">
        <v>548.07993610000005</v>
      </c>
      <c r="S885">
        <v>22.9</v>
      </c>
      <c r="T885">
        <v>19</v>
      </c>
      <c r="U885">
        <v>1</v>
      </c>
      <c r="V885">
        <v>2</v>
      </c>
      <c r="W885">
        <v>14.2</v>
      </c>
      <c r="X885">
        <v>13.58525</v>
      </c>
      <c r="Y885">
        <v>1.0984</v>
      </c>
      <c r="Z885">
        <v>63.878500000000003</v>
      </c>
      <c r="AA885">
        <v>10</v>
      </c>
      <c r="AB885">
        <v>0.42</v>
      </c>
      <c r="AC885">
        <v>0</v>
      </c>
      <c r="AD885">
        <v>0</v>
      </c>
    </row>
    <row r="886" spans="1:30" x14ac:dyDescent="0.55000000000000004">
      <c r="A886">
        <v>101938</v>
      </c>
      <c r="B886" s="19">
        <v>42898</v>
      </c>
      <c r="C886">
        <v>1146</v>
      </c>
      <c r="D886">
        <v>2017</v>
      </c>
      <c r="E886">
        <v>25</v>
      </c>
      <c r="F886">
        <v>629</v>
      </c>
      <c r="G886">
        <v>1</v>
      </c>
      <c r="H886">
        <v>413</v>
      </c>
      <c r="I886">
        <v>3</v>
      </c>
      <c r="J886">
        <v>4856.18</v>
      </c>
      <c r="K886">
        <v>8813.31</v>
      </c>
      <c r="L886">
        <v>4856.1899999999996</v>
      </c>
      <c r="M886">
        <v>8813.92</v>
      </c>
      <c r="N886">
        <v>48.936332999999998</v>
      </c>
      <c r="O886">
        <v>-88.221833000000004</v>
      </c>
      <c r="P886">
        <v>48.936500000000002</v>
      </c>
      <c r="Q886">
        <v>-88.231999999999999</v>
      </c>
      <c r="R886">
        <v>548.07993610000005</v>
      </c>
      <c r="S886">
        <v>22.9</v>
      </c>
      <c r="T886">
        <v>19</v>
      </c>
      <c r="U886">
        <v>1</v>
      </c>
      <c r="V886">
        <v>2</v>
      </c>
      <c r="W886">
        <v>14.2</v>
      </c>
      <c r="X886">
        <v>13.58525</v>
      </c>
      <c r="Y886">
        <v>1.0984</v>
      </c>
      <c r="Z886">
        <v>63.878500000000003</v>
      </c>
      <c r="AA886">
        <v>10</v>
      </c>
      <c r="AB886">
        <v>0.42</v>
      </c>
      <c r="AC886">
        <v>316</v>
      </c>
      <c r="AD886">
        <v>2</v>
      </c>
    </row>
    <row r="887" spans="1:30" x14ac:dyDescent="0.55000000000000004">
      <c r="A887">
        <v>101940</v>
      </c>
      <c r="B887" s="19">
        <v>42898</v>
      </c>
      <c r="C887">
        <v>1325</v>
      </c>
      <c r="D887">
        <v>2017</v>
      </c>
      <c r="E887">
        <v>25</v>
      </c>
      <c r="F887">
        <v>630</v>
      </c>
      <c r="G887">
        <v>1</v>
      </c>
      <c r="H887">
        <v>412</v>
      </c>
      <c r="I887">
        <v>3</v>
      </c>
      <c r="J887">
        <v>4850.01</v>
      </c>
      <c r="K887">
        <v>8806.42</v>
      </c>
      <c r="L887">
        <v>4849.78</v>
      </c>
      <c r="M887">
        <v>8805.9699999999993</v>
      </c>
      <c r="N887">
        <v>48.833500000000001</v>
      </c>
      <c r="O887">
        <v>-88.106999999999999</v>
      </c>
      <c r="P887">
        <v>48.829667000000001</v>
      </c>
      <c r="Q887">
        <v>-88.099500000000006</v>
      </c>
      <c r="R887">
        <v>2048.9014940000002</v>
      </c>
      <c r="S887">
        <v>42.3</v>
      </c>
      <c r="T887">
        <v>32.5</v>
      </c>
      <c r="U887">
        <v>1</v>
      </c>
      <c r="V887">
        <v>2</v>
      </c>
      <c r="W887">
        <v>13</v>
      </c>
      <c r="X887">
        <v>12.879</v>
      </c>
      <c r="Y887">
        <v>0.92115000000000002</v>
      </c>
      <c r="Z887">
        <v>71.875550000000004</v>
      </c>
      <c r="AA887">
        <v>10</v>
      </c>
      <c r="AB887">
        <v>0.42</v>
      </c>
      <c r="AC887">
        <v>0</v>
      </c>
      <c r="AD887">
        <v>0</v>
      </c>
    </row>
    <row r="888" spans="1:30" x14ac:dyDescent="0.55000000000000004">
      <c r="A888">
        <v>101941</v>
      </c>
      <c r="B888" s="19">
        <v>42898</v>
      </c>
      <c r="C888">
        <v>1325</v>
      </c>
      <c r="D888">
        <v>2017</v>
      </c>
      <c r="E888">
        <v>25</v>
      </c>
      <c r="F888">
        <v>631</v>
      </c>
      <c r="G888">
        <v>1</v>
      </c>
      <c r="H888">
        <v>412</v>
      </c>
      <c r="I888">
        <v>3</v>
      </c>
      <c r="J888">
        <v>4850.01</v>
      </c>
      <c r="K888">
        <v>8806.42</v>
      </c>
      <c r="L888">
        <v>4849.78</v>
      </c>
      <c r="M888">
        <v>8805.9699999999993</v>
      </c>
      <c r="N888">
        <v>48.833500000000001</v>
      </c>
      <c r="O888">
        <v>-88.106999999999999</v>
      </c>
      <c r="P888">
        <v>48.829667000000001</v>
      </c>
      <c r="Q888">
        <v>-88.099500000000006</v>
      </c>
      <c r="R888">
        <v>2048.9014940000002</v>
      </c>
      <c r="S888">
        <v>42.3</v>
      </c>
      <c r="T888">
        <v>32.5</v>
      </c>
      <c r="U888">
        <v>1</v>
      </c>
      <c r="V888">
        <v>2</v>
      </c>
      <c r="W888">
        <v>13</v>
      </c>
      <c r="X888">
        <v>12.879</v>
      </c>
      <c r="Y888">
        <v>0.92115000000000002</v>
      </c>
      <c r="Z888">
        <v>71.875550000000004</v>
      </c>
      <c r="AA888">
        <v>10</v>
      </c>
      <c r="AB888">
        <v>0.42</v>
      </c>
      <c r="AC888">
        <v>0</v>
      </c>
      <c r="AD888">
        <v>0</v>
      </c>
    </row>
    <row r="889" spans="1:30" x14ac:dyDescent="0.55000000000000004">
      <c r="A889">
        <v>101943</v>
      </c>
      <c r="B889" s="19">
        <v>42899</v>
      </c>
      <c r="C889">
        <v>757</v>
      </c>
      <c r="D889">
        <v>2017</v>
      </c>
      <c r="E889">
        <v>25</v>
      </c>
      <c r="F889">
        <v>632</v>
      </c>
      <c r="G889">
        <v>1</v>
      </c>
      <c r="H889">
        <v>406</v>
      </c>
      <c r="I889">
        <v>3</v>
      </c>
      <c r="J889">
        <v>4828.58</v>
      </c>
      <c r="K889">
        <v>8836.4599999999991</v>
      </c>
      <c r="L889">
        <v>4828.93</v>
      </c>
      <c r="M889">
        <v>8836.33</v>
      </c>
      <c r="N889">
        <v>48.476332999999997</v>
      </c>
      <c r="O889">
        <v>-88.607667000000006</v>
      </c>
      <c r="P889">
        <v>48.482166999999997</v>
      </c>
      <c r="Q889">
        <v>-88.605500000000006</v>
      </c>
      <c r="R889">
        <v>990.25055569999995</v>
      </c>
      <c r="S889">
        <v>13.2</v>
      </c>
      <c r="T889">
        <v>16.100000000000001</v>
      </c>
      <c r="U889">
        <v>1</v>
      </c>
      <c r="V889">
        <v>2</v>
      </c>
      <c r="W889">
        <v>12.8</v>
      </c>
      <c r="X889">
        <v>13.16145</v>
      </c>
      <c r="Y889">
        <v>-0.19705</v>
      </c>
      <c r="Z889">
        <v>28.093350000000001</v>
      </c>
      <c r="AA889">
        <v>10</v>
      </c>
      <c r="AB889">
        <v>0.4</v>
      </c>
      <c r="AC889">
        <v>0</v>
      </c>
      <c r="AD889">
        <v>0</v>
      </c>
    </row>
    <row r="890" spans="1:30" x14ac:dyDescent="0.55000000000000004">
      <c r="A890">
        <v>101944</v>
      </c>
      <c r="B890" s="19">
        <v>42899</v>
      </c>
      <c r="C890">
        <v>757</v>
      </c>
      <c r="D890">
        <v>2017</v>
      </c>
      <c r="E890">
        <v>25</v>
      </c>
      <c r="F890">
        <v>633</v>
      </c>
      <c r="G890">
        <v>1</v>
      </c>
      <c r="H890">
        <v>406</v>
      </c>
      <c r="I890">
        <v>3</v>
      </c>
      <c r="J890">
        <v>4828.58</v>
      </c>
      <c r="K890">
        <v>8836.4599999999991</v>
      </c>
      <c r="L890">
        <v>4828.93</v>
      </c>
      <c r="M890">
        <v>8836.33</v>
      </c>
      <c r="N890">
        <v>48.476332999999997</v>
      </c>
      <c r="O890">
        <v>-88.607667000000006</v>
      </c>
      <c r="P890">
        <v>48.482166999999997</v>
      </c>
      <c r="Q890">
        <v>-88.605500000000006</v>
      </c>
      <c r="R890">
        <v>990.25055569999995</v>
      </c>
      <c r="S890">
        <v>13.2</v>
      </c>
      <c r="T890">
        <v>16.100000000000001</v>
      </c>
      <c r="U890">
        <v>1</v>
      </c>
      <c r="V890">
        <v>2</v>
      </c>
      <c r="W890">
        <v>12.8</v>
      </c>
      <c r="X890">
        <v>13.16145</v>
      </c>
      <c r="Y890">
        <v>-0.19705</v>
      </c>
      <c r="Z890">
        <v>28.093350000000001</v>
      </c>
      <c r="AA890">
        <v>10</v>
      </c>
      <c r="AB890">
        <v>0.4</v>
      </c>
      <c r="AC890">
        <v>0</v>
      </c>
      <c r="AD890">
        <v>0</v>
      </c>
    </row>
    <row r="891" spans="1:30" x14ac:dyDescent="0.55000000000000004">
      <c r="A891">
        <v>101945</v>
      </c>
      <c r="B891" s="19">
        <v>42899</v>
      </c>
      <c r="C891">
        <v>934</v>
      </c>
      <c r="D891">
        <v>2017</v>
      </c>
      <c r="E891">
        <v>25</v>
      </c>
      <c r="F891">
        <v>634</v>
      </c>
      <c r="G891">
        <v>1</v>
      </c>
      <c r="H891">
        <v>407</v>
      </c>
      <c r="I891">
        <v>3</v>
      </c>
      <c r="J891">
        <v>4833.1400000000003</v>
      </c>
      <c r="K891">
        <v>8835.7000000000007</v>
      </c>
      <c r="L891">
        <v>4833.5</v>
      </c>
      <c r="M891">
        <v>8835.56</v>
      </c>
      <c r="N891">
        <v>48.552332999999997</v>
      </c>
      <c r="O891">
        <v>-88.594999999999999</v>
      </c>
      <c r="P891">
        <v>48.558332999999998</v>
      </c>
      <c r="Q891">
        <v>-88.592667000000006</v>
      </c>
      <c r="R891">
        <v>3435.6861610000001</v>
      </c>
      <c r="S891">
        <v>21.3</v>
      </c>
      <c r="T891">
        <v>18.600000000000001</v>
      </c>
      <c r="U891">
        <v>1</v>
      </c>
      <c r="V891">
        <v>2</v>
      </c>
      <c r="W891">
        <v>14.9</v>
      </c>
      <c r="X891">
        <v>14.4724</v>
      </c>
      <c r="Y891">
        <v>8.6050000000000001E-2</v>
      </c>
      <c r="Z891">
        <v>49.124850000000002</v>
      </c>
      <c r="AA891">
        <v>10</v>
      </c>
      <c r="AB891">
        <v>0.41</v>
      </c>
      <c r="AC891">
        <v>0</v>
      </c>
      <c r="AD891">
        <v>0</v>
      </c>
    </row>
    <row r="892" spans="1:30" x14ac:dyDescent="0.55000000000000004">
      <c r="A892">
        <v>101946</v>
      </c>
      <c r="B892" s="19">
        <v>42899</v>
      </c>
      <c r="C892">
        <v>934</v>
      </c>
      <c r="D892">
        <v>2017</v>
      </c>
      <c r="E892">
        <v>25</v>
      </c>
      <c r="F892">
        <v>635</v>
      </c>
      <c r="G892">
        <v>1</v>
      </c>
      <c r="H892">
        <v>407</v>
      </c>
      <c r="I892">
        <v>3</v>
      </c>
      <c r="J892">
        <v>4833.1400000000003</v>
      </c>
      <c r="K892">
        <v>8835.7000000000007</v>
      </c>
      <c r="L892">
        <v>4833.5</v>
      </c>
      <c r="M892">
        <v>8835.56</v>
      </c>
      <c r="N892">
        <v>48.552332999999997</v>
      </c>
      <c r="O892">
        <v>-88.594999999999999</v>
      </c>
      <c r="P892">
        <v>48.558332999999998</v>
      </c>
      <c r="Q892">
        <v>-88.592667000000006</v>
      </c>
      <c r="R892">
        <v>3435.6861610000001</v>
      </c>
      <c r="S892">
        <v>21.3</v>
      </c>
      <c r="T892">
        <v>18.600000000000001</v>
      </c>
      <c r="U892">
        <v>1</v>
      </c>
      <c r="V892">
        <v>2</v>
      </c>
      <c r="W892">
        <v>14.9</v>
      </c>
      <c r="X892">
        <v>14.4724</v>
      </c>
      <c r="Y892">
        <v>8.6050000000000001E-2</v>
      </c>
      <c r="Z892">
        <v>49.124850000000002</v>
      </c>
      <c r="AA892">
        <v>10</v>
      </c>
      <c r="AB892">
        <v>0.41</v>
      </c>
      <c r="AC892">
        <v>0</v>
      </c>
      <c r="AD892">
        <v>0</v>
      </c>
    </row>
    <row r="893" spans="1:30" x14ac:dyDescent="0.55000000000000004">
      <c r="A893">
        <v>101947</v>
      </c>
      <c r="B893" s="19">
        <v>42899</v>
      </c>
      <c r="C893">
        <v>1056</v>
      </c>
      <c r="D893">
        <v>2017</v>
      </c>
      <c r="E893">
        <v>25</v>
      </c>
      <c r="F893">
        <v>636</v>
      </c>
      <c r="G893">
        <v>1</v>
      </c>
      <c r="H893">
        <v>408</v>
      </c>
      <c r="I893">
        <v>3</v>
      </c>
      <c r="J893">
        <v>4835.54</v>
      </c>
      <c r="K893">
        <v>8830.4599999999991</v>
      </c>
      <c r="L893">
        <v>4835.79</v>
      </c>
      <c r="M893">
        <v>8829.99</v>
      </c>
      <c r="N893">
        <v>48.592333000000004</v>
      </c>
      <c r="O893">
        <v>-88.507666999999998</v>
      </c>
      <c r="P893">
        <v>48.596499999999999</v>
      </c>
      <c r="Q893">
        <v>-88.499832999999995</v>
      </c>
      <c r="R893">
        <v>2578.7394789999998</v>
      </c>
      <c r="S893">
        <v>16.8</v>
      </c>
      <c r="T893">
        <v>18</v>
      </c>
      <c r="U893">
        <v>1</v>
      </c>
      <c r="V893">
        <v>2</v>
      </c>
      <c r="W893">
        <v>15.7</v>
      </c>
      <c r="X893">
        <v>15.188750000000001</v>
      </c>
      <c r="Y893">
        <v>0.72299999999999998</v>
      </c>
      <c r="Z893">
        <v>66.881150000000005</v>
      </c>
      <c r="AA893">
        <v>10</v>
      </c>
      <c r="AB893">
        <v>0.4</v>
      </c>
      <c r="AC893">
        <v>0</v>
      </c>
      <c r="AD893">
        <v>0</v>
      </c>
    </row>
    <row r="894" spans="1:30" x14ac:dyDescent="0.55000000000000004">
      <c r="A894">
        <v>101948</v>
      </c>
      <c r="B894" s="19">
        <v>42899</v>
      </c>
      <c r="C894">
        <v>1056</v>
      </c>
      <c r="D894">
        <v>2017</v>
      </c>
      <c r="E894">
        <v>25</v>
      </c>
      <c r="F894">
        <v>637</v>
      </c>
      <c r="G894">
        <v>1</v>
      </c>
      <c r="H894">
        <v>408</v>
      </c>
      <c r="I894">
        <v>3</v>
      </c>
      <c r="J894">
        <v>4835.54</v>
      </c>
      <c r="K894">
        <v>8830.4599999999991</v>
      </c>
      <c r="L894">
        <v>4835.79</v>
      </c>
      <c r="M894">
        <v>8829.99</v>
      </c>
      <c r="N894">
        <v>48.592333000000004</v>
      </c>
      <c r="O894">
        <v>-88.507666999999998</v>
      </c>
      <c r="P894">
        <v>48.596499999999999</v>
      </c>
      <c r="Q894">
        <v>-88.499832999999995</v>
      </c>
      <c r="R894">
        <v>2578.7394789999998</v>
      </c>
      <c r="S894">
        <v>16.8</v>
      </c>
      <c r="T894">
        <v>18</v>
      </c>
      <c r="U894">
        <v>1</v>
      </c>
      <c r="V894">
        <v>2</v>
      </c>
      <c r="W894">
        <v>15.7</v>
      </c>
      <c r="X894">
        <v>15.188750000000001</v>
      </c>
      <c r="Y894">
        <v>0.72299999999999998</v>
      </c>
      <c r="Z894">
        <v>66.881150000000005</v>
      </c>
      <c r="AA894">
        <v>10</v>
      </c>
      <c r="AB894">
        <v>0.4</v>
      </c>
      <c r="AC894">
        <v>0</v>
      </c>
      <c r="AD894">
        <v>0</v>
      </c>
    </row>
    <row r="895" spans="1:30" x14ac:dyDescent="0.55000000000000004">
      <c r="A895">
        <v>101954</v>
      </c>
      <c r="B895" s="19">
        <v>42899</v>
      </c>
      <c r="C895">
        <v>1302</v>
      </c>
      <c r="D895">
        <v>2017</v>
      </c>
      <c r="E895">
        <v>25</v>
      </c>
      <c r="F895">
        <v>638</v>
      </c>
      <c r="G895">
        <v>1</v>
      </c>
      <c r="H895">
        <v>405</v>
      </c>
      <c r="I895">
        <v>3</v>
      </c>
      <c r="J895">
        <v>4824.67</v>
      </c>
      <c r="K895">
        <v>8841.83</v>
      </c>
      <c r="L895">
        <v>4824.3999999999996</v>
      </c>
      <c r="M895">
        <v>8841.41</v>
      </c>
      <c r="N895">
        <v>48.411166999999999</v>
      </c>
      <c r="O895">
        <v>-88.697166999999993</v>
      </c>
      <c r="P895">
        <v>48.406666999999999</v>
      </c>
      <c r="Q895">
        <v>-88.690167000000002</v>
      </c>
      <c r="R895">
        <v>793.36209940000003</v>
      </c>
      <c r="S895">
        <v>21.9</v>
      </c>
      <c r="T895">
        <v>46.1</v>
      </c>
      <c r="U895">
        <v>1</v>
      </c>
      <c r="V895">
        <v>2</v>
      </c>
      <c r="W895">
        <v>12.9</v>
      </c>
      <c r="X895">
        <v>11.077249999999999</v>
      </c>
      <c r="Y895">
        <v>-8.7599999999999997E-2</v>
      </c>
      <c r="Z895">
        <v>47.205750000000002</v>
      </c>
      <c r="AA895">
        <v>10</v>
      </c>
      <c r="AB895">
        <v>0.4</v>
      </c>
      <c r="AC895">
        <v>0</v>
      </c>
      <c r="AD895">
        <v>0</v>
      </c>
    </row>
    <row r="896" spans="1:30" x14ac:dyDescent="0.55000000000000004">
      <c r="A896">
        <v>101955</v>
      </c>
      <c r="B896" s="19">
        <v>42899</v>
      </c>
      <c r="C896">
        <v>1302</v>
      </c>
      <c r="D896">
        <v>2017</v>
      </c>
      <c r="E896">
        <v>25</v>
      </c>
      <c r="F896">
        <v>639</v>
      </c>
      <c r="G896">
        <v>1</v>
      </c>
      <c r="H896">
        <v>405</v>
      </c>
      <c r="I896">
        <v>3</v>
      </c>
      <c r="J896">
        <v>4824.67</v>
      </c>
      <c r="K896">
        <v>8841.83</v>
      </c>
      <c r="L896">
        <v>4824.3999999999996</v>
      </c>
      <c r="M896">
        <v>8841.41</v>
      </c>
      <c r="N896">
        <v>48.411166999999999</v>
      </c>
      <c r="O896">
        <v>-88.697166999999993</v>
      </c>
      <c r="P896">
        <v>48.406666999999999</v>
      </c>
      <c r="Q896">
        <v>-88.690167000000002</v>
      </c>
      <c r="R896">
        <v>793.36209940000003</v>
      </c>
      <c r="S896">
        <v>21.9</v>
      </c>
      <c r="T896">
        <v>46.1</v>
      </c>
      <c r="U896">
        <v>1</v>
      </c>
      <c r="V896">
        <v>2</v>
      </c>
      <c r="W896">
        <v>12.9</v>
      </c>
      <c r="X896">
        <v>11.077249999999999</v>
      </c>
      <c r="Y896">
        <v>-8.7599999999999997E-2</v>
      </c>
      <c r="Z896">
        <v>47.205750000000002</v>
      </c>
      <c r="AA896">
        <v>10</v>
      </c>
      <c r="AB896">
        <v>0.4</v>
      </c>
      <c r="AC896">
        <v>0</v>
      </c>
      <c r="AD896">
        <v>0</v>
      </c>
    </row>
    <row r="897" spans="1:30" x14ac:dyDescent="0.55000000000000004">
      <c r="A897">
        <v>101956</v>
      </c>
      <c r="B897" s="19">
        <v>42899</v>
      </c>
      <c r="C897">
        <v>1510</v>
      </c>
      <c r="D897">
        <v>2017</v>
      </c>
      <c r="E897">
        <v>25</v>
      </c>
      <c r="F897">
        <v>640</v>
      </c>
      <c r="G897">
        <v>1</v>
      </c>
      <c r="H897">
        <v>404</v>
      </c>
      <c r="I897">
        <v>3</v>
      </c>
      <c r="J897">
        <v>4818.46</v>
      </c>
      <c r="K897">
        <v>8854.27</v>
      </c>
      <c r="L897">
        <v>4818.84</v>
      </c>
      <c r="M897">
        <v>8854.34</v>
      </c>
      <c r="N897">
        <v>48.307667000000002</v>
      </c>
      <c r="O897">
        <v>-88.904499999999999</v>
      </c>
      <c r="P897">
        <v>48.314</v>
      </c>
      <c r="Q897">
        <v>-88.905666999999994</v>
      </c>
      <c r="R897">
        <v>463.59602719999998</v>
      </c>
      <c r="S897">
        <v>54</v>
      </c>
      <c r="T897">
        <v>34.6</v>
      </c>
      <c r="U897">
        <v>1</v>
      </c>
      <c r="V897">
        <v>2</v>
      </c>
      <c r="W897">
        <v>6.9</v>
      </c>
      <c r="X897">
        <v>6.4791499999999997</v>
      </c>
      <c r="Y897">
        <v>0.21245</v>
      </c>
      <c r="Z897">
        <v>83.975650000000002</v>
      </c>
      <c r="AA897">
        <v>10</v>
      </c>
      <c r="AB897">
        <v>0.4</v>
      </c>
      <c r="AC897">
        <v>217</v>
      </c>
      <c r="AD897">
        <v>47</v>
      </c>
    </row>
    <row r="898" spans="1:30" x14ac:dyDescent="0.55000000000000004">
      <c r="A898">
        <v>101957</v>
      </c>
      <c r="B898" s="19">
        <v>42899</v>
      </c>
      <c r="C898">
        <v>1510</v>
      </c>
      <c r="D898">
        <v>2017</v>
      </c>
      <c r="E898">
        <v>25</v>
      </c>
      <c r="F898">
        <v>641</v>
      </c>
      <c r="G898">
        <v>1</v>
      </c>
      <c r="H898">
        <v>404</v>
      </c>
      <c r="I898">
        <v>3</v>
      </c>
      <c r="J898">
        <v>4818.46</v>
      </c>
      <c r="K898">
        <v>8854.27</v>
      </c>
      <c r="L898">
        <v>4818.84</v>
      </c>
      <c r="M898">
        <v>8854.34</v>
      </c>
      <c r="N898">
        <v>48.307667000000002</v>
      </c>
      <c r="O898">
        <v>-88.904499999999999</v>
      </c>
      <c r="P898">
        <v>48.314</v>
      </c>
      <c r="Q898">
        <v>-88.905666999999994</v>
      </c>
      <c r="R898">
        <v>463.59602719999998</v>
      </c>
      <c r="S898">
        <v>54</v>
      </c>
      <c r="T898">
        <v>34.6</v>
      </c>
      <c r="U898">
        <v>1</v>
      </c>
      <c r="V898">
        <v>2</v>
      </c>
      <c r="W898">
        <v>6.9</v>
      </c>
      <c r="X898">
        <v>6.4791499999999997</v>
      </c>
      <c r="Y898">
        <v>0.21245</v>
      </c>
      <c r="Z898">
        <v>83.975650000000002</v>
      </c>
      <c r="AA898">
        <v>10</v>
      </c>
      <c r="AB898">
        <v>0.4</v>
      </c>
      <c r="AC898">
        <v>217</v>
      </c>
      <c r="AD898">
        <v>16</v>
      </c>
    </row>
    <row r="899" spans="1:30" x14ac:dyDescent="0.55000000000000004">
      <c r="A899">
        <v>101959</v>
      </c>
      <c r="B899" s="19">
        <v>42900</v>
      </c>
      <c r="C899">
        <v>1024</v>
      </c>
      <c r="D899">
        <v>2017</v>
      </c>
      <c r="E899">
        <v>25</v>
      </c>
      <c r="F899">
        <v>642</v>
      </c>
      <c r="G899">
        <v>1</v>
      </c>
      <c r="H899">
        <v>402</v>
      </c>
      <c r="I899">
        <v>3</v>
      </c>
      <c r="J899">
        <v>4822.1099999999997</v>
      </c>
      <c r="K899">
        <v>8852.5400000000009</v>
      </c>
      <c r="L899">
        <v>4822.41</v>
      </c>
      <c r="M899">
        <v>8852.9500000000007</v>
      </c>
      <c r="N899">
        <v>48.368499999999997</v>
      </c>
      <c r="O899">
        <v>-88.875667000000007</v>
      </c>
      <c r="P899">
        <v>48.3735</v>
      </c>
      <c r="Q899">
        <v>-88.882499999999993</v>
      </c>
      <c r="R899">
        <v>458.0191294</v>
      </c>
      <c r="S899">
        <v>17.600000000000001</v>
      </c>
      <c r="T899">
        <v>25.5</v>
      </c>
      <c r="U899">
        <v>1</v>
      </c>
      <c r="V899">
        <v>2</v>
      </c>
      <c r="W899">
        <v>5.7</v>
      </c>
      <c r="X899">
        <v>5.2160500000000001</v>
      </c>
      <c r="Y899">
        <v>5.6499999999999996E-3</v>
      </c>
      <c r="Z899">
        <v>65.358350000000002</v>
      </c>
      <c r="AA899">
        <v>10</v>
      </c>
      <c r="AB899">
        <v>0.45</v>
      </c>
      <c r="AC899">
        <v>0</v>
      </c>
      <c r="AD899">
        <v>0</v>
      </c>
    </row>
    <row r="900" spans="1:30" x14ac:dyDescent="0.55000000000000004">
      <c r="A900">
        <v>101962</v>
      </c>
      <c r="B900" s="19">
        <v>42901</v>
      </c>
      <c r="C900">
        <v>805</v>
      </c>
      <c r="D900">
        <v>2017</v>
      </c>
      <c r="E900">
        <v>25</v>
      </c>
      <c r="F900">
        <v>644</v>
      </c>
      <c r="G900">
        <v>1</v>
      </c>
      <c r="H900">
        <v>403</v>
      </c>
      <c r="I900">
        <v>3</v>
      </c>
      <c r="J900">
        <v>4815.3999999999996</v>
      </c>
      <c r="K900">
        <v>8910.35</v>
      </c>
      <c r="L900">
        <v>4815.12</v>
      </c>
      <c r="M900">
        <v>8909.9699999999993</v>
      </c>
      <c r="N900">
        <v>48.256667</v>
      </c>
      <c r="O900">
        <v>-89.172499999999999</v>
      </c>
      <c r="P900">
        <v>48.252000000000002</v>
      </c>
      <c r="Q900">
        <v>-89.166167000000002</v>
      </c>
      <c r="R900">
        <v>254.71853870000001</v>
      </c>
      <c r="S900">
        <v>43</v>
      </c>
      <c r="T900">
        <v>20.9</v>
      </c>
      <c r="U900">
        <v>1</v>
      </c>
      <c r="V900">
        <v>2</v>
      </c>
      <c r="W900">
        <v>6.9</v>
      </c>
      <c r="X900">
        <v>6.7376500000000004</v>
      </c>
      <c r="Y900">
        <v>0.53564999999999996</v>
      </c>
      <c r="Z900">
        <v>78.439250000000001</v>
      </c>
      <c r="AA900">
        <v>10</v>
      </c>
      <c r="AB900">
        <v>0.42</v>
      </c>
      <c r="AC900">
        <v>217</v>
      </c>
      <c r="AD900">
        <v>341</v>
      </c>
    </row>
    <row r="901" spans="1:30" x14ac:dyDescent="0.55000000000000004">
      <c r="A901">
        <v>101963</v>
      </c>
      <c r="B901" s="19">
        <v>42901</v>
      </c>
      <c r="C901">
        <v>805</v>
      </c>
      <c r="D901">
        <v>2017</v>
      </c>
      <c r="E901">
        <v>25</v>
      </c>
      <c r="F901">
        <v>645</v>
      </c>
      <c r="G901">
        <v>1</v>
      </c>
      <c r="H901">
        <v>403</v>
      </c>
      <c r="I901">
        <v>3</v>
      </c>
      <c r="J901">
        <v>4815.3999999999996</v>
      </c>
      <c r="K901">
        <v>8910.35</v>
      </c>
      <c r="L901">
        <v>4815.12</v>
      </c>
      <c r="M901">
        <v>8909.9699999999993</v>
      </c>
      <c r="N901">
        <v>48.256667</v>
      </c>
      <c r="O901">
        <v>-89.172499999999999</v>
      </c>
      <c r="P901">
        <v>48.252000000000002</v>
      </c>
      <c r="Q901">
        <v>-89.166167000000002</v>
      </c>
      <c r="R901">
        <v>254.71853870000001</v>
      </c>
      <c r="S901">
        <v>43</v>
      </c>
      <c r="T901">
        <v>20.9</v>
      </c>
      <c r="U901">
        <v>1</v>
      </c>
      <c r="V901">
        <v>2</v>
      </c>
      <c r="W901">
        <v>6.9</v>
      </c>
      <c r="X901">
        <v>6.7376500000000004</v>
      </c>
      <c r="Y901">
        <v>0.53564999999999996</v>
      </c>
      <c r="Z901">
        <v>78.439250000000001</v>
      </c>
      <c r="AA901">
        <v>10</v>
      </c>
      <c r="AB901">
        <v>0.42</v>
      </c>
      <c r="AC901">
        <v>217</v>
      </c>
      <c r="AD901">
        <v>360</v>
      </c>
    </row>
    <row r="902" spans="1:30" x14ac:dyDescent="0.55000000000000004">
      <c r="A902">
        <v>101964</v>
      </c>
      <c r="B902" s="19">
        <v>42901</v>
      </c>
      <c r="C902">
        <v>1043</v>
      </c>
      <c r="D902">
        <v>2017</v>
      </c>
      <c r="E902">
        <v>25</v>
      </c>
      <c r="F902">
        <v>646</v>
      </c>
      <c r="G902">
        <v>1</v>
      </c>
      <c r="H902">
        <v>400</v>
      </c>
      <c r="I902">
        <v>3</v>
      </c>
      <c r="J902">
        <v>4804.87</v>
      </c>
      <c r="K902">
        <v>8925.4</v>
      </c>
      <c r="L902">
        <v>4804.68</v>
      </c>
      <c r="M902">
        <v>8924.86</v>
      </c>
      <c r="N902">
        <v>48.081167000000001</v>
      </c>
      <c r="O902">
        <v>-89.423333</v>
      </c>
      <c r="P902">
        <v>48.078000000000003</v>
      </c>
      <c r="Q902">
        <v>-89.414332999999999</v>
      </c>
      <c r="R902">
        <v>199.16238820000001</v>
      </c>
      <c r="S902">
        <v>18</v>
      </c>
      <c r="T902">
        <v>39.299999999999997</v>
      </c>
      <c r="U902">
        <v>1</v>
      </c>
      <c r="V902">
        <v>2</v>
      </c>
      <c r="W902">
        <v>9</v>
      </c>
      <c r="X902">
        <v>7.8158000000000003</v>
      </c>
      <c r="Y902">
        <v>0.10015</v>
      </c>
      <c r="Z902">
        <v>60.802250000000001</v>
      </c>
      <c r="AA902">
        <v>10</v>
      </c>
      <c r="AB902">
        <v>0.43</v>
      </c>
      <c r="AC902">
        <v>217</v>
      </c>
      <c r="AD902">
        <v>199</v>
      </c>
    </row>
    <row r="903" spans="1:30" x14ac:dyDescent="0.55000000000000004">
      <c r="A903">
        <v>101965</v>
      </c>
      <c r="B903" s="19">
        <v>42901</v>
      </c>
      <c r="C903">
        <v>1043</v>
      </c>
      <c r="D903">
        <v>2017</v>
      </c>
      <c r="E903">
        <v>25</v>
      </c>
      <c r="F903">
        <v>647</v>
      </c>
      <c r="G903">
        <v>1</v>
      </c>
      <c r="H903">
        <v>400</v>
      </c>
      <c r="I903">
        <v>3</v>
      </c>
      <c r="J903">
        <v>4804.87</v>
      </c>
      <c r="K903">
        <v>8925.4</v>
      </c>
      <c r="L903">
        <v>4804.68</v>
      </c>
      <c r="M903">
        <v>8924.86</v>
      </c>
      <c r="N903">
        <v>48.081167000000001</v>
      </c>
      <c r="O903">
        <v>-89.423333</v>
      </c>
      <c r="P903">
        <v>48.078000000000003</v>
      </c>
      <c r="Q903">
        <v>-89.414332999999999</v>
      </c>
      <c r="R903">
        <v>199.16238820000001</v>
      </c>
      <c r="S903">
        <v>18</v>
      </c>
      <c r="T903">
        <v>39.299999999999997</v>
      </c>
      <c r="U903">
        <v>1</v>
      </c>
      <c r="V903">
        <v>2</v>
      </c>
      <c r="W903">
        <v>9</v>
      </c>
      <c r="X903">
        <v>7.8158000000000003</v>
      </c>
      <c r="Y903">
        <v>0.10015</v>
      </c>
      <c r="Z903">
        <v>60.802250000000001</v>
      </c>
      <c r="AA903">
        <v>10</v>
      </c>
      <c r="AB903">
        <v>0.43</v>
      </c>
      <c r="AC903">
        <v>217</v>
      </c>
      <c r="AD903">
        <v>237</v>
      </c>
    </row>
    <row r="904" spans="1:30" x14ac:dyDescent="0.55000000000000004">
      <c r="A904">
        <v>101966</v>
      </c>
      <c r="B904" s="19">
        <v>42901</v>
      </c>
      <c r="C904">
        <v>1302</v>
      </c>
      <c r="D904">
        <v>2017</v>
      </c>
      <c r="E904">
        <v>25</v>
      </c>
      <c r="F904">
        <v>648</v>
      </c>
      <c r="G904">
        <v>1</v>
      </c>
      <c r="H904">
        <v>191</v>
      </c>
      <c r="I904">
        <v>3</v>
      </c>
      <c r="J904">
        <v>4758.75</v>
      </c>
      <c r="K904">
        <v>8937.74</v>
      </c>
      <c r="L904">
        <v>4758.38</v>
      </c>
      <c r="M904">
        <v>8937.5499999999993</v>
      </c>
      <c r="N904">
        <v>47.979166999999997</v>
      </c>
      <c r="O904">
        <v>-89.629000000000005</v>
      </c>
      <c r="P904">
        <v>47.972999999999999</v>
      </c>
      <c r="Q904">
        <v>-89.625833</v>
      </c>
      <c r="R904">
        <v>1064.728022</v>
      </c>
      <c r="S904">
        <v>20.5</v>
      </c>
      <c r="T904">
        <v>26.1</v>
      </c>
      <c r="U904">
        <v>1</v>
      </c>
      <c r="V904">
        <v>2</v>
      </c>
      <c r="W904">
        <v>6.7</v>
      </c>
      <c r="X904">
        <v>5.4865500000000003</v>
      </c>
      <c r="Y904">
        <v>0.13370000000000001</v>
      </c>
      <c r="Z904">
        <v>74.629850000000005</v>
      </c>
      <c r="AA904">
        <v>10</v>
      </c>
      <c r="AB904">
        <v>0.42</v>
      </c>
      <c r="AC904">
        <v>217</v>
      </c>
      <c r="AD904">
        <v>16</v>
      </c>
    </row>
    <row r="905" spans="1:30" x14ac:dyDescent="0.55000000000000004">
      <c r="A905">
        <v>101967</v>
      </c>
      <c r="B905" s="19">
        <v>42901</v>
      </c>
      <c r="C905">
        <v>1302</v>
      </c>
      <c r="D905">
        <v>2017</v>
      </c>
      <c r="E905">
        <v>25</v>
      </c>
      <c r="F905">
        <v>649</v>
      </c>
      <c r="G905">
        <v>1</v>
      </c>
      <c r="H905">
        <v>191</v>
      </c>
      <c r="I905">
        <v>3</v>
      </c>
      <c r="J905">
        <v>4758.75</v>
      </c>
      <c r="K905">
        <v>8937.74</v>
      </c>
      <c r="L905">
        <v>4758.38</v>
      </c>
      <c r="M905">
        <v>8937.5499999999993</v>
      </c>
      <c r="N905">
        <v>47.979166999999997</v>
      </c>
      <c r="O905">
        <v>-89.629000000000005</v>
      </c>
      <c r="P905">
        <v>47.972999999999999</v>
      </c>
      <c r="Q905">
        <v>-89.625833</v>
      </c>
      <c r="R905">
        <v>1064.728022</v>
      </c>
      <c r="S905">
        <v>20.5</v>
      </c>
      <c r="T905">
        <v>26.1</v>
      </c>
      <c r="U905">
        <v>1</v>
      </c>
      <c r="V905">
        <v>2</v>
      </c>
      <c r="W905">
        <v>6.7</v>
      </c>
      <c r="X905">
        <v>5.4865500000000003</v>
      </c>
      <c r="Y905">
        <v>0.13370000000000001</v>
      </c>
      <c r="Z905">
        <v>74.629850000000005</v>
      </c>
      <c r="AA905">
        <v>10</v>
      </c>
      <c r="AB905">
        <v>0.42</v>
      </c>
      <c r="AC905">
        <v>217</v>
      </c>
      <c r="AD905">
        <v>5</v>
      </c>
    </row>
    <row r="906" spans="1:30" x14ac:dyDescent="0.55000000000000004">
      <c r="A906">
        <v>101971</v>
      </c>
      <c r="B906" s="19">
        <v>42901</v>
      </c>
      <c r="C906">
        <v>1520</v>
      </c>
      <c r="D906">
        <v>2017</v>
      </c>
      <c r="E906">
        <v>25</v>
      </c>
      <c r="F906">
        <v>650</v>
      </c>
      <c r="G906">
        <v>1</v>
      </c>
      <c r="H906">
        <v>207</v>
      </c>
      <c r="I906">
        <v>3</v>
      </c>
      <c r="J906">
        <v>4750.3500000000004</v>
      </c>
      <c r="K906">
        <v>8956.7099999999991</v>
      </c>
      <c r="L906">
        <v>4750.33</v>
      </c>
      <c r="M906">
        <v>8957.2800000000007</v>
      </c>
      <c r="N906">
        <v>47.839167000000003</v>
      </c>
      <c r="O906">
        <v>-89.945166999999998</v>
      </c>
      <c r="P906">
        <v>47.838833000000001</v>
      </c>
      <c r="Q906">
        <v>-89.954667000000001</v>
      </c>
      <c r="R906">
        <v>448.52821749999998</v>
      </c>
      <c r="S906">
        <v>26</v>
      </c>
      <c r="T906">
        <v>11</v>
      </c>
      <c r="U906">
        <v>1</v>
      </c>
      <c r="V906">
        <v>2</v>
      </c>
      <c r="W906">
        <v>5.6</v>
      </c>
      <c r="X906">
        <v>4.5720000000000001</v>
      </c>
      <c r="Y906">
        <v>-3.8500000000000001E-3</v>
      </c>
      <c r="Z906">
        <v>61.121549999999999</v>
      </c>
      <c r="AA906">
        <v>10</v>
      </c>
      <c r="AB906">
        <v>0.41</v>
      </c>
      <c r="AC906">
        <v>217</v>
      </c>
      <c r="AD906">
        <v>8</v>
      </c>
    </row>
    <row r="907" spans="1:30" x14ac:dyDescent="0.55000000000000004">
      <c r="A907">
        <v>101972</v>
      </c>
      <c r="B907" s="19">
        <v>42901</v>
      </c>
      <c r="C907">
        <v>1520</v>
      </c>
      <c r="D907">
        <v>2017</v>
      </c>
      <c r="E907">
        <v>25</v>
      </c>
      <c r="F907">
        <v>651</v>
      </c>
      <c r="G907">
        <v>1</v>
      </c>
      <c r="H907">
        <v>207</v>
      </c>
      <c r="I907">
        <v>3</v>
      </c>
      <c r="J907">
        <v>4750.3500000000004</v>
      </c>
      <c r="K907">
        <v>8956.7099999999991</v>
      </c>
      <c r="L907">
        <v>4750.33</v>
      </c>
      <c r="M907">
        <v>8957.2800000000007</v>
      </c>
      <c r="N907">
        <v>47.839167000000003</v>
      </c>
      <c r="O907">
        <v>-89.945166999999998</v>
      </c>
      <c r="P907">
        <v>47.838833000000001</v>
      </c>
      <c r="Q907">
        <v>-89.954667000000001</v>
      </c>
      <c r="R907">
        <v>448.52821749999998</v>
      </c>
      <c r="S907">
        <v>26</v>
      </c>
      <c r="T907">
        <v>11</v>
      </c>
      <c r="U907">
        <v>1</v>
      </c>
      <c r="V907">
        <v>2</v>
      </c>
      <c r="W907">
        <v>5.6</v>
      </c>
      <c r="X907">
        <v>4.5720000000000001</v>
      </c>
      <c r="Y907">
        <v>-3.8500000000000001E-3</v>
      </c>
      <c r="Z907">
        <v>61.121549999999999</v>
      </c>
      <c r="AA907">
        <v>10</v>
      </c>
      <c r="AB907">
        <v>0.41</v>
      </c>
      <c r="AC907">
        <v>217</v>
      </c>
      <c r="AD907">
        <v>9</v>
      </c>
    </row>
    <row r="908" spans="1:30" x14ac:dyDescent="0.55000000000000004">
      <c r="A908">
        <v>101973</v>
      </c>
      <c r="B908" s="19">
        <v>42901</v>
      </c>
      <c r="C908">
        <v>1743</v>
      </c>
      <c r="D908">
        <v>2017</v>
      </c>
      <c r="E908">
        <v>25</v>
      </c>
      <c r="F908">
        <v>652</v>
      </c>
      <c r="G908">
        <v>1</v>
      </c>
      <c r="H908">
        <v>65</v>
      </c>
      <c r="I908">
        <v>3</v>
      </c>
      <c r="J908">
        <v>4744.8500000000004</v>
      </c>
      <c r="K908">
        <v>9017.81</v>
      </c>
      <c r="L908">
        <v>4744.8100000000004</v>
      </c>
      <c r="M908">
        <v>9018.33</v>
      </c>
      <c r="N908">
        <v>47.747500000000002</v>
      </c>
      <c r="O908">
        <v>-90.296833000000007</v>
      </c>
      <c r="P908">
        <v>47.746833000000002</v>
      </c>
      <c r="Q908">
        <v>-90.305499999999995</v>
      </c>
      <c r="R908">
        <v>688.20263509999995</v>
      </c>
      <c r="S908">
        <v>81.900000000000006</v>
      </c>
      <c r="T908">
        <v>72.3</v>
      </c>
      <c r="U908">
        <v>1</v>
      </c>
      <c r="V908">
        <v>2</v>
      </c>
      <c r="W908">
        <v>5.6</v>
      </c>
      <c r="X908">
        <v>4.6367000000000003</v>
      </c>
      <c r="Y908">
        <v>0.21299999999999999</v>
      </c>
      <c r="Z908">
        <v>86.912700000000001</v>
      </c>
      <c r="AA908">
        <v>10</v>
      </c>
      <c r="AB908">
        <v>0.42</v>
      </c>
      <c r="AC908">
        <v>217</v>
      </c>
      <c r="AD908">
        <v>7</v>
      </c>
    </row>
    <row r="909" spans="1:30" x14ac:dyDescent="0.55000000000000004">
      <c r="A909">
        <v>101974</v>
      </c>
      <c r="B909" s="19">
        <v>42901</v>
      </c>
      <c r="C909">
        <v>1743</v>
      </c>
      <c r="D909">
        <v>2017</v>
      </c>
      <c r="E909">
        <v>25</v>
      </c>
      <c r="F909">
        <v>653</v>
      </c>
      <c r="G909">
        <v>1</v>
      </c>
      <c r="H909">
        <v>65</v>
      </c>
      <c r="I909">
        <v>3</v>
      </c>
      <c r="J909">
        <v>4744.8500000000004</v>
      </c>
      <c r="K909">
        <v>9017.81</v>
      </c>
      <c r="L909">
        <v>4744.8100000000004</v>
      </c>
      <c r="M909">
        <v>9018.33</v>
      </c>
      <c r="N909">
        <v>47.747500000000002</v>
      </c>
      <c r="O909">
        <v>-90.296833000000007</v>
      </c>
      <c r="P909">
        <v>47.746833000000002</v>
      </c>
      <c r="Q909">
        <v>-90.305499999999995</v>
      </c>
      <c r="R909">
        <v>688.20263509999995</v>
      </c>
      <c r="S909">
        <v>81.900000000000006</v>
      </c>
      <c r="T909">
        <v>72.3</v>
      </c>
      <c r="U909">
        <v>1</v>
      </c>
      <c r="V909">
        <v>2</v>
      </c>
      <c r="W909">
        <v>5.6</v>
      </c>
      <c r="X909">
        <v>4.6367000000000003</v>
      </c>
      <c r="Y909">
        <v>0.21299999999999999</v>
      </c>
      <c r="Z909">
        <v>86.912700000000001</v>
      </c>
      <c r="AA909">
        <v>10</v>
      </c>
      <c r="AB909">
        <v>0.42</v>
      </c>
      <c r="AC909">
        <v>217</v>
      </c>
      <c r="AD909">
        <v>4</v>
      </c>
    </row>
    <row r="910" spans="1:30" x14ac:dyDescent="0.55000000000000004">
      <c r="A910">
        <v>102243</v>
      </c>
      <c r="B910" s="19">
        <v>42921</v>
      </c>
      <c r="C910">
        <v>1214</v>
      </c>
      <c r="D910">
        <v>2017</v>
      </c>
      <c r="E910">
        <v>25</v>
      </c>
      <c r="F910">
        <v>654</v>
      </c>
      <c r="G910">
        <v>2</v>
      </c>
      <c r="H910">
        <v>2161</v>
      </c>
      <c r="I910">
        <v>3</v>
      </c>
      <c r="J910">
        <v>4659.24</v>
      </c>
      <c r="K910">
        <v>9113.58</v>
      </c>
      <c r="L910">
        <v>4659.03</v>
      </c>
      <c r="M910">
        <v>9114.09</v>
      </c>
      <c r="N910">
        <v>46.987333</v>
      </c>
      <c r="O910">
        <v>-91.226332999999997</v>
      </c>
      <c r="P910">
        <v>46.983832999999997</v>
      </c>
      <c r="Q910">
        <v>-91.234832999999995</v>
      </c>
      <c r="R910">
        <v>11430.927079999999</v>
      </c>
      <c r="S910">
        <v>135</v>
      </c>
      <c r="T910">
        <v>136</v>
      </c>
      <c r="U910">
        <v>1</v>
      </c>
      <c r="V910">
        <v>2</v>
      </c>
      <c r="W910">
        <v>17.2</v>
      </c>
      <c r="X910">
        <v>15.7332</v>
      </c>
      <c r="Y910">
        <v>0.27960000000000002</v>
      </c>
      <c r="Z910">
        <v>72.767899999999997</v>
      </c>
      <c r="AA910">
        <v>10</v>
      </c>
      <c r="AB910">
        <v>0.43</v>
      </c>
      <c r="AC910">
        <v>217</v>
      </c>
      <c r="AD910">
        <v>1</v>
      </c>
    </row>
    <row r="911" spans="1:30" x14ac:dyDescent="0.55000000000000004">
      <c r="A911">
        <v>102244</v>
      </c>
      <c r="B911" s="19">
        <v>42921</v>
      </c>
      <c r="C911">
        <v>1214</v>
      </c>
      <c r="D911">
        <v>2017</v>
      </c>
      <c r="E911">
        <v>25</v>
      </c>
      <c r="F911">
        <v>655</v>
      </c>
      <c r="G911">
        <v>2</v>
      </c>
      <c r="H911">
        <v>2161</v>
      </c>
      <c r="I911">
        <v>3</v>
      </c>
      <c r="J911">
        <v>4659.24</v>
      </c>
      <c r="K911">
        <v>9113.58</v>
      </c>
      <c r="L911">
        <v>4659.03</v>
      </c>
      <c r="M911">
        <v>9114.09</v>
      </c>
      <c r="N911">
        <v>46.987333</v>
      </c>
      <c r="O911">
        <v>-91.226332999999997</v>
      </c>
      <c r="P911">
        <v>46.983832999999997</v>
      </c>
      <c r="Q911">
        <v>-91.234832999999995</v>
      </c>
      <c r="R911">
        <v>11430.927079999999</v>
      </c>
      <c r="S911">
        <v>135</v>
      </c>
      <c r="T911">
        <v>136</v>
      </c>
      <c r="U911">
        <v>1</v>
      </c>
      <c r="V911">
        <v>2</v>
      </c>
      <c r="W911">
        <v>17.2</v>
      </c>
      <c r="X911">
        <v>15.7332</v>
      </c>
      <c r="Y911">
        <v>0.27960000000000002</v>
      </c>
      <c r="Z911">
        <v>72.767899999999997</v>
      </c>
      <c r="AA911">
        <v>10</v>
      </c>
      <c r="AB911">
        <v>0.43</v>
      </c>
      <c r="AC911">
        <v>0</v>
      </c>
      <c r="AD911">
        <v>0</v>
      </c>
    </row>
    <row r="912" spans="1:30" x14ac:dyDescent="0.55000000000000004">
      <c r="A912">
        <v>102248</v>
      </c>
      <c r="B912" s="19">
        <v>42921</v>
      </c>
      <c r="C912">
        <v>1713</v>
      </c>
      <c r="D912">
        <v>2017</v>
      </c>
      <c r="E912">
        <v>25</v>
      </c>
      <c r="F912">
        <v>656</v>
      </c>
      <c r="G912">
        <v>2</v>
      </c>
      <c r="H912">
        <v>2133</v>
      </c>
      <c r="I912">
        <v>3</v>
      </c>
      <c r="J912">
        <v>4731.8999999999996</v>
      </c>
      <c r="K912">
        <v>9032.92</v>
      </c>
      <c r="L912">
        <v>4732.08</v>
      </c>
      <c r="M912">
        <v>9032.48</v>
      </c>
      <c r="N912">
        <v>47.531666999999999</v>
      </c>
      <c r="O912">
        <v>-90.548666999999995</v>
      </c>
      <c r="P912">
        <v>47.534666999999999</v>
      </c>
      <c r="Q912">
        <v>-90.541332999999995</v>
      </c>
      <c r="R912">
        <v>15638.0867</v>
      </c>
      <c r="S912">
        <v>185</v>
      </c>
      <c r="T912">
        <v>184</v>
      </c>
      <c r="U912">
        <v>1</v>
      </c>
      <c r="V912">
        <v>2</v>
      </c>
      <c r="W912">
        <v>9.5</v>
      </c>
      <c r="X912">
        <v>10.0974</v>
      </c>
      <c r="Y912">
        <v>1.6400000000000001E-2</v>
      </c>
      <c r="Z912">
        <v>66.929500000000004</v>
      </c>
      <c r="AA912">
        <v>10</v>
      </c>
      <c r="AB912">
        <v>0.42</v>
      </c>
      <c r="AC912">
        <v>217</v>
      </c>
      <c r="AD912">
        <v>3</v>
      </c>
    </row>
    <row r="913" spans="1:30" x14ac:dyDescent="0.55000000000000004">
      <c r="A913">
        <v>102249</v>
      </c>
      <c r="B913" s="19">
        <v>42921</v>
      </c>
      <c r="C913">
        <v>1713</v>
      </c>
      <c r="D913">
        <v>2017</v>
      </c>
      <c r="E913">
        <v>25</v>
      </c>
      <c r="F913">
        <v>657</v>
      </c>
      <c r="G913">
        <v>2</v>
      </c>
      <c r="H913">
        <v>2133</v>
      </c>
      <c r="I913">
        <v>3</v>
      </c>
      <c r="J913">
        <v>4731.8999999999996</v>
      </c>
      <c r="K913">
        <v>9032.92</v>
      </c>
      <c r="L913">
        <v>4732.08</v>
      </c>
      <c r="M913">
        <v>9032.48</v>
      </c>
      <c r="N913">
        <v>47.531666999999999</v>
      </c>
      <c r="O913">
        <v>-90.548666999999995</v>
      </c>
      <c r="P913">
        <v>47.534666999999999</v>
      </c>
      <c r="Q913">
        <v>-90.541332999999995</v>
      </c>
      <c r="R913">
        <v>15638.0867</v>
      </c>
      <c r="S913">
        <v>185</v>
      </c>
      <c r="T913">
        <v>184</v>
      </c>
      <c r="U913">
        <v>1</v>
      </c>
      <c r="V913">
        <v>2</v>
      </c>
      <c r="W913">
        <v>9.5</v>
      </c>
      <c r="X913">
        <v>10.0974</v>
      </c>
      <c r="Y913">
        <v>1.6400000000000001E-2</v>
      </c>
      <c r="Z913">
        <v>66.929500000000004</v>
      </c>
      <c r="AA913">
        <v>10</v>
      </c>
      <c r="AB913">
        <v>0.42</v>
      </c>
      <c r="AC913">
        <v>0</v>
      </c>
      <c r="AD913">
        <v>0</v>
      </c>
    </row>
    <row r="914" spans="1:30" x14ac:dyDescent="0.55000000000000004">
      <c r="A914">
        <v>102250</v>
      </c>
      <c r="B914" s="19">
        <v>42922</v>
      </c>
      <c r="C914">
        <v>709</v>
      </c>
      <c r="D914">
        <v>2017</v>
      </c>
      <c r="E914">
        <v>25</v>
      </c>
      <c r="F914">
        <v>658</v>
      </c>
      <c r="G914">
        <v>2</v>
      </c>
      <c r="H914">
        <v>65</v>
      </c>
      <c r="I914">
        <v>3</v>
      </c>
      <c r="J914">
        <v>4744.46</v>
      </c>
      <c r="K914">
        <v>9020.07</v>
      </c>
      <c r="L914">
        <v>4744.2</v>
      </c>
      <c r="M914">
        <v>9019.67</v>
      </c>
      <c r="N914">
        <v>47.741</v>
      </c>
      <c r="O914">
        <v>-90.334500000000006</v>
      </c>
      <c r="P914">
        <v>47.736666999999997</v>
      </c>
      <c r="Q914">
        <v>-90.327832999999998</v>
      </c>
      <c r="R914">
        <v>688.20263509999995</v>
      </c>
      <c r="S914">
        <v>55</v>
      </c>
      <c r="T914">
        <v>122</v>
      </c>
      <c r="U914">
        <v>1</v>
      </c>
      <c r="V914">
        <v>2</v>
      </c>
      <c r="W914">
        <v>12.4</v>
      </c>
      <c r="X914">
        <v>9.8224</v>
      </c>
      <c r="Y914">
        <v>0.27629999999999999</v>
      </c>
      <c r="Z914">
        <v>82.630600000000001</v>
      </c>
      <c r="AA914">
        <v>10</v>
      </c>
      <c r="AB914">
        <v>0.43</v>
      </c>
      <c r="AC914">
        <v>0</v>
      </c>
      <c r="AD914">
        <v>0</v>
      </c>
    </row>
    <row r="915" spans="1:30" x14ac:dyDescent="0.55000000000000004">
      <c r="A915">
        <v>102251</v>
      </c>
      <c r="B915" s="19">
        <v>42922</v>
      </c>
      <c r="C915">
        <v>709</v>
      </c>
      <c r="D915">
        <v>2017</v>
      </c>
      <c r="E915">
        <v>25</v>
      </c>
      <c r="F915">
        <v>659</v>
      </c>
      <c r="G915">
        <v>2</v>
      </c>
      <c r="H915">
        <v>65</v>
      </c>
      <c r="I915">
        <v>3</v>
      </c>
      <c r="J915">
        <v>4744.46</v>
      </c>
      <c r="K915">
        <v>9020.07</v>
      </c>
      <c r="L915">
        <v>4744.2</v>
      </c>
      <c r="M915">
        <v>9019.67</v>
      </c>
      <c r="N915">
        <v>47.741</v>
      </c>
      <c r="O915">
        <v>-90.334500000000006</v>
      </c>
      <c r="P915">
        <v>47.736666999999997</v>
      </c>
      <c r="Q915">
        <v>-90.327832999999998</v>
      </c>
      <c r="R915">
        <v>688.20263509999995</v>
      </c>
      <c r="S915">
        <v>55</v>
      </c>
      <c r="T915">
        <v>122</v>
      </c>
      <c r="U915">
        <v>1</v>
      </c>
      <c r="V915">
        <v>2</v>
      </c>
      <c r="W915">
        <v>12.4</v>
      </c>
      <c r="X915">
        <v>9.8224</v>
      </c>
      <c r="Y915">
        <v>0.27629999999999999</v>
      </c>
      <c r="Z915">
        <v>82.630600000000001</v>
      </c>
      <c r="AA915">
        <v>10</v>
      </c>
      <c r="AB915">
        <v>0.43</v>
      </c>
      <c r="AC915">
        <v>0</v>
      </c>
      <c r="AD915">
        <v>0</v>
      </c>
    </row>
    <row r="916" spans="1:30" x14ac:dyDescent="0.55000000000000004">
      <c r="A916">
        <v>102252</v>
      </c>
      <c r="B916" s="19">
        <v>42922</v>
      </c>
      <c r="C916">
        <v>933</v>
      </c>
      <c r="D916">
        <v>2017</v>
      </c>
      <c r="E916">
        <v>25</v>
      </c>
      <c r="F916">
        <v>660</v>
      </c>
      <c r="G916">
        <v>2</v>
      </c>
      <c r="H916">
        <v>2124</v>
      </c>
      <c r="I916">
        <v>3</v>
      </c>
      <c r="J916">
        <v>4730.01</v>
      </c>
      <c r="K916">
        <v>8959.76</v>
      </c>
      <c r="L916">
        <v>4729.6899999999996</v>
      </c>
      <c r="M916">
        <v>8959.99</v>
      </c>
      <c r="N916">
        <v>47.500166999999998</v>
      </c>
      <c r="O916">
        <v>-89.995999999999995</v>
      </c>
      <c r="P916">
        <v>47.494833</v>
      </c>
      <c r="Q916">
        <v>-89.999832999999995</v>
      </c>
      <c r="R916">
        <v>34414.230860000003</v>
      </c>
      <c r="S916">
        <v>153</v>
      </c>
      <c r="T916">
        <v>154</v>
      </c>
      <c r="U916">
        <v>1</v>
      </c>
      <c r="V916">
        <v>2</v>
      </c>
      <c r="W916">
        <v>9.1999999999999993</v>
      </c>
      <c r="X916">
        <v>8.6766000000000005</v>
      </c>
      <c r="Y916">
        <v>-0.17780000000000001</v>
      </c>
      <c r="Z916">
        <v>69.3506</v>
      </c>
      <c r="AA916">
        <v>10</v>
      </c>
      <c r="AB916">
        <v>0.37</v>
      </c>
      <c r="AC916">
        <v>217</v>
      </c>
      <c r="AD916">
        <v>2</v>
      </c>
    </row>
    <row r="917" spans="1:30" x14ac:dyDescent="0.55000000000000004">
      <c r="A917">
        <v>102253</v>
      </c>
      <c r="B917" s="19">
        <v>42922</v>
      </c>
      <c r="C917">
        <v>933</v>
      </c>
      <c r="D917">
        <v>2017</v>
      </c>
      <c r="E917">
        <v>25</v>
      </c>
      <c r="F917">
        <v>661</v>
      </c>
      <c r="G917">
        <v>2</v>
      </c>
      <c r="H917">
        <v>2124</v>
      </c>
      <c r="I917">
        <v>3</v>
      </c>
      <c r="J917">
        <v>4730.01</v>
      </c>
      <c r="K917">
        <v>8959.76</v>
      </c>
      <c r="L917">
        <v>4729.6899999999996</v>
      </c>
      <c r="M917">
        <v>8959.99</v>
      </c>
      <c r="N917">
        <v>47.500166999999998</v>
      </c>
      <c r="O917">
        <v>-89.995999999999995</v>
      </c>
      <c r="P917">
        <v>47.494833</v>
      </c>
      <c r="Q917">
        <v>-89.999832999999995</v>
      </c>
      <c r="R917">
        <v>34414.230860000003</v>
      </c>
      <c r="S917">
        <v>153</v>
      </c>
      <c r="T917">
        <v>154</v>
      </c>
      <c r="U917">
        <v>1</v>
      </c>
      <c r="V917">
        <v>2</v>
      </c>
      <c r="W917">
        <v>9.1999999999999993</v>
      </c>
      <c r="X917">
        <v>8.6766000000000005</v>
      </c>
      <c r="Y917">
        <v>-0.17780000000000001</v>
      </c>
      <c r="Z917">
        <v>69.3506</v>
      </c>
      <c r="AA917">
        <v>10</v>
      </c>
      <c r="AB917">
        <v>0.37</v>
      </c>
      <c r="AC917">
        <v>217</v>
      </c>
      <c r="AD917">
        <v>9</v>
      </c>
    </row>
    <row r="918" spans="1:30" x14ac:dyDescent="0.55000000000000004">
      <c r="A918">
        <v>102254</v>
      </c>
      <c r="B918" s="19">
        <v>42922</v>
      </c>
      <c r="C918">
        <v>1226</v>
      </c>
      <c r="D918">
        <v>2017</v>
      </c>
      <c r="E918">
        <v>25</v>
      </c>
      <c r="F918">
        <v>662</v>
      </c>
      <c r="G918">
        <v>2</v>
      </c>
      <c r="H918">
        <v>2147</v>
      </c>
      <c r="I918">
        <v>3</v>
      </c>
      <c r="J918">
        <v>4709.72</v>
      </c>
      <c r="K918">
        <v>8957.64</v>
      </c>
      <c r="L918">
        <v>4709.3500000000004</v>
      </c>
      <c r="M918">
        <v>8958.2199999999993</v>
      </c>
      <c r="N918">
        <v>47.161999999999999</v>
      </c>
      <c r="O918">
        <v>-89.960667000000001</v>
      </c>
      <c r="P918">
        <v>47.155833000000001</v>
      </c>
      <c r="Q918">
        <v>-89.970332999999997</v>
      </c>
      <c r="R918">
        <v>33818.304250000001</v>
      </c>
      <c r="S918">
        <v>173</v>
      </c>
      <c r="T918">
        <v>172</v>
      </c>
      <c r="U918">
        <v>1</v>
      </c>
      <c r="V918">
        <v>2</v>
      </c>
      <c r="W918">
        <v>9.1</v>
      </c>
      <c r="X918">
        <v>9.6874000000000002</v>
      </c>
      <c r="Y918">
        <v>3.7600000000000001E-2</v>
      </c>
      <c r="Z918">
        <v>76.067099999999996</v>
      </c>
      <c r="AA918">
        <v>10</v>
      </c>
      <c r="AB918">
        <v>0.41</v>
      </c>
      <c r="AC918">
        <v>0</v>
      </c>
      <c r="AD918">
        <v>0</v>
      </c>
    </row>
    <row r="919" spans="1:30" x14ac:dyDescent="0.55000000000000004">
      <c r="A919">
        <v>102255</v>
      </c>
      <c r="B919" s="19">
        <v>42922</v>
      </c>
      <c r="C919">
        <v>1226</v>
      </c>
      <c r="D919">
        <v>2017</v>
      </c>
      <c r="E919">
        <v>25</v>
      </c>
      <c r="F919">
        <v>663</v>
      </c>
      <c r="G919">
        <v>2</v>
      </c>
      <c r="H919">
        <v>2147</v>
      </c>
      <c r="I919">
        <v>3</v>
      </c>
      <c r="J919">
        <v>4709.72</v>
      </c>
      <c r="K919">
        <v>8957.64</v>
      </c>
      <c r="L919">
        <v>4709.3500000000004</v>
      </c>
      <c r="M919">
        <v>8958.2199999999993</v>
      </c>
      <c r="N919">
        <v>47.161999999999999</v>
      </c>
      <c r="O919">
        <v>-89.960667000000001</v>
      </c>
      <c r="P919">
        <v>47.155833000000001</v>
      </c>
      <c r="Q919">
        <v>-89.970332999999997</v>
      </c>
      <c r="R919">
        <v>33818.304250000001</v>
      </c>
      <c r="S919">
        <v>173</v>
      </c>
      <c r="T919">
        <v>172</v>
      </c>
      <c r="U919">
        <v>1</v>
      </c>
      <c r="V919">
        <v>2</v>
      </c>
      <c r="W919">
        <v>9.1</v>
      </c>
      <c r="X919">
        <v>9.6874000000000002</v>
      </c>
      <c r="Y919">
        <v>3.7600000000000001E-2</v>
      </c>
      <c r="Z919">
        <v>76.067099999999996</v>
      </c>
      <c r="AA919">
        <v>10</v>
      </c>
      <c r="AB919">
        <v>0.41</v>
      </c>
      <c r="AC919">
        <v>217</v>
      </c>
      <c r="AD919">
        <v>1</v>
      </c>
    </row>
    <row r="920" spans="1:30" x14ac:dyDescent="0.55000000000000004">
      <c r="A920">
        <v>102256</v>
      </c>
      <c r="B920" s="19">
        <v>42922</v>
      </c>
      <c r="C920">
        <v>1450</v>
      </c>
      <c r="D920">
        <v>2017</v>
      </c>
      <c r="E920">
        <v>25</v>
      </c>
      <c r="F920">
        <v>664</v>
      </c>
      <c r="G920">
        <v>2</v>
      </c>
      <c r="H920">
        <v>2120</v>
      </c>
      <c r="I920">
        <v>3</v>
      </c>
      <c r="J920">
        <v>4704.3500000000004</v>
      </c>
      <c r="K920">
        <v>8939.75</v>
      </c>
      <c r="L920">
        <v>4704.05</v>
      </c>
      <c r="M920">
        <v>8940.1299999999992</v>
      </c>
      <c r="N920">
        <v>47.072499999999998</v>
      </c>
      <c r="O920">
        <v>-89.662499999999994</v>
      </c>
      <c r="P920">
        <v>47.067500000000003</v>
      </c>
      <c r="Q920">
        <v>-89.668833000000006</v>
      </c>
      <c r="R920">
        <v>27139.368109999999</v>
      </c>
      <c r="S920">
        <v>210</v>
      </c>
      <c r="T920">
        <v>209</v>
      </c>
      <c r="U920">
        <v>1</v>
      </c>
      <c r="V920">
        <v>2</v>
      </c>
      <c r="W920">
        <v>8.3000000000000007</v>
      </c>
      <c r="X920">
        <v>7.3117000000000001</v>
      </c>
      <c r="Y920">
        <v>3.6600000000000001E-2</v>
      </c>
      <c r="Z920">
        <v>90.1999</v>
      </c>
      <c r="AA920">
        <v>10</v>
      </c>
      <c r="AB920">
        <v>0.42</v>
      </c>
      <c r="AC920">
        <v>217</v>
      </c>
      <c r="AD920">
        <v>1</v>
      </c>
    </row>
    <row r="921" spans="1:30" x14ac:dyDescent="0.55000000000000004">
      <c r="A921">
        <v>102257</v>
      </c>
      <c r="B921" s="19">
        <v>42922</v>
      </c>
      <c r="C921">
        <v>1450</v>
      </c>
      <c r="D921">
        <v>2017</v>
      </c>
      <c r="E921">
        <v>25</v>
      </c>
      <c r="F921">
        <v>665</v>
      </c>
      <c r="G921">
        <v>2</v>
      </c>
      <c r="H921">
        <v>2120</v>
      </c>
      <c r="I921">
        <v>3</v>
      </c>
      <c r="J921">
        <v>4704.3500000000004</v>
      </c>
      <c r="K921">
        <v>8939.75</v>
      </c>
      <c r="L921">
        <v>4704.05</v>
      </c>
      <c r="M921">
        <v>8940.1299999999992</v>
      </c>
      <c r="N921">
        <v>47.072499999999998</v>
      </c>
      <c r="O921">
        <v>-89.662499999999994</v>
      </c>
      <c r="P921">
        <v>47.067500000000003</v>
      </c>
      <c r="Q921">
        <v>-89.668833000000006</v>
      </c>
      <c r="R921">
        <v>27139.368109999999</v>
      </c>
      <c r="S921">
        <v>210</v>
      </c>
      <c r="T921">
        <v>209</v>
      </c>
      <c r="U921">
        <v>1</v>
      </c>
      <c r="V921">
        <v>2</v>
      </c>
      <c r="W921">
        <v>8.3000000000000007</v>
      </c>
      <c r="X921">
        <v>7.3117000000000001</v>
      </c>
      <c r="Y921">
        <v>3.6600000000000001E-2</v>
      </c>
      <c r="Z921">
        <v>90.1999</v>
      </c>
      <c r="AA921">
        <v>10</v>
      </c>
      <c r="AB921">
        <v>0.42</v>
      </c>
      <c r="AC921">
        <v>0</v>
      </c>
      <c r="AD921">
        <v>0</v>
      </c>
    </row>
    <row r="922" spans="1:30" x14ac:dyDescent="0.55000000000000004">
      <c r="A922">
        <v>102260</v>
      </c>
      <c r="B922" s="19">
        <v>42923</v>
      </c>
      <c r="C922">
        <v>930</v>
      </c>
      <c r="D922">
        <v>2017</v>
      </c>
      <c r="E922">
        <v>25</v>
      </c>
      <c r="F922">
        <v>666</v>
      </c>
      <c r="G922">
        <v>2</v>
      </c>
      <c r="H922">
        <v>2136</v>
      </c>
      <c r="I922">
        <v>3</v>
      </c>
      <c r="J922">
        <v>4713.6400000000003</v>
      </c>
      <c r="K922">
        <v>8932.2800000000007</v>
      </c>
      <c r="L922">
        <v>4713.4399999999996</v>
      </c>
      <c r="M922">
        <v>8932.76</v>
      </c>
      <c r="N922">
        <v>47.227333000000002</v>
      </c>
      <c r="O922">
        <v>-89.537999999999997</v>
      </c>
      <c r="P922">
        <v>47.223999999999997</v>
      </c>
      <c r="Q922">
        <v>-89.546000000000006</v>
      </c>
      <c r="R922">
        <v>40355.932849999997</v>
      </c>
      <c r="S922">
        <v>204</v>
      </c>
      <c r="T922">
        <v>205</v>
      </c>
      <c r="U922">
        <v>1</v>
      </c>
      <c r="V922">
        <v>2</v>
      </c>
      <c r="W922">
        <v>8.3000000000000007</v>
      </c>
      <c r="X922">
        <v>8.3268000000000004</v>
      </c>
      <c r="Y922">
        <v>7.0499999999999993E-2</v>
      </c>
      <c r="Z922">
        <v>85.427700000000002</v>
      </c>
      <c r="AA922">
        <v>10</v>
      </c>
      <c r="AB922">
        <v>0.43</v>
      </c>
      <c r="AC922">
        <v>217</v>
      </c>
      <c r="AD922">
        <v>6</v>
      </c>
    </row>
    <row r="923" spans="1:30" x14ac:dyDescent="0.55000000000000004">
      <c r="A923">
        <v>102261</v>
      </c>
      <c r="B923" s="19">
        <v>42923</v>
      </c>
      <c r="C923">
        <v>930</v>
      </c>
      <c r="D923">
        <v>2017</v>
      </c>
      <c r="E923">
        <v>25</v>
      </c>
      <c r="F923">
        <v>667</v>
      </c>
      <c r="G923">
        <v>2</v>
      </c>
      <c r="H923">
        <v>2136</v>
      </c>
      <c r="I923">
        <v>3</v>
      </c>
      <c r="J923">
        <v>4713.6400000000003</v>
      </c>
      <c r="K923">
        <v>8932.2800000000007</v>
      </c>
      <c r="L923">
        <v>4713.4399999999996</v>
      </c>
      <c r="M923">
        <v>8932.76</v>
      </c>
      <c r="N923">
        <v>47.227333000000002</v>
      </c>
      <c r="O923">
        <v>-89.537999999999997</v>
      </c>
      <c r="P923">
        <v>47.223999999999997</v>
      </c>
      <c r="Q923">
        <v>-89.546000000000006</v>
      </c>
      <c r="R923">
        <v>40355.932849999997</v>
      </c>
      <c r="S923">
        <v>204</v>
      </c>
      <c r="T923">
        <v>205</v>
      </c>
      <c r="U923">
        <v>1</v>
      </c>
      <c r="V923">
        <v>2</v>
      </c>
      <c r="W923">
        <v>8.3000000000000007</v>
      </c>
      <c r="X923">
        <v>8.3268000000000004</v>
      </c>
      <c r="Y923">
        <v>7.0499999999999993E-2</v>
      </c>
      <c r="Z923">
        <v>85.427700000000002</v>
      </c>
      <c r="AA923">
        <v>10</v>
      </c>
      <c r="AB923">
        <v>0.43</v>
      </c>
      <c r="AC923">
        <v>217</v>
      </c>
      <c r="AD923">
        <v>3</v>
      </c>
    </row>
    <row r="924" spans="1:30" x14ac:dyDescent="0.55000000000000004">
      <c r="A924">
        <v>102263</v>
      </c>
      <c r="B924" s="19">
        <v>42923</v>
      </c>
      <c r="C924">
        <v>1143</v>
      </c>
      <c r="D924">
        <v>2017</v>
      </c>
      <c r="E924">
        <v>25</v>
      </c>
      <c r="F924">
        <v>668</v>
      </c>
      <c r="G924">
        <v>2</v>
      </c>
      <c r="H924">
        <v>2151</v>
      </c>
      <c r="I924">
        <v>3</v>
      </c>
      <c r="J924">
        <v>4709.24</v>
      </c>
      <c r="K924">
        <v>8918.0400000000009</v>
      </c>
      <c r="L924">
        <v>4709.21</v>
      </c>
      <c r="M924">
        <v>8917.42</v>
      </c>
      <c r="N924">
        <v>47.154000000000003</v>
      </c>
      <c r="O924">
        <v>-89.300667000000004</v>
      </c>
      <c r="P924">
        <v>47.153500000000001</v>
      </c>
      <c r="Q924">
        <v>-89.290333000000004</v>
      </c>
      <c r="R924">
        <v>22253.35642</v>
      </c>
      <c r="S924">
        <v>143</v>
      </c>
      <c r="T924">
        <v>142</v>
      </c>
      <c r="U924">
        <v>1</v>
      </c>
      <c r="V924">
        <v>2</v>
      </c>
      <c r="W924">
        <v>10</v>
      </c>
      <c r="X924">
        <v>9.4902999999999995</v>
      </c>
      <c r="Y924">
        <v>0.10929999999999999</v>
      </c>
      <c r="Z924">
        <v>87.716899999999995</v>
      </c>
      <c r="AA924">
        <v>10</v>
      </c>
      <c r="AB924">
        <v>0.44</v>
      </c>
      <c r="AC924">
        <v>217</v>
      </c>
      <c r="AD924">
        <v>1</v>
      </c>
    </row>
    <row r="925" spans="1:30" x14ac:dyDescent="0.55000000000000004">
      <c r="A925">
        <v>102264</v>
      </c>
      <c r="B925" s="19">
        <v>42923</v>
      </c>
      <c r="C925">
        <v>1143</v>
      </c>
      <c r="D925">
        <v>2017</v>
      </c>
      <c r="E925">
        <v>25</v>
      </c>
      <c r="F925">
        <v>669</v>
      </c>
      <c r="G925">
        <v>2</v>
      </c>
      <c r="H925">
        <v>2151</v>
      </c>
      <c r="I925">
        <v>3</v>
      </c>
      <c r="J925">
        <v>4709.24</v>
      </c>
      <c r="K925">
        <v>8918.0400000000009</v>
      </c>
      <c r="L925">
        <v>4709.21</v>
      </c>
      <c r="M925">
        <v>8917.42</v>
      </c>
      <c r="N925">
        <v>47.154000000000003</v>
      </c>
      <c r="O925">
        <v>-89.300667000000004</v>
      </c>
      <c r="P925">
        <v>47.153500000000001</v>
      </c>
      <c r="Q925">
        <v>-89.290333000000004</v>
      </c>
      <c r="R925">
        <v>22253.35642</v>
      </c>
      <c r="S925">
        <v>143</v>
      </c>
      <c r="T925">
        <v>142</v>
      </c>
      <c r="U925">
        <v>1</v>
      </c>
      <c r="V925">
        <v>2</v>
      </c>
      <c r="W925">
        <v>10</v>
      </c>
      <c r="X925">
        <v>9.4902999999999995</v>
      </c>
      <c r="Y925">
        <v>0.10929999999999999</v>
      </c>
      <c r="Z925">
        <v>87.716899999999995</v>
      </c>
      <c r="AA925">
        <v>10</v>
      </c>
      <c r="AB925">
        <v>0.44</v>
      </c>
      <c r="AC925">
        <v>217</v>
      </c>
      <c r="AD925">
        <v>1</v>
      </c>
    </row>
    <row r="926" spans="1:30" x14ac:dyDescent="0.55000000000000004">
      <c r="A926">
        <v>102266</v>
      </c>
      <c r="B926" s="19">
        <v>42924</v>
      </c>
      <c r="C926">
        <v>935</v>
      </c>
      <c r="D926">
        <v>2017</v>
      </c>
      <c r="E926">
        <v>25</v>
      </c>
      <c r="F926">
        <v>670</v>
      </c>
      <c r="G926">
        <v>2</v>
      </c>
      <c r="H926">
        <v>2115</v>
      </c>
      <c r="I926">
        <v>3</v>
      </c>
      <c r="J926">
        <v>4724.2299999999996</v>
      </c>
      <c r="K926">
        <v>8828.4599999999991</v>
      </c>
      <c r="L926">
        <v>4724.75</v>
      </c>
      <c r="M926">
        <v>8827.9599999999991</v>
      </c>
      <c r="N926">
        <v>47.403832999999999</v>
      </c>
      <c r="O926">
        <v>-88.474333000000001</v>
      </c>
      <c r="P926">
        <v>47.412500000000001</v>
      </c>
      <c r="Q926">
        <v>-88.465999999999994</v>
      </c>
      <c r="R926">
        <v>6021.3592170000002</v>
      </c>
      <c r="S926">
        <v>144</v>
      </c>
      <c r="T926">
        <v>170</v>
      </c>
      <c r="U926">
        <v>1</v>
      </c>
      <c r="V926">
        <v>2</v>
      </c>
      <c r="W926">
        <v>9.1</v>
      </c>
      <c r="X926">
        <v>6.5103999999999997</v>
      </c>
      <c r="Y926">
        <v>3.2000000000000001E-2</v>
      </c>
      <c r="Z926">
        <v>85.272300000000001</v>
      </c>
      <c r="AA926">
        <v>10</v>
      </c>
      <c r="AB926">
        <v>0.5</v>
      </c>
      <c r="AC926">
        <v>217</v>
      </c>
      <c r="AD926">
        <v>1</v>
      </c>
    </row>
    <row r="927" spans="1:30" x14ac:dyDescent="0.55000000000000004">
      <c r="A927">
        <v>102267</v>
      </c>
      <c r="B927" s="19">
        <v>42924</v>
      </c>
      <c r="C927">
        <v>935</v>
      </c>
      <c r="D927">
        <v>2017</v>
      </c>
      <c r="E927">
        <v>25</v>
      </c>
      <c r="F927">
        <v>671</v>
      </c>
      <c r="G927">
        <v>2</v>
      </c>
      <c r="H927">
        <v>2115</v>
      </c>
      <c r="I927">
        <v>3</v>
      </c>
      <c r="J927">
        <v>4724.2299999999996</v>
      </c>
      <c r="K927">
        <v>8828.4599999999991</v>
      </c>
      <c r="L927">
        <v>4724.75</v>
      </c>
      <c r="M927">
        <v>8827.9599999999991</v>
      </c>
      <c r="N927">
        <v>47.403832999999999</v>
      </c>
      <c r="O927">
        <v>-88.474333000000001</v>
      </c>
      <c r="P927">
        <v>47.412500000000001</v>
      </c>
      <c r="Q927">
        <v>-88.465999999999994</v>
      </c>
      <c r="R927">
        <v>6021.3592170000002</v>
      </c>
      <c r="S927">
        <v>144</v>
      </c>
      <c r="T927">
        <v>170</v>
      </c>
      <c r="U927">
        <v>1</v>
      </c>
      <c r="V927">
        <v>2</v>
      </c>
      <c r="W927">
        <v>9.1</v>
      </c>
      <c r="X927">
        <v>6.5103999999999997</v>
      </c>
      <c r="Y927">
        <v>3.2000000000000001E-2</v>
      </c>
      <c r="Z927">
        <v>85.272300000000001</v>
      </c>
      <c r="AA927">
        <v>10</v>
      </c>
      <c r="AB927">
        <v>0.5</v>
      </c>
      <c r="AC927">
        <v>217</v>
      </c>
      <c r="AD927">
        <v>1</v>
      </c>
    </row>
    <row r="928" spans="1:30" x14ac:dyDescent="0.55000000000000004">
      <c r="A928">
        <v>102268</v>
      </c>
      <c r="B928" s="19">
        <v>42924</v>
      </c>
      <c r="C928">
        <v>1428</v>
      </c>
      <c r="D928">
        <v>2017</v>
      </c>
      <c r="E928">
        <v>25</v>
      </c>
      <c r="F928">
        <v>672</v>
      </c>
      <c r="G928">
        <v>2</v>
      </c>
      <c r="H928">
        <v>2128</v>
      </c>
      <c r="I928">
        <v>3</v>
      </c>
      <c r="J928">
        <v>4750.1099999999997</v>
      </c>
      <c r="K928">
        <v>8845.0400000000009</v>
      </c>
      <c r="L928">
        <v>4750.3900000000003</v>
      </c>
      <c r="M928">
        <v>8844.4500000000007</v>
      </c>
      <c r="N928">
        <v>47.835166999999998</v>
      </c>
      <c r="O928">
        <v>-88.750667000000007</v>
      </c>
      <c r="P928">
        <v>47.839832999999999</v>
      </c>
      <c r="Q928">
        <v>-88.740832999999995</v>
      </c>
      <c r="R928">
        <v>11023.97098</v>
      </c>
      <c r="S928">
        <v>243</v>
      </c>
      <c r="T928">
        <v>246</v>
      </c>
      <c r="U928">
        <v>1</v>
      </c>
      <c r="V928">
        <v>2</v>
      </c>
      <c r="W928">
        <v>4.7</v>
      </c>
      <c r="X928">
        <v>5.0110000000000001</v>
      </c>
      <c r="Y928">
        <v>1.6299999999999999E-2</v>
      </c>
      <c r="Z928">
        <v>49.209600000000002</v>
      </c>
      <c r="AA928">
        <v>10</v>
      </c>
      <c r="AB928">
        <v>0.41</v>
      </c>
      <c r="AC928">
        <v>0</v>
      </c>
      <c r="AD928">
        <v>0</v>
      </c>
    </row>
    <row r="929" spans="1:30" x14ac:dyDescent="0.55000000000000004">
      <c r="A929">
        <v>102269</v>
      </c>
      <c r="B929" s="19">
        <v>42924</v>
      </c>
      <c r="C929">
        <v>1428</v>
      </c>
      <c r="D929">
        <v>2017</v>
      </c>
      <c r="E929">
        <v>25</v>
      </c>
      <c r="F929">
        <v>673</v>
      </c>
      <c r="G929">
        <v>2</v>
      </c>
      <c r="H929">
        <v>2128</v>
      </c>
      <c r="I929">
        <v>3</v>
      </c>
      <c r="J929">
        <v>4750.1099999999997</v>
      </c>
      <c r="K929">
        <v>8845.0400000000009</v>
      </c>
      <c r="L929">
        <v>4750.3900000000003</v>
      </c>
      <c r="M929">
        <v>8844.4500000000007</v>
      </c>
      <c r="N929">
        <v>47.835166999999998</v>
      </c>
      <c r="O929">
        <v>-88.750667000000007</v>
      </c>
      <c r="P929">
        <v>47.839832999999999</v>
      </c>
      <c r="Q929">
        <v>-88.740832999999995</v>
      </c>
      <c r="R929">
        <v>11023.97098</v>
      </c>
      <c r="S929">
        <v>243</v>
      </c>
      <c r="T929">
        <v>246</v>
      </c>
      <c r="U929">
        <v>1</v>
      </c>
      <c r="V929">
        <v>2</v>
      </c>
      <c r="W929">
        <v>4.7</v>
      </c>
      <c r="X929">
        <v>5.0110000000000001</v>
      </c>
      <c r="Y929">
        <v>1.6299999999999999E-2</v>
      </c>
      <c r="Z929">
        <v>49.209600000000002</v>
      </c>
      <c r="AA929">
        <v>10</v>
      </c>
      <c r="AB929">
        <v>0.41</v>
      </c>
      <c r="AC929">
        <v>217</v>
      </c>
      <c r="AD929">
        <v>1</v>
      </c>
    </row>
    <row r="930" spans="1:30" x14ac:dyDescent="0.55000000000000004">
      <c r="A930">
        <v>102273</v>
      </c>
      <c r="B930" s="19">
        <v>42924</v>
      </c>
      <c r="C930">
        <v>1750</v>
      </c>
      <c r="D930">
        <v>2017</v>
      </c>
      <c r="E930">
        <v>25</v>
      </c>
      <c r="F930">
        <v>674</v>
      </c>
      <c r="G930">
        <v>2</v>
      </c>
      <c r="H930">
        <v>2134</v>
      </c>
      <c r="I930">
        <v>3</v>
      </c>
      <c r="J930">
        <v>4802.8900000000003</v>
      </c>
      <c r="K930">
        <v>8815.02</v>
      </c>
      <c r="L930">
        <v>4802.96</v>
      </c>
      <c r="M930">
        <v>8815.6200000000008</v>
      </c>
      <c r="N930">
        <v>48.048166999999999</v>
      </c>
      <c r="O930">
        <v>-88.250332999999998</v>
      </c>
      <c r="P930">
        <v>48.049332999999997</v>
      </c>
      <c r="Q930">
        <v>-88.260333000000003</v>
      </c>
      <c r="R930">
        <v>18309.673719999999</v>
      </c>
      <c r="S930">
        <v>253</v>
      </c>
      <c r="T930">
        <v>255</v>
      </c>
      <c r="U930">
        <v>1</v>
      </c>
      <c r="V930">
        <v>2</v>
      </c>
      <c r="W930">
        <v>4.7</v>
      </c>
      <c r="X930">
        <v>3.9866000000000001</v>
      </c>
      <c r="Y930">
        <v>0.25230000000000002</v>
      </c>
      <c r="Z930">
        <v>86.683700000000002</v>
      </c>
      <c r="AA930">
        <v>10</v>
      </c>
      <c r="AB930">
        <v>0.39</v>
      </c>
      <c r="AC930">
        <v>217</v>
      </c>
      <c r="AD930">
        <v>3</v>
      </c>
    </row>
    <row r="931" spans="1:30" x14ac:dyDescent="0.55000000000000004">
      <c r="A931">
        <v>102274</v>
      </c>
      <c r="B931" s="19">
        <v>42924</v>
      </c>
      <c r="C931">
        <v>1750</v>
      </c>
      <c r="D931">
        <v>2017</v>
      </c>
      <c r="E931">
        <v>25</v>
      </c>
      <c r="F931">
        <v>675</v>
      </c>
      <c r="G931">
        <v>2</v>
      </c>
      <c r="H931">
        <v>2134</v>
      </c>
      <c r="I931">
        <v>3</v>
      </c>
      <c r="J931">
        <v>4802.8900000000003</v>
      </c>
      <c r="K931">
        <v>8815.02</v>
      </c>
      <c r="L931">
        <v>4802.96</v>
      </c>
      <c r="M931">
        <v>8815.6200000000008</v>
      </c>
      <c r="N931">
        <v>48.048166999999999</v>
      </c>
      <c r="O931">
        <v>-88.250332999999998</v>
      </c>
      <c r="P931">
        <v>48.049332999999997</v>
      </c>
      <c r="Q931">
        <v>-88.260333000000003</v>
      </c>
      <c r="R931">
        <v>18309.673719999999</v>
      </c>
      <c r="S931">
        <v>253</v>
      </c>
      <c r="T931">
        <v>255</v>
      </c>
      <c r="U931">
        <v>1</v>
      </c>
      <c r="V931">
        <v>2</v>
      </c>
      <c r="W931">
        <v>4.7</v>
      </c>
      <c r="X931">
        <v>3.9866000000000001</v>
      </c>
      <c r="Y931">
        <v>0.25230000000000002</v>
      </c>
      <c r="Z931">
        <v>86.683700000000002</v>
      </c>
      <c r="AA931">
        <v>10</v>
      </c>
      <c r="AB931">
        <v>0.39</v>
      </c>
      <c r="AC931">
        <v>217</v>
      </c>
      <c r="AD931">
        <v>3</v>
      </c>
    </row>
    <row r="932" spans="1:30" x14ac:dyDescent="0.55000000000000004">
      <c r="A932">
        <v>102275</v>
      </c>
      <c r="B932" s="19">
        <v>42925</v>
      </c>
      <c r="C932">
        <v>948</v>
      </c>
      <c r="D932">
        <v>2017</v>
      </c>
      <c r="E932">
        <v>25</v>
      </c>
      <c r="F932">
        <v>676</v>
      </c>
      <c r="G932">
        <v>2</v>
      </c>
      <c r="H932">
        <v>2118</v>
      </c>
      <c r="I932">
        <v>3</v>
      </c>
      <c r="J932">
        <v>4752.46</v>
      </c>
      <c r="K932">
        <v>8804.25</v>
      </c>
      <c r="L932">
        <v>4752.45</v>
      </c>
      <c r="M932">
        <v>8803.7099999999991</v>
      </c>
      <c r="N932">
        <v>47.874333</v>
      </c>
      <c r="O932">
        <v>-88.070832999999993</v>
      </c>
      <c r="P932">
        <v>47.874167</v>
      </c>
      <c r="Q932">
        <v>-88.061832999999993</v>
      </c>
      <c r="R932">
        <v>42823.20031</v>
      </c>
      <c r="S932">
        <v>252</v>
      </c>
      <c r="T932">
        <v>251</v>
      </c>
      <c r="U932">
        <v>1</v>
      </c>
      <c r="V932">
        <v>2</v>
      </c>
      <c r="W932">
        <v>4.5999999999999996</v>
      </c>
      <c r="X932">
        <v>3.8868</v>
      </c>
      <c r="Y932">
        <v>6.9599999999999995E-2</v>
      </c>
      <c r="Z932">
        <v>91.661600000000007</v>
      </c>
      <c r="AA932">
        <v>10</v>
      </c>
      <c r="AB932">
        <v>0.42</v>
      </c>
      <c r="AC932">
        <v>217</v>
      </c>
      <c r="AD932">
        <v>1</v>
      </c>
    </row>
    <row r="933" spans="1:30" x14ac:dyDescent="0.55000000000000004">
      <c r="A933">
        <v>102276</v>
      </c>
      <c r="B933" s="19">
        <v>42925</v>
      </c>
      <c r="C933">
        <v>948</v>
      </c>
      <c r="D933">
        <v>2017</v>
      </c>
      <c r="E933">
        <v>25</v>
      </c>
      <c r="F933">
        <v>677</v>
      </c>
      <c r="G933">
        <v>2</v>
      </c>
      <c r="H933">
        <v>2118</v>
      </c>
      <c r="I933">
        <v>3</v>
      </c>
      <c r="J933">
        <v>4752.46</v>
      </c>
      <c r="K933">
        <v>8804.25</v>
      </c>
      <c r="L933">
        <v>4752.45</v>
      </c>
      <c r="M933">
        <v>8803.7099999999991</v>
      </c>
      <c r="N933">
        <v>47.874333</v>
      </c>
      <c r="O933">
        <v>-88.070832999999993</v>
      </c>
      <c r="P933">
        <v>47.874167</v>
      </c>
      <c r="Q933">
        <v>-88.061832999999993</v>
      </c>
      <c r="R933">
        <v>42823.20031</v>
      </c>
      <c r="S933">
        <v>252</v>
      </c>
      <c r="T933">
        <v>251</v>
      </c>
      <c r="U933">
        <v>1</v>
      </c>
      <c r="V933">
        <v>2</v>
      </c>
      <c r="W933">
        <v>4.5999999999999996</v>
      </c>
      <c r="X933">
        <v>3.8868</v>
      </c>
      <c r="Y933">
        <v>6.9599999999999995E-2</v>
      </c>
      <c r="Z933">
        <v>91.661600000000007</v>
      </c>
      <c r="AA933">
        <v>10</v>
      </c>
      <c r="AB933">
        <v>0.42</v>
      </c>
      <c r="AC933">
        <v>0</v>
      </c>
      <c r="AD933">
        <v>0</v>
      </c>
    </row>
    <row r="934" spans="1:30" x14ac:dyDescent="0.55000000000000004">
      <c r="A934">
        <v>102278</v>
      </c>
      <c r="B934" s="19">
        <v>42925</v>
      </c>
      <c r="C934">
        <v>1216</v>
      </c>
      <c r="D934">
        <v>2017</v>
      </c>
      <c r="E934">
        <v>25</v>
      </c>
      <c r="F934">
        <v>678</v>
      </c>
      <c r="G934">
        <v>2</v>
      </c>
      <c r="H934">
        <v>2122</v>
      </c>
      <c r="I934">
        <v>3</v>
      </c>
      <c r="J934">
        <v>4751.47</v>
      </c>
      <c r="K934">
        <v>8743.4500000000007</v>
      </c>
      <c r="L934">
        <v>4751.12</v>
      </c>
      <c r="M934">
        <v>8743.44</v>
      </c>
      <c r="N934">
        <v>47.857832999999999</v>
      </c>
      <c r="O934">
        <v>-87.724166999999994</v>
      </c>
      <c r="P934">
        <v>47.851999999999997</v>
      </c>
      <c r="Q934">
        <v>-87.724000000000004</v>
      </c>
      <c r="R934">
        <v>42429.281479999998</v>
      </c>
      <c r="S934">
        <v>229</v>
      </c>
      <c r="T934">
        <v>226</v>
      </c>
      <c r="U934">
        <v>1</v>
      </c>
      <c r="V934">
        <v>2</v>
      </c>
      <c r="W934">
        <v>5.5</v>
      </c>
      <c r="X934">
        <v>4.7439999999999998</v>
      </c>
      <c r="Y934">
        <v>0.1043</v>
      </c>
      <c r="Z934">
        <v>85.900499999999994</v>
      </c>
      <c r="AA934">
        <v>10</v>
      </c>
      <c r="AB934">
        <v>0.42</v>
      </c>
      <c r="AC934">
        <v>0</v>
      </c>
      <c r="AD934">
        <v>0</v>
      </c>
    </row>
    <row r="935" spans="1:30" x14ac:dyDescent="0.55000000000000004">
      <c r="A935">
        <v>102279</v>
      </c>
      <c r="B935" s="19">
        <v>42925</v>
      </c>
      <c r="C935">
        <v>1216</v>
      </c>
      <c r="D935">
        <v>2017</v>
      </c>
      <c r="E935">
        <v>25</v>
      </c>
      <c r="F935">
        <v>679</v>
      </c>
      <c r="G935">
        <v>2</v>
      </c>
      <c r="H935">
        <v>2122</v>
      </c>
      <c r="I935">
        <v>3</v>
      </c>
      <c r="J935">
        <v>4751.47</v>
      </c>
      <c r="K935">
        <v>8743.4500000000007</v>
      </c>
      <c r="L935">
        <v>4751.12</v>
      </c>
      <c r="M935">
        <v>8743.44</v>
      </c>
      <c r="N935">
        <v>47.857832999999999</v>
      </c>
      <c r="O935">
        <v>-87.724166999999994</v>
      </c>
      <c r="P935">
        <v>47.851999999999997</v>
      </c>
      <c r="Q935">
        <v>-87.724000000000004</v>
      </c>
      <c r="R935">
        <v>42429.281479999998</v>
      </c>
      <c r="S935">
        <v>229</v>
      </c>
      <c r="T935">
        <v>226</v>
      </c>
      <c r="U935">
        <v>1</v>
      </c>
      <c r="V935">
        <v>2</v>
      </c>
      <c r="W935">
        <v>5.5</v>
      </c>
      <c r="X935">
        <v>4.7439999999999998</v>
      </c>
      <c r="Y935">
        <v>0.1043</v>
      </c>
      <c r="Z935">
        <v>85.900499999999994</v>
      </c>
      <c r="AA935">
        <v>10</v>
      </c>
      <c r="AB935">
        <v>0.42</v>
      </c>
      <c r="AC935">
        <v>0</v>
      </c>
      <c r="AD935">
        <v>0</v>
      </c>
    </row>
    <row r="936" spans="1:30" x14ac:dyDescent="0.55000000000000004">
      <c r="A936">
        <v>102282</v>
      </c>
      <c r="B936" s="19">
        <v>42925</v>
      </c>
      <c r="C936">
        <v>1611</v>
      </c>
      <c r="D936">
        <v>2017</v>
      </c>
      <c r="E936">
        <v>25</v>
      </c>
      <c r="F936">
        <v>680</v>
      </c>
      <c r="G936">
        <v>2</v>
      </c>
      <c r="H936">
        <v>2138</v>
      </c>
      <c r="I936">
        <v>3</v>
      </c>
      <c r="J936">
        <v>4730.58</v>
      </c>
      <c r="K936">
        <v>8713.82</v>
      </c>
      <c r="L936">
        <v>4730.59</v>
      </c>
      <c r="M936">
        <v>8713.2800000000007</v>
      </c>
      <c r="N936">
        <v>47.509667</v>
      </c>
      <c r="O936">
        <v>-87.230333000000002</v>
      </c>
      <c r="P936">
        <v>47.509833</v>
      </c>
      <c r="Q936">
        <v>-87.221333000000001</v>
      </c>
      <c r="R936">
        <v>29316.039809999998</v>
      </c>
      <c r="S936">
        <v>296</v>
      </c>
      <c r="T936">
        <v>304</v>
      </c>
      <c r="U936">
        <v>1</v>
      </c>
      <c r="V936">
        <v>2</v>
      </c>
      <c r="W936">
        <v>4.5999999999999996</v>
      </c>
      <c r="X936">
        <v>4.0937999999999999</v>
      </c>
      <c r="Y936">
        <v>8.1100000000000005E-2</v>
      </c>
      <c r="Z936">
        <v>88.660899999999998</v>
      </c>
      <c r="AA936">
        <v>10</v>
      </c>
      <c r="AB936">
        <v>0.42</v>
      </c>
      <c r="AC936">
        <v>217</v>
      </c>
      <c r="AD936">
        <v>1</v>
      </c>
    </row>
    <row r="937" spans="1:30" x14ac:dyDescent="0.55000000000000004">
      <c r="A937">
        <v>102283</v>
      </c>
      <c r="B937" s="19">
        <v>42925</v>
      </c>
      <c r="C937">
        <v>1611</v>
      </c>
      <c r="D937">
        <v>2017</v>
      </c>
      <c r="E937">
        <v>25</v>
      </c>
      <c r="F937">
        <v>681</v>
      </c>
      <c r="G937">
        <v>2</v>
      </c>
      <c r="H937">
        <v>2138</v>
      </c>
      <c r="I937">
        <v>3</v>
      </c>
      <c r="J937">
        <v>4730.58</v>
      </c>
      <c r="K937">
        <v>8713.82</v>
      </c>
      <c r="L937">
        <v>4730.59</v>
      </c>
      <c r="M937">
        <v>8713.2800000000007</v>
      </c>
      <c r="N937">
        <v>47.509667</v>
      </c>
      <c r="O937">
        <v>-87.230333000000002</v>
      </c>
      <c r="P937">
        <v>47.509833</v>
      </c>
      <c r="Q937">
        <v>-87.221333000000001</v>
      </c>
      <c r="R937">
        <v>29316.039809999998</v>
      </c>
      <c r="S937">
        <v>296</v>
      </c>
      <c r="T937">
        <v>304</v>
      </c>
      <c r="U937">
        <v>1</v>
      </c>
      <c r="V937">
        <v>2</v>
      </c>
      <c r="W937">
        <v>4.5999999999999996</v>
      </c>
      <c r="X937">
        <v>4.0937999999999999</v>
      </c>
      <c r="Y937">
        <v>8.1100000000000005E-2</v>
      </c>
      <c r="Z937">
        <v>88.660899999999998</v>
      </c>
      <c r="AA937">
        <v>10</v>
      </c>
      <c r="AB937">
        <v>0.42</v>
      </c>
      <c r="AC937">
        <v>217</v>
      </c>
      <c r="AD937">
        <v>2</v>
      </c>
    </row>
    <row r="938" spans="1:30" x14ac:dyDescent="0.55000000000000004">
      <c r="A938">
        <v>102284</v>
      </c>
      <c r="B938" s="19">
        <v>42926</v>
      </c>
      <c r="C938">
        <v>949</v>
      </c>
      <c r="D938">
        <v>2017</v>
      </c>
      <c r="E938">
        <v>25</v>
      </c>
      <c r="F938">
        <v>682</v>
      </c>
      <c r="G938">
        <v>2</v>
      </c>
      <c r="H938">
        <v>2150</v>
      </c>
      <c r="I938">
        <v>3</v>
      </c>
      <c r="J938">
        <v>4708.57</v>
      </c>
      <c r="K938">
        <v>8723.4699999999993</v>
      </c>
      <c r="L938">
        <v>4708.33</v>
      </c>
      <c r="M938">
        <v>8723.07</v>
      </c>
      <c r="N938">
        <v>47.142833000000003</v>
      </c>
      <c r="O938">
        <v>-87.391166999999996</v>
      </c>
      <c r="P938">
        <v>47.138832999999998</v>
      </c>
      <c r="Q938">
        <v>-87.384500000000003</v>
      </c>
      <c r="R938">
        <v>34208.448069999999</v>
      </c>
      <c r="S938">
        <v>135</v>
      </c>
      <c r="T938">
        <v>138</v>
      </c>
      <c r="U938">
        <v>0.5</v>
      </c>
      <c r="V938">
        <v>2</v>
      </c>
      <c r="W938">
        <v>8.6999999999999993</v>
      </c>
      <c r="X938">
        <v>8.5419</v>
      </c>
      <c r="Y938">
        <v>-0.1221</v>
      </c>
      <c r="Z938">
        <v>74.709900000000005</v>
      </c>
      <c r="AA938">
        <v>10</v>
      </c>
      <c r="AB938">
        <v>0.42</v>
      </c>
      <c r="AC938">
        <v>217</v>
      </c>
      <c r="AD938">
        <v>1</v>
      </c>
    </row>
    <row r="939" spans="1:30" x14ac:dyDescent="0.55000000000000004">
      <c r="A939">
        <v>102285</v>
      </c>
      <c r="B939" s="19">
        <v>42926</v>
      </c>
      <c r="C939">
        <v>949</v>
      </c>
      <c r="D939">
        <v>2017</v>
      </c>
      <c r="E939">
        <v>25</v>
      </c>
      <c r="F939">
        <v>683</v>
      </c>
      <c r="G939">
        <v>2</v>
      </c>
      <c r="H939">
        <v>2150</v>
      </c>
      <c r="I939">
        <v>3</v>
      </c>
      <c r="J939">
        <v>4708.57</v>
      </c>
      <c r="K939">
        <v>8723.4699999999993</v>
      </c>
      <c r="L939">
        <v>4708.33</v>
      </c>
      <c r="M939">
        <v>8723.07</v>
      </c>
      <c r="N939">
        <v>47.142833000000003</v>
      </c>
      <c r="O939">
        <v>-87.391166999999996</v>
      </c>
      <c r="P939">
        <v>47.138832999999998</v>
      </c>
      <c r="Q939">
        <v>-87.384500000000003</v>
      </c>
      <c r="R939">
        <v>34208.448069999999</v>
      </c>
      <c r="S939">
        <v>135</v>
      </c>
      <c r="T939">
        <v>138</v>
      </c>
      <c r="U939">
        <v>0.5</v>
      </c>
      <c r="V939">
        <v>2</v>
      </c>
      <c r="W939">
        <v>8.6999999999999993</v>
      </c>
      <c r="X939">
        <v>8.5419</v>
      </c>
      <c r="Y939">
        <v>-0.1221</v>
      </c>
      <c r="Z939">
        <v>74.709900000000005</v>
      </c>
      <c r="AA939">
        <v>10</v>
      </c>
      <c r="AB939">
        <v>0.42</v>
      </c>
      <c r="AC939">
        <v>217</v>
      </c>
      <c r="AD939">
        <v>1</v>
      </c>
    </row>
    <row r="940" spans="1:30" x14ac:dyDescent="0.55000000000000004">
      <c r="A940">
        <v>102286</v>
      </c>
      <c r="B940" s="19">
        <v>42926</v>
      </c>
      <c r="C940">
        <v>1139</v>
      </c>
      <c r="D940">
        <v>2017</v>
      </c>
      <c r="E940">
        <v>25</v>
      </c>
      <c r="F940">
        <v>684</v>
      </c>
      <c r="G940">
        <v>2</v>
      </c>
      <c r="H940">
        <v>2154</v>
      </c>
      <c r="I940">
        <v>3</v>
      </c>
      <c r="J940">
        <v>4704.3999999999996</v>
      </c>
      <c r="K940">
        <v>8709.94</v>
      </c>
      <c r="L940">
        <v>4704.05</v>
      </c>
      <c r="M940">
        <v>8709.94</v>
      </c>
      <c r="N940">
        <v>47.073332999999998</v>
      </c>
      <c r="O940">
        <v>-87.165666999999999</v>
      </c>
      <c r="P940">
        <v>47.067500000000003</v>
      </c>
      <c r="Q940">
        <v>-87.165666999999999</v>
      </c>
      <c r="R940">
        <v>47021.675719999999</v>
      </c>
      <c r="S940">
        <v>179</v>
      </c>
      <c r="T940">
        <v>183</v>
      </c>
      <c r="U940">
        <v>0.5</v>
      </c>
      <c r="V940">
        <v>2</v>
      </c>
      <c r="W940">
        <v>9.4</v>
      </c>
      <c r="X940">
        <v>9.1344999999999992</v>
      </c>
      <c r="Y940">
        <v>-2.35E-2</v>
      </c>
      <c r="Z940">
        <v>69.054299999999998</v>
      </c>
      <c r="AA940">
        <v>10</v>
      </c>
      <c r="AB940">
        <v>0.41</v>
      </c>
      <c r="AC940">
        <v>0</v>
      </c>
      <c r="AD940">
        <v>0</v>
      </c>
    </row>
    <row r="941" spans="1:30" x14ac:dyDescent="0.55000000000000004">
      <c r="A941">
        <v>102287</v>
      </c>
      <c r="B941" s="19">
        <v>42926</v>
      </c>
      <c r="C941">
        <v>1139</v>
      </c>
      <c r="D941">
        <v>2017</v>
      </c>
      <c r="E941">
        <v>25</v>
      </c>
      <c r="F941">
        <v>685</v>
      </c>
      <c r="G941">
        <v>2</v>
      </c>
      <c r="H941">
        <v>2154</v>
      </c>
      <c r="I941">
        <v>3</v>
      </c>
      <c r="J941">
        <v>4704.3999999999996</v>
      </c>
      <c r="K941">
        <v>8709.94</v>
      </c>
      <c r="L941">
        <v>4704.05</v>
      </c>
      <c r="M941">
        <v>8709.94</v>
      </c>
      <c r="N941">
        <v>47.073332999999998</v>
      </c>
      <c r="O941">
        <v>-87.165666999999999</v>
      </c>
      <c r="P941">
        <v>47.067500000000003</v>
      </c>
      <c r="Q941">
        <v>-87.165666999999999</v>
      </c>
      <c r="R941">
        <v>47021.675719999999</v>
      </c>
      <c r="S941">
        <v>179</v>
      </c>
      <c r="T941">
        <v>183</v>
      </c>
      <c r="U941">
        <v>0.5</v>
      </c>
      <c r="V941">
        <v>2</v>
      </c>
      <c r="W941">
        <v>9.4</v>
      </c>
      <c r="X941">
        <v>9.1344999999999992</v>
      </c>
      <c r="Y941">
        <v>-2.35E-2</v>
      </c>
      <c r="Z941">
        <v>69.054299999999998</v>
      </c>
      <c r="AA941">
        <v>10</v>
      </c>
      <c r="AB941">
        <v>0.41</v>
      </c>
      <c r="AC941">
        <v>217</v>
      </c>
      <c r="AD941">
        <v>1</v>
      </c>
    </row>
    <row r="942" spans="1:30" x14ac:dyDescent="0.55000000000000004">
      <c r="A942">
        <v>102288</v>
      </c>
      <c r="B942" s="19">
        <v>42926</v>
      </c>
      <c r="C942">
        <v>1421</v>
      </c>
      <c r="D942">
        <v>2017</v>
      </c>
      <c r="E942">
        <v>25</v>
      </c>
      <c r="F942">
        <v>686</v>
      </c>
      <c r="G942">
        <v>2</v>
      </c>
      <c r="H942">
        <v>2152</v>
      </c>
      <c r="I942">
        <v>3</v>
      </c>
      <c r="J942">
        <v>4648.6899999999996</v>
      </c>
      <c r="K942">
        <v>8701.93</v>
      </c>
      <c r="L942">
        <v>4648.32</v>
      </c>
      <c r="M942">
        <v>8701.7099999999991</v>
      </c>
      <c r="N942">
        <v>46.811500000000002</v>
      </c>
      <c r="O942">
        <v>-87.032167000000001</v>
      </c>
      <c r="P942">
        <v>46.805332999999997</v>
      </c>
      <c r="Q942">
        <v>-87.028499999999994</v>
      </c>
      <c r="R942">
        <v>30091.805219999998</v>
      </c>
      <c r="S942">
        <v>147</v>
      </c>
      <c r="T942">
        <v>146</v>
      </c>
      <c r="U942">
        <v>0.5</v>
      </c>
      <c r="V942">
        <v>2</v>
      </c>
      <c r="W942">
        <v>10.6</v>
      </c>
      <c r="X942">
        <v>9.9436999999999998</v>
      </c>
      <c r="Y942">
        <v>4.5100000000000001E-2</v>
      </c>
      <c r="Z942">
        <v>89.155600000000007</v>
      </c>
      <c r="AA942">
        <v>10</v>
      </c>
      <c r="AB942">
        <v>0.42</v>
      </c>
      <c r="AC942">
        <v>0</v>
      </c>
      <c r="AD942">
        <v>0</v>
      </c>
    </row>
    <row r="943" spans="1:30" x14ac:dyDescent="0.55000000000000004">
      <c r="A943">
        <v>102289</v>
      </c>
      <c r="B943" s="19">
        <v>42926</v>
      </c>
      <c r="C943">
        <v>1411</v>
      </c>
      <c r="D943">
        <v>2017</v>
      </c>
      <c r="E943">
        <v>25</v>
      </c>
      <c r="F943">
        <v>687</v>
      </c>
      <c r="G943">
        <v>2</v>
      </c>
      <c r="H943">
        <v>2152</v>
      </c>
      <c r="I943">
        <v>3</v>
      </c>
      <c r="J943">
        <v>4648.6899999999996</v>
      </c>
      <c r="K943">
        <v>8701.93</v>
      </c>
      <c r="L943">
        <v>4648.32</v>
      </c>
      <c r="M943">
        <v>8701.7099999999991</v>
      </c>
      <c r="N943">
        <v>46.811500000000002</v>
      </c>
      <c r="O943">
        <v>-87.032167000000001</v>
      </c>
      <c r="P943">
        <v>46.805332999999997</v>
      </c>
      <c r="Q943">
        <v>-87.028499999999994</v>
      </c>
      <c r="R943">
        <v>30091.805219999998</v>
      </c>
      <c r="S943">
        <v>147</v>
      </c>
      <c r="T943">
        <v>146</v>
      </c>
      <c r="U943">
        <v>0.5</v>
      </c>
      <c r="V943">
        <v>2</v>
      </c>
      <c r="W943">
        <v>10.6</v>
      </c>
      <c r="X943">
        <v>9.9436999999999998</v>
      </c>
      <c r="Y943">
        <v>4.5100000000000001E-2</v>
      </c>
      <c r="Z943">
        <v>89.155600000000007</v>
      </c>
      <c r="AA943">
        <v>10</v>
      </c>
      <c r="AB943">
        <v>0.42</v>
      </c>
      <c r="AC943">
        <v>0</v>
      </c>
      <c r="AD943">
        <v>0</v>
      </c>
    </row>
    <row r="944" spans="1:30" x14ac:dyDescent="0.55000000000000004">
      <c r="A944">
        <v>102293</v>
      </c>
      <c r="B944" s="19">
        <v>42927</v>
      </c>
      <c r="C944">
        <v>937</v>
      </c>
      <c r="D944">
        <v>2017</v>
      </c>
      <c r="E944">
        <v>25</v>
      </c>
      <c r="F944">
        <v>688</v>
      </c>
      <c r="G944">
        <v>2</v>
      </c>
      <c r="H944">
        <v>2116</v>
      </c>
      <c r="I944">
        <v>3</v>
      </c>
      <c r="J944">
        <v>4645.07</v>
      </c>
      <c r="K944">
        <v>8631.93</v>
      </c>
      <c r="L944">
        <v>4644.9799999999996</v>
      </c>
      <c r="M944">
        <v>8632.42</v>
      </c>
      <c r="N944">
        <v>46.751167000000002</v>
      </c>
      <c r="O944">
        <v>-86.532167000000001</v>
      </c>
      <c r="P944">
        <v>46.749667000000002</v>
      </c>
      <c r="Q944">
        <v>-86.540333000000004</v>
      </c>
      <c r="R944">
        <v>22714.790079999999</v>
      </c>
      <c r="S944">
        <v>181</v>
      </c>
      <c r="T944">
        <v>177</v>
      </c>
      <c r="U944">
        <v>0.5</v>
      </c>
      <c r="V944">
        <v>2</v>
      </c>
      <c r="W944">
        <v>12.9</v>
      </c>
      <c r="X944">
        <v>11.186199999999999</v>
      </c>
      <c r="Y944">
        <v>0.14369999999999999</v>
      </c>
      <c r="Z944">
        <v>86.3797</v>
      </c>
      <c r="AA944">
        <v>10</v>
      </c>
      <c r="AB944">
        <v>0.42</v>
      </c>
      <c r="AC944">
        <v>0</v>
      </c>
      <c r="AD944">
        <v>0</v>
      </c>
    </row>
    <row r="945" spans="1:30" x14ac:dyDescent="0.55000000000000004">
      <c r="A945">
        <v>102294</v>
      </c>
      <c r="B945" s="19">
        <v>42927</v>
      </c>
      <c r="C945">
        <v>937</v>
      </c>
      <c r="D945">
        <v>2017</v>
      </c>
      <c r="E945">
        <v>25</v>
      </c>
      <c r="F945">
        <v>689</v>
      </c>
      <c r="G945">
        <v>2</v>
      </c>
      <c r="H945">
        <v>2116</v>
      </c>
      <c r="I945">
        <v>3</v>
      </c>
      <c r="J945">
        <v>4645.07</v>
      </c>
      <c r="K945">
        <v>8631.93</v>
      </c>
      <c r="L945">
        <v>4644.9799999999996</v>
      </c>
      <c r="M945">
        <v>8632.42</v>
      </c>
      <c r="N945">
        <v>46.751167000000002</v>
      </c>
      <c r="O945">
        <v>-86.532167000000001</v>
      </c>
      <c r="P945">
        <v>46.749667000000002</v>
      </c>
      <c r="Q945">
        <v>-86.540333000000004</v>
      </c>
      <c r="R945">
        <v>22714.790079999999</v>
      </c>
      <c r="S945">
        <v>181</v>
      </c>
      <c r="T945">
        <v>177</v>
      </c>
      <c r="U945">
        <v>0.5</v>
      </c>
      <c r="V945">
        <v>2</v>
      </c>
      <c r="W945">
        <v>12.9</v>
      </c>
      <c r="X945">
        <v>11.186199999999999</v>
      </c>
      <c r="Y945">
        <v>0.14369999999999999</v>
      </c>
      <c r="Z945">
        <v>86.3797</v>
      </c>
      <c r="AA945">
        <v>10</v>
      </c>
      <c r="AB945">
        <v>0.42</v>
      </c>
      <c r="AC945">
        <v>0</v>
      </c>
      <c r="AD945">
        <v>0</v>
      </c>
    </row>
    <row r="946" spans="1:30" x14ac:dyDescent="0.55000000000000004">
      <c r="A946">
        <v>102298</v>
      </c>
      <c r="B946" s="19">
        <v>42927</v>
      </c>
      <c r="C946">
        <v>1315</v>
      </c>
      <c r="D946">
        <v>2017</v>
      </c>
      <c r="E946">
        <v>25</v>
      </c>
      <c r="F946">
        <v>690</v>
      </c>
      <c r="G946">
        <v>2</v>
      </c>
      <c r="H946">
        <v>2141</v>
      </c>
      <c r="I946">
        <v>3</v>
      </c>
      <c r="J946">
        <v>4707.13</v>
      </c>
      <c r="K946">
        <v>8609.68</v>
      </c>
      <c r="L946">
        <v>4707.5</v>
      </c>
      <c r="M946">
        <v>8609.9500000000007</v>
      </c>
      <c r="N946">
        <v>47.118833000000002</v>
      </c>
      <c r="O946">
        <v>-86.161332999999999</v>
      </c>
      <c r="P946">
        <v>47.125</v>
      </c>
      <c r="Q946">
        <v>-86.165833000000006</v>
      </c>
      <c r="R946">
        <v>35566.606749999999</v>
      </c>
      <c r="S946">
        <v>142</v>
      </c>
      <c r="T946">
        <v>144</v>
      </c>
      <c r="U946">
        <v>0.5</v>
      </c>
      <c r="V946">
        <v>2</v>
      </c>
      <c r="W946">
        <v>9.9</v>
      </c>
      <c r="X946">
        <v>7.7832999999999997</v>
      </c>
      <c r="Y946">
        <v>4.3700000000000003E-2</v>
      </c>
      <c r="Z946">
        <v>75.801400000000001</v>
      </c>
      <c r="AA946">
        <v>10</v>
      </c>
      <c r="AB946">
        <v>0.42</v>
      </c>
      <c r="AC946">
        <v>0</v>
      </c>
      <c r="AD946">
        <v>0</v>
      </c>
    </row>
    <row r="947" spans="1:30" x14ac:dyDescent="0.55000000000000004">
      <c r="A947">
        <v>102299</v>
      </c>
      <c r="B947" s="19">
        <v>42927</v>
      </c>
      <c r="C947">
        <v>1315</v>
      </c>
      <c r="D947">
        <v>2017</v>
      </c>
      <c r="E947">
        <v>25</v>
      </c>
      <c r="F947">
        <v>691</v>
      </c>
      <c r="G947">
        <v>2</v>
      </c>
      <c r="H947">
        <v>2141</v>
      </c>
      <c r="I947">
        <v>3</v>
      </c>
      <c r="J947">
        <v>4707.13</v>
      </c>
      <c r="K947">
        <v>8609.68</v>
      </c>
      <c r="L947">
        <v>4707.5</v>
      </c>
      <c r="M947">
        <v>8609.9500000000007</v>
      </c>
      <c r="N947">
        <v>47.118833000000002</v>
      </c>
      <c r="O947">
        <v>-86.161332999999999</v>
      </c>
      <c r="P947">
        <v>47.125</v>
      </c>
      <c r="Q947">
        <v>-86.165833000000006</v>
      </c>
      <c r="R947">
        <v>35566.606749999999</v>
      </c>
      <c r="S947">
        <v>142</v>
      </c>
      <c r="T947">
        <v>144</v>
      </c>
      <c r="U947">
        <v>0.5</v>
      </c>
      <c r="V947">
        <v>2</v>
      </c>
      <c r="W947">
        <v>9.9</v>
      </c>
      <c r="X947">
        <v>7.7832999999999997</v>
      </c>
      <c r="Y947">
        <v>4.3700000000000003E-2</v>
      </c>
      <c r="Z947">
        <v>75.801400000000001</v>
      </c>
      <c r="AA947">
        <v>10</v>
      </c>
      <c r="AB947">
        <v>0.42</v>
      </c>
      <c r="AC947">
        <v>0</v>
      </c>
      <c r="AD947">
        <v>0</v>
      </c>
    </row>
    <row r="948" spans="1:30" x14ac:dyDescent="0.55000000000000004">
      <c r="A948">
        <v>102300</v>
      </c>
      <c r="B948" s="19">
        <v>42927</v>
      </c>
      <c r="C948">
        <v>1506</v>
      </c>
      <c r="D948">
        <v>2017</v>
      </c>
      <c r="E948">
        <v>25</v>
      </c>
      <c r="F948">
        <v>692</v>
      </c>
      <c r="G948">
        <v>2</v>
      </c>
      <c r="H948">
        <v>2125</v>
      </c>
      <c r="I948">
        <v>3</v>
      </c>
      <c r="J948">
        <v>4706.13</v>
      </c>
      <c r="K948">
        <v>8558.2199999999993</v>
      </c>
      <c r="L948">
        <v>4705.7700000000004</v>
      </c>
      <c r="M948">
        <v>8558.01</v>
      </c>
      <c r="N948">
        <v>47.102167000000001</v>
      </c>
      <c r="O948">
        <v>-85.970332999999997</v>
      </c>
      <c r="P948">
        <v>47.096167000000001</v>
      </c>
      <c r="Q948">
        <v>-85.966832999999994</v>
      </c>
      <c r="R948">
        <v>28316.628680000002</v>
      </c>
      <c r="S948">
        <v>192</v>
      </c>
      <c r="T948">
        <v>193</v>
      </c>
      <c r="U948">
        <v>0.5</v>
      </c>
      <c r="V948">
        <v>2</v>
      </c>
      <c r="W948">
        <v>9.8000000000000007</v>
      </c>
      <c r="X948">
        <v>10.123699999999999</v>
      </c>
      <c r="Y948">
        <v>4.5999999999999999E-2</v>
      </c>
      <c r="Z948">
        <v>90.257800000000003</v>
      </c>
      <c r="AA948">
        <v>10</v>
      </c>
      <c r="AB948">
        <v>0.41</v>
      </c>
      <c r="AC948">
        <v>0</v>
      </c>
      <c r="AD948">
        <v>0</v>
      </c>
    </row>
    <row r="949" spans="1:30" x14ac:dyDescent="0.55000000000000004">
      <c r="A949">
        <v>102301</v>
      </c>
      <c r="B949" s="19">
        <v>42927</v>
      </c>
      <c r="C949">
        <v>1506</v>
      </c>
      <c r="D949">
        <v>2017</v>
      </c>
      <c r="E949">
        <v>25</v>
      </c>
      <c r="F949">
        <v>693</v>
      </c>
      <c r="G949">
        <v>2</v>
      </c>
      <c r="H949">
        <v>2125</v>
      </c>
      <c r="I949">
        <v>3</v>
      </c>
      <c r="J949">
        <v>4706.13</v>
      </c>
      <c r="K949">
        <v>8558.2199999999993</v>
      </c>
      <c r="L949">
        <v>4705.7700000000004</v>
      </c>
      <c r="M949">
        <v>8558.01</v>
      </c>
      <c r="N949">
        <v>47.102167000000001</v>
      </c>
      <c r="O949">
        <v>-85.970332999999997</v>
      </c>
      <c r="P949">
        <v>47.096167000000001</v>
      </c>
      <c r="Q949">
        <v>-85.966832999999994</v>
      </c>
      <c r="R949">
        <v>28316.628680000002</v>
      </c>
      <c r="S949">
        <v>192</v>
      </c>
      <c r="T949">
        <v>193</v>
      </c>
      <c r="U949">
        <v>0.5</v>
      </c>
      <c r="V949">
        <v>2</v>
      </c>
      <c r="W949">
        <v>9.8000000000000007</v>
      </c>
      <c r="X949">
        <v>10.123699999999999</v>
      </c>
      <c r="Y949">
        <v>4.5999999999999999E-2</v>
      </c>
      <c r="Z949">
        <v>90.257800000000003</v>
      </c>
      <c r="AA949">
        <v>10</v>
      </c>
      <c r="AB949">
        <v>0.41</v>
      </c>
      <c r="AC949">
        <v>0</v>
      </c>
      <c r="AD949">
        <v>0</v>
      </c>
    </row>
    <row r="950" spans="1:30" x14ac:dyDescent="0.55000000000000004">
      <c r="A950">
        <v>102304</v>
      </c>
      <c r="B950" s="19">
        <v>42928</v>
      </c>
      <c r="C950">
        <v>623</v>
      </c>
      <c r="D950">
        <v>2017</v>
      </c>
      <c r="E950">
        <v>25</v>
      </c>
      <c r="F950">
        <v>694</v>
      </c>
      <c r="G950">
        <v>2</v>
      </c>
      <c r="H950">
        <v>2148</v>
      </c>
      <c r="I950">
        <v>3</v>
      </c>
      <c r="J950">
        <v>4653.53</v>
      </c>
      <c r="K950">
        <v>8531.93</v>
      </c>
      <c r="L950">
        <v>4653.8900000000003</v>
      </c>
      <c r="M950">
        <v>8531.92</v>
      </c>
      <c r="N950">
        <v>46.892167000000001</v>
      </c>
      <c r="O950">
        <v>-85.532167000000001</v>
      </c>
      <c r="P950">
        <v>46.898167000000001</v>
      </c>
      <c r="Q950">
        <v>-85.531999999999996</v>
      </c>
      <c r="R950">
        <v>23830.26771</v>
      </c>
      <c r="S950">
        <v>160</v>
      </c>
      <c r="T950">
        <v>160</v>
      </c>
      <c r="U950">
        <v>0.5</v>
      </c>
      <c r="V950">
        <v>2</v>
      </c>
      <c r="W950">
        <v>9.6999999999999993</v>
      </c>
      <c r="X950">
        <v>9.2539999999999996</v>
      </c>
      <c r="Y950">
        <v>0.66080000000000005</v>
      </c>
      <c r="Z950">
        <v>87.402299999999997</v>
      </c>
      <c r="AA950">
        <v>10</v>
      </c>
      <c r="AB950">
        <v>0.42</v>
      </c>
      <c r="AC950">
        <v>217</v>
      </c>
      <c r="AD950">
        <v>34</v>
      </c>
    </row>
    <row r="951" spans="1:30" x14ac:dyDescent="0.55000000000000004">
      <c r="A951">
        <v>102305</v>
      </c>
      <c r="B951" s="19">
        <v>42928</v>
      </c>
      <c r="C951">
        <v>623</v>
      </c>
      <c r="D951">
        <v>2017</v>
      </c>
      <c r="E951">
        <v>25</v>
      </c>
      <c r="F951">
        <v>695</v>
      </c>
      <c r="G951">
        <v>2</v>
      </c>
      <c r="H951">
        <v>2148</v>
      </c>
      <c r="I951">
        <v>3</v>
      </c>
      <c r="J951">
        <v>4653.53</v>
      </c>
      <c r="K951">
        <v>8531.93</v>
      </c>
      <c r="L951">
        <v>4653.8900000000003</v>
      </c>
      <c r="M951">
        <v>8531.92</v>
      </c>
      <c r="N951">
        <v>46.892167000000001</v>
      </c>
      <c r="O951">
        <v>-85.532167000000001</v>
      </c>
      <c r="P951">
        <v>46.898167000000001</v>
      </c>
      <c r="Q951">
        <v>-85.531999999999996</v>
      </c>
      <c r="R951">
        <v>23830.26771</v>
      </c>
      <c r="S951">
        <v>160</v>
      </c>
      <c r="T951">
        <v>160</v>
      </c>
      <c r="U951">
        <v>0.5</v>
      </c>
      <c r="V951">
        <v>2</v>
      </c>
      <c r="W951">
        <v>9.6999999999999993</v>
      </c>
      <c r="X951">
        <v>9.2539999999999996</v>
      </c>
      <c r="Y951">
        <v>0.66080000000000005</v>
      </c>
      <c r="Z951">
        <v>87.402299999999997</v>
      </c>
      <c r="AA951">
        <v>10</v>
      </c>
      <c r="AB951">
        <v>0.42</v>
      </c>
      <c r="AC951">
        <v>217</v>
      </c>
      <c r="AD951">
        <v>19</v>
      </c>
    </row>
    <row r="952" spans="1:30" x14ac:dyDescent="0.55000000000000004">
      <c r="A952">
        <v>102306</v>
      </c>
      <c r="B952" s="19">
        <v>42928</v>
      </c>
      <c r="C952">
        <v>758</v>
      </c>
      <c r="D952">
        <v>2017</v>
      </c>
      <c r="E952">
        <v>25</v>
      </c>
      <c r="F952">
        <v>696</v>
      </c>
      <c r="G952">
        <v>2</v>
      </c>
      <c r="H952">
        <v>2039</v>
      </c>
      <c r="I952">
        <v>3</v>
      </c>
      <c r="J952">
        <v>4654.3900000000003</v>
      </c>
      <c r="K952">
        <v>8524.59</v>
      </c>
      <c r="L952">
        <v>4654.6499999999996</v>
      </c>
      <c r="M952">
        <v>8525.1299999999992</v>
      </c>
      <c r="N952">
        <v>46.906500000000001</v>
      </c>
      <c r="O952">
        <v>-85.409833000000006</v>
      </c>
      <c r="P952">
        <v>46.910832999999997</v>
      </c>
      <c r="Q952">
        <v>-85.418833000000006</v>
      </c>
      <c r="R952">
        <v>21237.73359</v>
      </c>
      <c r="S952">
        <v>92</v>
      </c>
      <c r="T952">
        <v>89</v>
      </c>
      <c r="U952">
        <v>0.5</v>
      </c>
      <c r="V952">
        <v>2</v>
      </c>
      <c r="W952">
        <v>10.1</v>
      </c>
      <c r="X952">
        <v>9.8594000000000008</v>
      </c>
      <c r="Y952">
        <v>0.47889999999999999</v>
      </c>
      <c r="Z952">
        <v>87.589500000000001</v>
      </c>
      <c r="AA952">
        <v>10</v>
      </c>
      <c r="AB952">
        <v>0.42</v>
      </c>
      <c r="AC952">
        <v>217</v>
      </c>
      <c r="AD952">
        <v>30</v>
      </c>
    </row>
    <row r="953" spans="1:30" x14ac:dyDescent="0.55000000000000004">
      <c r="A953">
        <v>102307</v>
      </c>
      <c r="B953" s="19">
        <v>42928</v>
      </c>
      <c r="C953">
        <v>758</v>
      </c>
      <c r="D953">
        <v>2017</v>
      </c>
      <c r="E953">
        <v>25</v>
      </c>
      <c r="F953">
        <v>697</v>
      </c>
      <c r="G953">
        <v>2</v>
      </c>
      <c r="H953">
        <v>2039</v>
      </c>
      <c r="I953">
        <v>3</v>
      </c>
      <c r="J953">
        <v>4654.3900000000003</v>
      </c>
      <c r="K953">
        <v>8524.59</v>
      </c>
      <c r="L953">
        <v>4654.6499999999996</v>
      </c>
      <c r="M953">
        <v>8525.1299999999992</v>
      </c>
      <c r="N953">
        <v>46.906500000000001</v>
      </c>
      <c r="O953">
        <v>-85.409833000000006</v>
      </c>
      <c r="P953">
        <v>46.910832999999997</v>
      </c>
      <c r="Q953">
        <v>-85.418833000000006</v>
      </c>
      <c r="R953">
        <v>21237.73359</v>
      </c>
      <c r="S953">
        <v>92</v>
      </c>
      <c r="T953">
        <v>89</v>
      </c>
      <c r="U953">
        <v>0.5</v>
      </c>
      <c r="V953">
        <v>2</v>
      </c>
      <c r="W953">
        <v>10.1</v>
      </c>
      <c r="X953">
        <v>9.8594000000000008</v>
      </c>
      <c r="Y953">
        <v>0.47889999999999999</v>
      </c>
      <c r="Z953">
        <v>87.589500000000001</v>
      </c>
      <c r="AA953">
        <v>10</v>
      </c>
      <c r="AB953">
        <v>0.42</v>
      </c>
      <c r="AC953">
        <v>217</v>
      </c>
      <c r="AD953">
        <v>7</v>
      </c>
    </row>
    <row r="954" spans="1:30" x14ac:dyDescent="0.55000000000000004">
      <c r="A954">
        <v>102308</v>
      </c>
      <c r="B954" s="19">
        <v>42930</v>
      </c>
      <c r="C954">
        <v>1347</v>
      </c>
      <c r="D954">
        <v>2017</v>
      </c>
      <c r="E954">
        <v>25</v>
      </c>
      <c r="F954">
        <v>698</v>
      </c>
      <c r="G954">
        <v>2</v>
      </c>
      <c r="H954">
        <v>2137</v>
      </c>
      <c r="I954">
        <v>3</v>
      </c>
      <c r="J954">
        <v>4712.62</v>
      </c>
      <c r="K954">
        <v>8506.15</v>
      </c>
      <c r="L954">
        <v>4712.9799999999996</v>
      </c>
      <c r="M954">
        <v>8506.15</v>
      </c>
      <c r="N954">
        <v>47.210332999999999</v>
      </c>
      <c r="O954">
        <v>-85.102500000000006</v>
      </c>
      <c r="P954">
        <v>47.216332999999999</v>
      </c>
      <c r="Q954">
        <v>-85.102500000000006</v>
      </c>
      <c r="R954">
        <v>26762.228330000002</v>
      </c>
      <c r="S954">
        <v>209</v>
      </c>
      <c r="T954">
        <v>214</v>
      </c>
      <c r="U954">
        <v>0.5</v>
      </c>
      <c r="V954">
        <v>2</v>
      </c>
      <c r="W954">
        <v>9.6999999999999993</v>
      </c>
      <c r="X954">
        <v>9.9108999999999998</v>
      </c>
      <c r="Y954">
        <v>2.01E-2</v>
      </c>
      <c r="Z954">
        <v>44.235700000000001</v>
      </c>
      <c r="AA954">
        <v>10</v>
      </c>
      <c r="AB954">
        <v>0.4</v>
      </c>
      <c r="AC954">
        <v>217</v>
      </c>
      <c r="AD954">
        <v>2</v>
      </c>
    </row>
    <row r="955" spans="1:30" x14ac:dyDescent="0.55000000000000004">
      <c r="A955">
        <v>102309</v>
      </c>
      <c r="B955" s="19">
        <v>42930</v>
      </c>
      <c r="C955">
        <v>1347</v>
      </c>
      <c r="D955">
        <v>2017</v>
      </c>
      <c r="E955">
        <v>25</v>
      </c>
      <c r="F955">
        <v>699</v>
      </c>
      <c r="G955">
        <v>2</v>
      </c>
      <c r="H955">
        <v>2137</v>
      </c>
      <c r="I955">
        <v>3</v>
      </c>
      <c r="J955">
        <v>4712.62</v>
      </c>
      <c r="K955">
        <v>8506.15</v>
      </c>
      <c r="L955">
        <v>4712.9799999999996</v>
      </c>
      <c r="M955">
        <v>8506.15</v>
      </c>
      <c r="N955">
        <v>47.210332999999999</v>
      </c>
      <c r="O955">
        <v>-85.102500000000006</v>
      </c>
      <c r="P955">
        <v>47.216332999999999</v>
      </c>
      <c r="Q955">
        <v>-85.102500000000006</v>
      </c>
      <c r="R955">
        <v>26762.228330000002</v>
      </c>
      <c r="S955">
        <v>209</v>
      </c>
      <c r="T955">
        <v>214</v>
      </c>
      <c r="U955">
        <v>0.5</v>
      </c>
      <c r="V955">
        <v>2</v>
      </c>
      <c r="W955">
        <v>9.6999999999999993</v>
      </c>
      <c r="X955">
        <v>9.9108999999999998</v>
      </c>
      <c r="Y955">
        <v>2.01E-2</v>
      </c>
      <c r="Z955">
        <v>44.235700000000001</v>
      </c>
      <c r="AA955">
        <v>10</v>
      </c>
      <c r="AB955">
        <v>0.4</v>
      </c>
      <c r="AC955">
        <v>217</v>
      </c>
      <c r="AD955">
        <v>1</v>
      </c>
    </row>
    <row r="956" spans="1:30" x14ac:dyDescent="0.55000000000000004">
      <c r="A956">
        <v>102311</v>
      </c>
      <c r="B956" s="19">
        <v>42930</v>
      </c>
      <c r="C956">
        <v>1624</v>
      </c>
      <c r="D956">
        <v>2017</v>
      </c>
      <c r="E956">
        <v>25</v>
      </c>
      <c r="F956">
        <v>700</v>
      </c>
      <c r="G956">
        <v>2</v>
      </c>
      <c r="H956">
        <v>2121</v>
      </c>
      <c r="I956">
        <v>3</v>
      </c>
      <c r="J956">
        <v>4727.08</v>
      </c>
      <c r="K956">
        <v>8516.0300000000007</v>
      </c>
      <c r="L956">
        <v>4727.4399999999996</v>
      </c>
      <c r="M956">
        <v>8515.92</v>
      </c>
      <c r="N956">
        <v>47.451332999999998</v>
      </c>
      <c r="O956">
        <v>-85.267167000000001</v>
      </c>
      <c r="P956">
        <v>47.457332999999998</v>
      </c>
      <c r="Q956">
        <v>-85.265332999999998</v>
      </c>
      <c r="R956">
        <v>22827.845590000001</v>
      </c>
      <c r="S956">
        <v>274</v>
      </c>
      <c r="T956">
        <v>280</v>
      </c>
      <c r="U956">
        <v>0.5</v>
      </c>
      <c r="V956">
        <v>2</v>
      </c>
      <c r="W956">
        <v>6.5</v>
      </c>
      <c r="X956">
        <v>7.2394999999999996</v>
      </c>
      <c r="Y956">
        <v>3.49E-2</v>
      </c>
      <c r="Z956">
        <v>69.238399999999999</v>
      </c>
      <c r="AA956">
        <v>10</v>
      </c>
      <c r="AB956">
        <v>0.41</v>
      </c>
      <c r="AC956">
        <v>0</v>
      </c>
      <c r="AD956">
        <v>0</v>
      </c>
    </row>
    <row r="957" spans="1:30" x14ac:dyDescent="0.55000000000000004">
      <c r="A957">
        <v>102312</v>
      </c>
      <c r="B957" s="19">
        <v>42930</v>
      </c>
      <c r="C957">
        <v>1624</v>
      </c>
      <c r="D957">
        <v>2017</v>
      </c>
      <c r="E957">
        <v>25</v>
      </c>
      <c r="F957">
        <v>701</v>
      </c>
      <c r="G957">
        <v>2</v>
      </c>
      <c r="H957">
        <v>2121</v>
      </c>
      <c r="I957">
        <v>3</v>
      </c>
      <c r="J957">
        <v>4727.08</v>
      </c>
      <c r="K957">
        <v>8516.0300000000007</v>
      </c>
      <c r="L957">
        <v>4727.4399999999996</v>
      </c>
      <c r="M957">
        <v>8515.92</v>
      </c>
      <c r="N957">
        <v>47.451332999999998</v>
      </c>
      <c r="O957">
        <v>-85.267167000000001</v>
      </c>
      <c r="P957">
        <v>47.457332999999998</v>
      </c>
      <c r="Q957">
        <v>-85.265332999999998</v>
      </c>
      <c r="R957">
        <v>22827.845590000001</v>
      </c>
      <c r="S957">
        <v>274</v>
      </c>
      <c r="T957">
        <v>280</v>
      </c>
      <c r="U957">
        <v>0.5</v>
      </c>
      <c r="V957">
        <v>2</v>
      </c>
      <c r="W957">
        <v>6.5</v>
      </c>
      <c r="X957">
        <v>7.2394999999999996</v>
      </c>
      <c r="Y957">
        <v>3.49E-2</v>
      </c>
      <c r="Z957">
        <v>69.238399999999999</v>
      </c>
      <c r="AA957">
        <v>10</v>
      </c>
      <c r="AB957">
        <v>0.41</v>
      </c>
      <c r="AC957">
        <v>0</v>
      </c>
      <c r="AD957">
        <v>0</v>
      </c>
    </row>
    <row r="958" spans="1:30" x14ac:dyDescent="0.55000000000000004">
      <c r="A958">
        <v>102315</v>
      </c>
      <c r="B958" s="19">
        <v>42931</v>
      </c>
      <c r="C958">
        <v>812</v>
      </c>
      <c r="D958">
        <v>2017</v>
      </c>
      <c r="E958">
        <v>25</v>
      </c>
      <c r="F958">
        <v>702</v>
      </c>
      <c r="G958">
        <v>2</v>
      </c>
      <c r="H958">
        <v>2059</v>
      </c>
      <c r="I958">
        <v>3</v>
      </c>
      <c r="J958">
        <v>4742.2</v>
      </c>
      <c r="K958">
        <v>8557.43</v>
      </c>
      <c r="L958">
        <v>4742.04</v>
      </c>
      <c r="M958">
        <v>8557.2800000000007</v>
      </c>
      <c r="N958">
        <v>47.703333000000001</v>
      </c>
      <c r="O958">
        <v>-85.957166999999998</v>
      </c>
      <c r="P958">
        <v>47.700667000000003</v>
      </c>
      <c r="Q958">
        <v>-85.954667000000001</v>
      </c>
      <c r="R958">
        <v>1797.424289</v>
      </c>
      <c r="S958">
        <v>107</v>
      </c>
      <c r="T958">
        <v>110</v>
      </c>
      <c r="U958">
        <v>0.5</v>
      </c>
      <c r="V958">
        <v>2</v>
      </c>
      <c r="W958">
        <v>7.8</v>
      </c>
      <c r="X958">
        <v>7.7614999999999998</v>
      </c>
      <c r="Y958">
        <v>2.5399999999999999E-2</v>
      </c>
      <c r="Z958">
        <v>22.536899999999999</v>
      </c>
      <c r="AA958">
        <v>10</v>
      </c>
      <c r="AB958">
        <v>0.42</v>
      </c>
      <c r="AC958">
        <v>217</v>
      </c>
      <c r="AD958">
        <v>4</v>
      </c>
    </row>
    <row r="959" spans="1:30" x14ac:dyDescent="0.55000000000000004">
      <c r="A959">
        <v>102316</v>
      </c>
      <c r="B959" s="19">
        <v>42931</v>
      </c>
      <c r="C959">
        <v>812</v>
      </c>
      <c r="D959">
        <v>2017</v>
      </c>
      <c r="E959">
        <v>25</v>
      </c>
      <c r="F959">
        <v>703</v>
      </c>
      <c r="G959">
        <v>2</v>
      </c>
      <c r="H959">
        <v>2059</v>
      </c>
      <c r="I959">
        <v>3</v>
      </c>
      <c r="J959">
        <v>4742.2</v>
      </c>
      <c r="K959">
        <v>8557.43</v>
      </c>
      <c r="L959">
        <v>4742.04</v>
      </c>
      <c r="M959">
        <v>8557.2800000000007</v>
      </c>
      <c r="N959">
        <v>47.703333000000001</v>
      </c>
      <c r="O959">
        <v>-85.957166999999998</v>
      </c>
      <c r="P959">
        <v>47.700667000000003</v>
      </c>
      <c r="Q959">
        <v>-85.954667000000001</v>
      </c>
      <c r="R959">
        <v>1797.424289</v>
      </c>
      <c r="S959">
        <v>107</v>
      </c>
      <c r="T959">
        <v>110</v>
      </c>
      <c r="U959">
        <v>0.5</v>
      </c>
      <c r="V959">
        <v>2</v>
      </c>
      <c r="W959">
        <v>7.8</v>
      </c>
      <c r="X959">
        <v>7.7614999999999998</v>
      </c>
      <c r="Y959">
        <v>2.5399999999999999E-2</v>
      </c>
      <c r="Z959">
        <v>22.536899999999999</v>
      </c>
      <c r="AA959">
        <v>10</v>
      </c>
      <c r="AB959">
        <v>0.42</v>
      </c>
      <c r="AC959">
        <v>217</v>
      </c>
      <c r="AD959">
        <v>5</v>
      </c>
    </row>
    <row r="960" spans="1:30" x14ac:dyDescent="0.55000000000000004">
      <c r="A960">
        <v>102317</v>
      </c>
      <c r="B960" s="19">
        <v>42931</v>
      </c>
      <c r="C960">
        <v>1101</v>
      </c>
      <c r="D960">
        <v>2017</v>
      </c>
      <c r="E960">
        <v>25</v>
      </c>
      <c r="F960">
        <v>704</v>
      </c>
      <c r="G960">
        <v>2</v>
      </c>
      <c r="H960">
        <v>2153</v>
      </c>
      <c r="I960">
        <v>3</v>
      </c>
      <c r="J960">
        <v>4725.2700000000004</v>
      </c>
      <c r="K960">
        <v>8540.02</v>
      </c>
      <c r="L960">
        <v>4724.8599999999997</v>
      </c>
      <c r="M960">
        <v>8539.9699999999993</v>
      </c>
      <c r="N960">
        <v>47.421166999999997</v>
      </c>
      <c r="O960">
        <v>-85.667000000000002</v>
      </c>
      <c r="P960">
        <v>47.414332999999999</v>
      </c>
      <c r="Q960">
        <v>-85.666167000000002</v>
      </c>
      <c r="R960">
        <v>9802.0663349999995</v>
      </c>
      <c r="S960">
        <v>153</v>
      </c>
      <c r="T960">
        <v>150</v>
      </c>
      <c r="U960">
        <v>0.5</v>
      </c>
      <c r="V960">
        <v>2</v>
      </c>
      <c r="W960">
        <v>7.7</v>
      </c>
      <c r="X960">
        <v>6.5457000000000001</v>
      </c>
      <c r="Y960">
        <v>5.3699999999999998E-2</v>
      </c>
      <c r="Z960">
        <v>80.3005</v>
      </c>
      <c r="AA960">
        <v>10</v>
      </c>
      <c r="AB960">
        <v>0.41</v>
      </c>
      <c r="AC960">
        <v>0</v>
      </c>
      <c r="AD960">
        <v>0</v>
      </c>
    </row>
    <row r="961" spans="1:30" x14ac:dyDescent="0.55000000000000004">
      <c r="A961">
        <v>102318</v>
      </c>
      <c r="B961" s="19">
        <v>42931</v>
      </c>
      <c r="C961">
        <v>1101</v>
      </c>
      <c r="D961">
        <v>2017</v>
      </c>
      <c r="E961">
        <v>25</v>
      </c>
      <c r="F961">
        <v>705</v>
      </c>
      <c r="G961">
        <v>2</v>
      </c>
      <c r="H961">
        <v>2153</v>
      </c>
      <c r="I961">
        <v>3</v>
      </c>
      <c r="J961">
        <v>4725.2700000000004</v>
      </c>
      <c r="K961">
        <v>8540.02</v>
      </c>
      <c r="L961">
        <v>4724.8599999999997</v>
      </c>
      <c r="M961">
        <v>8539.9699999999993</v>
      </c>
      <c r="N961">
        <v>47.421166999999997</v>
      </c>
      <c r="O961">
        <v>-85.667000000000002</v>
      </c>
      <c r="P961">
        <v>47.414332999999999</v>
      </c>
      <c r="Q961">
        <v>-85.666167000000002</v>
      </c>
      <c r="R961">
        <v>9802.0663349999995</v>
      </c>
      <c r="S961">
        <v>153</v>
      </c>
      <c r="T961">
        <v>150</v>
      </c>
      <c r="U961">
        <v>0.5</v>
      </c>
      <c r="V961">
        <v>2</v>
      </c>
      <c r="W961">
        <v>7.7</v>
      </c>
      <c r="X961">
        <v>6.5457000000000001</v>
      </c>
      <c r="Y961">
        <v>5.3699999999999998E-2</v>
      </c>
      <c r="Z961">
        <v>80.3005</v>
      </c>
      <c r="AA961">
        <v>10</v>
      </c>
      <c r="AB961">
        <v>0.41</v>
      </c>
      <c r="AC961">
        <v>0</v>
      </c>
      <c r="AD961">
        <v>0</v>
      </c>
    </row>
    <row r="962" spans="1:30" x14ac:dyDescent="0.55000000000000004">
      <c r="A962">
        <v>102319</v>
      </c>
      <c r="B962" s="19">
        <v>42931</v>
      </c>
      <c r="C962">
        <v>1328</v>
      </c>
      <c r="D962">
        <v>2017</v>
      </c>
      <c r="E962">
        <v>25</v>
      </c>
      <c r="F962">
        <v>706</v>
      </c>
      <c r="G962">
        <v>2</v>
      </c>
      <c r="H962">
        <v>2129</v>
      </c>
      <c r="I962">
        <v>3</v>
      </c>
      <c r="J962">
        <v>4738.83</v>
      </c>
      <c r="K962">
        <v>8533.64</v>
      </c>
      <c r="L962">
        <v>4739.1899999999996</v>
      </c>
      <c r="M962">
        <v>8533.4699999999993</v>
      </c>
      <c r="N962">
        <v>47.647167000000003</v>
      </c>
      <c r="O962">
        <v>-85.560666999999995</v>
      </c>
      <c r="P962">
        <v>47.653167000000003</v>
      </c>
      <c r="Q962">
        <v>-85.557833000000002</v>
      </c>
      <c r="R962">
        <v>9854.5266200000005</v>
      </c>
      <c r="S962">
        <v>193</v>
      </c>
      <c r="T962">
        <v>201</v>
      </c>
      <c r="U962">
        <v>0.5</v>
      </c>
      <c r="V962">
        <v>2</v>
      </c>
      <c r="W962">
        <v>6.8</v>
      </c>
      <c r="X962">
        <v>6.6182999999999996</v>
      </c>
      <c r="Y962">
        <v>-3.1800000000000002E-2</v>
      </c>
      <c r="Z962">
        <v>48.555399999999999</v>
      </c>
      <c r="AA962">
        <v>10</v>
      </c>
      <c r="AB962">
        <v>0.43</v>
      </c>
      <c r="AC962">
        <v>0</v>
      </c>
      <c r="AD962">
        <v>0</v>
      </c>
    </row>
    <row r="963" spans="1:30" x14ac:dyDescent="0.55000000000000004">
      <c r="A963">
        <v>102320</v>
      </c>
      <c r="B963" s="19">
        <v>42931</v>
      </c>
      <c r="C963">
        <v>1328</v>
      </c>
      <c r="D963">
        <v>2017</v>
      </c>
      <c r="E963">
        <v>25</v>
      </c>
      <c r="F963">
        <v>707</v>
      </c>
      <c r="G963">
        <v>2</v>
      </c>
      <c r="H963">
        <v>2129</v>
      </c>
      <c r="I963">
        <v>3</v>
      </c>
      <c r="J963">
        <v>4738.83</v>
      </c>
      <c r="K963">
        <v>8533.64</v>
      </c>
      <c r="L963">
        <v>4739.1899999999996</v>
      </c>
      <c r="M963">
        <v>8533.4699999999993</v>
      </c>
      <c r="N963">
        <v>47.647167000000003</v>
      </c>
      <c r="O963">
        <v>-85.560666999999995</v>
      </c>
      <c r="P963">
        <v>47.653167000000003</v>
      </c>
      <c r="Q963">
        <v>-85.557833000000002</v>
      </c>
      <c r="R963">
        <v>9854.5266200000005</v>
      </c>
      <c r="S963">
        <v>193</v>
      </c>
      <c r="T963">
        <v>201</v>
      </c>
      <c r="U963">
        <v>0.5</v>
      </c>
      <c r="V963">
        <v>2</v>
      </c>
      <c r="W963">
        <v>6.8</v>
      </c>
      <c r="X963">
        <v>6.6182999999999996</v>
      </c>
      <c r="Y963">
        <v>-3.1800000000000002E-2</v>
      </c>
      <c r="Z963">
        <v>48.555399999999999</v>
      </c>
      <c r="AA963">
        <v>10</v>
      </c>
      <c r="AB963">
        <v>0.43</v>
      </c>
      <c r="AC963">
        <v>217</v>
      </c>
      <c r="AD963">
        <v>2</v>
      </c>
    </row>
    <row r="964" spans="1:30" x14ac:dyDescent="0.55000000000000004">
      <c r="A964">
        <v>102326</v>
      </c>
      <c r="B964" s="19">
        <v>42932</v>
      </c>
      <c r="C964">
        <v>840</v>
      </c>
      <c r="D964">
        <v>2017</v>
      </c>
      <c r="E964">
        <v>25</v>
      </c>
      <c r="F964">
        <v>708</v>
      </c>
      <c r="G964">
        <v>2</v>
      </c>
      <c r="H964">
        <v>2145</v>
      </c>
      <c r="I964">
        <v>3</v>
      </c>
      <c r="J964">
        <v>4738.17</v>
      </c>
      <c r="K964">
        <v>8606.41</v>
      </c>
      <c r="L964">
        <v>4737.8999999999996</v>
      </c>
      <c r="M964">
        <v>8606.82</v>
      </c>
      <c r="N964">
        <v>47.636167</v>
      </c>
      <c r="O964">
        <v>-86.106832999999995</v>
      </c>
      <c r="P964">
        <v>47.631667</v>
      </c>
      <c r="Q964">
        <v>-86.113667000000007</v>
      </c>
      <c r="R964">
        <v>15028.34283</v>
      </c>
      <c r="S964">
        <v>150</v>
      </c>
      <c r="T964">
        <v>142</v>
      </c>
      <c r="U964">
        <v>0.5</v>
      </c>
      <c r="V964">
        <v>2</v>
      </c>
      <c r="W964">
        <v>8</v>
      </c>
      <c r="X964">
        <v>9.4999000000000002</v>
      </c>
      <c r="Y964">
        <v>5.3499999999999999E-2</v>
      </c>
      <c r="Z964">
        <v>49.339500000000001</v>
      </c>
      <c r="AA964">
        <v>10</v>
      </c>
      <c r="AB964">
        <v>0.4</v>
      </c>
      <c r="AC964">
        <v>217</v>
      </c>
      <c r="AD964">
        <v>10</v>
      </c>
    </row>
    <row r="965" spans="1:30" x14ac:dyDescent="0.55000000000000004">
      <c r="A965">
        <v>102327</v>
      </c>
      <c r="B965" s="19">
        <v>42932</v>
      </c>
      <c r="C965">
        <v>840</v>
      </c>
      <c r="D965">
        <v>2017</v>
      </c>
      <c r="E965">
        <v>25</v>
      </c>
      <c r="F965">
        <v>709</v>
      </c>
      <c r="G965">
        <v>2</v>
      </c>
      <c r="H965">
        <v>2145</v>
      </c>
      <c r="I965">
        <v>3</v>
      </c>
      <c r="J965">
        <v>4738.17</v>
      </c>
      <c r="K965">
        <v>8606.41</v>
      </c>
      <c r="L965">
        <v>4737.8999999999996</v>
      </c>
      <c r="M965">
        <v>8606.82</v>
      </c>
      <c r="N965">
        <v>47.636167</v>
      </c>
      <c r="O965">
        <v>-86.106832999999995</v>
      </c>
      <c r="P965">
        <v>47.631667</v>
      </c>
      <c r="Q965">
        <v>-86.113667000000007</v>
      </c>
      <c r="R965">
        <v>15028.34283</v>
      </c>
      <c r="S965">
        <v>150</v>
      </c>
      <c r="T965">
        <v>142</v>
      </c>
      <c r="U965">
        <v>0.5</v>
      </c>
      <c r="V965">
        <v>2</v>
      </c>
      <c r="W965">
        <v>8</v>
      </c>
      <c r="X965">
        <v>9.4999000000000002</v>
      </c>
      <c r="Y965">
        <v>5.3499999999999999E-2</v>
      </c>
      <c r="Z965">
        <v>49.339500000000001</v>
      </c>
      <c r="AA965">
        <v>10</v>
      </c>
      <c r="AB965">
        <v>0.4</v>
      </c>
      <c r="AC965">
        <v>217</v>
      </c>
      <c r="AD965">
        <v>3</v>
      </c>
    </row>
    <row r="966" spans="1:30" x14ac:dyDescent="0.55000000000000004">
      <c r="A966">
        <v>102328</v>
      </c>
      <c r="B966" s="19">
        <v>42932</v>
      </c>
      <c r="C966">
        <v>1005</v>
      </c>
      <c r="D966">
        <v>2017</v>
      </c>
      <c r="E966">
        <v>25</v>
      </c>
      <c r="F966">
        <v>710</v>
      </c>
      <c r="G966">
        <v>2</v>
      </c>
      <c r="H966">
        <v>2165</v>
      </c>
      <c r="I966">
        <v>3</v>
      </c>
      <c r="J966">
        <v>4735.76</v>
      </c>
      <c r="K966">
        <v>8613.5</v>
      </c>
      <c r="L966">
        <v>4735.3500000000004</v>
      </c>
      <c r="M966">
        <v>8613.48</v>
      </c>
      <c r="N966">
        <v>47.595999999999997</v>
      </c>
      <c r="O966">
        <v>-86.224999999999994</v>
      </c>
      <c r="P966">
        <v>47.589167000000003</v>
      </c>
      <c r="Q966">
        <v>-86.224666999999997</v>
      </c>
      <c r="R966">
        <v>24345.13019</v>
      </c>
      <c r="S966">
        <v>132</v>
      </c>
      <c r="T966">
        <v>131</v>
      </c>
      <c r="U966">
        <v>0.5</v>
      </c>
      <c r="V966">
        <v>2</v>
      </c>
      <c r="W966">
        <v>7.1</v>
      </c>
      <c r="X966">
        <v>7.0766999999999998</v>
      </c>
      <c r="Y966">
        <v>-7.6399999999999996E-2</v>
      </c>
      <c r="Z966">
        <v>69.299199999999999</v>
      </c>
      <c r="AA966">
        <v>10</v>
      </c>
      <c r="AB966">
        <v>0.41</v>
      </c>
      <c r="AC966">
        <v>217</v>
      </c>
      <c r="AD966">
        <v>3</v>
      </c>
    </row>
    <row r="967" spans="1:30" x14ac:dyDescent="0.55000000000000004">
      <c r="A967">
        <v>102329</v>
      </c>
      <c r="B967" s="19">
        <v>42932</v>
      </c>
      <c r="C967">
        <v>1005</v>
      </c>
      <c r="D967">
        <v>2017</v>
      </c>
      <c r="E967">
        <v>25</v>
      </c>
      <c r="F967">
        <v>711</v>
      </c>
      <c r="G967">
        <v>2</v>
      </c>
      <c r="H967">
        <v>2165</v>
      </c>
      <c r="I967">
        <v>3</v>
      </c>
      <c r="J967">
        <v>4735.76</v>
      </c>
      <c r="K967">
        <v>8613.5</v>
      </c>
      <c r="L967">
        <v>4735.3500000000004</v>
      </c>
      <c r="M967">
        <v>8613.48</v>
      </c>
      <c r="N967">
        <v>47.595999999999997</v>
      </c>
      <c r="O967">
        <v>-86.224999999999994</v>
      </c>
      <c r="P967">
        <v>47.589167000000003</v>
      </c>
      <c r="Q967">
        <v>-86.224666999999997</v>
      </c>
      <c r="R967">
        <v>24345.13019</v>
      </c>
      <c r="S967">
        <v>132</v>
      </c>
      <c r="T967">
        <v>131</v>
      </c>
      <c r="U967">
        <v>0.5</v>
      </c>
      <c r="V967">
        <v>2</v>
      </c>
      <c r="W967">
        <v>7.1</v>
      </c>
      <c r="X967">
        <v>7.0766999999999998</v>
      </c>
      <c r="Y967">
        <v>-7.6399999999999996E-2</v>
      </c>
      <c r="Z967">
        <v>69.299199999999999</v>
      </c>
      <c r="AA967">
        <v>10</v>
      </c>
      <c r="AB967">
        <v>0.41</v>
      </c>
      <c r="AC967">
        <v>0</v>
      </c>
      <c r="AD967">
        <v>0</v>
      </c>
    </row>
    <row r="968" spans="1:30" x14ac:dyDescent="0.55000000000000004">
      <c r="A968">
        <v>102330</v>
      </c>
      <c r="B968" s="19">
        <v>42932</v>
      </c>
      <c r="C968">
        <v>1238</v>
      </c>
      <c r="D968">
        <v>2017</v>
      </c>
      <c r="E968">
        <v>25</v>
      </c>
      <c r="F968">
        <v>712</v>
      </c>
      <c r="G968">
        <v>2</v>
      </c>
      <c r="H968">
        <v>2126</v>
      </c>
      <c r="I968">
        <v>3</v>
      </c>
      <c r="J968">
        <v>4723.45</v>
      </c>
      <c r="K968">
        <v>8628.0400000000009</v>
      </c>
      <c r="L968">
        <v>4723.8</v>
      </c>
      <c r="M968">
        <v>8628.14</v>
      </c>
      <c r="N968">
        <v>47.390833000000001</v>
      </c>
      <c r="O968">
        <v>-86.467332999999996</v>
      </c>
      <c r="P968">
        <v>47.396667000000001</v>
      </c>
      <c r="Q968">
        <v>-86.468999999999994</v>
      </c>
      <c r="R968">
        <v>48597.18664</v>
      </c>
      <c r="S968">
        <v>300</v>
      </c>
      <c r="T968">
        <v>310</v>
      </c>
      <c r="U968">
        <v>0.5</v>
      </c>
      <c r="V968">
        <v>2</v>
      </c>
      <c r="W968">
        <v>6.3</v>
      </c>
      <c r="X968">
        <v>5.9085999999999999</v>
      </c>
      <c r="Y968">
        <v>-2.3800000000000002E-2</v>
      </c>
      <c r="Z968">
        <v>58.466000000000001</v>
      </c>
      <c r="AA968">
        <v>10</v>
      </c>
      <c r="AB968">
        <v>0.4</v>
      </c>
      <c r="AC968">
        <v>0</v>
      </c>
      <c r="AD968">
        <v>0</v>
      </c>
    </row>
    <row r="969" spans="1:30" x14ac:dyDescent="0.55000000000000004">
      <c r="A969">
        <v>102331</v>
      </c>
      <c r="B969" s="19">
        <v>42932</v>
      </c>
      <c r="C969">
        <v>1238</v>
      </c>
      <c r="D969">
        <v>2017</v>
      </c>
      <c r="E969">
        <v>25</v>
      </c>
      <c r="F969">
        <v>713</v>
      </c>
      <c r="G969">
        <v>2</v>
      </c>
      <c r="H969">
        <v>2126</v>
      </c>
      <c r="I969">
        <v>3</v>
      </c>
      <c r="J969">
        <v>4723.45</v>
      </c>
      <c r="K969">
        <v>8628.0400000000009</v>
      </c>
      <c r="L969">
        <v>4723.8</v>
      </c>
      <c r="M969">
        <v>8628.14</v>
      </c>
      <c r="N969">
        <v>47.390833000000001</v>
      </c>
      <c r="O969">
        <v>-86.467332999999996</v>
      </c>
      <c r="P969">
        <v>47.396667000000001</v>
      </c>
      <c r="Q969">
        <v>-86.468999999999994</v>
      </c>
      <c r="R969">
        <v>48597.18664</v>
      </c>
      <c r="S969">
        <v>300</v>
      </c>
      <c r="T969">
        <v>310</v>
      </c>
      <c r="U969">
        <v>0.5</v>
      </c>
      <c r="V969">
        <v>2</v>
      </c>
      <c r="W969">
        <v>6.3</v>
      </c>
      <c r="X969">
        <v>5.9085999999999999</v>
      </c>
      <c r="Y969">
        <v>-2.3800000000000002E-2</v>
      </c>
      <c r="Z969">
        <v>58.466000000000001</v>
      </c>
      <c r="AA969">
        <v>10</v>
      </c>
      <c r="AB969">
        <v>0.4</v>
      </c>
      <c r="AC969">
        <v>0</v>
      </c>
      <c r="AD969">
        <v>0</v>
      </c>
    </row>
    <row r="970" spans="1:30" x14ac:dyDescent="0.55000000000000004">
      <c r="A970">
        <v>102334</v>
      </c>
      <c r="B970" s="19">
        <v>42933</v>
      </c>
      <c r="C970">
        <v>1103</v>
      </c>
      <c r="D970">
        <v>2017</v>
      </c>
      <c r="E970">
        <v>25</v>
      </c>
      <c r="F970">
        <v>714</v>
      </c>
      <c r="G970">
        <v>2</v>
      </c>
      <c r="H970">
        <v>2119</v>
      </c>
      <c r="I970">
        <v>3</v>
      </c>
      <c r="J970">
        <v>4749.54</v>
      </c>
      <c r="K970">
        <v>8641.8799999999992</v>
      </c>
      <c r="L970">
        <v>4749.97</v>
      </c>
      <c r="M970">
        <v>8642.07</v>
      </c>
      <c r="N970">
        <v>47.825667000000003</v>
      </c>
      <c r="O970">
        <v>-86.697999999999993</v>
      </c>
      <c r="P970">
        <v>47.832833000000001</v>
      </c>
      <c r="Q970">
        <v>-86.701166999999998</v>
      </c>
      <c r="R970">
        <v>56390.372300000003</v>
      </c>
      <c r="S970">
        <v>270</v>
      </c>
      <c r="T970">
        <v>271</v>
      </c>
      <c r="U970">
        <v>0.5</v>
      </c>
      <c r="V970">
        <v>2</v>
      </c>
      <c r="W970">
        <v>5.6</v>
      </c>
      <c r="X970">
        <v>5.9736000000000002</v>
      </c>
      <c r="Y970">
        <v>3.3300000000000003E-2</v>
      </c>
      <c r="Z970">
        <v>22.004999999999999</v>
      </c>
      <c r="AA970">
        <v>10</v>
      </c>
      <c r="AB970">
        <v>0.42</v>
      </c>
      <c r="AC970">
        <v>217</v>
      </c>
      <c r="AD970">
        <v>1</v>
      </c>
    </row>
    <row r="971" spans="1:30" x14ac:dyDescent="0.55000000000000004">
      <c r="A971">
        <v>102335</v>
      </c>
      <c r="B971" s="19">
        <v>42933</v>
      </c>
      <c r="C971">
        <v>1103</v>
      </c>
      <c r="D971">
        <v>2017</v>
      </c>
      <c r="E971">
        <v>25</v>
      </c>
      <c r="F971">
        <v>715</v>
      </c>
      <c r="G971">
        <v>2</v>
      </c>
      <c r="H971">
        <v>2119</v>
      </c>
      <c r="I971">
        <v>3</v>
      </c>
      <c r="J971">
        <v>4749.54</v>
      </c>
      <c r="K971">
        <v>8641.8799999999992</v>
      </c>
      <c r="L971">
        <v>4749.97</v>
      </c>
      <c r="M971">
        <v>8642.07</v>
      </c>
      <c r="N971">
        <v>47.825667000000003</v>
      </c>
      <c r="O971">
        <v>-86.697999999999993</v>
      </c>
      <c r="P971">
        <v>47.832833000000001</v>
      </c>
      <c r="Q971">
        <v>-86.701166999999998</v>
      </c>
      <c r="R971">
        <v>56390.372300000003</v>
      </c>
      <c r="S971">
        <v>270</v>
      </c>
      <c r="T971">
        <v>271</v>
      </c>
      <c r="U971">
        <v>0.5</v>
      </c>
      <c r="V971">
        <v>2</v>
      </c>
      <c r="W971">
        <v>5.6</v>
      </c>
      <c r="X971">
        <v>5.9736000000000002</v>
      </c>
      <c r="Y971">
        <v>3.3300000000000003E-2</v>
      </c>
      <c r="Z971">
        <v>22.004999999999999</v>
      </c>
      <c r="AA971">
        <v>10</v>
      </c>
      <c r="AB971">
        <v>0.42</v>
      </c>
      <c r="AC971">
        <v>0</v>
      </c>
      <c r="AD971">
        <v>0</v>
      </c>
    </row>
    <row r="972" spans="1:30" x14ac:dyDescent="0.55000000000000004">
      <c r="A972">
        <v>102336</v>
      </c>
      <c r="B972" s="19">
        <v>42933</v>
      </c>
      <c r="C972">
        <v>1315</v>
      </c>
      <c r="D972">
        <v>2017</v>
      </c>
      <c r="E972">
        <v>25</v>
      </c>
      <c r="F972">
        <v>716</v>
      </c>
      <c r="G972">
        <v>2</v>
      </c>
      <c r="H972">
        <v>2135</v>
      </c>
      <c r="I972">
        <v>3</v>
      </c>
      <c r="J972">
        <v>4801.37</v>
      </c>
      <c r="K972">
        <v>8638.6200000000008</v>
      </c>
      <c r="L972">
        <v>4801.3900000000003</v>
      </c>
      <c r="M972">
        <v>8638.02</v>
      </c>
      <c r="N972">
        <v>48.022832999999999</v>
      </c>
      <c r="O972">
        <v>-86.643666999999994</v>
      </c>
      <c r="P972">
        <v>48.023167000000001</v>
      </c>
      <c r="Q972">
        <v>-86.633667000000003</v>
      </c>
      <c r="R972">
        <v>43796.03703</v>
      </c>
      <c r="S972">
        <v>141</v>
      </c>
      <c r="T972">
        <v>142</v>
      </c>
      <c r="U972">
        <v>0.5</v>
      </c>
      <c r="V972">
        <v>2</v>
      </c>
      <c r="W972">
        <v>6.4</v>
      </c>
      <c r="X972">
        <v>6.3452000000000002</v>
      </c>
      <c r="Y972">
        <v>6.2199999999999998E-2</v>
      </c>
      <c r="Z972">
        <v>81.183800000000005</v>
      </c>
      <c r="AA972">
        <v>10</v>
      </c>
      <c r="AB972">
        <v>0.41</v>
      </c>
      <c r="AC972">
        <v>0</v>
      </c>
      <c r="AD972">
        <v>0</v>
      </c>
    </row>
    <row r="973" spans="1:30" x14ac:dyDescent="0.55000000000000004">
      <c r="A973">
        <v>102337</v>
      </c>
      <c r="B973" s="19">
        <v>42933</v>
      </c>
      <c r="C973">
        <v>1315</v>
      </c>
      <c r="D973">
        <v>2017</v>
      </c>
      <c r="E973">
        <v>25</v>
      </c>
      <c r="F973">
        <v>717</v>
      </c>
      <c r="G973">
        <v>2</v>
      </c>
      <c r="H973">
        <v>2135</v>
      </c>
      <c r="I973">
        <v>3</v>
      </c>
      <c r="J973">
        <v>4801.37</v>
      </c>
      <c r="K973">
        <v>8638.6200000000008</v>
      </c>
      <c r="L973">
        <v>4801.3900000000003</v>
      </c>
      <c r="M973">
        <v>8638.02</v>
      </c>
      <c r="N973">
        <v>48.022832999999999</v>
      </c>
      <c r="O973">
        <v>-86.643666999999994</v>
      </c>
      <c r="P973">
        <v>48.023167000000001</v>
      </c>
      <c r="Q973">
        <v>-86.633667000000003</v>
      </c>
      <c r="R973">
        <v>43796.03703</v>
      </c>
      <c r="S973">
        <v>141</v>
      </c>
      <c r="T973">
        <v>142</v>
      </c>
      <c r="U973">
        <v>0.5</v>
      </c>
      <c r="V973">
        <v>2</v>
      </c>
      <c r="W973">
        <v>6.4</v>
      </c>
      <c r="X973">
        <v>6.3452000000000002</v>
      </c>
      <c r="Y973">
        <v>6.2199999999999998E-2</v>
      </c>
      <c r="Z973">
        <v>81.183800000000005</v>
      </c>
      <c r="AA973">
        <v>10</v>
      </c>
      <c r="AB973">
        <v>0.41</v>
      </c>
      <c r="AC973">
        <v>0</v>
      </c>
      <c r="AD973">
        <v>0</v>
      </c>
    </row>
    <row r="974" spans="1:30" x14ac:dyDescent="0.55000000000000004">
      <c r="A974">
        <v>102338</v>
      </c>
      <c r="B974" s="19">
        <v>42934</v>
      </c>
      <c r="C974">
        <v>900</v>
      </c>
      <c r="D974">
        <v>2017</v>
      </c>
      <c r="E974">
        <v>25</v>
      </c>
      <c r="F974">
        <v>718</v>
      </c>
      <c r="G974">
        <v>2</v>
      </c>
      <c r="H974">
        <v>2139</v>
      </c>
      <c r="I974">
        <v>3</v>
      </c>
      <c r="J974">
        <v>4821.21</v>
      </c>
      <c r="K974">
        <v>8658.9699999999993</v>
      </c>
      <c r="L974">
        <v>4821.4399999999996</v>
      </c>
      <c r="M974">
        <v>8658.49</v>
      </c>
      <c r="N974">
        <v>48.353499999999997</v>
      </c>
      <c r="O974">
        <v>-86.982832999999999</v>
      </c>
      <c r="P974">
        <v>48.357332999999997</v>
      </c>
      <c r="Q974">
        <v>-86.974833000000004</v>
      </c>
      <c r="R974">
        <v>29798.95262</v>
      </c>
      <c r="S974">
        <v>188</v>
      </c>
      <c r="T974">
        <v>190</v>
      </c>
      <c r="U974">
        <v>0.5</v>
      </c>
      <c r="V974">
        <v>2</v>
      </c>
      <c r="W974">
        <v>6.1</v>
      </c>
      <c r="X974">
        <v>6.0763999999999996</v>
      </c>
      <c r="Y974">
        <v>-7.3000000000000001E-3</v>
      </c>
      <c r="Z974">
        <v>41.145600000000002</v>
      </c>
      <c r="AA974">
        <v>10</v>
      </c>
      <c r="AB974">
        <v>0.42</v>
      </c>
      <c r="AC974">
        <v>217</v>
      </c>
      <c r="AD974">
        <v>11</v>
      </c>
    </row>
    <row r="975" spans="1:30" x14ac:dyDescent="0.55000000000000004">
      <c r="A975">
        <v>102339</v>
      </c>
      <c r="B975" s="19">
        <v>42934</v>
      </c>
      <c r="C975">
        <v>900</v>
      </c>
      <c r="D975">
        <v>2017</v>
      </c>
      <c r="E975">
        <v>25</v>
      </c>
      <c r="F975">
        <v>719</v>
      </c>
      <c r="G975">
        <v>2</v>
      </c>
      <c r="H975">
        <v>2139</v>
      </c>
      <c r="I975">
        <v>3</v>
      </c>
      <c r="J975">
        <v>4821.21</v>
      </c>
      <c r="K975">
        <v>8658.9699999999993</v>
      </c>
      <c r="L975">
        <v>4821.4399999999996</v>
      </c>
      <c r="M975">
        <v>8658.49</v>
      </c>
      <c r="N975">
        <v>48.353499999999997</v>
      </c>
      <c r="O975">
        <v>-86.982832999999999</v>
      </c>
      <c r="P975">
        <v>48.357332999999997</v>
      </c>
      <c r="Q975">
        <v>-86.974833000000004</v>
      </c>
      <c r="R975">
        <v>29798.95262</v>
      </c>
      <c r="S975">
        <v>188</v>
      </c>
      <c r="T975">
        <v>190</v>
      </c>
      <c r="U975">
        <v>0.5</v>
      </c>
      <c r="V975">
        <v>2</v>
      </c>
      <c r="W975">
        <v>6.1</v>
      </c>
      <c r="X975">
        <v>6.0763999999999996</v>
      </c>
      <c r="Y975">
        <v>-7.3000000000000001E-3</v>
      </c>
      <c r="Z975">
        <v>41.145600000000002</v>
      </c>
      <c r="AA975">
        <v>10</v>
      </c>
      <c r="AB975">
        <v>0.42</v>
      </c>
      <c r="AC975">
        <v>217</v>
      </c>
      <c r="AD975">
        <v>9</v>
      </c>
    </row>
    <row r="976" spans="1:30" x14ac:dyDescent="0.55000000000000004">
      <c r="A976">
        <v>102342</v>
      </c>
      <c r="B976" s="19">
        <v>42934</v>
      </c>
      <c r="C976">
        <v>1220</v>
      </c>
      <c r="D976">
        <v>2017</v>
      </c>
      <c r="E976">
        <v>25</v>
      </c>
      <c r="F976">
        <v>720</v>
      </c>
      <c r="G976">
        <v>2</v>
      </c>
      <c r="H976">
        <v>753</v>
      </c>
      <c r="I976">
        <v>3</v>
      </c>
      <c r="J976">
        <v>4842.8</v>
      </c>
      <c r="K976">
        <v>8717.73</v>
      </c>
      <c r="L976">
        <v>4843.0200000000004</v>
      </c>
      <c r="M976">
        <v>8718.17</v>
      </c>
      <c r="N976">
        <v>48.713332999999999</v>
      </c>
      <c r="O976">
        <v>-87.295500000000004</v>
      </c>
      <c r="P976">
        <v>48.716999999999999</v>
      </c>
      <c r="Q976">
        <v>-87.302833000000007</v>
      </c>
      <c r="R976">
        <v>4431.155127</v>
      </c>
      <c r="S976">
        <v>169</v>
      </c>
      <c r="T976">
        <v>167</v>
      </c>
      <c r="U976">
        <v>0.5</v>
      </c>
      <c r="V976">
        <v>2</v>
      </c>
      <c r="W976">
        <v>11.2</v>
      </c>
      <c r="X976">
        <v>11.0977</v>
      </c>
      <c r="Y976">
        <v>7.4999999999999997E-2</v>
      </c>
      <c r="Z976">
        <v>81.6417</v>
      </c>
      <c r="AA976">
        <v>10</v>
      </c>
      <c r="AB976">
        <v>0.43</v>
      </c>
      <c r="AC976">
        <v>217</v>
      </c>
      <c r="AD976">
        <v>1</v>
      </c>
    </row>
    <row r="977" spans="1:30" x14ac:dyDescent="0.55000000000000004">
      <c r="A977">
        <v>102343</v>
      </c>
      <c r="B977" s="19">
        <v>42934</v>
      </c>
      <c r="C977">
        <v>1220</v>
      </c>
      <c r="D977">
        <v>2017</v>
      </c>
      <c r="E977">
        <v>25</v>
      </c>
      <c r="F977">
        <v>721</v>
      </c>
      <c r="G977">
        <v>2</v>
      </c>
      <c r="H977">
        <v>753</v>
      </c>
      <c r="I977">
        <v>3</v>
      </c>
      <c r="J977">
        <v>4842.8</v>
      </c>
      <c r="K977">
        <v>8717.73</v>
      </c>
      <c r="L977">
        <v>4843.0200000000004</v>
      </c>
      <c r="M977">
        <v>8718.17</v>
      </c>
      <c r="N977">
        <v>48.713332999999999</v>
      </c>
      <c r="O977">
        <v>-87.295500000000004</v>
      </c>
      <c r="P977">
        <v>48.716999999999999</v>
      </c>
      <c r="Q977">
        <v>-87.302833000000007</v>
      </c>
      <c r="R977">
        <v>4431.155127</v>
      </c>
      <c r="S977">
        <v>169</v>
      </c>
      <c r="T977">
        <v>167</v>
      </c>
      <c r="U977">
        <v>0.5</v>
      </c>
      <c r="V977">
        <v>2</v>
      </c>
      <c r="W977">
        <v>11.2</v>
      </c>
      <c r="X977">
        <v>11.0977</v>
      </c>
      <c r="Y977">
        <v>7.4999999999999997E-2</v>
      </c>
      <c r="Z977">
        <v>81.6417</v>
      </c>
      <c r="AA977">
        <v>20</v>
      </c>
      <c r="AB977">
        <v>0.43</v>
      </c>
      <c r="AC977">
        <v>217</v>
      </c>
      <c r="AD977">
        <v>3</v>
      </c>
    </row>
    <row r="978" spans="1:30" x14ac:dyDescent="0.55000000000000004">
      <c r="A978">
        <v>102344</v>
      </c>
      <c r="B978" s="19">
        <v>42935</v>
      </c>
      <c r="C978">
        <v>904</v>
      </c>
      <c r="D978">
        <v>2017</v>
      </c>
      <c r="E978">
        <v>25</v>
      </c>
      <c r="F978">
        <v>722</v>
      </c>
      <c r="G978">
        <v>2</v>
      </c>
      <c r="H978">
        <v>2155</v>
      </c>
      <c r="I978">
        <v>3</v>
      </c>
      <c r="J978">
        <v>4833.78</v>
      </c>
      <c r="K978">
        <v>8745.56</v>
      </c>
      <c r="L978">
        <v>4833.49</v>
      </c>
      <c r="M978">
        <v>8745.98</v>
      </c>
      <c r="N978">
        <v>48.563000000000002</v>
      </c>
      <c r="O978">
        <v>-87.759332999999998</v>
      </c>
      <c r="P978">
        <v>48.558166999999997</v>
      </c>
      <c r="Q978">
        <v>-87.766333000000003</v>
      </c>
      <c r="R978">
        <v>19095.496640000001</v>
      </c>
      <c r="S978">
        <v>151</v>
      </c>
      <c r="T978">
        <v>148</v>
      </c>
      <c r="U978">
        <v>0.5</v>
      </c>
      <c r="V978">
        <v>2</v>
      </c>
      <c r="W978">
        <v>9.6</v>
      </c>
      <c r="X978">
        <v>8.9765999999999995</v>
      </c>
      <c r="Y978">
        <v>8.48E-2</v>
      </c>
      <c r="Z978">
        <v>71.322599999999994</v>
      </c>
      <c r="AA978">
        <v>10</v>
      </c>
      <c r="AB978">
        <v>0.41</v>
      </c>
      <c r="AC978">
        <v>217</v>
      </c>
      <c r="AD978">
        <v>4</v>
      </c>
    </row>
    <row r="979" spans="1:30" x14ac:dyDescent="0.55000000000000004">
      <c r="A979">
        <v>102345</v>
      </c>
      <c r="B979" s="19">
        <v>42935</v>
      </c>
      <c r="C979">
        <v>904</v>
      </c>
      <c r="D979">
        <v>2017</v>
      </c>
      <c r="E979">
        <v>25</v>
      </c>
      <c r="F979">
        <v>723</v>
      </c>
      <c r="G979">
        <v>2</v>
      </c>
      <c r="H979">
        <v>2155</v>
      </c>
      <c r="I979">
        <v>3</v>
      </c>
      <c r="J979">
        <v>4833.78</v>
      </c>
      <c r="K979">
        <v>8745.56</v>
      </c>
      <c r="L979">
        <v>4833.49</v>
      </c>
      <c r="M979">
        <v>8745.98</v>
      </c>
      <c r="N979">
        <v>48.563000000000002</v>
      </c>
      <c r="O979">
        <v>-87.759332999999998</v>
      </c>
      <c r="P979">
        <v>48.558166999999997</v>
      </c>
      <c r="Q979">
        <v>-87.766333000000003</v>
      </c>
      <c r="R979">
        <v>19095.496640000001</v>
      </c>
      <c r="S979">
        <v>151</v>
      </c>
      <c r="T979">
        <v>148</v>
      </c>
      <c r="U979">
        <v>0.5</v>
      </c>
      <c r="V979">
        <v>2</v>
      </c>
      <c r="W979">
        <v>9.6</v>
      </c>
      <c r="X979">
        <v>8.9765999999999995</v>
      </c>
      <c r="Y979">
        <v>8.48E-2</v>
      </c>
      <c r="Z979">
        <v>71.322599999999994</v>
      </c>
      <c r="AA979">
        <v>10</v>
      </c>
      <c r="AB979">
        <v>0.41</v>
      </c>
      <c r="AC979">
        <v>0</v>
      </c>
      <c r="AD979">
        <v>0</v>
      </c>
    </row>
    <row r="980" spans="1:30" x14ac:dyDescent="0.55000000000000004">
      <c r="A980">
        <v>102346</v>
      </c>
      <c r="B980" s="19">
        <v>42935</v>
      </c>
      <c r="C980">
        <v>1143</v>
      </c>
      <c r="D980">
        <v>2017</v>
      </c>
      <c r="E980">
        <v>25</v>
      </c>
      <c r="F980">
        <v>724</v>
      </c>
      <c r="G980">
        <v>2</v>
      </c>
      <c r="H980">
        <v>2127</v>
      </c>
      <c r="I980">
        <v>3</v>
      </c>
      <c r="J980">
        <v>4817.74</v>
      </c>
      <c r="K980">
        <v>8739.5400000000009</v>
      </c>
      <c r="L980">
        <v>4817.3599999999997</v>
      </c>
      <c r="M980">
        <v>8739.6299999999992</v>
      </c>
      <c r="N980">
        <v>48.295667000000002</v>
      </c>
      <c r="O980">
        <v>-87.659000000000006</v>
      </c>
      <c r="P980">
        <v>48.289332999999999</v>
      </c>
      <c r="Q980">
        <v>-87.660499999999999</v>
      </c>
      <c r="R980">
        <v>48653.205670000003</v>
      </c>
      <c r="S980">
        <v>230</v>
      </c>
      <c r="T980">
        <v>233</v>
      </c>
      <c r="U980">
        <v>0.5</v>
      </c>
      <c r="V980">
        <v>2</v>
      </c>
      <c r="W980">
        <v>7.3</v>
      </c>
      <c r="X980">
        <v>6.7449000000000003</v>
      </c>
      <c r="Y980">
        <v>3.8300000000000001E-2</v>
      </c>
      <c r="Z980">
        <v>60.150399999999998</v>
      </c>
      <c r="AA980">
        <v>10</v>
      </c>
      <c r="AB980">
        <v>0.42</v>
      </c>
      <c r="AC980">
        <v>0</v>
      </c>
      <c r="AD980">
        <v>0</v>
      </c>
    </row>
    <row r="981" spans="1:30" x14ac:dyDescent="0.55000000000000004">
      <c r="A981">
        <v>102347</v>
      </c>
      <c r="B981" s="19">
        <v>42935</v>
      </c>
      <c r="C981">
        <v>1143</v>
      </c>
      <c r="D981">
        <v>2017</v>
      </c>
      <c r="E981">
        <v>25</v>
      </c>
      <c r="F981">
        <v>725</v>
      </c>
      <c r="G981">
        <v>2</v>
      </c>
      <c r="H981">
        <v>2127</v>
      </c>
      <c r="I981">
        <v>3</v>
      </c>
      <c r="J981">
        <v>4817.74</v>
      </c>
      <c r="K981">
        <v>8739.5400000000009</v>
      </c>
      <c r="L981">
        <v>4817.3599999999997</v>
      </c>
      <c r="M981">
        <v>8739.6299999999992</v>
      </c>
      <c r="N981">
        <v>48.295667000000002</v>
      </c>
      <c r="O981">
        <v>-87.659000000000006</v>
      </c>
      <c r="P981">
        <v>48.289332999999999</v>
      </c>
      <c r="Q981">
        <v>-87.660499999999999</v>
      </c>
      <c r="R981">
        <v>48653.205670000003</v>
      </c>
      <c r="S981">
        <v>230</v>
      </c>
      <c r="T981">
        <v>233</v>
      </c>
      <c r="U981">
        <v>0.5</v>
      </c>
      <c r="V981">
        <v>2</v>
      </c>
      <c r="W981">
        <v>7.3</v>
      </c>
      <c r="X981">
        <v>6.7449000000000003</v>
      </c>
      <c r="Y981">
        <v>3.8300000000000001E-2</v>
      </c>
      <c r="Z981">
        <v>60.150399999999998</v>
      </c>
      <c r="AA981">
        <v>10</v>
      </c>
      <c r="AB981">
        <v>0.42</v>
      </c>
      <c r="AC981">
        <v>0</v>
      </c>
      <c r="AD981">
        <v>0</v>
      </c>
    </row>
    <row r="982" spans="1:30" x14ac:dyDescent="0.55000000000000004">
      <c r="A982">
        <v>102351</v>
      </c>
      <c r="B982" s="19">
        <v>42936</v>
      </c>
      <c r="C982">
        <v>943</v>
      </c>
      <c r="D982">
        <v>2017</v>
      </c>
      <c r="E982">
        <v>25</v>
      </c>
      <c r="F982">
        <v>726</v>
      </c>
      <c r="G982">
        <v>2</v>
      </c>
      <c r="H982">
        <v>2140</v>
      </c>
      <c r="I982">
        <v>3</v>
      </c>
      <c r="J982">
        <v>4806.8100000000004</v>
      </c>
      <c r="K982">
        <v>8845.6</v>
      </c>
      <c r="L982">
        <v>4807.04</v>
      </c>
      <c r="M982">
        <v>8845.01</v>
      </c>
      <c r="N982">
        <v>48.113500000000002</v>
      </c>
      <c r="O982">
        <v>-88.76</v>
      </c>
      <c r="P982">
        <v>48.117333000000002</v>
      </c>
      <c r="Q982">
        <v>-88.750167000000005</v>
      </c>
      <c r="R982">
        <v>2539.5985660000001</v>
      </c>
      <c r="S982">
        <v>152</v>
      </c>
      <c r="T982">
        <v>156</v>
      </c>
      <c r="U982">
        <v>0.5</v>
      </c>
      <c r="V982">
        <v>2</v>
      </c>
      <c r="W982">
        <v>10.7</v>
      </c>
      <c r="X982">
        <v>10.317399999999999</v>
      </c>
      <c r="Y982">
        <v>0.1404</v>
      </c>
      <c r="Z982">
        <v>85.861699999999999</v>
      </c>
      <c r="AA982">
        <v>10</v>
      </c>
      <c r="AB982">
        <v>0.43</v>
      </c>
      <c r="AC982">
        <v>0</v>
      </c>
      <c r="AD982">
        <v>0</v>
      </c>
    </row>
    <row r="983" spans="1:30" x14ac:dyDescent="0.55000000000000004">
      <c r="A983">
        <v>102352</v>
      </c>
      <c r="B983" s="19">
        <v>42936</v>
      </c>
      <c r="C983">
        <v>943</v>
      </c>
      <c r="D983">
        <v>2017</v>
      </c>
      <c r="E983">
        <v>25</v>
      </c>
      <c r="F983">
        <v>727</v>
      </c>
      <c r="G983">
        <v>2</v>
      </c>
      <c r="H983">
        <v>2140</v>
      </c>
      <c r="I983">
        <v>3</v>
      </c>
      <c r="J983">
        <v>4806.8100000000004</v>
      </c>
      <c r="K983">
        <v>8845.6</v>
      </c>
      <c r="L983">
        <v>4807.04</v>
      </c>
      <c r="M983">
        <v>8845.01</v>
      </c>
      <c r="N983">
        <v>48.113500000000002</v>
      </c>
      <c r="O983">
        <v>-88.76</v>
      </c>
      <c r="P983">
        <v>48.117333000000002</v>
      </c>
      <c r="Q983">
        <v>-88.750167000000005</v>
      </c>
      <c r="R983">
        <v>2539.5985660000001</v>
      </c>
      <c r="S983">
        <v>152</v>
      </c>
      <c r="T983">
        <v>156</v>
      </c>
      <c r="U983">
        <v>0.5</v>
      </c>
      <c r="V983">
        <v>2</v>
      </c>
      <c r="W983">
        <v>10.7</v>
      </c>
      <c r="X983">
        <v>10.317399999999999</v>
      </c>
      <c r="Y983">
        <v>0.1404</v>
      </c>
      <c r="Z983">
        <v>85.861699999999999</v>
      </c>
      <c r="AA983">
        <v>10</v>
      </c>
      <c r="AB983">
        <v>0.43</v>
      </c>
      <c r="AC983">
        <v>217</v>
      </c>
      <c r="AD983">
        <v>3</v>
      </c>
    </row>
    <row r="984" spans="1:30" x14ac:dyDescent="0.55000000000000004">
      <c r="A984">
        <v>102353</v>
      </c>
      <c r="B984" s="19">
        <v>42936</v>
      </c>
      <c r="C984">
        <v>1652</v>
      </c>
      <c r="D984">
        <v>2017</v>
      </c>
      <c r="E984">
        <v>25</v>
      </c>
      <c r="F984">
        <v>728</v>
      </c>
      <c r="G984">
        <v>2</v>
      </c>
      <c r="H984">
        <v>65</v>
      </c>
      <c r="I984">
        <v>3</v>
      </c>
      <c r="J984">
        <v>4744.8999999999996</v>
      </c>
      <c r="K984">
        <v>9017.93</v>
      </c>
      <c r="L984">
        <v>4744.78</v>
      </c>
      <c r="M984">
        <v>9018.4599999999991</v>
      </c>
      <c r="N984">
        <v>47.748333000000002</v>
      </c>
      <c r="O984">
        <v>-90.298833000000002</v>
      </c>
      <c r="P984">
        <v>47.746333</v>
      </c>
      <c r="Q984">
        <v>-90.307666999999995</v>
      </c>
      <c r="R984">
        <v>688.20263509999995</v>
      </c>
      <c r="S984">
        <v>70</v>
      </c>
      <c r="T984">
        <v>76</v>
      </c>
      <c r="U984">
        <v>0.5</v>
      </c>
      <c r="V984">
        <v>2</v>
      </c>
      <c r="W984">
        <v>9.1</v>
      </c>
      <c r="X984">
        <v>9.7605000000000004</v>
      </c>
      <c r="Y984">
        <v>-0.26860000000000001</v>
      </c>
      <c r="Z984">
        <v>71.806299999999993</v>
      </c>
      <c r="AA984">
        <v>10</v>
      </c>
      <c r="AB984">
        <v>0.42</v>
      </c>
      <c r="AC984">
        <v>109</v>
      </c>
      <c r="AD984">
        <v>1</v>
      </c>
    </row>
    <row r="985" spans="1:30" x14ac:dyDescent="0.55000000000000004">
      <c r="A985">
        <v>102354</v>
      </c>
      <c r="B985" s="19">
        <v>42936</v>
      </c>
      <c r="C985">
        <v>1652</v>
      </c>
      <c r="D985">
        <v>2017</v>
      </c>
      <c r="E985">
        <v>25</v>
      </c>
      <c r="F985">
        <v>729</v>
      </c>
      <c r="G985">
        <v>2</v>
      </c>
      <c r="H985">
        <v>65</v>
      </c>
      <c r="I985">
        <v>3</v>
      </c>
      <c r="J985">
        <v>4744.8999999999996</v>
      </c>
      <c r="K985">
        <v>9017.93</v>
      </c>
      <c r="L985">
        <v>4744.78</v>
      </c>
      <c r="M985">
        <v>9018.4599999999991</v>
      </c>
      <c r="N985">
        <v>47.748333000000002</v>
      </c>
      <c r="O985">
        <v>-90.298833000000002</v>
      </c>
      <c r="P985">
        <v>47.746333</v>
      </c>
      <c r="Q985">
        <v>-90.307666999999995</v>
      </c>
      <c r="R985">
        <v>688.20263509999995</v>
      </c>
      <c r="S985">
        <v>70</v>
      </c>
      <c r="T985">
        <v>76</v>
      </c>
      <c r="U985">
        <v>0.5</v>
      </c>
      <c r="V985">
        <v>2</v>
      </c>
      <c r="W985">
        <v>9.1</v>
      </c>
      <c r="X985">
        <v>9.7605000000000004</v>
      </c>
      <c r="Y985">
        <v>-0.26860000000000001</v>
      </c>
      <c r="Z985">
        <v>71.806299999999993</v>
      </c>
      <c r="AA985">
        <v>10</v>
      </c>
      <c r="AB985">
        <v>0.42</v>
      </c>
      <c r="AC985">
        <v>0</v>
      </c>
      <c r="AD985">
        <v>0</v>
      </c>
    </row>
    <row r="986" spans="1:30" x14ac:dyDescent="0.55000000000000004">
      <c r="A986">
        <v>105630</v>
      </c>
      <c r="B986" s="19">
        <v>43235</v>
      </c>
      <c r="C986">
        <v>945</v>
      </c>
      <c r="D986">
        <v>2018</v>
      </c>
      <c r="E986">
        <v>25</v>
      </c>
      <c r="F986">
        <v>500</v>
      </c>
      <c r="G986">
        <v>1</v>
      </c>
      <c r="H986">
        <v>71</v>
      </c>
      <c r="I986">
        <v>3</v>
      </c>
      <c r="J986">
        <v>4656.46</v>
      </c>
      <c r="K986">
        <v>9046.89</v>
      </c>
      <c r="L986">
        <v>4656.3599999999997</v>
      </c>
      <c r="M986">
        <v>9047.48</v>
      </c>
      <c r="N986">
        <v>46.941000000000003</v>
      </c>
      <c r="O986">
        <v>-90.781499999999994</v>
      </c>
      <c r="P986">
        <v>46.939332999999998</v>
      </c>
      <c r="Q986">
        <v>-90.791332999999995</v>
      </c>
      <c r="R986">
        <v>249.6721489</v>
      </c>
      <c r="S986">
        <v>37</v>
      </c>
      <c r="T986">
        <v>32.799999999999997</v>
      </c>
      <c r="U986">
        <v>0.5</v>
      </c>
      <c r="V986">
        <v>2</v>
      </c>
      <c r="W986">
        <v>9.1</v>
      </c>
      <c r="X986">
        <v>5.8791500000000001</v>
      </c>
      <c r="Y986">
        <v>0.10174999999999999</v>
      </c>
      <c r="Z986">
        <v>64.298649999999995</v>
      </c>
      <c r="AA986">
        <v>10</v>
      </c>
      <c r="AB986">
        <v>0.42</v>
      </c>
      <c r="AC986">
        <v>217</v>
      </c>
      <c r="AD986">
        <v>8</v>
      </c>
    </row>
    <row r="987" spans="1:30" x14ac:dyDescent="0.55000000000000004">
      <c r="A987">
        <v>105631</v>
      </c>
      <c r="B987" s="19">
        <v>43235</v>
      </c>
      <c r="C987">
        <v>945</v>
      </c>
      <c r="D987">
        <v>2018</v>
      </c>
      <c r="E987">
        <v>25</v>
      </c>
      <c r="F987">
        <v>501</v>
      </c>
      <c r="G987">
        <v>1</v>
      </c>
      <c r="H987">
        <v>71</v>
      </c>
      <c r="I987">
        <v>3</v>
      </c>
      <c r="J987">
        <v>4656.46</v>
      </c>
      <c r="K987">
        <v>9046.89</v>
      </c>
      <c r="L987">
        <v>4656.3599999999997</v>
      </c>
      <c r="M987">
        <v>9047.48</v>
      </c>
      <c r="N987">
        <v>46.941000000000003</v>
      </c>
      <c r="O987">
        <v>-90.781499999999994</v>
      </c>
      <c r="P987">
        <v>46.939332999999998</v>
      </c>
      <c r="Q987">
        <v>-90.791332999999995</v>
      </c>
      <c r="R987">
        <v>249.6721489</v>
      </c>
      <c r="S987">
        <v>37</v>
      </c>
      <c r="T987">
        <v>32.799999999999997</v>
      </c>
      <c r="U987">
        <v>0.5</v>
      </c>
      <c r="V987">
        <v>2</v>
      </c>
      <c r="W987">
        <v>9.1</v>
      </c>
      <c r="X987">
        <v>5.8791500000000001</v>
      </c>
      <c r="Y987">
        <v>0.10174999999999999</v>
      </c>
      <c r="Z987">
        <v>64.298649999999995</v>
      </c>
      <c r="AA987">
        <v>10</v>
      </c>
      <c r="AB987">
        <v>0.42</v>
      </c>
      <c r="AC987">
        <v>217</v>
      </c>
      <c r="AD987">
        <v>2</v>
      </c>
    </row>
    <row r="988" spans="1:30" x14ac:dyDescent="0.55000000000000004">
      <c r="A988">
        <v>105632</v>
      </c>
      <c r="B988" s="19">
        <v>43235</v>
      </c>
      <c r="C988">
        <v>1113</v>
      </c>
      <c r="D988">
        <v>2018</v>
      </c>
      <c r="E988">
        <v>25</v>
      </c>
      <c r="F988">
        <v>502</v>
      </c>
      <c r="G988">
        <v>1</v>
      </c>
      <c r="H988">
        <v>75</v>
      </c>
      <c r="I988">
        <v>3</v>
      </c>
      <c r="J988">
        <v>4700.08</v>
      </c>
      <c r="K988">
        <v>9043.59</v>
      </c>
      <c r="L988">
        <v>4700.1899999999996</v>
      </c>
      <c r="M988">
        <v>9044.09</v>
      </c>
      <c r="N988">
        <v>47.001333000000002</v>
      </c>
      <c r="O988">
        <v>-90.726500000000001</v>
      </c>
      <c r="P988">
        <v>47.0032</v>
      </c>
      <c r="Q988">
        <v>-90.734832999999995</v>
      </c>
      <c r="R988">
        <v>246.12315290000001</v>
      </c>
      <c r="S988">
        <v>47.7</v>
      </c>
      <c r="T988">
        <v>36.6</v>
      </c>
      <c r="U988">
        <v>0.5</v>
      </c>
      <c r="V988">
        <v>2</v>
      </c>
      <c r="W988">
        <v>7.5</v>
      </c>
      <c r="X988">
        <v>4.7109500000000004</v>
      </c>
      <c r="Y988">
        <v>0.17069999999999999</v>
      </c>
      <c r="Z988">
        <v>64.718100000000007</v>
      </c>
      <c r="AA988">
        <v>10</v>
      </c>
      <c r="AB988">
        <v>0.45</v>
      </c>
      <c r="AC988">
        <v>217</v>
      </c>
      <c r="AD988">
        <v>1</v>
      </c>
    </row>
    <row r="989" spans="1:30" x14ac:dyDescent="0.55000000000000004">
      <c r="A989">
        <v>105633</v>
      </c>
      <c r="B989" s="19">
        <v>43235</v>
      </c>
      <c r="C989">
        <v>1113</v>
      </c>
      <c r="D989">
        <v>2018</v>
      </c>
      <c r="E989">
        <v>25</v>
      </c>
      <c r="F989">
        <v>503</v>
      </c>
      <c r="G989">
        <v>1</v>
      </c>
      <c r="H989">
        <v>75</v>
      </c>
      <c r="I989">
        <v>3</v>
      </c>
      <c r="J989">
        <v>4700.08</v>
      </c>
      <c r="K989">
        <v>9043.59</v>
      </c>
      <c r="L989">
        <v>4700.1899999999996</v>
      </c>
      <c r="M989">
        <v>9044.09</v>
      </c>
      <c r="N989">
        <v>47.001333000000002</v>
      </c>
      <c r="O989">
        <v>-90.726500000000001</v>
      </c>
      <c r="P989">
        <v>47.003166999999998</v>
      </c>
      <c r="Q989">
        <v>-90.734832999999995</v>
      </c>
      <c r="R989">
        <v>246.12315290000001</v>
      </c>
      <c r="S989">
        <v>47.7</v>
      </c>
      <c r="T989">
        <v>36.6</v>
      </c>
      <c r="U989">
        <v>0.5</v>
      </c>
      <c r="V989">
        <v>2</v>
      </c>
      <c r="W989">
        <v>7.5</v>
      </c>
      <c r="X989">
        <v>4.7109500000000004</v>
      </c>
      <c r="Y989">
        <v>0.17069999999999999</v>
      </c>
      <c r="Z989">
        <v>64.718100000000007</v>
      </c>
      <c r="AA989">
        <v>10</v>
      </c>
      <c r="AB989">
        <v>0.45</v>
      </c>
      <c r="AC989">
        <v>0</v>
      </c>
      <c r="AD989">
        <v>0</v>
      </c>
    </row>
    <row r="990" spans="1:30" x14ac:dyDescent="0.55000000000000004">
      <c r="A990">
        <v>105634</v>
      </c>
      <c r="B990" s="19">
        <v>43235</v>
      </c>
      <c r="C990">
        <v>1306</v>
      </c>
      <c r="D990">
        <v>2018</v>
      </c>
      <c r="E990">
        <v>25</v>
      </c>
      <c r="F990">
        <v>504</v>
      </c>
      <c r="G990">
        <v>1</v>
      </c>
      <c r="H990">
        <v>86</v>
      </c>
      <c r="I990">
        <v>3</v>
      </c>
      <c r="J990">
        <v>4650.1400000000003</v>
      </c>
      <c r="K990">
        <v>9043.11</v>
      </c>
      <c r="L990">
        <v>4650.46</v>
      </c>
      <c r="M990">
        <v>9043.4599999999991</v>
      </c>
      <c r="N990">
        <v>46.835667000000001</v>
      </c>
      <c r="O990">
        <v>-90.718500000000006</v>
      </c>
      <c r="P990">
        <v>46.841000000000001</v>
      </c>
      <c r="Q990">
        <v>-90.724333000000001</v>
      </c>
      <c r="R990">
        <v>365.93498879999999</v>
      </c>
      <c r="S990">
        <v>55.5</v>
      </c>
      <c r="T990">
        <v>43.6</v>
      </c>
      <c r="U990">
        <v>0.5</v>
      </c>
      <c r="V990">
        <v>2</v>
      </c>
      <c r="W990">
        <v>6.3</v>
      </c>
      <c r="X990">
        <v>3.3905500000000002</v>
      </c>
      <c r="Y990">
        <v>0.28584999999999999</v>
      </c>
      <c r="Z990">
        <v>73.819149999999993</v>
      </c>
      <c r="AA990">
        <v>10</v>
      </c>
      <c r="AB990">
        <v>2.5</v>
      </c>
      <c r="AC990">
        <v>0</v>
      </c>
      <c r="AD990">
        <v>0</v>
      </c>
    </row>
    <row r="991" spans="1:30" x14ac:dyDescent="0.55000000000000004">
      <c r="A991">
        <v>105635</v>
      </c>
      <c r="B991" s="19">
        <v>43235</v>
      </c>
      <c r="C991">
        <v>1306</v>
      </c>
      <c r="D991">
        <v>2018</v>
      </c>
      <c r="E991">
        <v>25</v>
      </c>
      <c r="F991">
        <v>505</v>
      </c>
      <c r="G991">
        <v>1</v>
      </c>
      <c r="H991">
        <v>86</v>
      </c>
      <c r="I991">
        <v>3</v>
      </c>
      <c r="J991">
        <v>4650.1400000000003</v>
      </c>
      <c r="K991">
        <v>9043.11</v>
      </c>
      <c r="L991">
        <v>4650.46</v>
      </c>
      <c r="M991">
        <v>9043.4599999999991</v>
      </c>
      <c r="N991">
        <v>46.835667000000001</v>
      </c>
      <c r="O991">
        <v>-90.718500000000006</v>
      </c>
      <c r="P991">
        <v>46.841000000000001</v>
      </c>
      <c r="Q991">
        <v>-90.724333000000001</v>
      </c>
      <c r="R991">
        <v>365.93498879999999</v>
      </c>
      <c r="S991">
        <v>55.5</v>
      </c>
      <c r="T991">
        <v>43.6</v>
      </c>
      <c r="U991">
        <v>0.5</v>
      </c>
      <c r="V991">
        <v>2</v>
      </c>
      <c r="W991">
        <v>6.3</v>
      </c>
      <c r="X991">
        <v>3.3905500000000002</v>
      </c>
      <c r="Y991">
        <v>0.28584999999999999</v>
      </c>
      <c r="Z991">
        <v>73.819149999999993</v>
      </c>
      <c r="AA991">
        <v>10</v>
      </c>
      <c r="AB991">
        <v>0.42</v>
      </c>
      <c r="AC991">
        <v>0</v>
      </c>
      <c r="AD991">
        <v>0</v>
      </c>
    </row>
    <row r="992" spans="1:30" x14ac:dyDescent="0.55000000000000004">
      <c r="A992">
        <v>105636</v>
      </c>
      <c r="B992" s="19">
        <v>43236</v>
      </c>
      <c r="C992">
        <v>923</v>
      </c>
      <c r="D992">
        <v>2018</v>
      </c>
      <c r="E992">
        <v>25</v>
      </c>
      <c r="F992">
        <v>506</v>
      </c>
      <c r="G992">
        <v>1</v>
      </c>
      <c r="H992">
        <v>24</v>
      </c>
      <c r="I992">
        <v>3</v>
      </c>
      <c r="J992">
        <v>4650.63</v>
      </c>
      <c r="K992">
        <v>9027.93</v>
      </c>
      <c r="L992">
        <v>4650.96</v>
      </c>
      <c r="M992">
        <v>9028.18</v>
      </c>
      <c r="N992">
        <v>46.843832999999997</v>
      </c>
      <c r="O992">
        <v>-90.465500000000006</v>
      </c>
      <c r="P992">
        <v>46.849333000000001</v>
      </c>
      <c r="Q992">
        <v>-90.469667000000001</v>
      </c>
      <c r="R992">
        <v>2120.1913869999998</v>
      </c>
      <c r="S992">
        <v>63.4</v>
      </c>
      <c r="T992">
        <v>19.7</v>
      </c>
      <c r="U992">
        <v>0.5</v>
      </c>
      <c r="V992">
        <v>2</v>
      </c>
      <c r="W992">
        <v>6</v>
      </c>
      <c r="X992">
        <v>3.4012500000000001</v>
      </c>
      <c r="Y992">
        <v>0.1114</v>
      </c>
      <c r="Z992">
        <v>68.079599999999999</v>
      </c>
      <c r="AA992">
        <v>10</v>
      </c>
      <c r="AB992">
        <v>0.42</v>
      </c>
      <c r="AC992">
        <v>217</v>
      </c>
      <c r="AD992">
        <v>14</v>
      </c>
    </row>
    <row r="993" spans="1:30" x14ac:dyDescent="0.55000000000000004">
      <c r="A993">
        <v>105637</v>
      </c>
      <c r="B993" s="19">
        <v>43236</v>
      </c>
      <c r="C993">
        <v>923</v>
      </c>
      <c r="D993">
        <v>2018</v>
      </c>
      <c r="E993">
        <v>25</v>
      </c>
      <c r="F993">
        <v>507</v>
      </c>
      <c r="G993">
        <v>1</v>
      </c>
      <c r="H993">
        <v>24</v>
      </c>
      <c r="I993">
        <v>3</v>
      </c>
      <c r="J993">
        <v>4650.63</v>
      </c>
      <c r="K993">
        <v>9027.93</v>
      </c>
      <c r="L993">
        <v>4650.96</v>
      </c>
      <c r="M993">
        <v>9028.18</v>
      </c>
      <c r="N993">
        <v>46.843832999999997</v>
      </c>
      <c r="O993">
        <v>-90.465500000000006</v>
      </c>
      <c r="P993">
        <v>46.849333000000001</v>
      </c>
      <c r="Q993">
        <v>-90.469667000000001</v>
      </c>
      <c r="R993">
        <v>2120.1913869999998</v>
      </c>
      <c r="S993">
        <v>63.4</v>
      </c>
      <c r="T993">
        <v>19.7</v>
      </c>
      <c r="U993">
        <v>0.5</v>
      </c>
      <c r="V993">
        <v>2</v>
      </c>
      <c r="W993">
        <v>6</v>
      </c>
      <c r="X993">
        <v>3.4012500000000001</v>
      </c>
      <c r="Y993">
        <v>0.1114</v>
      </c>
      <c r="Z993">
        <v>68.079599999999999</v>
      </c>
      <c r="AA993">
        <v>10</v>
      </c>
      <c r="AB993">
        <v>0.42</v>
      </c>
      <c r="AC993">
        <v>217</v>
      </c>
      <c r="AD993">
        <v>16</v>
      </c>
    </row>
    <row r="994" spans="1:30" x14ac:dyDescent="0.55000000000000004">
      <c r="A994">
        <v>105638</v>
      </c>
      <c r="B994" s="19">
        <v>43236</v>
      </c>
      <c r="C994">
        <v>1117</v>
      </c>
      <c r="D994">
        <v>2018</v>
      </c>
      <c r="E994">
        <v>25</v>
      </c>
      <c r="F994">
        <v>508</v>
      </c>
      <c r="G994">
        <v>1</v>
      </c>
      <c r="H994">
        <v>2</v>
      </c>
      <c r="I994">
        <v>3</v>
      </c>
      <c r="J994">
        <v>4655.08</v>
      </c>
      <c r="K994">
        <v>9033.66</v>
      </c>
      <c r="L994">
        <v>4654.7</v>
      </c>
      <c r="M994">
        <v>9033.81</v>
      </c>
      <c r="N994">
        <v>46.917999999999999</v>
      </c>
      <c r="O994">
        <v>-90.561000000000007</v>
      </c>
      <c r="P994">
        <v>46.911667000000001</v>
      </c>
      <c r="Q994">
        <v>-90.563500000000005</v>
      </c>
      <c r="R994">
        <v>500.98315270000001</v>
      </c>
      <c r="S994">
        <v>15.3</v>
      </c>
      <c r="T994">
        <v>43.7</v>
      </c>
      <c r="U994">
        <v>0.5</v>
      </c>
      <c r="V994">
        <v>2</v>
      </c>
      <c r="W994">
        <v>6.9</v>
      </c>
      <c r="X994">
        <v>3.74865</v>
      </c>
      <c r="Y994">
        <v>0.19894999999999999</v>
      </c>
      <c r="Z994">
        <v>75.335849999999994</v>
      </c>
      <c r="AA994">
        <v>10</v>
      </c>
      <c r="AB994">
        <v>0.42</v>
      </c>
      <c r="AC994">
        <v>217</v>
      </c>
      <c r="AD994">
        <v>18</v>
      </c>
    </row>
    <row r="995" spans="1:30" x14ac:dyDescent="0.55000000000000004">
      <c r="A995">
        <v>105639</v>
      </c>
      <c r="B995" s="19">
        <v>43236</v>
      </c>
      <c r="C995">
        <v>1117</v>
      </c>
      <c r="D995">
        <v>2018</v>
      </c>
      <c r="E995">
        <v>25</v>
      </c>
      <c r="F995">
        <v>509</v>
      </c>
      <c r="G995">
        <v>1</v>
      </c>
      <c r="H995">
        <v>2</v>
      </c>
      <c r="I995">
        <v>3</v>
      </c>
      <c r="J995">
        <v>4655.08</v>
      </c>
      <c r="K995">
        <v>9033.66</v>
      </c>
      <c r="L995">
        <v>4654.7</v>
      </c>
      <c r="M995">
        <v>9033.81</v>
      </c>
      <c r="N995">
        <v>46.917999999999999</v>
      </c>
      <c r="O995">
        <v>-90.561000000000007</v>
      </c>
      <c r="P995">
        <v>46.911667000000001</v>
      </c>
      <c r="Q995">
        <v>-90.563500000000005</v>
      </c>
      <c r="R995">
        <v>500.98315270000001</v>
      </c>
      <c r="S995">
        <v>15.3</v>
      </c>
      <c r="T995">
        <v>43.7</v>
      </c>
      <c r="U995">
        <v>0.5</v>
      </c>
      <c r="V995">
        <v>2</v>
      </c>
      <c r="W995">
        <v>6.9</v>
      </c>
      <c r="X995">
        <v>3.74865</v>
      </c>
      <c r="Y995">
        <v>0.19894999999999999</v>
      </c>
      <c r="Z995">
        <v>75.335849999999994</v>
      </c>
      <c r="AA995">
        <v>10</v>
      </c>
      <c r="AB995">
        <v>0.42</v>
      </c>
      <c r="AC995">
        <v>217</v>
      </c>
      <c r="AD995">
        <v>7</v>
      </c>
    </row>
    <row r="996" spans="1:30" x14ac:dyDescent="0.55000000000000004">
      <c r="A996">
        <v>105640</v>
      </c>
      <c r="B996" s="19">
        <v>43236</v>
      </c>
      <c r="C996">
        <v>1313</v>
      </c>
      <c r="D996">
        <v>2018</v>
      </c>
      <c r="E996">
        <v>25</v>
      </c>
      <c r="F996">
        <v>510</v>
      </c>
      <c r="G996">
        <v>1</v>
      </c>
      <c r="H996">
        <v>87</v>
      </c>
      <c r="I996">
        <v>3</v>
      </c>
      <c r="J996">
        <v>4656.54</v>
      </c>
      <c r="K996">
        <v>9039.0300000000007</v>
      </c>
      <c r="L996">
        <v>4656.2299999999996</v>
      </c>
      <c r="M996">
        <v>9038.7900000000009</v>
      </c>
      <c r="N996">
        <v>46.942332999999998</v>
      </c>
      <c r="O996">
        <v>-90.650499999999994</v>
      </c>
      <c r="P996">
        <v>46.937167000000002</v>
      </c>
      <c r="Q996">
        <v>-90.646500000000003</v>
      </c>
      <c r="R996">
        <v>171.78592839999999</v>
      </c>
      <c r="S996">
        <v>58</v>
      </c>
      <c r="T996">
        <v>43.3</v>
      </c>
      <c r="U996">
        <v>0.5</v>
      </c>
      <c r="V996">
        <v>2</v>
      </c>
      <c r="W996">
        <v>6.7</v>
      </c>
      <c r="X996">
        <v>3.9385500000000002</v>
      </c>
      <c r="Y996">
        <v>0.25785000000000002</v>
      </c>
      <c r="Z996">
        <v>82.416399999999996</v>
      </c>
      <c r="AA996">
        <v>10</v>
      </c>
      <c r="AB996">
        <v>0.43</v>
      </c>
      <c r="AC996">
        <v>217</v>
      </c>
      <c r="AD996">
        <v>1</v>
      </c>
    </row>
    <row r="997" spans="1:30" x14ac:dyDescent="0.55000000000000004">
      <c r="A997">
        <v>105641</v>
      </c>
      <c r="B997" s="19">
        <v>43236</v>
      </c>
      <c r="C997">
        <v>1313</v>
      </c>
      <c r="D997">
        <v>2018</v>
      </c>
      <c r="E997">
        <v>25</v>
      </c>
      <c r="F997">
        <v>511</v>
      </c>
      <c r="G997">
        <v>1</v>
      </c>
      <c r="H997">
        <v>87</v>
      </c>
      <c r="I997">
        <v>3</v>
      </c>
      <c r="J997">
        <v>4656.54</v>
      </c>
      <c r="K997">
        <v>9039.0300000000007</v>
      </c>
      <c r="L997">
        <v>4656.2299999999996</v>
      </c>
      <c r="M997">
        <v>9038.7900000000009</v>
      </c>
      <c r="N997">
        <v>46.942332999999998</v>
      </c>
      <c r="O997">
        <v>-90.650499999999994</v>
      </c>
      <c r="P997">
        <v>46.937167000000002</v>
      </c>
      <c r="Q997">
        <v>-90.646500000000003</v>
      </c>
      <c r="R997">
        <v>171.78592839999999</v>
      </c>
      <c r="S997">
        <v>58</v>
      </c>
      <c r="T997">
        <v>43.3</v>
      </c>
      <c r="U997">
        <v>0.5</v>
      </c>
      <c r="V997">
        <v>2</v>
      </c>
      <c r="W997">
        <v>6.7</v>
      </c>
      <c r="X997">
        <v>3.9385500000000002</v>
      </c>
      <c r="Y997">
        <v>0.25785000000000002</v>
      </c>
      <c r="Z997">
        <v>82.416399999999996</v>
      </c>
      <c r="AA997">
        <v>10</v>
      </c>
      <c r="AB997">
        <v>0.43</v>
      </c>
      <c r="AC997">
        <v>0</v>
      </c>
      <c r="AD997">
        <v>0</v>
      </c>
    </row>
    <row r="998" spans="1:30" x14ac:dyDescent="0.55000000000000004">
      <c r="A998">
        <v>105642</v>
      </c>
      <c r="B998" s="19">
        <v>43237</v>
      </c>
      <c r="C998">
        <v>959</v>
      </c>
      <c r="D998">
        <v>2018</v>
      </c>
      <c r="E998">
        <v>25</v>
      </c>
      <c r="F998">
        <v>512</v>
      </c>
      <c r="G998">
        <v>1</v>
      </c>
      <c r="H998">
        <v>52</v>
      </c>
      <c r="I998">
        <v>3</v>
      </c>
      <c r="J998">
        <v>4658.26</v>
      </c>
      <c r="K998">
        <v>9026.9699999999993</v>
      </c>
      <c r="L998">
        <v>4658.6000000000004</v>
      </c>
      <c r="M998">
        <v>9027.14</v>
      </c>
      <c r="N998">
        <v>46.970999999999997</v>
      </c>
      <c r="O998">
        <v>-90.4495</v>
      </c>
      <c r="P998">
        <v>46.976700000000001</v>
      </c>
      <c r="Q998">
        <v>-90.452332999999996</v>
      </c>
      <c r="R998">
        <v>1238.123083</v>
      </c>
      <c r="S998">
        <v>116</v>
      </c>
      <c r="T998">
        <v>36.4</v>
      </c>
      <c r="U998">
        <v>0.5</v>
      </c>
      <c r="V998">
        <v>2</v>
      </c>
      <c r="W998">
        <v>6.3</v>
      </c>
      <c r="X998">
        <v>3.3908499999999999</v>
      </c>
      <c r="Y998">
        <v>0.13145000000000001</v>
      </c>
      <c r="Z998">
        <v>62.339550000000003</v>
      </c>
      <c r="AA998">
        <v>10</v>
      </c>
      <c r="AB998">
        <v>0.42</v>
      </c>
      <c r="AC998">
        <v>0</v>
      </c>
      <c r="AD998">
        <v>0</v>
      </c>
    </row>
    <row r="999" spans="1:30" x14ac:dyDescent="0.55000000000000004">
      <c r="A999">
        <v>105643</v>
      </c>
      <c r="B999" s="19">
        <v>43237</v>
      </c>
      <c r="C999">
        <v>959</v>
      </c>
      <c r="D999">
        <v>2018</v>
      </c>
      <c r="E999">
        <v>25</v>
      </c>
      <c r="F999">
        <v>513</v>
      </c>
      <c r="G999">
        <v>1</v>
      </c>
      <c r="H999">
        <v>52</v>
      </c>
      <c r="I999">
        <v>3</v>
      </c>
      <c r="J999">
        <v>4658.26</v>
      </c>
      <c r="K999">
        <v>9026.9699999999993</v>
      </c>
      <c r="L999">
        <v>4658.6000000000004</v>
      </c>
      <c r="M999">
        <v>9027.14</v>
      </c>
      <c r="N999">
        <v>46.970999999999997</v>
      </c>
      <c r="O999">
        <v>-90.4495</v>
      </c>
      <c r="P999">
        <v>46.976666999999999</v>
      </c>
      <c r="Q999">
        <v>-90.452332999999996</v>
      </c>
      <c r="R999">
        <v>1238.123083</v>
      </c>
      <c r="S999">
        <v>116</v>
      </c>
      <c r="T999">
        <v>36.4</v>
      </c>
      <c r="U999">
        <v>0.5</v>
      </c>
      <c r="V999">
        <v>2</v>
      </c>
      <c r="W999">
        <v>6.3</v>
      </c>
      <c r="X999">
        <v>3.3908499999999999</v>
      </c>
      <c r="Y999">
        <v>0.13145000000000001</v>
      </c>
      <c r="Z999">
        <v>62.339550000000003</v>
      </c>
      <c r="AA999">
        <v>10</v>
      </c>
      <c r="AB999">
        <v>0.42</v>
      </c>
      <c r="AC999">
        <v>217</v>
      </c>
      <c r="AD999">
        <v>1</v>
      </c>
    </row>
    <row r="1000" spans="1:30" x14ac:dyDescent="0.55000000000000004">
      <c r="A1000">
        <v>105644</v>
      </c>
      <c r="B1000" s="19">
        <v>43237</v>
      </c>
      <c r="C1000">
        <v>1140</v>
      </c>
      <c r="D1000">
        <v>2018</v>
      </c>
      <c r="E1000">
        <v>25</v>
      </c>
      <c r="F1000">
        <v>514</v>
      </c>
      <c r="G1000">
        <v>1</v>
      </c>
      <c r="H1000">
        <v>44</v>
      </c>
      <c r="I1000">
        <v>3</v>
      </c>
      <c r="J1000">
        <v>4702.04</v>
      </c>
      <c r="K1000">
        <v>9029.94</v>
      </c>
      <c r="L1000">
        <v>4701.9799999999996</v>
      </c>
      <c r="M1000">
        <v>9029.3700000000008</v>
      </c>
      <c r="N1000">
        <v>47.033999999999999</v>
      </c>
      <c r="O1000">
        <v>-90.498999999999995</v>
      </c>
      <c r="P1000">
        <v>47.033000000000001</v>
      </c>
      <c r="Q1000">
        <v>-90.489500000000007</v>
      </c>
      <c r="R1000">
        <v>1990.952313</v>
      </c>
      <c r="S1000">
        <v>56.9</v>
      </c>
      <c r="T1000">
        <v>49.6</v>
      </c>
      <c r="U1000">
        <v>0.5</v>
      </c>
      <c r="V1000">
        <v>2</v>
      </c>
      <c r="W1000">
        <v>7.5</v>
      </c>
      <c r="X1000">
        <v>4.6909000000000001</v>
      </c>
      <c r="Y1000">
        <v>6.3149999999999998E-2</v>
      </c>
      <c r="Z1000">
        <v>40.937800000000003</v>
      </c>
      <c r="AA1000">
        <v>10</v>
      </c>
      <c r="AB1000">
        <v>0.42</v>
      </c>
      <c r="AC1000">
        <v>217</v>
      </c>
      <c r="AD1000">
        <v>2</v>
      </c>
    </row>
    <row r="1001" spans="1:30" x14ac:dyDescent="0.55000000000000004">
      <c r="A1001">
        <v>105645</v>
      </c>
      <c r="B1001" s="19">
        <v>43237</v>
      </c>
      <c r="C1001">
        <v>1140</v>
      </c>
      <c r="D1001">
        <v>2018</v>
      </c>
      <c r="E1001">
        <v>25</v>
      </c>
      <c r="F1001">
        <v>515</v>
      </c>
      <c r="G1001">
        <v>1</v>
      </c>
      <c r="H1001">
        <v>44</v>
      </c>
      <c r="I1001">
        <v>3</v>
      </c>
      <c r="J1001">
        <v>4702.04</v>
      </c>
      <c r="K1001">
        <v>9029.94</v>
      </c>
      <c r="L1001">
        <v>4701.9799999999996</v>
      </c>
      <c r="M1001">
        <v>9029.3700000000008</v>
      </c>
      <c r="N1001">
        <v>47.033999999999999</v>
      </c>
      <c r="O1001">
        <v>-90.498999999999995</v>
      </c>
      <c r="P1001">
        <v>47.033000000000001</v>
      </c>
      <c r="Q1001">
        <v>-90.489500000000007</v>
      </c>
      <c r="R1001">
        <v>1990.952313</v>
      </c>
      <c r="S1001">
        <v>56.9</v>
      </c>
      <c r="T1001">
        <v>49.6</v>
      </c>
      <c r="U1001">
        <v>0.5</v>
      </c>
      <c r="V1001">
        <v>2</v>
      </c>
      <c r="W1001">
        <v>7.5</v>
      </c>
      <c r="X1001">
        <v>4.6909000000000001</v>
      </c>
      <c r="Y1001">
        <v>6.3149999999999998E-2</v>
      </c>
      <c r="Z1001">
        <v>40.937800000000003</v>
      </c>
      <c r="AA1001">
        <v>10</v>
      </c>
      <c r="AB1001">
        <v>0.42</v>
      </c>
      <c r="AC1001">
        <v>217</v>
      </c>
      <c r="AD1001">
        <v>4</v>
      </c>
    </row>
    <row r="1002" spans="1:30" x14ac:dyDescent="0.55000000000000004">
      <c r="A1002">
        <v>105646</v>
      </c>
      <c r="B1002" s="19">
        <v>43237</v>
      </c>
      <c r="C1002">
        <v>1303</v>
      </c>
      <c r="D1002">
        <v>2018</v>
      </c>
      <c r="E1002">
        <v>25</v>
      </c>
      <c r="F1002">
        <v>516</v>
      </c>
      <c r="G1002">
        <v>1</v>
      </c>
      <c r="H1002">
        <v>45</v>
      </c>
      <c r="I1002">
        <v>3</v>
      </c>
      <c r="J1002">
        <v>4658.72</v>
      </c>
      <c r="K1002">
        <v>9032.9</v>
      </c>
      <c r="L1002">
        <v>4659.05</v>
      </c>
      <c r="M1002">
        <v>9033.17</v>
      </c>
      <c r="N1002">
        <v>46.978667000000002</v>
      </c>
      <c r="O1002">
        <v>-90.548333</v>
      </c>
      <c r="P1002">
        <v>46.984166999999999</v>
      </c>
      <c r="Q1002">
        <v>-90.552833000000007</v>
      </c>
      <c r="R1002">
        <v>979.68868829999997</v>
      </c>
      <c r="S1002">
        <v>66.900000000000006</v>
      </c>
      <c r="T1002">
        <v>57.5</v>
      </c>
      <c r="U1002">
        <v>0.5</v>
      </c>
      <c r="V1002">
        <v>2</v>
      </c>
      <c r="W1002">
        <v>7</v>
      </c>
      <c r="X1002">
        <v>3.8519999999999999</v>
      </c>
      <c r="Y1002">
        <v>0.11945</v>
      </c>
      <c r="Z1002">
        <v>36.247799999999998</v>
      </c>
      <c r="AA1002">
        <v>10</v>
      </c>
      <c r="AB1002">
        <v>0.42</v>
      </c>
      <c r="AC1002">
        <v>217</v>
      </c>
      <c r="AD1002">
        <v>1</v>
      </c>
    </row>
    <row r="1003" spans="1:30" x14ac:dyDescent="0.55000000000000004">
      <c r="A1003">
        <v>105647</v>
      </c>
      <c r="B1003" s="19">
        <v>43237</v>
      </c>
      <c r="C1003">
        <v>1303</v>
      </c>
      <c r="D1003">
        <v>2018</v>
      </c>
      <c r="E1003">
        <v>25</v>
      </c>
      <c r="F1003">
        <v>517</v>
      </c>
      <c r="G1003">
        <v>1</v>
      </c>
      <c r="H1003">
        <v>45</v>
      </c>
      <c r="I1003">
        <v>3</v>
      </c>
      <c r="J1003">
        <v>4658.72</v>
      </c>
      <c r="K1003">
        <v>9032.9</v>
      </c>
      <c r="L1003">
        <v>4659.05</v>
      </c>
      <c r="M1003">
        <v>9033.17</v>
      </c>
      <c r="N1003">
        <v>46.978667000000002</v>
      </c>
      <c r="O1003">
        <v>-90.548333</v>
      </c>
      <c r="P1003">
        <v>46.984166999999999</v>
      </c>
      <c r="Q1003">
        <v>-90.552833000000007</v>
      </c>
      <c r="R1003">
        <v>979.68868829999997</v>
      </c>
      <c r="S1003">
        <v>66.900000000000006</v>
      </c>
      <c r="T1003">
        <v>57.5</v>
      </c>
      <c r="U1003">
        <v>0.5</v>
      </c>
      <c r="V1003">
        <v>2</v>
      </c>
      <c r="W1003">
        <v>7</v>
      </c>
      <c r="X1003">
        <v>3.8519999999999999</v>
      </c>
      <c r="Y1003">
        <v>0.11945</v>
      </c>
      <c r="Z1003">
        <v>36.247799999999998</v>
      </c>
      <c r="AA1003">
        <v>10</v>
      </c>
      <c r="AB1003">
        <v>0.42</v>
      </c>
      <c r="AC1003">
        <v>217</v>
      </c>
      <c r="AD1003">
        <v>2</v>
      </c>
    </row>
    <row r="1004" spans="1:30" x14ac:dyDescent="0.55000000000000004">
      <c r="A1004">
        <v>105648</v>
      </c>
      <c r="B1004" s="19">
        <v>43241</v>
      </c>
      <c r="C1004">
        <v>1330</v>
      </c>
      <c r="D1004">
        <v>2018</v>
      </c>
      <c r="E1004">
        <v>25</v>
      </c>
      <c r="F1004">
        <v>518</v>
      </c>
      <c r="G1004">
        <v>1</v>
      </c>
      <c r="H1004">
        <v>190</v>
      </c>
      <c r="I1004">
        <v>3</v>
      </c>
      <c r="J1004">
        <v>4737.79</v>
      </c>
      <c r="K1004">
        <v>9042.35</v>
      </c>
      <c r="L1004">
        <v>4737.47</v>
      </c>
      <c r="M1004">
        <v>9042.77</v>
      </c>
      <c r="N1004">
        <v>47.629832999999998</v>
      </c>
      <c r="O1004">
        <v>-90.705832999999998</v>
      </c>
      <c r="P1004">
        <v>47.624499999999998</v>
      </c>
      <c r="Q1004">
        <v>-90.712833000000003</v>
      </c>
      <c r="R1004">
        <v>603.31760629999997</v>
      </c>
      <c r="S1004">
        <v>27.4</v>
      </c>
      <c r="T1004">
        <v>45.7</v>
      </c>
      <c r="U1004">
        <v>0.5</v>
      </c>
      <c r="V1004">
        <v>2</v>
      </c>
      <c r="W1004">
        <v>6.1</v>
      </c>
      <c r="X1004">
        <v>2.6762999999999999</v>
      </c>
      <c r="Y1004">
        <v>0.17560000000000001</v>
      </c>
      <c r="Z1004">
        <v>77.003950000000003</v>
      </c>
      <c r="AA1004">
        <v>10</v>
      </c>
      <c r="AB1004">
        <v>0.47</v>
      </c>
      <c r="AC1004">
        <v>0</v>
      </c>
      <c r="AD1004">
        <v>0</v>
      </c>
    </row>
    <row r="1005" spans="1:30" x14ac:dyDescent="0.55000000000000004">
      <c r="A1005">
        <v>105649</v>
      </c>
      <c r="B1005" s="19">
        <v>43241</v>
      </c>
      <c r="C1005">
        <v>1320</v>
      </c>
      <c r="D1005">
        <v>2018</v>
      </c>
      <c r="E1005">
        <v>25</v>
      </c>
      <c r="F1005">
        <v>519</v>
      </c>
      <c r="G1005">
        <v>1</v>
      </c>
      <c r="H1005">
        <v>190</v>
      </c>
      <c r="I1005">
        <v>3</v>
      </c>
      <c r="J1005">
        <v>4737.79</v>
      </c>
      <c r="K1005">
        <v>9042.35</v>
      </c>
      <c r="L1005">
        <v>4737.47</v>
      </c>
      <c r="M1005">
        <v>9042.77</v>
      </c>
      <c r="N1005">
        <v>47.629832999999998</v>
      </c>
      <c r="O1005">
        <v>-90.705832999999998</v>
      </c>
      <c r="P1005">
        <v>47.624499999999998</v>
      </c>
      <c r="Q1005">
        <v>-90.712833000000003</v>
      </c>
      <c r="R1005">
        <v>603.31760629999997</v>
      </c>
      <c r="S1005">
        <v>27.4</v>
      </c>
      <c r="T1005">
        <v>45.7</v>
      </c>
      <c r="U1005">
        <v>0.5</v>
      </c>
      <c r="V1005">
        <v>2</v>
      </c>
      <c r="W1005">
        <v>6.1</v>
      </c>
      <c r="X1005">
        <v>2.6762999999999999</v>
      </c>
      <c r="Y1005">
        <v>0.17560000000000001</v>
      </c>
      <c r="Z1005">
        <v>77.003950000000003</v>
      </c>
      <c r="AA1005">
        <v>10</v>
      </c>
      <c r="AB1005">
        <v>0.47</v>
      </c>
      <c r="AC1005">
        <v>0</v>
      </c>
      <c r="AD1005">
        <v>0</v>
      </c>
    </row>
    <row r="1006" spans="1:30" x14ac:dyDescent="0.55000000000000004">
      <c r="A1006">
        <v>105650</v>
      </c>
      <c r="B1006" s="19">
        <v>43241</v>
      </c>
      <c r="C1006">
        <v>1445</v>
      </c>
      <c r="D1006">
        <v>2018</v>
      </c>
      <c r="E1006">
        <v>25</v>
      </c>
      <c r="F1006">
        <v>520</v>
      </c>
      <c r="G1006">
        <v>1</v>
      </c>
      <c r="H1006">
        <v>208</v>
      </c>
      <c r="I1006">
        <v>3</v>
      </c>
      <c r="J1006">
        <v>4741.34</v>
      </c>
      <c r="K1006">
        <v>9031.44</v>
      </c>
      <c r="L1006">
        <v>4741.5</v>
      </c>
      <c r="M1006">
        <v>9031.9500000000007</v>
      </c>
      <c r="N1006">
        <v>47.689</v>
      </c>
      <c r="O1006">
        <v>-90.524000000000001</v>
      </c>
      <c r="P1006">
        <v>47.691667000000002</v>
      </c>
      <c r="Q1006">
        <v>-90.532499999999999</v>
      </c>
      <c r="R1006">
        <v>707.46760229999995</v>
      </c>
      <c r="S1006">
        <v>111</v>
      </c>
      <c r="T1006">
        <v>61</v>
      </c>
      <c r="U1006">
        <v>0.5</v>
      </c>
      <c r="V1006">
        <v>2</v>
      </c>
      <c r="W1006">
        <v>6.9</v>
      </c>
      <c r="X1006">
        <v>2.5672999999999999</v>
      </c>
      <c r="Y1006">
        <v>0.1772</v>
      </c>
      <c r="Z1006">
        <v>77.128</v>
      </c>
      <c r="AA1006">
        <v>10</v>
      </c>
      <c r="AB1006">
        <v>0.43</v>
      </c>
      <c r="AC1006">
        <v>0</v>
      </c>
      <c r="AD1006">
        <v>0</v>
      </c>
    </row>
    <row r="1007" spans="1:30" x14ac:dyDescent="0.55000000000000004">
      <c r="A1007">
        <v>105651</v>
      </c>
      <c r="B1007" s="19">
        <v>43241</v>
      </c>
      <c r="C1007">
        <v>1445</v>
      </c>
      <c r="D1007">
        <v>2018</v>
      </c>
      <c r="E1007">
        <v>25</v>
      </c>
      <c r="F1007">
        <v>521</v>
      </c>
      <c r="G1007">
        <v>1</v>
      </c>
      <c r="H1007">
        <v>208</v>
      </c>
      <c r="I1007">
        <v>3</v>
      </c>
      <c r="J1007">
        <v>4741.34</v>
      </c>
      <c r="K1007">
        <v>9031.44</v>
      </c>
      <c r="L1007">
        <v>4741.5</v>
      </c>
      <c r="M1007">
        <v>9031.9500000000007</v>
      </c>
      <c r="N1007">
        <v>47.689</v>
      </c>
      <c r="O1007">
        <v>-90.524000000000001</v>
      </c>
      <c r="P1007">
        <v>47.691667000000002</v>
      </c>
      <c r="Q1007">
        <v>-90.532499999999999</v>
      </c>
      <c r="R1007">
        <v>707.46760229999995</v>
      </c>
      <c r="S1007">
        <v>111</v>
      </c>
      <c r="T1007">
        <v>61</v>
      </c>
      <c r="U1007">
        <v>0.5</v>
      </c>
      <c r="V1007">
        <v>2</v>
      </c>
      <c r="W1007">
        <v>6.9</v>
      </c>
      <c r="X1007">
        <v>2.5672999999999999</v>
      </c>
      <c r="Y1007">
        <v>0.1772</v>
      </c>
      <c r="Z1007">
        <v>77.128</v>
      </c>
      <c r="AA1007">
        <v>10</v>
      </c>
      <c r="AB1007">
        <v>0.43</v>
      </c>
      <c r="AC1007">
        <v>0</v>
      </c>
      <c r="AD1007">
        <v>0</v>
      </c>
    </row>
    <row r="1008" spans="1:30" x14ac:dyDescent="0.55000000000000004">
      <c r="A1008">
        <v>105652</v>
      </c>
      <c r="B1008" s="19">
        <v>43241</v>
      </c>
      <c r="C1008">
        <v>1640</v>
      </c>
      <c r="D1008">
        <v>2018</v>
      </c>
      <c r="E1008">
        <v>25</v>
      </c>
      <c r="F1008">
        <v>522</v>
      </c>
      <c r="G1008">
        <v>1</v>
      </c>
      <c r="H1008">
        <v>65</v>
      </c>
      <c r="I1008">
        <v>3</v>
      </c>
      <c r="J1008">
        <v>4744.6400000000003</v>
      </c>
      <c r="K1008">
        <v>9018.49</v>
      </c>
      <c r="L1008">
        <v>4744.71</v>
      </c>
      <c r="M1008">
        <v>9019.08</v>
      </c>
      <c r="N1008">
        <v>47.744</v>
      </c>
      <c r="O1008">
        <v>-90.308166999999997</v>
      </c>
      <c r="P1008">
        <v>47.745167000000002</v>
      </c>
      <c r="Q1008">
        <v>-90.317999999999998</v>
      </c>
      <c r="R1008">
        <v>688.20263509999995</v>
      </c>
      <c r="S1008">
        <v>93.7</v>
      </c>
      <c r="T1008">
        <v>61.8</v>
      </c>
      <c r="U1008">
        <v>0.5</v>
      </c>
      <c r="V1008">
        <v>2</v>
      </c>
      <c r="W1008">
        <v>6</v>
      </c>
      <c r="X1008">
        <v>2.4902000000000002</v>
      </c>
      <c r="Y1008">
        <v>0.16600000000000001</v>
      </c>
      <c r="Z1008">
        <v>78.374449999999996</v>
      </c>
      <c r="AA1008">
        <v>10</v>
      </c>
      <c r="AB1008">
        <v>0.45</v>
      </c>
      <c r="AC1008">
        <v>0</v>
      </c>
      <c r="AD1008">
        <v>0</v>
      </c>
    </row>
    <row r="1009" spans="1:30" x14ac:dyDescent="0.55000000000000004">
      <c r="A1009">
        <v>105653</v>
      </c>
      <c r="B1009" s="19">
        <v>43241</v>
      </c>
      <c r="C1009">
        <v>1640</v>
      </c>
      <c r="D1009">
        <v>2018</v>
      </c>
      <c r="E1009">
        <v>25</v>
      </c>
      <c r="F1009">
        <v>523</v>
      </c>
      <c r="G1009">
        <v>1</v>
      </c>
      <c r="H1009">
        <v>65</v>
      </c>
      <c r="I1009">
        <v>3</v>
      </c>
      <c r="J1009">
        <v>4744.6400000000003</v>
      </c>
      <c r="K1009">
        <v>9018.49</v>
      </c>
      <c r="L1009">
        <v>4744.71</v>
      </c>
      <c r="M1009">
        <v>9019.08</v>
      </c>
      <c r="N1009">
        <v>47.744</v>
      </c>
      <c r="O1009">
        <v>-90.308166999999997</v>
      </c>
      <c r="P1009">
        <v>47.745167000000002</v>
      </c>
      <c r="Q1009">
        <v>-90.317999999999998</v>
      </c>
      <c r="R1009">
        <v>688.20263509999995</v>
      </c>
      <c r="S1009">
        <v>93.7</v>
      </c>
      <c r="T1009">
        <v>61.8</v>
      </c>
      <c r="U1009">
        <v>0.5</v>
      </c>
      <c r="V1009">
        <v>2</v>
      </c>
      <c r="W1009">
        <v>6</v>
      </c>
      <c r="X1009">
        <v>2.4902000000000002</v>
      </c>
      <c r="Y1009">
        <v>0.16600000000000001</v>
      </c>
      <c r="Z1009">
        <v>78.374449999999996</v>
      </c>
      <c r="AA1009">
        <v>10</v>
      </c>
      <c r="AB1009">
        <v>0.45</v>
      </c>
      <c r="AC1009">
        <v>217</v>
      </c>
      <c r="AD1009">
        <v>1</v>
      </c>
    </row>
    <row r="1010" spans="1:30" x14ac:dyDescent="0.55000000000000004">
      <c r="A1010">
        <v>105654</v>
      </c>
      <c r="B1010" s="19">
        <v>43242</v>
      </c>
      <c r="C1010">
        <v>1104</v>
      </c>
      <c r="D1010">
        <v>2018</v>
      </c>
      <c r="E1010">
        <v>25</v>
      </c>
      <c r="F1010">
        <v>524</v>
      </c>
      <c r="G1010">
        <v>1</v>
      </c>
      <c r="H1010">
        <v>172</v>
      </c>
      <c r="I1010">
        <v>3</v>
      </c>
      <c r="J1010">
        <v>4719.53</v>
      </c>
      <c r="K1010">
        <v>9111.6200000000008</v>
      </c>
      <c r="L1010">
        <v>4719.92</v>
      </c>
      <c r="M1010">
        <v>9111.69</v>
      </c>
      <c r="N1010">
        <v>47.325499999999998</v>
      </c>
      <c r="O1010">
        <v>-91.193667000000005</v>
      </c>
      <c r="P1010">
        <v>47.332000000000001</v>
      </c>
      <c r="Q1010">
        <v>-91.194833000000003</v>
      </c>
      <c r="R1010">
        <v>370.65774320000003</v>
      </c>
      <c r="S1010">
        <v>127.7</v>
      </c>
      <c r="T1010">
        <v>26.5</v>
      </c>
      <c r="U1010">
        <v>0.5</v>
      </c>
      <c r="V1010">
        <v>2</v>
      </c>
      <c r="W1010">
        <v>6.7</v>
      </c>
      <c r="X1010">
        <v>2.5097499999999999</v>
      </c>
      <c r="Y1010">
        <v>0.15154999999999999</v>
      </c>
      <c r="Z1010">
        <v>92.115049999999997</v>
      </c>
      <c r="AA1010">
        <v>10</v>
      </c>
      <c r="AB1010">
        <v>0.42</v>
      </c>
      <c r="AC1010">
        <v>217</v>
      </c>
      <c r="AD1010">
        <v>3</v>
      </c>
    </row>
    <row r="1011" spans="1:30" x14ac:dyDescent="0.55000000000000004">
      <c r="A1011">
        <v>105654</v>
      </c>
      <c r="B1011" s="19">
        <v>43242</v>
      </c>
      <c r="C1011">
        <v>1104</v>
      </c>
      <c r="D1011">
        <v>2018</v>
      </c>
      <c r="E1011">
        <v>25</v>
      </c>
      <c r="F1011">
        <v>524</v>
      </c>
      <c r="G1011">
        <v>1</v>
      </c>
      <c r="H1011">
        <v>172</v>
      </c>
      <c r="I1011">
        <v>3</v>
      </c>
      <c r="J1011">
        <v>4719.53</v>
      </c>
      <c r="K1011">
        <v>9111.6200000000008</v>
      </c>
      <c r="L1011">
        <v>4719.92</v>
      </c>
      <c r="M1011">
        <v>9111.69</v>
      </c>
      <c r="N1011">
        <v>47.325499999999998</v>
      </c>
      <c r="O1011">
        <v>-91.193667000000005</v>
      </c>
      <c r="P1011">
        <v>47.332000000000001</v>
      </c>
      <c r="Q1011">
        <v>-91.194833000000003</v>
      </c>
      <c r="R1011">
        <v>370.65774320000003</v>
      </c>
      <c r="S1011">
        <v>127.7</v>
      </c>
      <c r="T1011">
        <v>26.5</v>
      </c>
      <c r="U1011">
        <v>0.5</v>
      </c>
      <c r="V1011">
        <v>2</v>
      </c>
      <c r="W1011">
        <v>6.7</v>
      </c>
      <c r="X1011">
        <v>2.5097499999999999</v>
      </c>
      <c r="Y1011">
        <v>0.15154999999999999</v>
      </c>
      <c r="Z1011">
        <v>92.115049999999997</v>
      </c>
      <c r="AA1011">
        <v>10</v>
      </c>
      <c r="AB1011">
        <v>0.42</v>
      </c>
      <c r="AC1011">
        <v>316</v>
      </c>
      <c r="AD1011">
        <v>1</v>
      </c>
    </row>
    <row r="1012" spans="1:30" x14ac:dyDescent="0.55000000000000004">
      <c r="A1012">
        <v>105655</v>
      </c>
      <c r="B1012" s="19">
        <v>43242</v>
      </c>
      <c r="C1012">
        <v>1104</v>
      </c>
      <c r="D1012">
        <v>2018</v>
      </c>
      <c r="E1012">
        <v>25</v>
      </c>
      <c r="F1012">
        <v>525</v>
      </c>
      <c r="G1012">
        <v>1</v>
      </c>
      <c r="H1012">
        <v>172</v>
      </c>
      <c r="I1012">
        <v>3</v>
      </c>
      <c r="J1012">
        <v>4719.53</v>
      </c>
      <c r="K1012">
        <v>9111.6200000000008</v>
      </c>
      <c r="L1012">
        <v>4719.92</v>
      </c>
      <c r="M1012">
        <v>9111.69</v>
      </c>
      <c r="N1012">
        <v>47.325499999999998</v>
      </c>
      <c r="O1012">
        <v>-91.193667000000005</v>
      </c>
      <c r="P1012">
        <v>47.332000000000001</v>
      </c>
      <c r="Q1012">
        <v>-91.194833000000003</v>
      </c>
      <c r="R1012">
        <v>370.65774320000003</v>
      </c>
      <c r="S1012">
        <v>127.7</v>
      </c>
      <c r="T1012">
        <v>26.5</v>
      </c>
      <c r="U1012">
        <v>0.5</v>
      </c>
      <c r="V1012">
        <v>2</v>
      </c>
      <c r="W1012">
        <v>6.7</v>
      </c>
      <c r="X1012">
        <v>2.5097499999999999</v>
      </c>
      <c r="Y1012">
        <v>0.15154999999999999</v>
      </c>
      <c r="Z1012">
        <v>92.115049999999997</v>
      </c>
      <c r="AA1012">
        <v>10</v>
      </c>
      <c r="AB1012">
        <v>0.42</v>
      </c>
      <c r="AC1012">
        <v>217</v>
      </c>
      <c r="AD1012">
        <v>2</v>
      </c>
    </row>
    <row r="1013" spans="1:30" x14ac:dyDescent="0.55000000000000004">
      <c r="A1013">
        <v>105656</v>
      </c>
      <c r="B1013" s="19">
        <v>43242</v>
      </c>
      <c r="C1013">
        <v>1409</v>
      </c>
      <c r="D1013">
        <v>2018</v>
      </c>
      <c r="E1013">
        <v>25</v>
      </c>
      <c r="F1013">
        <v>526</v>
      </c>
      <c r="G1013">
        <v>1</v>
      </c>
      <c r="H1013">
        <v>188</v>
      </c>
      <c r="I1013">
        <v>3</v>
      </c>
      <c r="J1013">
        <v>4704.6400000000003</v>
      </c>
      <c r="K1013">
        <v>9133.23</v>
      </c>
      <c r="L1013">
        <v>4705.01</v>
      </c>
      <c r="M1013">
        <v>9134.0300000000007</v>
      </c>
      <c r="N1013">
        <v>47.077333000000003</v>
      </c>
      <c r="O1013">
        <v>-91.553832999999997</v>
      </c>
      <c r="P1013">
        <v>47.083500000000001</v>
      </c>
      <c r="Q1013">
        <v>-91.567166999999998</v>
      </c>
      <c r="R1013">
        <v>1203.670781</v>
      </c>
      <c r="S1013">
        <v>25.8</v>
      </c>
      <c r="T1013">
        <v>26.6</v>
      </c>
      <c r="U1013">
        <v>0.5</v>
      </c>
      <c r="V1013">
        <v>2</v>
      </c>
      <c r="W1013">
        <v>6.9</v>
      </c>
      <c r="X1013">
        <v>2.81535</v>
      </c>
      <c r="Y1013">
        <v>0.13685</v>
      </c>
      <c r="Z1013">
        <v>89.934650000000005</v>
      </c>
      <c r="AA1013">
        <v>10</v>
      </c>
      <c r="AB1013">
        <v>0.43</v>
      </c>
      <c r="AC1013">
        <v>0</v>
      </c>
      <c r="AD1013">
        <v>0</v>
      </c>
    </row>
    <row r="1014" spans="1:30" x14ac:dyDescent="0.55000000000000004">
      <c r="A1014">
        <v>105657</v>
      </c>
      <c r="B1014" s="19">
        <v>43242</v>
      </c>
      <c r="C1014">
        <v>1409</v>
      </c>
      <c r="D1014">
        <v>2018</v>
      </c>
      <c r="E1014">
        <v>25</v>
      </c>
      <c r="F1014">
        <v>527</v>
      </c>
      <c r="G1014">
        <v>1</v>
      </c>
      <c r="H1014">
        <v>188</v>
      </c>
      <c r="I1014">
        <v>3</v>
      </c>
      <c r="J1014">
        <v>4704.6400000000003</v>
      </c>
      <c r="K1014">
        <v>9133.23</v>
      </c>
      <c r="L1014">
        <v>4705.01</v>
      </c>
      <c r="M1014">
        <v>9134.0300000000007</v>
      </c>
      <c r="N1014">
        <v>47.077333000000003</v>
      </c>
      <c r="O1014">
        <v>-91.553832999999997</v>
      </c>
      <c r="P1014">
        <v>47.083500000000001</v>
      </c>
      <c r="Q1014">
        <v>-91.567166999999998</v>
      </c>
      <c r="R1014">
        <v>1203.670781</v>
      </c>
      <c r="S1014">
        <v>25.8</v>
      </c>
      <c r="T1014">
        <v>26.6</v>
      </c>
      <c r="U1014">
        <v>0.5</v>
      </c>
      <c r="V1014">
        <v>2</v>
      </c>
      <c r="W1014">
        <v>6.9</v>
      </c>
      <c r="X1014">
        <v>2.81535</v>
      </c>
      <c r="Y1014">
        <v>0.13685</v>
      </c>
      <c r="Z1014">
        <v>89.934650000000005</v>
      </c>
      <c r="AA1014">
        <v>10</v>
      </c>
      <c r="AB1014">
        <v>0.43</v>
      </c>
      <c r="AC1014">
        <v>0</v>
      </c>
      <c r="AD1014">
        <v>0</v>
      </c>
    </row>
    <row r="1015" spans="1:30" x14ac:dyDescent="0.55000000000000004">
      <c r="A1015">
        <v>105658</v>
      </c>
      <c r="B1015" s="19">
        <v>43242</v>
      </c>
      <c r="C1015">
        <v>1534</v>
      </c>
      <c r="D1015">
        <v>2018</v>
      </c>
      <c r="E1015">
        <v>25</v>
      </c>
      <c r="F1015">
        <v>528</v>
      </c>
      <c r="G1015">
        <v>1</v>
      </c>
      <c r="H1015">
        <v>36</v>
      </c>
      <c r="I1015">
        <v>3</v>
      </c>
      <c r="J1015">
        <v>4659.8900000000003</v>
      </c>
      <c r="K1015">
        <v>9141.14</v>
      </c>
      <c r="L1015">
        <v>4659.97</v>
      </c>
      <c r="M1015">
        <v>9141.7199999999993</v>
      </c>
      <c r="N1015">
        <v>46.998167000000002</v>
      </c>
      <c r="O1015">
        <v>-91.685666999999995</v>
      </c>
      <c r="P1015">
        <v>46.999499999999998</v>
      </c>
      <c r="Q1015">
        <v>-91.695333000000005</v>
      </c>
      <c r="R1015">
        <v>629.54925539999999</v>
      </c>
      <c r="S1015">
        <v>41.8</v>
      </c>
      <c r="T1015">
        <v>31.3</v>
      </c>
      <c r="U1015">
        <v>0.5</v>
      </c>
      <c r="V1015">
        <v>2</v>
      </c>
      <c r="W1015">
        <v>6.1</v>
      </c>
      <c r="X1015">
        <v>2.9939499999999999</v>
      </c>
      <c r="Y1015">
        <v>0.15459999999999999</v>
      </c>
      <c r="Z1015">
        <v>89.838250000000002</v>
      </c>
      <c r="AA1015">
        <v>10</v>
      </c>
      <c r="AB1015">
        <v>0.43</v>
      </c>
      <c r="AC1015">
        <v>0</v>
      </c>
      <c r="AD1015">
        <v>0</v>
      </c>
    </row>
    <row r="1016" spans="1:30" x14ac:dyDescent="0.55000000000000004">
      <c r="A1016">
        <v>105659</v>
      </c>
      <c r="B1016" s="19">
        <v>43242</v>
      </c>
      <c r="C1016">
        <v>1534</v>
      </c>
      <c r="D1016">
        <v>2018</v>
      </c>
      <c r="E1016">
        <v>25</v>
      </c>
      <c r="F1016">
        <v>529</v>
      </c>
      <c r="G1016">
        <v>1</v>
      </c>
      <c r="H1016">
        <v>36</v>
      </c>
      <c r="I1016">
        <v>3</v>
      </c>
      <c r="J1016">
        <v>4659.8900000000003</v>
      </c>
      <c r="K1016">
        <v>9141.14</v>
      </c>
      <c r="L1016">
        <v>4659.97</v>
      </c>
      <c r="M1016">
        <v>9141.7199999999993</v>
      </c>
      <c r="N1016">
        <v>46.998167000000002</v>
      </c>
      <c r="O1016">
        <v>-91.685666999999995</v>
      </c>
      <c r="P1016">
        <v>46.999499999999998</v>
      </c>
      <c r="Q1016">
        <v>-91.695333000000005</v>
      </c>
      <c r="R1016">
        <v>629.54925539999999</v>
      </c>
      <c r="S1016">
        <v>41.8</v>
      </c>
      <c r="T1016">
        <v>31.3</v>
      </c>
      <c r="U1016">
        <v>0.5</v>
      </c>
      <c r="V1016">
        <v>2</v>
      </c>
      <c r="W1016">
        <v>6.1</v>
      </c>
      <c r="X1016">
        <v>2.9939499999999999</v>
      </c>
      <c r="Y1016">
        <v>0.15459999999999999</v>
      </c>
      <c r="Z1016">
        <v>89.838250000000002</v>
      </c>
      <c r="AA1016">
        <v>10</v>
      </c>
      <c r="AB1016">
        <v>0.43</v>
      </c>
      <c r="AC1016">
        <v>0</v>
      </c>
      <c r="AD1016">
        <v>0</v>
      </c>
    </row>
    <row r="1017" spans="1:30" x14ac:dyDescent="0.55000000000000004">
      <c r="A1017">
        <v>105660</v>
      </c>
      <c r="B1017" s="19">
        <v>43243</v>
      </c>
      <c r="C1017">
        <v>752</v>
      </c>
      <c r="D1017">
        <v>2018</v>
      </c>
      <c r="E1017">
        <v>25</v>
      </c>
      <c r="F1017">
        <v>530</v>
      </c>
      <c r="G1017">
        <v>1</v>
      </c>
      <c r="H1017">
        <v>210</v>
      </c>
      <c r="I1017">
        <v>3</v>
      </c>
      <c r="J1017">
        <v>4643.5</v>
      </c>
      <c r="K1017">
        <v>9201.52</v>
      </c>
      <c r="L1017">
        <v>4643.76</v>
      </c>
      <c r="M1017">
        <v>9201.0400000000009</v>
      </c>
      <c r="N1017">
        <v>46.725000000000001</v>
      </c>
      <c r="O1017">
        <v>-92.025333000000003</v>
      </c>
      <c r="P1017">
        <v>46.729332999999997</v>
      </c>
      <c r="Q1017">
        <v>-92.017332999999994</v>
      </c>
      <c r="R1017">
        <v>1160.9052320000001</v>
      </c>
      <c r="S1017">
        <v>14.6</v>
      </c>
      <c r="T1017">
        <v>18.3</v>
      </c>
      <c r="U1017">
        <v>0.5</v>
      </c>
      <c r="V1017">
        <v>2</v>
      </c>
      <c r="W1017">
        <v>13.7</v>
      </c>
      <c r="X1017">
        <v>10.393050000000001</v>
      </c>
      <c r="Y1017">
        <v>1.0822499999999999</v>
      </c>
      <c r="Z1017">
        <v>16.18355</v>
      </c>
      <c r="AA1017">
        <v>10</v>
      </c>
      <c r="AB1017">
        <v>0.42</v>
      </c>
      <c r="AC1017">
        <v>217</v>
      </c>
      <c r="AD1017">
        <v>17</v>
      </c>
    </row>
    <row r="1018" spans="1:30" x14ac:dyDescent="0.55000000000000004">
      <c r="A1018">
        <v>105661</v>
      </c>
      <c r="B1018" s="19">
        <v>43243</v>
      </c>
      <c r="C1018">
        <v>752</v>
      </c>
      <c r="D1018">
        <v>2018</v>
      </c>
      <c r="E1018">
        <v>25</v>
      </c>
      <c r="F1018">
        <v>531</v>
      </c>
      <c r="G1018">
        <v>1</v>
      </c>
      <c r="H1018">
        <v>210</v>
      </c>
      <c r="I1018">
        <v>3</v>
      </c>
      <c r="J1018">
        <v>4643.5</v>
      </c>
      <c r="K1018">
        <v>9201.52</v>
      </c>
      <c r="L1018">
        <v>4643.76</v>
      </c>
      <c r="M1018">
        <v>9201.0400000000009</v>
      </c>
      <c r="N1018">
        <v>46.725000000000001</v>
      </c>
      <c r="O1018">
        <v>-92.025333000000003</v>
      </c>
      <c r="P1018">
        <v>46.729332999999997</v>
      </c>
      <c r="Q1018">
        <v>-92.017332999999994</v>
      </c>
      <c r="R1018">
        <v>1160.9052320000001</v>
      </c>
      <c r="S1018">
        <v>14.6</v>
      </c>
      <c r="T1018">
        <v>18.3</v>
      </c>
      <c r="U1018">
        <v>0.5</v>
      </c>
      <c r="V1018">
        <v>2</v>
      </c>
      <c r="W1018">
        <v>13.7</v>
      </c>
      <c r="X1018">
        <v>10.393050000000001</v>
      </c>
      <c r="Y1018">
        <v>1.0822499999999999</v>
      </c>
      <c r="Z1018">
        <v>16.18355</v>
      </c>
      <c r="AA1018">
        <v>10</v>
      </c>
      <c r="AB1018">
        <v>0.42</v>
      </c>
      <c r="AC1018">
        <v>217</v>
      </c>
      <c r="AD1018">
        <v>20</v>
      </c>
    </row>
    <row r="1019" spans="1:30" x14ac:dyDescent="0.55000000000000004">
      <c r="A1019">
        <v>105662</v>
      </c>
      <c r="B1019" s="19">
        <v>43243</v>
      </c>
      <c r="C1019">
        <v>1023</v>
      </c>
      <c r="D1019">
        <v>2018</v>
      </c>
      <c r="E1019">
        <v>25</v>
      </c>
      <c r="F1019">
        <v>532</v>
      </c>
      <c r="G1019">
        <v>1</v>
      </c>
      <c r="H1019">
        <v>206</v>
      </c>
      <c r="I1019">
        <v>3</v>
      </c>
      <c r="J1019">
        <v>4646.1499999999996</v>
      </c>
      <c r="K1019">
        <v>9137.49</v>
      </c>
      <c r="L1019">
        <v>4646.51</v>
      </c>
      <c r="M1019">
        <v>9137.7199999999993</v>
      </c>
      <c r="N1019">
        <v>46.769167000000003</v>
      </c>
      <c r="O1019">
        <v>-91.624832999999995</v>
      </c>
      <c r="P1019">
        <v>46.775167000000003</v>
      </c>
      <c r="Q1019">
        <v>-91.628666999999993</v>
      </c>
      <c r="R1019">
        <v>2834.1058560000001</v>
      </c>
      <c r="S1019">
        <v>24.7</v>
      </c>
      <c r="T1019">
        <v>33.4</v>
      </c>
      <c r="U1019">
        <v>0.5</v>
      </c>
      <c r="V1019">
        <v>2</v>
      </c>
      <c r="W1019">
        <v>9.9</v>
      </c>
      <c r="X1019">
        <v>6.5068000000000001</v>
      </c>
      <c r="Y1019">
        <v>0.16</v>
      </c>
      <c r="Z1019">
        <v>61.826599999999999</v>
      </c>
      <c r="AA1019">
        <v>10</v>
      </c>
      <c r="AB1019">
        <v>0.42</v>
      </c>
      <c r="AC1019">
        <v>217</v>
      </c>
      <c r="AD1019">
        <v>3</v>
      </c>
    </row>
    <row r="1020" spans="1:30" x14ac:dyDescent="0.55000000000000004">
      <c r="A1020">
        <v>105663</v>
      </c>
      <c r="B1020" s="19">
        <v>43243</v>
      </c>
      <c r="C1020">
        <v>1023</v>
      </c>
      <c r="D1020">
        <v>2018</v>
      </c>
      <c r="E1020">
        <v>25</v>
      </c>
      <c r="F1020">
        <v>533</v>
      </c>
      <c r="G1020">
        <v>1</v>
      </c>
      <c r="H1020">
        <v>206</v>
      </c>
      <c r="I1020">
        <v>3</v>
      </c>
      <c r="J1020">
        <v>4646.1499999999996</v>
      </c>
      <c r="K1020">
        <v>9137.49</v>
      </c>
      <c r="L1020">
        <v>4646.51</v>
      </c>
      <c r="M1020">
        <v>9137.7199999999993</v>
      </c>
      <c r="N1020">
        <v>46.769167000000003</v>
      </c>
      <c r="O1020">
        <v>-91.624832999999995</v>
      </c>
      <c r="P1020">
        <v>46.775167000000003</v>
      </c>
      <c r="Q1020">
        <v>-91.628666999999993</v>
      </c>
      <c r="R1020">
        <v>2834.1058560000001</v>
      </c>
      <c r="S1020">
        <v>24.7</v>
      </c>
      <c r="T1020">
        <v>33.4</v>
      </c>
      <c r="U1020">
        <v>0.5</v>
      </c>
      <c r="V1020">
        <v>2</v>
      </c>
      <c r="W1020">
        <v>9.9</v>
      </c>
      <c r="X1020">
        <v>6.5068000000000001</v>
      </c>
      <c r="Y1020">
        <v>0.16</v>
      </c>
      <c r="Z1020">
        <v>61.826599999999999</v>
      </c>
      <c r="AA1020">
        <v>10</v>
      </c>
      <c r="AB1020">
        <v>0.42</v>
      </c>
      <c r="AC1020">
        <v>217</v>
      </c>
      <c r="AD1020">
        <v>2</v>
      </c>
    </row>
    <row r="1021" spans="1:30" x14ac:dyDescent="0.55000000000000004">
      <c r="A1021">
        <v>105664</v>
      </c>
      <c r="B1021" s="19">
        <v>43243</v>
      </c>
      <c r="C1021">
        <v>1230</v>
      </c>
      <c r="D1021">
        <v>2018</v>
      </c>
      <c r="E1021">
        <v>25</v>
      </c>
      <c r="F1021">
        <v>534</v>
      </c>
      <c r="G1021">
        <v>1</v>
      </c>
      <c r="H1021">
        <v>205</v>
      </c>
      <c r="I1021">
        <v>3</v>
      </c>
      <c r="J1021">
        <v>4648.53</v>
      </c>
      <c r="K1021">
        <v>9124.75</v>
      </c>
      <c r="L1021">
        <v>4648.8900000000003</v>
      </c>
      <c r="M1021">
        <v>9124.9599999999991</v>
      </c>
      <c r="N1021">
        <v>46.808833</v>
      </c>
      <c r="O1021">
        <v>-91.412499999999994</v>
      </c>
      <c r="P1021">
        <v>46.814833</v>
      </c>
      <c r="Q1021">
        <v>-91.415999999999997</v>
      </c>
      <c r="R1021">
        <v>1605.8109830000001</v>
      </c>
      <c r="S1021">
        <v>23.6</v>
      </c>
      <c r="T1021">
        <v>31.2</v>
      </c>
      <c r="U1021">
        <v>0.5</v>
      </c>
      <c r="V1021">
        <v>2</v>
      </c>
      <c r="W1021">
        <v>6.8</v>
      </c>
      <c r="X1021">
        <v>4.0799500000000002</v>
      </c>
      <c r="Y1021">
        <v>0.25095000000000001</v>
      </c>
      <c r="Z1021">
        <v>83.914100000000005</v>
      </c>
      <c r="AA1021">
        <v>10</v>
      </c>
      <c r="AB1021">
        <v>0.42</v>
      </c>
      <c r="AC1021">
        <v>0</v>
      </c>
      <c r="AD1021">
        <v>0</v>
      </c>
    </row>
    <row r="1022" spans="1:30" x14ac:dyDescent="0.55000000000000004">
      <c r="A1022">
        <v>105665</v>
      </c>
      <c r="B1022" s="19">
        <v>43243</v>
      </c>
      <c r="C1022">
        <v>1230</v>
      </c>
      <c r="D1022">
        <v>2018</v>
      </c>
      <c r="E1022">
        <v>25</v>
      </c>
      <c r="F1022">
        <v>535</v>
      </c>
      <c r="G1022">
        <v>1</v>
      </c>
      <c r="H1022">
        <v>205</v>
      </c>
      <c r="I1022">
        <v>3</v>
      </c>
      <c r="J1022">
        <v>4648.53</v>
      </c>
      <c r="K1022">
        <v>9124.75</v>
      </c>
      <c r="L1022">
        <v>4648.8900000000003</v>
      </c>
      <c r="M1022">
        <v>9124.9599999999991</v>
      </c>
      <c r="N1022">
        <v>46.808833</v>
      </c>
      <c r="O1022">
        <v>-91.412499999999994</v>
      </c>
      <c r="P1022">
        <v>46.814833</v>
      </c>
      <c r="Q1022">
        <v>-91.415999999999997</v>
      </c>
      <c r="R1022">
        <v>1605.8109830000001</v>
      </c>
      <c r="S1022">
        <v>23.6</v>
      </c>
      <c r="T1022">
        <v>31.2</v>
      </c>
      <c r="U1022">
        <v>0.5</v>
      </c>
      <c r="V1022">
        <v>2</v>
      </c>
      <c r="W1022">
        <v>6.8</v>
      </c>
      <c r="X1022">
        <v>4.0799500000000002</v>
      </c>
      <c r="Y1022">
        <v>0.25095000000000001</v>
      </c>
      <c r="Z1022">
        <v>83.914100000000005</v>
      </c>
      <c r="AA1022">
        <v>10</v>
      </c>
      <c r="AB1022">
        <v>0.42</v>
      </c>
      <c r="AC1022">
        <v>0</v>
      </c>
      <c r="AD1022">
        <v>0</v>
      </c>
    </row>
    <row r="1023" spans="1:30" x14ac:dyDescent="0.55000000000000004">
      <c r="A1023">
        <v>105666</v>
      </c>
      <c r="B1023" s="19">
        <v>43243</v>
      </c>
      <c r="C1023">
        <v>1504</v>
      </c>
      <c r="D1023">
        <v>2018</v>
      </c>
      <c r="E1023">
        <v>25</v>
      </c>
      <c r="F1023">
        <v>536</v>
      </c>
      <c r="G1023">
        <v>1</v>
      </c>
      <c r="H1023">
        <v>187</v>
      </c>
      <c r="I1023">
        <v>3</v>
      </c>
      <c r="J1023">
        <v>4654.53</v>
      </c>
      <c r="K1023">
        <v>9149.59</v>
      </c>
      <c r="L1023">
        <v>4654.75</v>
      </c>
      <c r="M1023">
        <v>9150.07</v>
      </c>
      <c r="N1023">
        <v>46.908833000000001</v>
      </c>
      <c r="O1023">
        <v>-91.826499999999996</v>
      </c>
      <c r="P1023">
        <v>46.912500000000001</v>
      </c>
      <c r="Q1023">
        <v>-91.834500000000006</v>
      </c>
      <c r="R1023">
        <v>651.91209979999996</v>
      </c>
      <c r="S1023">
        <v>77.7</v>
      </c>
      <c r="T1023">
        <v>45.2</v>
      </c>
      <c r="U1023">
        <v>0.5</v>
      </c>
      <c r="V1023">
        <v>2</v>
      </c>
      <c r="W1023">
        <v>5.9</v>
      </c>
      <c r="X1023">
        <v>2.7089500000000002</v>
      </c>
      <c r="Y1023">
        <v>0.18415000000000001</v>
      </c>
      <c r="Z1023">
        <v>91.098100000000002</v>
      </c>
      <c r="AA1023">
        <v>10</v>
      </c>
      <c r="AB1023">
        <v>0.43</v>
      </c>
      <c r="AC1023">
        <v>0</v>
      </c>
      <c r="AD1023">
        <v>0</v>
      </c>
    </row>
    <row r="1024" spans="1:30" x14ac:dyDescent="0.55000000000000004">
      <c r="A1024">
        <v>105667</v>
      </c>
      <c r="B1024" s="19">
        <v>43243</v>
      </c>
      <c r="C1024">
        <v>1504</v>
      </c>
      <c r="D1024">
        <v>2018</v>
      </c>
      <c r="E1024">
        <v>25</v>
      </c>
      <c r="F1024">
        <v>537</v>
      </c>
      <c r="G1024">
        <v>1</v>
      </c>
      <c r="H1024">
        <v>187</v>
      </c>
      <c r="I1024">
        <v>3</v>
      </c>
      <c r="J1024">
        <v>4654.53</v>
      </c>
      <c r="K1024">
        <v>9149.59</v>
      </c>
      <c r="L1024">
        <v>4654.75</v>
      </c>
      <c r="M1024">
        <v>9150.07</v>
      </c>
      <c r="N1024">
        <v>46.908833000000001</v>
      </c>
      <c r="O1024">
        <v>-91.826499999999996</v>
      </c>
      <c r="P1024">
        <v>46.912500000000001</v>
      </c>
      <c r="Q1024">
        <v>-91.834500000000006</v>
      </c>
      <c r="R1024">
        <v>651.91209979999996</v>
      </c>
      <c r="S1024">
        <v>77.7</v>
      </c>
      <c r="T1024">
        <v>45.2</v>
      </c>
      <c r="U1024">
        <v>0.5</v>
      </c>
      <c r="V1024">
        <v>2</v>
      </c>
      <c r="W1024">
        <v>5.9</v>
      </c>
      <c r="X1024">
        <v>2.7089500000000002</v>
      </c>
      <c r="Y1024">
        <v>0.18415000000000001</v>
      </c>
      <c r="Z1024">
        <v>91.098100000000002</v>
      </c>
      <c r="AA1024">
        <v>10</v>
      </c>
      <c r="AB1024">
        <v>0.43</v>
      </c>
      <c r="AC1024">
        <v>0</v>
      </c>
      <c r="AD1024">
        <v>0</v>
      </c>
    </row>
    <row r="1025" spans="1:30" x14ac:dyDescent="0.55000000000000004">
      <c r="A1025">
        <v>105668</v>
      </c>
      <c r="B1025" s="19">
        <v>43244</v>
      </c>
      <c r="C1025">
        <v>1053</v>
      </c>
      <c r="D1025">
        <v>2018</v>
      </c>
      <c r="E1025">
        <v>25</v>
      </c>
      <c r="F1025">
        <v>538</v>
      </c>
      <c r="G1025">
        <v>1</v>
      </c>
      <c r="H1025">
        <v>151</v>
      </c>
      <c r="I1025">
        <v>3</v>
      </c>
      <c r="J1025">
        <v>4652.83</v>
      </c>
      <c r="K1025">
        <v>9112.59</v>
      </c>
      <c r="L1025">
        <v>4653.16</v>
      </c>
      <c r="M1025">
        <v>9112.9699999999993</v>
      </c>
      <c r="N1025">
        <v>46.880499999999998</v>
      </c>
      <c r="O1025">
        <v>-91.209833000000003</v>
      </c>
      <c r="P1025">
        <v>46.886000000000003</v>
      </c>
      <c r="Q1025">
        <v>-91.216166999999999</v>
      </c>
      <c r="R1025">
        <v>852.98955160000003</v>
      </c>
      <c r="S1025">
        <v>27.7</v>
      </c>
      <c r="T1025">
        <v>54.8</v>
      </c>
      <c r="U1025">
        <v>0.5</v>
      </c>
      <c r="V1025">
        <v>2</v>
      </c>
      <c r="W1025">
        <v>6.4</v>
      </c>
      <c r="X1025">
        <v>2.8932000000000002</v>
      </c>
      <c r="Y1025">
        <v>0.26910000000000001</v>
      </c>
      <c r="Z1025">
        <v>88.909099999999995</v>
      </c>
      <c r="AA1025">
        <v>10</v>
      </c>
      <c r="AB1025">
        <v>0.45</v>
      </c>
      <c r="AC1025">
        <v>217</v>
      </c>
      <c r="AD1025">
        <v>29</v>
      </c>
    </row>
    <row r="1026" spans="1:30" x14ac:dyDescent="0.55000000000000004">
      <c r="A1026">
        <v>105669</v>
      </c>
      <c r="B1026" s="19">
        <v>43244</v>
      </c>
      <c r="C1026">
        <v>1053</v>
      </c>
      <c r="D1026">
        <v>2018</v>
      </c>
      <c r="E1026">
        <v>25</v>
      </c>
      <c r="F1026">
        <v>539</v>
      </c>
      <c r="G1026">
        <v>1</v>
      </c>
      <c r="H1026">
        <v>151</v>
      </c>
      <c r="I1026">
        <v>3</v>
      </c>
      <c r="J1026">
        <v>4652.83</v>
      </c>
      <c r="K1026">
        <v>9112.59</v>
      </c>
      <c r="L1026">
        <v>4653.16</v>
      </c>
      <c r="M1026">
        <v>9112.9699999999993</v>
      </c>
      <c r="N1026">
        <v>46.880499999999998</v>
      </c>
      <c r="O1026">
        <v>-91.209833000000003</v>
      </c>
      <c r="P1026">
        <v>46.886000000000003</v>
      </c>
      <c r="Q1026">
        <v>-91.216166999999999</v>
      </c>
      <c r="R1026">
        <v>852.98955160000003</v>
      </c>
      <c r="S1026">
        <v>27.7</v>
      </c>
      <c r="T1026">
        <v>54.8</v>
      </c>
      <c r="U1026">
        <v>0.5</v>
      </c>
      <c r="V1026">
        <v>2</v>
      </c>
      <c r="W1026">
        <v>6.4</v>
      </c>
      <c r="X1026">
        <v>2.8932000000000002</v>
      </c>
      <c r="Y1026">
        <v>0.26910000000000001</v>
      </c>
      <c r="Z1026">
        <v>88.909099999999995</v>
      </c>
      <c r="AA1026">
        <v>10</v>
      </c>
      <c r="AB1026">
        <v>0.45</v>
      </c>
      <c r="AC1026">
        <v>217</v>
      </c>
      <c r="AD1026">
        <v>15</v>
      </c>
    </row>
    <row r="1027" spans="1:30" x14ac:dyDescent="0.55000000000000004">
      <c r="A1027">
        <v>105670</v>
      </c>
      <c r="B1027" s="19">
        <v>43244</v>
      </c>
      <c r="C1027">
        <v>1226</v>
      </c>
      <c r="D1027">
        <v>2018</v>
      </c>
      <c r="E1027">
        <v>25</v>
      </c>
      <c r="F1027">
        <v>540</v>
      </c>
      <c r="G1027">
        <v>1</v>
      </c>
      <c r="H1027">
        <v>76</v>
      </c>
      <c r="I1027">
        <v>3</v>
      </c>
      <c r="J1027">
        <v>4653.09</v>
      </c>
      <c r="K1027">
        <v>9105.73</v>
      </c>
      <c r="L1027">
        <v>4653.43</v>
      </c>
      <c r="M1027">
        <v>9106.11</v>
      </c>
      <c r="N1027">
        <v>46.884833</v>
      </c>
      <c r="O1027">
        <v>-91.095500000000001</v>
      </c>
      <c r="P1027">
        <v>46.890500000000003</v>
      </c>
      <c r="Q1027">
        <v>-91.101832999999999</v>
      </c>
      <c r="R1027">
        <v>465.72166900000002</v>
      </c>
      <c r="S1027">
        <v>18.7</v>
      </c>
      <c r="T1027">
        <v>34.4</v>
      </c>
      <c r="U1027">
        <v>0.5</v>
      </c>
      <c r="V1027">
        <v>2</v>
      </c>
      <c r="W1027">
        <v>13.9</v>
      </c>
      <c r="X1027">
        <v>6.01905</v>
      </c>
      <c r="Y1027">
        <v>0.2767</v>
      </c>
      <c r="Z1027">
        <v>73.019300000000001</v>
      </c>
      <c r="AA1027">
        <v>10</v>
      </c>
      <c r="AB1027">
        <v>0.44</v>
      </c>
      <c r="AC1027">
        <v>217</v>
      </c>
      <c r="AD1027">
        <v>586</v>
      </c>
    </row>
    <row r="1028" spans="1:30" x14ac:dyDescent="0.55000000000000004">
      <c r="A1028">
        <v>105671</v>
      </c>
      <c r="B1028" s="19">
        <v>43244</v>
      </c>
      <c r="C1028">
        <v>1226</v>
      </c>
      <c r="D1028">
        <v>2018</v>
      </c>
      <c r="E1028">
        <v>25</v>
      </c>
      <c r="F1028">
        <v>541</v>
      </c>
      <c r="G1028">
        <v>1</v>
      </c>
      <c r="H1028">
        <v>76</v>
      </c>
      <c r="I1028">
        <v>3</v>
      </c>
      <c r="J1028">
        <v>4653.09</v>
      </c>
      <c r="K1028">
        <v>9105.73</v>
      </c>
      <c r="L1028">
        <v>4653.43</v>
      </c>
      <c r="M1028">
        <v>9106.11</v>
      </c>
      <c r="N1028">
        <v>46.884833</v>
      </c>
      <c r="O1028">
        <v>-91.095500000000001</v>
      </c>
      <c r="P1028">
        <v>46.890500000000003</v>
      </c>
      <c r="Q1028">
        <v>-91.101832999999999</v>
      </c>
      <c r="R1028">
        <v>465.72166900000002</v>
      </c>
      <c r="S1028">
        <v>18.7</v>
      </c>
      <c r="T1028">
        <v>34.4</v>
      </c>
      <c r="U1028">
        <v>0.5</v>
      </c>
      <c r="V1028">
        <v>2</v>
      </c>
      <c r="W1028">
        <v>13.9</v>
      </c>
      <c r="X1028">
        <v>6.01905</v>
      </c>
      <c r="Y1028">
        <v>0.2767</v>
      </c>
      <c r="Z1028">
        <v>73.019300000000001</v>
      </c>
      <c r="AA1028">
        <v>10</v>
      </c>
      <c r="AB1028">
        <v>0.44</v>
      </c>
      <c r="AC1028">
        <v>217</v>
      </c>
      <c r="AD1028">
        <v>341</v>
      </c>
    </row>
    <row r="1029" spans="1:30" x14ac:dyDescent="0.55000000000000004">
      <c r="A1029">
        <v>105672</v>
      </c>
      <c r="B1029" s="19">
        <v>43244</v>
      </c>
      <c r="C1029">
        <v>1353</v>
      </c>
      <c r="D1029">
        <v>2018</v>
      </c>
      <c r="E1029">
        <v>25</v>
      </c>
      <c r="F1029">
        <v>542</v>
      </c>
      <c r="G1029">
        <v>1</v>
      </c>
      <c r="H1029">
        <v>139</v>
      </c>
      <c r="I1029">
        <v>3</v>
      </c>
      <c r="J1029">
        <v>4658.2700000000004</v>
      </c>
      <c r="K1029">
        <v>9059.6</v>
      </c>
      <c r="L1029">
        <v>4658.33</v>
      </c>
      <c r="M1029">
        <v>9100.24</v>
      </c>
      <c r="N1029">
        <v>46.971167000000001</v>
      </c>
      <c r="O1029">
        <v>-90.993333000000007</v>
      </c>
      <c r="P1029">
        <v>46.972166999999999</v>
      </c>
      <c r="Q1029">
        <v>-91.004000000000005</v>
      </c>
      <c r="R1029">
        <v>1020.4776900000001</v>
      </c>
      <c r="S1029">
        <v>18.2</v>
      </c>
      <c r="T1029">
        <v>29</v>
      </c>
      <c r="U1029">
        <v>0.5</v>
      </c>
      <c r="V1029">
        <v>2</v>
      </c>
      <c r="W1029">
        <v>12.6</v>
      </c>
      <c r="X1029">
        <v>5.6506999999999996</v>
      </c>
      <c r="Y1029">
        <v>0.1578</v>
      </c>
      <c r="Z1029">
        <v>81.924350000000004</v>
      </c>
      <c r="AA1029">
        <v>10</v>
      </c>
      <c r="AB1029">
        <v>0.46</v>
      </c>
      <c r="AC1029">
        <v>217</v>
      </c>
      <c r="AD1029">
        <v>31</v>
      </c>
    </row>
    <row r="1030" spans="1:30" x14ac:dyDescent="0.55000000000000004">
      <c r="A1030">
        <v>105673</v>
      </c>
      <c r="B1030" s="19">
        <v>43244</v>
      </c>
      <c r="C1030">
        <v>1353</v>
      </c>
      <c r="D1030">
        <v>2018</v>
      </c>
      <c r="E1030">
        <v>25</v>
      </c>
      <c r="F1030">
        <v>543</v>
      </c>
      <c r="G1030">
        <v>1</v>
      </c>
      <c r="H1030">
        <v>139</v>
      </c>
      <c r="I1030">
        <v>3</v>
      </c>
      <c r="J1030">
        <v>4658.2700000000004</v>
      </c>
      <c r="K1030">
        <v>9059.6</v>
      </c>
      <c r="L1030">
        <v>4658.33</v>
      </c>
      <c r="M1030">
        <v>9100.24</v>
      </c>
      <c r="N1030">
        <v>46.971167000000001</v>
      </c>
      <c r="O1030">
        <v>-90.993333000000007</v>
      </c>
      <c r="P1030">
        <v>46.972166999999999</v>
      </c>
      <c r="Q1030">
        <v>-91.004000000000005</v>
      </c>
      <c r="R1030">
        <v>1020.4776900000001</v>
      </c>
      <c r="S1030">
        <v>18.2</v>
      </c>
      <c r="T1030">
        <v>29</v>
      </c>
      <c r="U1030">
        <v>0.5</v>
      </c>
      <c r="V1030">
        <v>2</v>
      </c>
      <c r="W1030">
        <v>12.6</v>
      </c>
      <c r="X1030">
        <v>5.6506999999999996</v>
      </c>
      <c r="Y1030">
        <v>0.1578</v>
      </c>
      <c r="Z1030">
        <v>81.924350000000004</v>
      </c>
      <c r="AA1030">
        <v>10</v>
      </c>
      <c r="AB1030">
        <v>0.46</v>
      </c>
      <c r="AC1030">
        <v>217</v>
      </c>
      <c r="AD1030">
        <v>8</v>
      </c>
    </row>
    <row r="1031" spans="1:30" x14ac:dyDescent="0.55000000000000004">
      <c r="A1031">
        <v>105674</v>
      </c>
      <c r="B1031" s="19">
        <v>43249</v>
      </c>
      <c r="C1031">
        <v>1036</v>
      </c>
      <c r="D1031">
        <v>2018</v>
      </c>
      <c r="E1031">
        <v>25</v>
      </c>
      <c r="F1031">
        <v>544</v>
      </c>
      <c r="G1031">
        <v>1</v>
      </c>
      <c r="H1031">
        <v>133</v>
      </c>
      <c r="I1031">
        <v>3</v>
      </c>
      <c r="J1031">
        <v>4654.26</v>
      </c>
      <c r="K1031">
        <v>9031.43</v>
      </c>
      <c r="L1031">
        <v>4654.1000000000004</v>
      </c>
      <c r="M1031">
        <v>9030.93</v>
      </c>
      <c r="N1031">
        <v>46.904333000000001</v>
      </c>
      <c r="O1031">
        <v>-90.523832999999996</v>
      </c>
      <c r="P1031">
        <v>46.901667000000003</v>
      </c>
      <c r="Q1031">
        <v>-90.515500000000003</v>
      </c>
      <c r="R1031">
        <v>478.18215290000001</v>
      </c>
      <c r="S1031">
        <v>118.9</v>
      </c>
      <c r="T1031">
        <v>117</v>
      </c>
      <c r="U1031">
        <v>0.5</v>
      </c>
      <c r="V1031">
        <v>2</v>
      </c>
      <c r="W1031">
        <v>8</v>
      </c>
      <c r="X1031">
        <v>5.9325999999999999</v>
      </c>
      <c r="Y1031">
        <v>0.2029</v>
      </c>
      <c r="Z1031">
        <v>87.867999999999995</v>
      </c>
      <c r="AA1031">
        <v>10</v>
      </c>
      <c r="AC1031">
        <v>217</v>
      </c>
      <c r="AD1031">
        <v>586</v>
      </c>
    </row>
    <row r="1032" spans="1:30" x14ac:dyDescent="0.55000000000000004">
      <c r="A1032">
        <v>105675</v>
      </c>
      <c r="B1032" s="19">
        <v>43249</v>
      </c>
      <c r="C1032">
        <v>1036</v>
      </c>
      <c r="D1032">
        <v>2018</v>
      </c>
      <c r="E1032">
        <v>25</v>
      </c>
      <c r="F1032">
        <v>545</v>
      </c>
      <c r="G1032">
        <v>1</v>
      </c>
      <c r="H1032">
        <v>133</v>
      </c>
      <c r="I1032">
        <v>3</v>
      </c>
      <c r="J1032">
        <v>4654.26</v>
      </c>
      <c r="K1032">
        <v>9031.43</v>
      </c>
      <c r="L1032">
        <v>4654.1000000000004</v>
      </c>
      <c r="M1032">
        <v>9030.93</v>
      </c>
      <c r="N1032">
        <v>46.904333000000001</v>
      </c>
      <c r="O1032">
        <v>-90.523832999999996</v>
      </c>
      <c r="P1032">
        <v>46.901667000000003</v>
      </c>
      <c r="Q1032">
        <v>-90.515500000000003</v>
      </c>
      <c r="R1032">
        <v>478.18215290000001</v>
      </c>
      <c r="S1032">
        <v>118.9</v>
      </c>
      <c r="T1032">
        <v>117</v>
      </c>
      <c r="U1032">
        <v>0.5</v>
      </c>
      <c r="V1032">
        <v>2</v>
      </c>
      <c r="W1032">
        <v>8</v>
      </c>
      <c r="X1032">
        <v>5.9325999999999999</v>
      </c>
      <c r="Y1032">
        <v>0.2029</v>
      </c>
      <c r="Z1032">
        <v>87.867999999999995</v>
      </c>
      <c r="AA1032">
        <v>10</v>
      </c>
      <c r="AC1032">
        <v>217</v>
      </c>
      <c r="AD1032">
        <v>719</v>
      </c>
    </row>
    <row r="1033" spans="1:30" x14ac:dyDescent="0.55000000000000004">
      <c r="A1033">
        <v>105678</v>
      </c>
      <c r="B1033" s="19">
        <v>43251</v>
      </c>
      <c r="C1033">
        <v>850</v>
      </c>
      <c r="D1033">
        <v>2018</v>
      </c>
      <c r="E1033">
        <v>25</v>
      </c>
      <c r="F1033">
        <v>548</v>
      </c>
      <c r="G1033">
        <v>1</v>
      </c>
      <c r="H1033">
        <v>74</v>
      </c>
      <c r="I1033">
        <v>3</v>
      </c>
      <c r="J1033">
        <v>4644.6400000000003</v>
      </c>
      <c r="K1033">
        <v>9035.89</v>
      </c>
      <c r="L1033">
        <v>4644.66</v>
      </c>
      <c r="M1033">
        <v>9035.2900000000009</v>
      </c>
      <c r="N1033">
        <v>46.744</v>
      </c>
      <c r="O1033">
        <v>-90.598167000000004</v>
      </c>
      <c r="P1033">
        <v>46.744332999999997</v>
      </c>
      <c r="Q1033">
        <v>-90.588166999999999</v>
      </c>
      <c r="S1033">
        <v>35.299999999999997</v>
      </c>
      <c r="T1033">
        <v>27.8</v>
      </c>
      <c r="U1033">
        <v>0.5</v>
      </c>
      <c r="V1033">
        <v>2</v>
      </c>
      <c r="W1033">
        <v>12.7</v>
      </c>
      <c r="X1033">
        <v>12.7196</v>
      </c>
      <c r="Y1033">
        <v>0.51480000000000004</v>
      </c>
      <c r="Z1033">
        <v>62.897300000000001</v>
      </c>
      <c r="AA1033">
        <v>10</v>
      </c>
      <c r="AB1033">
        <v>0.45</v>
      </c>
      <c r="AC1033">
        <v>217</v>
      </c>
      <c r="AD1033">
        <v>2229</v>
      </c>
    </row>
    <row r="1034" spans="1:30" x14ac:dyDescent="0.55000000000000004">
      <c r="A1034">
        <v>105679</v>
      </c>
      <c r="B1034" s="19">
        <v>43251</v>
      </c>
      <c r="C1034">
        <v>850</v>
      </c>
      <c r="D1034">
        <v>2018</v>
      </c>
      <c r="E1034">
        <v>25</v>
      </c>
      <c r="F1034">
        <v>549</v>
      </c>
      <c r="G1034">
        <v>1</v>
      </c>
      <c r="H1034">
        <v>74</v>
      </c>
      <c r="I1034">
        <v>3</v>
      </c>
      <c r="J1034">
        <v>4644.6400000000003</v>
      </c>
      <c r="K1034">
        <v>9035.89</v>
      </c>
      <c r="L1034">
        <v>4644.66</v>
      </c>
      <c r="M1034">
        <v>9035.2900000000009</v>
      </c>
      <c r="N1034">
        <v>46.744</v>
      </c>
      <c r="O1034">
        <v>-90.598167000000004</v>
      </c>
      <c r="P1034">
        <v>46.744332999999997</v>
      </c>
      <c r="Q1034">
        <v>-90.588166999999999</v>
      </c>
      <c r="S1034">
        <v>35.299999999999997</v>
      </c>
      <c r="T1034">
        <v>27.8</v>
      </c>
      <c r="U1034">
        <v>0.5</v>
      </c>
      <c r="V1034">
        <v>2</v>
      </c>
      <c r="W1034">
        <v>12.7</v>
      </c>
      <c r="X1034">
        <v>12.7196</v>
      </c>
      <c r="Y1034">
        <v>0.51480000000000004</v>
      </c>
      <c r="Z1034">
        <v>62.897300000000001</v>
      </c>
      <c r="AA1034">
        <v>10</v>
      </c>
      <c r="AB1034">
        <v>0.45</v>
      </c>
      <c r="AC1034">
        <v>217</v>
      </c>
      <c r="AD1034">
        <v>875</v>
      </c>
    </row>
    <row r="1035" spans="1:30" x14ac:dyDescent="0.55000000000000004">
      <c r="A1035">
        <v>105680</v>
      </c>
      <c r="B1035" s="19">
        <v>43251</v>
      </c>
      <c r="C1035">
        <v>1030</v>
      </c>
      <c r="D1035">
        <v>2018</v>
      </c>
      <c r="E1035">
        <v>25</v>
      </c>
      <c r="F1035">
        <v>550</v>
      </c>
      <c r="G1035">
        <v>1</v>
      </c>
      <c r="H1035">
        <v>184</v>
      </c>
      <c r="I1035">
        <v>3</v>
      </c>
      <c r="J1035">
        <v>4636.8999999999996</v>
      </c>
      <c r="K1035">
        <v>9019.83</v>
      </c>
      <c r="L1035">
        <v>4637.3</v>
      </c>
      <c r="M1035">
        <v>9020.01</v>
      </c>
      <c r="N1035">
        <v>46.615000000000002</v>
      </c>
      <c r="O1035">
        <v>-90.330500000000001</v>
      </c>
      <c r="P1035">
        <v>46.621667000000002</v>
      </c>
      <c r="Q1035">
        <v>-90.333500000000001</v>
      </c>
      <c r="R1035">
        <v>678.27412460000005</v>
      </c>
      <c r="S1035">
        <v>21.2</v>
      </c>
      <c r="T1035">
        <v>28.2</v>
      </c>
      <c r="U1035">
        <v>0.5</v>
      </c>
      <c r="V1035">
        <v>2</v>
      </c>
      <c r="W1035">
        <v>8.9</v>
      </c>
      <c r="X1035">
        <v>8.2727000000000004</v>
      </c>
      <c r="Y1035">
        <v>0.64954999999999996</v>
      </c>
      <c r="Z1035">
        <v>70.352000000000004</v>
      </c>
      <c r="AA1035">
        <v>10</v>
      </c>
      <c r="AB1035">
        <v>0.45</v>
      </c>
      <c r="AC1035">
        <v>217</v>
      </c>
      <c r="AD1035">
        <v>29</v>
      </c>
    </row>
    <row r="1036" spans="1:30" x14ac:dyDescent="0.55000000000000004">
      <c r="A1036">
        <v>105681</v>
      </c>
      <c r="B1036" s="19">
        <v>43251</v>
      </c>
      <c r="C1036">
        <v>1030</v>
      </c>
      <c r="D1036">
        <v>2018</v>
      </c>
      <c r="E1036">
        <v>25</v>
      </c>
      <c r="F1036">
        <v>551</v>
      </c>
      <c r="G1036">
        <v>1</v>
      </c>
      <c r="H1036">
        <v>184</v>
      </c>
      <c r="I1036">
        <v>3</v>
      </c>
      <c r="J1036">
        <v>4636.8999999999996</v>
      </c>
      <c r="K1036">
        <v>9019.83</v>
      </c>
      <c r="L1036">
        <v>4637.3</v>
      </c>
      <c r="M1036">
        <v>9020.01</v>
      </c>
      <c r="N1036">
        <v>46.615000000000002</v>
      </c>
      <c r="O1036">
        <v>-90.330500000000001</v>
      </c>
      <c r="P1036">
        <v>46.621667000000002</v>
      </c>
      <c r="Q1036">
        <v>-90.333500000000001</v>
      </c>
      <c r="R1036">
        <v>678.27412460000005</v>
      </c>
      <c r="S1036">
        <v>21.2</v>
      </c>
      <c r="T1036">
        <v>28.2</v>
      </c>
      <c r="U1036">
        <v>0.5</v>
      </c>
      <c r="V1036">
        <v>2</v>
      </c>
      <c r="W1036">
        <v>8.9</v>
      </c>
      <c r="X1036">
        <v>8.2727000000000004</v>
      </c>
      <c r="Y1036">
        <v>0.64954999999999996</v>
      </c>
      <c r="Z1036">
        <v>70.352000000000004</v>
      </c>
      <c r="AA1036">
        <v>10</v>
      </c>
      <c r="AB1036">
        <v>0.45</v>
      </c>
      <c r="AC1036">
        <v>217</v>
      </c>
      <c r="AD1036">
        <v>25</v>
      </c>
    </row>
    <row r="1037" spans="1:30" x14ac:dyDescent="0.55000000000000004">
      <c r="A1037">
        <v>105682</v>
      </c>
      <c r="B1037" s="19">
        <v>43251</v>
      </c>
      <c r="C1037">
        <v>1247</v>
      </c>
      <c r="D1037">
        <v>2018</v>
      </c>
      <c r="E1037">
        <v>25</v>
      </c>
      <c r="F1037">
        <v>552</v>
      </c>
      <c r="G1037">
        <v>1</v>
      </c>
      <c r="H1037">
        <v>192</v>
      </c>
      <c r="I1037">
        <v>3</v>
      </c>
      <c r="J1037">
        <v>4641.28</v>
      </c>
      <c r="K1037">
        <v>9001.6200000000008</v>
      </c>
      <c r="L1037">
        <v>4641.6499999999996</v>
      </c>
      <c r="M1037">
        <v>9001.8799999999992</v>
      </c>
      <c r="N1037">
        <v>46.688000000000002</v>
      </c>
      <c r="O1037">
        <v>-90.027000000000001</v>
      </c>
      <c r="P1037">
        <v>46.694167</v>
      </c>
      <c r="Q1037">
        <v>-90.031333000000004</v>
      </c>
      <c r="R1037">
        <v>1206.208648</v>
      </c>
      <c r="S1037">
        <v>15.5</v>
      </c>
      <c r="T1037">
        <v>23.4</v>
      </c>
      <c r="U1037">
        <v>0.5</v>
      </c>
      <c r="V1037">
        <v>2</v>
      </c>
      <c r="W1037">
        <v>10.199999999999999</v>
      </c>
      <c r="X1037">
        <v>7.3288000000000002</v>
      </c>
      <c r="Y1037">
        <v>0.22550000000000001</v>
      </c>
      <c r="Z1037">
        <v>88.216899999999995</v>
      </c>
      <c r="AA1037">
        <v>10</v>
      </c>
      <c r="AB1037">
        <v>0.45</v>
      </c>
      <c r="AC1037">
        <v>217</v>
      </c>
      <c r="AD1037">
        <v>43</v>
      </c>
    </row>
    <row r="1038" spans="1:30" x14ac:dyDescent="0.55000000000000004">
      <c r="A1038">
        <v>105683</v>
      </c>
      <c r="B1038" s="19">
        <v>43251</v>
      </c>
      <c r="C1038">
        <v>1247</v>
      </c>
      <c r="D1038">
        <v>2018</v>
      </c>
      <c r="E1038">
        <v>25</v>
      </c>
      <c r="F1038">
        <v>553</v>
      </c>
      <c r="G1038">
        <v>1</v>
      </c>
      <c r="H1038">
        <v>192</v>
      </c>
      <c r="I1038">
        <v>3</v>
      </c>
      <c r="J1038">
        <v>4641.28</v>
      </c>
      <c r="K1038">
        <v>9001.6200000000008</v>
      </c>
      <c r="L1038">
        <v>4641.6499999999996</v>
      </c>
      <c r="M1038">
        <v>9001.8799999999992</v>
      </c>
      <c r="N1038">
        <v>46.688000000000002</v>
      </c>
      <c r="O1038">
        <v>-90.027000000000001</v>
      </c>
      <c r="P1038">
        <v>46.694167</v>
      </c>
      <c r="Q1038">
        <v>-90.031333000000004</v>
      </c>
      <c r="R1038">
        <v>1206.208648</v>
      </c>
      <c r="S1038">
        <v>15.5</v>
      </c>
      <c r="T1038">
        <v>23.4</v>
      </c>
      <c r="U1038">
        <v>0.5</v>
      </c>
      <c r="V1038">
        <v>2</v>
      </c>
      <c r="W1038">
        <v>10.199999999999999</v>
      </c>
      <c r="X1038">
        <v>7.3288000000000002</v>
      </c>
      <c r="Y1038">
        <v>0.22550000000000001</v>
      </c>
      <c r="Z1038">
        <v>88.216899999999995</v>
      </c>
      <c r="AA1038">
        <v>10</v>
      </c>
      <c r="AB1038">
        <v>0.45</v>
      </c>
      <c r="AC1038">
        <v>217</v>
      </c>
      <c r="AD1038">
        <v>26</v>
      </c>
    </row>
    <row r="1039" spans="1:30" x14ac:dyDescent="0.55000000000000004">
      <c r="A1039">
        <v>105684</v>
      </c>
      <c r="B1039" s="19">
        <v>43251</v>
      </c>
      <c r="C1039">
        <v>1639</v>
      </c>
      <c r="D1039">
        <v>2018</v>
      </c>
      <c r="E1039">
        <v>25</v>
      </c>
      <c r="F1039">
        <v>554</v>
      </c>
      <c r="G1039">
        <v>1</v>
      </c>
      <c r="H1039">
        <v>57</v>
      </c>
      <c r="I1039">
        <v>3</v>
      </c>
      <c r="J1039">
        <v>4654</v>
      </c>
      <c r="K1039">
        <v>8921</v>
      </c>
      <c r="L1039">
        <v>4654.3</v>
      </c>
      <c r="M1039">
        <v>8921.34</v>
      </c>
      <c r="N1039">
        <v>46.9</v>
      </c>
      <c r="O1039">
        <v>-89.35</v>
      </c>
      <c r="P1039">
        <v>46.905000000000001</v>
      </c>
      <c r="Q1039">
        <v>-89.355666999999997</v>
      </c>
      <c r="R1039">
        <v>3061.657843</v>
      </c>
      <c r="S1039">
        <v>19.3</v>
      </c>
      <c r="T1039">
        <v>24.9</v>
      </c>
      <c r="U1039">
        <v>0.5</v>
      </c>
      <c r="V1039">
        <v>2</v>
      </c>
      <c r="W1039">
        <v>8.1</v>
      </c>
      <c r="X1039">
        <v>6.7941500000000001</v>
      </c>
      <c r="Y1039">
        <v>0.41675000000000001</v>
      </c>
      <c r="Z1039">
        <v>85.135450000000006</v>
      </c>
      <c r="AA1039">
        <v>10</v>
      </c>
      <c r="AB1039">
        <v>0.4</v>
      </c>
      <c r="AC1039">
        <v>217</v>
      </c>
      <c r="AD1039">
        <v>29</v>
      </c>
    </row>
    <row r="1040" spans="1:30" x14ac:dyDescent="0.55000000000000004">
      <c r="A1040">
        <v>105685</v>
      </c>
      <c r="B1040" s="19">
        <v>43251</v>
      </c>
      <c r="C1040">
        <v>1639</v>
      </c>
      <c r="D1040">
        <v>2018</v>
      </c>
      <c r="E1040">
        <v>25</v>
      </c>
      <c r="F1040">
        <v>555</v>
      </c>
      <c r="G1040">
        <v>1</v>
      </c>
      <c r="H1040">
        <v>57</v>
      </c>
      <c r="I1040">
        <v>3</v>
      </c>
      <c r="J1040">
        <v>4654</v>
      </c>
      <c r="K1040">
        <v>8921</v>
      </c>
      <c r="L1040">
        <v>4654.3</v>
      </c>
      <c r="M1040">
        <v>8921.34</v>
      </c>
      <c r="N1040">
        <v>46.9</v>
      </c>
      <c r="O1040">
        <v>-89.35</v>
      </c>
      <c r="P1040">
        <v>46.905000000000001</v>
      </c>
      <c r="Q1040">
        <v>-89.355666999999997</v>
      </c>
      <c r="R1040">
        <v>3061.657843</v>
      </c>
      <c r="S1040">
        <v>19.3</v>
      </c>
      <c r="T1040">
        <v>24.9</v>
      </c>
      <c r="U1040">
        <v>0.5</v>
      </c>
      <c r="V1040">
        <v>2</v>
      </c>
      <c r="W1040">
        <v>8.1</v>
      </c>
      <c r="X1040">
        <v>6.7941500000000001</v>
      </c>
      <c r="Y1040">
        <v>0.41675000000000001</v>
      </c>
      <c r="Z1040">
        <v>85.135450000000006</v>
      </c>
      <c r="AA1040">
        <v>10</v>
      </c>
      <c r="AB1040">
        <v>0.4</v>
      </c>
      <c r="AC1040">
        <v>217</v>
      </c>
      <c r="AD1040">
        <v>30</v>
      </c>
    </row>
    <row r="1041" spans="1:30" x14ac:dyDescent="0.55000000000000004">
      <c r="A1041">
        <v>105686</v>
      </c>
      <c r="B1041" s="19">
        <v>43252</v>
      </c>
      <c r="C1041">
        <v>839</v>
      </c>
      <c r="D1041">
        <v>2018</v>
      </c>
      <c r="E1041">
        <v>25</v>
      </c>
      <c r="F1041">
        <v>556</v>
      </c>
      <c r="G1041">
        <v>1</v>
      </c>
      <c r="H1041">
        <v>183</v>
      </c>
      <c r="I1041">
        <v>3</v>
      </c>
      <c r="J1041">
        <v>4659.82</v>
      </c>
      <c r="K1041">
        <v>8908.7800000000007</v>
      </c>
      <c r="L1041">
        <v>4700</v>
      </c>
      <c r="M1041">
        <v>8909.3799999999992</v>
      </c>
      <c r="N1041">
        <v>46.997</v>
      </c>
      <c r="O1041">
        <v>-89.146332999999998</v>
      </c>
      <c r="P1041">
        <v>47</v>
      </c>
      <c r="Q1041">
        <v>-89.156333000000004</v>
      </c>
      <c r="R1041">
        <v>1085.9954769999999</v>
      </c>
      <c r="S1041">
        <v>17.3</v>
      </c>
      <c r="T1041">
        <v>27.5</v>
      </c>
      <c r="U1041">
        <v>0.5</v>
      </c>
      <c r="V1041">
        <v>2</v>
      </c>
      <c r="W1041">
        <v>7.1</v>
      </c>
      <c r="X1041">
        <v>6.2678500000000001</v>
      </c>
      <c r="Y1041">
        <v>0.2661</v>
      </c>
      <c r="Z1041">
        <v>81.691299999999998</v>
      </c>
      <c r="AA1041">
        <v>10</v>
      </c>
      <c r="AB1041">
        <v>0.45</v>
      </c>
      <c r="AC1041">
        <v>217</v>
      </c>
      <c r="AD1041">
        <v>30</v>
      </c>
    </row>
    <row r="1042" spans="1:30" x14ac:dyDescent="0.55000000000000004">
      <c r="A1042">
        <v>105687</v>
      </c>
      <c r="B1042" s="19">
        <v>43252</v>
      </c>
      <c r="C1042">
        <v>839</v>
      </c>
      <c r="D1042">
        <v>2018</v>
      </c>
      <c r="E1042">
        <v>25</v>
      </c>
      <c r="F1042">
        <v>557</v>
      </c>
      <c r="G1042">
        <v>1</v>
      </c>
      <c r="H1042">
        <v>183</v>
      </c>
      <c r="I1042">
        <v>3</v>
      </c>
      <c r="J1042">
        <v>4659.82</v>
      </c>
      <c r="K1042">
        <v>8908.7800000000007</v>
      </c>
      <c r="L1042">
        <v>4700</v>
      </c>
      <c r="M1042">
        <v>8909.3799999999992</v>
      </c>
      <c r="N1042">
        <v>46.997</v>
      </c>
      <c r="O1042">
        <v>-89.146332999999998</v>
      </c>
      <c r="P1042">
        <v>47</v>
      </c>
      <c r="Q1042">
        <v>-89.156333000000004</v>
      </c>
      <c r="R1042">
        <v>1085.9954769999999</v>
      </c>
      <c r="S1042">
        <v>17.3</v>
      </c>
      <c r="T1042">
        <v>27.5</v>
      </c>
      <c r="U1042">
        <v>0.5</v>
      </c>
      <c r="V1042">
        <v>2</v>
      </c>
      <c r="W1042">
        <v>7.1</v>
      </c>
      <c r="X1042">
        <v>6.2678500000000001</v>
      </c>
      <c r="Y1042">
        <v>0.2661</v>
      </c>
      <c r="Z1042">
        <v>81.691299999999998</v>
      </c>
      <c r="AA1042">
        <v>10</v>
      </c>
      <c r="AB1042">
        <v>0.45</v>
      </c>
      <c r="AC1042">
        <v>217</v>
      </c>
      <c r="AD1042">
        <v>5</v>
      </c>
    </row>
    <row r="1043" spans="1:30" x14ac:dyDescent="0.55000000000000004">
      <c r="A1043">
        <v>105687</v>
      </c>
      <c r="B1043" s="19">
        <v>43252</v>
      </c>
      <c r="C1043">
        <v>839</v>
      </c>
      <c r="D1043">
        <v>2018</v>
      </c>
      <c r="E1043">
        <v>25</v>
      </c>
      <c r="F1043">
        <v>557</v>
      </c>
      <c r="G1043">
        <v>1</v>
      </c>
      <c r="H1043">
        <v>183</v>
      </c>
      <c r="I1043">
        <v>3</v>
      </c>
      <c r="J1043">
        <v>4659.82</v>
      </c>
      <c r="K1043">
        <v>8908.7800000000007</v>
      </c>
      <c r="L1043">
        <v>4600</v>
      </c>
      <c r="M1043">
        <v>8909.3799999999992</v>
      </c>
      <c r="N1043">
        <v>46.997</v>
      </c>
      <c r="O1043">
        <v>-89.146332999999998</v>
      </c>
      <c r="P1043">
        <v>46</v>
      </c>
      <c r="Q1043">
        <v>-89.156333000000004</v>
      </c>
      <c r="R1043">
        <v>1085.9954769999999</v>
      </c>
      <c r="S1043">
        <v>17.3</v>
      </c>
      <c r="T1043">
        <v>27.5</v>
      </c>
      <c r="U1043">
        <v>0.5</v>
      </c>
      <c r="V1043">
        <v>2</v>
      </c>
      <c r="W1043">
        <v>7.1</v>
      </c>
      <c r="X1043">
        <v>6.2678500000000001</v>
      </c>
      <c r="Y1043">
        <v>0.2661</v>
      </c>
      <c r="Z1043">
        <v>81.691299999999998</v>
      </c>
      <c r="AA1043">
        <v>10</v>
      </c>
      <c r="AB1043">
        <v>0.45</v>
      </c>
      <c r="AC1043">
        <v>904</v>
      </c>
      <c r="AD1043">
        <v>1</v>
      </c>
    </row>
    <row r="1044" spans="1:30" x14ac:dyDescent="0.55000000000000004">
      <c r="A1044">
        <v>105688</v>
      </c>
      <c r="B1044" s="19">
        <v>43252</v>
      </c>
      <c r="C1044">
        <v>1202</v>
      </c>
      <c r="D1044">
        <v>2018</v>
      </c>
      <c r="E1044">
        <v>25</v>
      </c>
      <c r="F1044">
        <v>558</v>
      </c>
      <c r="G1044">
        <v>1</v>
      </c>
      <c r="H1044">
        <v>182</v>
      </c>
      <c r="I1044">
        <v>3</v>
      </c>
      <c r="J1044">
        <v>4709.04</v>
      </c>
      <c r="K1044">
        <v>8852.0499999999993</v>
      </c>
      <c r="L1044">
        <v>4709.12</v>
      </c>
      <c r="M1044">
        <v>8852.5400000000009</v>
      </c>
      <c r="N1044">
        <v>47.150666999999999</v>
      </c>
      <c r="O1044">
        <v>-88.867500000000007</v>
      </c>
      <c r="P1044">
        <v>47.152000000000001</v>
      </c>
      <c r="Q1044">
        <v>-88.875667000000007</v>
      </c>
      <c r="R1044">
        <v>3033.4925290000001</v>
      </c>
      <c r="S1044">
        <v>37.5</v>
      </c>
      <c r="T1044">
        <v>41.6</v>
      </c>
      <c r="U1044">
        <v>0.5</v>
      </c>
      <c r="V1044">
        <v>2</v>
      </c>
      <c r="W1044">
        <v>7.2</v>
      </c>
      <c r="X1044">
        <v>6.4802999999999997</v>
      </c>
      <c r="Y1044">
        <v>0.18435000000000001</v>
      </c>
      <c r="Z1044">
        <v>84.047349999999994</v>
      </c>
      <c r="AA1044">
        <v>10</v>
      </c>
      <c r="AB1044">
        <v>0.42</v>
      </c>
      <c r="AC1044">
        <v>217</v>
      </c>
      <c r="AD1044">
        <v>3</v>
      </c>
    </row>
    <row r="1045" spans="1:30" x14ac:dyDescent="0.55000000000000004">
      <c r="A1045">
        <v>105689</v>
      </c>
      <c r="B1045" s="19">
        <v>43252</v>
      </c>
      <c r="C1045">
        <v>1152</v>
      </c>
      <c r="D1045">
        <v>2018</v>
      </c>
      <c r="E1045">
        <v>25</v>
      </c>
      <c r="F1045">
        <v>559</v>
      </c>
      <c r="G1045">
        <v>1</v>
      </c>
      <c r="H1045">
        <v>182</v>
      </c>
      <c r="I1045">
        <v>3</v>
      </c>
      <c r="J1045">
        <v>4709.04</v>
      </c>
      <c r="K1045">
        <v>8852.0499999999993</v>
      </c>
      <c r="L1045">
        <v>4709.12</v>
      </c>
      <c r="M1045">
        <v>8852.5400000000009</v>
      </c>
      <c r="N1045">
        <v>47.150666999999999</v>
      </c>
      <c r="O1045">
        <v>-88.867500000000007</v>
      </c>
      <c r="P1045">
        <v>47.152000000000001</v>
      </c>
      <c r="Q1045">
        <v>-88.875667000000007</v>
      </c>
      <c r="R1045">
        <v>3033.4925290000001</v>
      </c>
      <c r="S1045">
        <v>37.5</v>
      </c>
      <c r="T1045">
        <v>41.6</v>
      </c>
      <c r="U1045">
        <v>0.5</v>
      </c>
      <c r="V1045">
        <v>2</v>
      </c>
      <c r="W1045">
        <v>7.2</v>
      </c>
      <c r="X1045">
        <v>6.4802999999999997</v>
      </c>
      <c r="Y1045">
        <v>0.18435000000000001</v>
      </c>
      <c r="Z1045">
        <v>84.047349999999994</v>
      </c>
      <c r="AA1045">
        <v>10</v>
      </c>
      <c r="AB1045">
        <v>0.42</v>
      </c>
      <c r="AC1045">
        <v>217</v>
      </c>
      <c r="AD1045">
        <v>3</v>
      </c>
    </row>
    <row r="1046" spans="1:30" x14ac:dyDescent="0.55000000000000004">
      <c r="A1046">
        <v>105690</v>
      </c>
      <c r="B1046" s="19">
        <v>43252</v>
      </c>
      <c r="C1046">
        <v>1502</v>
      </c>
      <c r="D1046">
        <v>2018</v>
      </c>
      <c r="E1046">
        <v>25</v>
      </c>
      <c r="F1046">
        <v>560</v>
      </c>
      <c r="G1046">
        <v>1</v>
      </c>
      <c r="H1046">
        <v>181</v>
      </c>
      <c r="I1046">
        <v>3</v>
      </c>
      <c r="J1046">
        <v>4720.13</v>
      </c>
      <c r="K1046">
        <v>8828.8799999999992</v>
      </c>
      <c r="L1046">
        <v>4720.4799999999996</v>
      </c>
      <c r="M1046">
        <v>8829.1</v>
      </c>
      <c r="N1046">
        <v>47.335500000000003</v>
      </c>
      <c r="O1046">
        <v>-88.481333000000006</v>
      </c>
      <c r="P1046">
        <v>47.341332999999999</v>
      </c>
      <c r="Q1046">
        <v>-88.484999999999999</v>
      </c>
      <c r="R1046">
        <v>1103.1946</v>
      </c>
      <c r="S1046">
        <v>18</v>
      </c>
      <c r="T1046">
        <v>38.6</v>
      </c>
      <c r="U1046">
        <v>0.5</v>
      </c>
      <c r="V1046">
        <v>2</v>
      </c>
      <c r="W1046">
        <v>5.3</v>
      </c>
      <c r="X1046">
        <v>3.9376000000000002</v>
      </c>
      <c r="Y1046">
        <v>0.12590000000000001</v>
      </c>
      <c r="Z1046">
        <v>70.242750000000001</v>
      </c>
      <c r="AA1046">
        <v>10</v>
      </c>
      <c r="AC1046">
        <v>217</v>
      </c>
      <c r="AD1046">
        <v>1</v>
      </c>
    </row>
    <row r="1047" spans="1:30" x14ac:dyDescent="0.55000000000000004">
      <c r="A1047">
        <v>105691</v>
      </c>
      <c r="B1047" s="19">
        <v>43252</v>
      </c>
      <c r="C1047">
        <v>1502</v>
      </c>
      <c r="D1047">
        <v>2018</v>
      </c>
      <c r="E1047">
        <v>25</v>
      </c>
      <c r="F1047">
        <v>561</v>
      </c>
      <c r="G1047">
        <v>1</v>
      </c>
      <c r="H1047">
        <v>181</v>
      </c>
      <c r="I1047">
        <v>3</v>
      </c>
      <c r="J1047">
        <v>4720.13</v>
      </c>
      <c r="K1047">
        <v>8828.8799999999992</v>
      </c>
      <c r="L1047">
        <v>4720.4799999999996</v>
      </c>
      <c r="M1047">
        <v>8829.1</v>
      </c>
      <c r="N1047">
        <v>47.335500000000003</v>
      </c>
      <c r="O1047">
        <v>-88.481333000000006</v>
      </c>
      <c r="P1047">
        <v>47.341332999999999</v>
      </c>
      <c r="Q1047">
        <v>-88.484999999999999</v>
      </c>
      <c r="R1047">
        <v>1103.1946</v>
      </c>
      <c r="S1047">
        <v>18</v>
      </c>
      <c r="T1047">
        <v>38.6</v>
      </c>
      <c r="U1047">
        <v>0.5</v>
      </c>
      <c r="V1047">
        <v>2</v>
      </c>
      <c r="W1047">
        <v>5.3</v>
      </c>
      <c r="X1047">
        <v>3.9376000000000002</v>
      </c>
      <c r="Y1047">
        <v>0.12590000000000001</v>
      </c>
      <c r="Z1047">
        <v>70.242750000000001</v>
      </c>
      <c r="AA1047">
        <v>10</v>
      </c>
      <c r="AC1047">
        <v>0</v>
      </c>
      <c r="AD1047">
        <v>0</v>
      </c>
    </row>
    <row r="1048" spans="1:30" x14ac:dyDescent="0.55000000000000004">
      <c r="A1048">
        <v>105692</v>
      </c>
      <c r="B1048" s="19">
        <v>43253</v>
      </c>
      <c r="C1048">
        <v>1113</v>
      </c>
      <c r="D1048">
        <v>2018</v>
      </c>
      <c r="E1048">
        <v>25</v>
      </c>
      <c r="F1048">
        <v>562</v>
      </c>
      <c r="G1048">
        <v>1</v>
      </c>
      <c r="H1048">
        <v>82</v>
      </c>
      <c r="I1048">
        <v>3</v>
      </c>
      <c r="J1048">
        <v>4657.74</v>
      </c>
      <c r="K1048">
        <v>8822.86</v>
      </c>
      <c r="L1048">
        <v>4657.2299999999996</v>
      </c>
      <c r="M1048">
        <v>8823.17</v>
      </c>
      <c r="N1048">
        <v>46.962333000000001</v>
      </c>
      <c r="O1048">
        <v>-88.381</v>
      </c>
      <c r="P1048">
        <v>46.953833000000003</v>
      </c>
      <c r="Q1048">
        <v>-88.386167</v>
      </c>
      <c r="R1048">
        <v>1045.25918</v>
      </c>
      <c r="S1048">
        <v>70</v>
      </c>
      <c r="T1048">
        <v>67.599999999999994</v>
      </c>
      <c r="U1048">
        <v>0.5</v>
      </c>
      <c r="V1048">
        <v>2</v>
      </c>
      <c r="W1048">
        <v>6.6</v>
      </c>
      <c r="X1048">
        <v>5.4347000000000003</v>
      </c>
      <c r="Y1048">
        <v>0.17865</v>
      </c>
      <c r="Z1048">
        <v>90.413600000000002</v>
      </c>
      <c r="AA1048">
        <v>10</v>
      </c>
      <c r="AB1048">
        <v>0.42</v>
      </c>
      <c r="AC1048">
        <v>217</v>
      </c>
      <c r="AD1048">
        <v>1</v>
      </c>
    </row>
    <row r="1049" spans="1:30" x14ac:dyDescent="0.55000000000000004">
      <c r="A1049">
        <v>105693</v>
      </c>
      <c r="B1049" s="19">
        <v>43253</v>
      </c>
      <c r="C1049">
        <v>1113</v>
      </c>
      <c r="D1049">
        <v>2018</v>
      </c>
      <c r="E1049">
        <v>25</v>
      </c>
      <c r="F1049">
        <v>563</v>
      </c>
      <c r="G1049">
        <v>1</v>
      </c>
      <c r="H1049">
        <v>82</v>
      </c>
      <c r="I1049">
        <v>3</v>
      </c>
      <c r="J1049">
        <v>4657.74</v>
      </c>
      <c r="K1049">
        <v>8822.86</v>
      </c>
      <c r="L1049">
        <v>4657.2299999999996</v>
      </c>
      <c r="M1049">
        <v>8823.17</v>
      </c>
      <c r="N1049">
        <v>46.962333000000001</v>
      </c>
      <c r="O1049">
        <v>-88.381</v>
      </c>
      <c r="P1049">
        <v>46.953833000000003</v>
      </c>
      <c r="Q1049">
        <v>-88.386167</v>
      </c>
      <c r="R1049">
        <v>1045.25918</v>
      </c>
      <c r="S1049">
        <v>70</v>
      </c>
      <c r="T1049">
        <v>67.599999999999994</v>
      </c>
      <c r="U1049">
        <v>0.5</v>
      </c>
      <c r="V1049">
        <v>2</v>
      </c>
      <c r="W1049">
        <v>6.6</v>
      </c>
      <c r="X1049">
        <v>5.4347000000000003</v>
      </c>
      <c r="Y1049">
        <v>0.17865</v>
      </c>
      <c r="Z1049">
        <v>90.413600000000002</v>
      </c>
      <c r="AA1049">
        <v>10</v>
      </c>
      <c r="AB1049">
        <v>0.42</v>
      </c>
      <c r="AC1049">
        <v>0</v>
      </c>
      <c r="AD1049">
        <v>0</v>
      </c>
    </row>
    <row r="1050" spans="1:30" x14ac:dyDescent="0.55000000000000004">
      <c r="A1050">
        <v>105694</v>
      </c>
      <c r="B1050" s="19">
        <v>43253</v>
      </c>
      <c r="C1050">
        <v>1514</v>
      </c>
      <c r="D1050">
        <v>2018</v>
      </c>
      <c r="E1050">
        <v>25</v>
      </c>
      <c r="F1050">
        <v>564</v>
      </c>
      <c r="G1050">
        <v>1</v>
      </c>
      <c r="H1050">
        <v>101</v>
      </c>
      <c r="I1050">
        <v>3</v>
      </c>
      <c r="J1050">
        <v>4722.82</v>
      </c>
      <c r="K1050">
        <v>8747.35</v>
      </c>
      <c r="L1050">
        <v>4722.84</v>
      </c>
      <c r="M1050">
        <v>8747.93</v>
      </c>
      <c r="N1050">
        <v>47.380333</v>
      </c>
      <c r="O1050">
        <v>-87.789167000000006</v>
      </c>
      <c r="P1050">
        <v>47.380667000000003</v>
      </c>
      <c r="Q1050">
        <v>-87.798833000000002</v>
      </c>
      <c r="R1050">
        <v>1293.317943</v>
      </c>
      <c r="S1050">
        <v>20.9</v>
      </c>
      <c r="T1050">
        <v>22</v>
      </c>
      <c r="U1050">
        <v>0.5</v>
      </c>
      <c r="V1050">
        <v>2</v>
      </c>
      <c r="W1050">
        <v>4.9000000000000004</v>
      </c>
      <c r="X1050">
        <v>4.4252500000000001</v>
      </c>
      <c r="Y1050">
        <v>0.14810000000000001</v>
      </c>
      <c r="Z1050">
        <v>82.921599999999998</v>
      </c>
      <c r="AA1050">
        <v>10</v>
      </c>
      <c r="AB1050">
        <v>0.42</v>
      </c>
      <c r="AC1050">
        <v>0</v>
      </c>
      <c r="AD1050">
        <v>0</v>
      </c>
    </row>
    <row r="1051" spans="1:30" x14ac:dyDescent="0.55000000000000004">
      <c r="A1051">
        <v>105695</v>
      </c>
      <c r="B1051" s="19">
        <v>43253</v>
      </c>
      <c r="C1051">
        <v>1514</v>
      </c>
      <c r="D1051">
        <v>2018</v>
      </c>
      <c r="E1051">
        <v>25</v>
      </c>
      <c r="F1051">
        <v>565</v>
      </c>
      <c r="G1051">
        <v>1</v>
      </c>
      <c r="H1051">
        <v>101</v>
      </c>
      <c r="I1051">
        <v>3</v>
      </c>
      <c r="J1051">
        <v>4722.82</v>
      </c>
      <c r="K1051">
        <v>8747.35</v>
      </c>
      <c r="L1051">
        <v>4722.84</v>
      </c>
      <c r="M1051">
        <v>8747.93</v>
      </c>
      <c r="N1051">
        <v>47.380333</v>
      </c>
      <c r="O1051">
        <v>-87.789167000000006</v>
      </c>
      <c r="P1051">
        <v>47.380667000000003</v>
      </c>
      <c r="Q1051">
        <v>-87.798833000000002</v>
      </c>
      <c r="R1051">
        <v>1293.317943</v>
      </c>
      <c r="S1051">
        <v>20.9</v>
      </c>
      <c r="T1051">
        <v>22</v>
      </c>
      <c r="U1051">
        <v>0.5</v>
      </c>
      <c r="V1051">
        <v>2</v>
      </c>
      <c r="W1051">
        <v>4.9000000000000004</v>
      </c>
      <c r="X1051">
        <v>4.4252500000000001</v>
      </c>
      <c r="Y1051">
        <v>0.14810000000000001</v>
      </c>
      <c r="Z1051">
        <v>82.921599999999998</v>
      </c>
      <c r="AA1051">
        <v>10</v>
      </c>
      <c r="AB1051">
        <v>0.42</v>
      </c>
      <c r="AC1051">
        <v>217</v>
      </c>
      <c r="AD1051">
        <v>1</v>
      </c>
    </row>
    <row r="1052" spans="1:30" x14ac:dyDescent="0.55000000000000004">
      <c r="A1052">
        <v>105696</v>
      </c>
      <c r="B1052" s="19">
        <v>43254</v>
      </c>
      <c r="C1052">
        <v>807</v>
      </c>
      <c r="D1052">
        <v>2018</v>
      </c>
      <c r="E1052">
        <v>25</v>
      </c>
      <c r="F1052">
        <v>566</v>
      </c>
      <c r="G1052">
        <v>1</v>
      </c>
      <c r="H1052">
        <v>84</v>
      </c>
      <c r="I1052">
        <v>3</v>
      </c>
      <c r="J1052">
        <v>4653.45</v>
      </c>
      <c r="K1052">
        <v>8819.2199999999993</v>
      </c>
      <c r="L1052">
        <v>4653.8500000000004</v>
      </c>
      <c r="M1052">
        <v>8819.2800000000007</v>
      </c>
      <c r="N1052">
        <v>46.890833000000001</v>
      </c>
      <c r="O1052">
        <v>-88.320333000000005</v>
      </c>
      <c r="P1052">
        <v>46.897500000000001</v>
      </c>
      <c r="Q1052">
        <v>-88.321332999999996</v>
      </c>
      <c r="R1052">
        <v>799.8589594</v>
      </c>
      <c r="S1052">
        <v>17.7</v>
      </c>
      <c r="T1052">
        <v>31.7</v>
      </c>
      <c r="U1052">
        <v>0.5</v>
      </c>
      <c r="V1052">
        <v>2</v>
      </c>
      <c r="W1052">
        <v>5.9</v>
      </c>
      <c r="X1052">
        <v>5.423</v>
      </c>
      <c r="Y1052">
        <v>0.47760000000000002</v>
      </c>
      <c r="Z1052">
        <v>92.163749999999993</v>
      </c>
      <c r="AA1052">
        <v>10</v>
      </c>
      <c r="AB1052">
        <v>0.44</v>
      </c>
      <c r="AC1052">
        <v>217</v>
      </c>
      <c r="AD1052">
        <v>2</v>
      </c>
    </row>
    <row r="1053" spans="1:30" x14ac:dyDescent="0.55000000000000004">
      <c r="A1053">
        <v>105697</v>
      </c>
      <c r="B1053" s="19">
        <v>43254</v>
      </c>
      <c r="C1053">
        <v>807</v>
      </c>
      <c r="D1053">
        <v>2018</v>
      </c>
      <c r="E1053">
        <v>25</v>
      </c>
      <c r="F1053">
        <v>567</v>
      </c>
      <c r="G1053">
        <v>1</v>
      </c>
      <c r="H1053">
        <v>84</v>
      </c>
      <c r="I1053">
        <v>3</v>
      </c>
      <c r="J1053">
        <v>4653.45</v>
      </c>
      <c r="K1053">
        <v>8819.2199999999993</v>
      </c>
      <c r="L1053">
        <v>4653.8500000000004</v>
      </c>
      <c r="M1053">
        <v>8819.2800000000007</v>
      </c>
      <c r="N1053">
        <v>46.890833000000001</v>
      </c>
      <c r="O1053">
        <v>-88.320333000000005</v>
      </c>
      <c r="P1053">
        <v>46.897500000000001</v>
      </c>
      <c r="Q1053">
        <v>-88.321332999999996</v>
      </c>
      <c r="R1053">
        <v>799.8589594</v>
      </c>
      <c r="S1053">
        <v>17.7</v>
      </c>
      <c r="T1053">
        <v>31.7</v>
      </c>
      <c r="U1053">
        <v>0.5</v>
      </c>
      <c r="V1053">
        <v>2</v>
      </c>
      <c r="W1053">
        <v>5.9</v>
      </c>
      <c r="X1053">
        <v>5.423</v>
      </c>
      <c r="Y1053">
        <v>0.47760000000000002</v>
      </c>
      <c r="Z1053">
        <v>92.163749999999993</v>
      </c>
      <c r="AA1053">
        <v>10</v>
      </c>
      <c r="AB1053">
        <v>0.44</v>
      </c>
      <c r="AC1053">
        <v>0</v>
      </c>
      <c r="AD1053">
        <v>0</v>
      </c>
    </row>
    <row r="1054" spans="1:30" x14ac:dyDescent="0.55000000000000004">
      <c r="A1054">
        <v>105698</v>
      </c>
      <c r="B1054" s="19">
        <v>43254</v>
      </c>
      <c r="C1054">
        <v>1057</v>
      </c>
      <c r="D1054">
        <v>2018</v>
      </c>
      <c r="E1054">
        <v>25</v>
      </c>
      <c r="F1054">
        <v>568</v>
      </c>
      <c r="G1054">
        <v>1</v>
      </c>
      <c r="H1054">
        <v>158</v>
      </c>
      <c r="I1054">
        <v>3</v>
      </c>
      <c r="J1054">
        <v>4656.29</v>
      </c>
      <c r="K1054">
        <v>8808.23</v>
      </c>
      <c r="L1054">
        <v>4656.2</v>
      </c>
      <c r="M1054">
        <v>8807.56</v>
      </c>
      <c r="N1054">
        <v>46.938167</v>
      </c>
      <c r="O1054">
        <v>-88.137167000000005</v>
      </c>
      <c r="P1054">
        <v>46.936667</v>
      </c>
      <c r="Q1054">
        <v>-88.126000000000005</v>
      </c>
      <c r="R1054">
        <v>1642.18472</v>
      </c>
      <c r="S1054">
        <v>16.3</v>
      </c>
      <c r="T1054">
        <v>32.5</v>
      </c>
      <c r="U1054">
        <v>0.5</v>
      </c>
      <c r="V1054">
        <v>2</v>
      </c>
      <c r="W1054">
        <v>6.8</v>
      </c>
      <c r="X1054">
        <v>6.4276</v>
      </c>
      <c r="Y1054">
        <v>0.33345000000000002</v>
      </c>
      <c r="Z1054">
        <v>89.736900000000006</v>
      </c>
      <c r="AA1054">
        <v>10</v>
      </c>
      <c r="AB1054">
        <v>0.49</v>
      </c>
      <c r="AC1054">
        <v>217</v>
      </c>
      <c r="AD1054">
        <v>7</v>
      </c>
    </row>
    <row r="1055" spans="1:30" x14ac:dyDescent="0.55000000000000004">
      <c r="A1055">
        <v>105699</v>
      </c>
      <c r="B1055" s="19">
        <v>43254</v>
      </c>
      <c r="C1055">
        <v>1057</v>
      </c>
      <c r="D1055">
        <v>2018</v>
      </c>
      <c r="E1055">
        <v>25</v>
      </c>
      <c r="F1055">
        <v>569</v>
      </c>
      <c r="G1055">
        <v>1</v>
      </c>
      <c r="H1055">
        <v>158</v>
      </c>
      <c r="I1055">
        <v>3</v>
      </c>
      <c r="J1055">
        <v>4656.29</v>
      </c>
      <c r="K1055">
        <v>8808.23</v>
      </c>
      <c r="L1055">
        <v>4656.2</v>
      </c>
      <c r="M1055">
        <v>8807.56</v>
      </c>
      <c r="N1055">
        <v>46.938167</v>
      </c>
      <c r="O1055">
        <v>-88.137167000000005</v>
      </c>
      <c r="P1055">
        <v>46.936667</v>
      </c>
      <c r="Q1055">
        <v>-88.126000000000005</v>
      </c>
      <c r="R1055">
        <v>1642.18472</v>
      </c>
      <c r="S1055">
        <v>16.3</v>
      </c>
      <c r="T1055">
        <v>32.5</v>
      </c>
      <c r="U1055">
        <v>0.5</v>
      </c>
      <c r="V1055">
        <v>2</v>
      </c>
      <c r="W1055">
        <v>6.8</v>
      </c>
      <c r="X1055">
        <v>6.4276</v>
      </c>
      <c r="Y1055">
        <v>0.33345000000000002</v>
      </c>
      <c r="Z1055">
        <v>89.736900000000006</v>
      </c>
      <c r="AA1055">
        <v>10</v>
      </c>
      <c r="AB1055">
        <v>0.49</v>
      </c>
      <c r="AC1055">
        <v>0</v>
      </c>
      <c r="AD1055">
        <v>0</v>
      </c>
    </row>
    <row r="1056" spans="1:30" x14ac:dyDescent="0.55000000000000004">
      <c r="A1056">
        <v>105700</v>
      </c>
      <c r="B1056" s="19">
        <v>43254</v>
      </c>
      <c r="C1056">
        <v>1351</v>
      </c>
      <c r="D1056">
        <v>2018</v>
      </c>
      <c r="E1056">
        <v>25</v>
      </c>
      <c r="F1056">
        <v>570</v>
      </c>
      <c r="G1056">
        <v>1</v>
      </c>
      <c r="H1056">
        <v>142</v>
      </c>
      <c r="I1056">
        <v>3</v>
      </c>
      <c r="J1056">
        <v>4651.21</v>
      </c>
      <c r="K1056">
        <v>8743.67</v>
      </c>
      <c r="L1056">
        <v>4651.51</v>
      </c>
      <c r="M1056">
        <v>8743.31</v>
      </c>
      <c r="N1056">
        <v>46.853499999999997</v>
      </c>
      <c r="O1056">
        <v>-87.727833000000004</v>
      </c>
      <c r="P1056">
        <v>46.858499999999999</v>
      </c>
      <c r="Q1056">
        <v>-87.721833000000004</v>
      </c>
      <c r="R1056">
        <v>1281.0560129999999</v>
      </c>
      <c r="S1056">
        <v>20.5</v>
      </c>
      <c r="T1056">
        <v>42</v>
      </c>
      <c r="U1056">
        <v>0.5</v>
      </c>
      <c r="V1056">
        <v>2</v>
      </c>
      <c r="W1056">
        <v>6.3</v>
      </c>
      <c r="X1056">
        <v>5.4408000000000003</v>
      </c>
      <c r="Y1056">
        <v>0.33610000000000001</v>
      </c>
      <c r="Z1056">
        <v>91.291150000000002</v>
      </c>
      <c r="AA1056">
        <v>10</v>
      </c>
      <c r="AC1056">
        <v>217</v>
      </c>
      <c r="AD1056">
        <v>97</v>
      </c>
    </row>
    <row r="1057" spans="1:30" x14ac:dyDescent="0.55000000000000004">
      <c r="A1057">
        <v>105701</v>
      </c>
      <c r="B1057" s="19">
        <v>43254</v>
      </c>
      <c r="C1057">
        <v>1351</v>
      </c>
      <c r="D1057">
        <v>2018</v>
      </c>
      <c r="E1057">
        <v>25</v>
      </c>
      <c r="F1057">
        <v>571</v>
      </c>
      <c r="G1057">
        <v>1</v>
      </c>
      <c r="H1057">
        <v>142</v>
      </c>
      <c r="I1057">
        <v>3</v>
      </c>
      <c r="J1057">
        <v>4651.21</v>
      </c>
      <c r="K1057">
        <v>8743.67</v>
      </c>
      <c r="L1057">
        <v>4651.51</v>
      </c>
      <c r="M1057">
        <v>8743.31</v>
      </c>
      <c r="N1057">
        <v>46.853499999999997</v>
      </c>
      <c r="O1057">
        <v>-87.727833000000004</v>
      </c>
      <c r="P1057">
        <v>46.858499999999999</v>
      </c>
      <c r="Q1057">
        <v>-87.721833000000004</v>
      </c>
      <c r="R1057">
        <v>1281.0560129999999</v>
      </c>
      <c r="S1057">
        <v>20.5</v>
      </c>
      <c r="T1057">
        <v>42</v>
      </c>
      <c r="U1057">
        <v>0.5</v>
      </c>
      <c r="V1057">
        <v>2</v>
      </c>
      <c r="W1057">
        <v>6.3</v>
      </c>
      <c r="X1057">
        <v>5.4408000000000003</v>
      </c>
      <c r="Y1057">
        <v>0.33610000000000001</v>
      </c>
      <c r="Z1057">
        <v>91.291150000000002</v>
      </c>
      <c r="AA1057">
        <v>10</v>
      </c>
      <c r="AC1057">
        <v>217</v>
      </c>
      <c r="AD1057">
        <v>68</v>
      </c>
    </row>
    <row r="1058" spans="1:30" x14ac:dyDescent="0.55000000000000004">
      <c r="A1058">
        <v>105702</v>
      </c>
      <c r="B1058" s="19">
        <v>43254</v>
      </c>
      <c r="C1058">
        <v>1532</v>
      </c>
      <c r="D1058">
        <v>2018</v>
      </c>
      <c r="E1058">
        <v>25</v>
      </c>
      <c r="F1058">
        <v>572</v>
      </c>
      <c r="G1058">
        <v>1</v>
      </c>
      <c r="H1058">
        <v>196</v>
      </c>
      <c r="I1058">
        <v>3</v>
      </c>
      <c r="J1058">
        <v>4646.66</v>
      </c>
      <c r="K1058">
        <v>8733.61</v>
      </c>
      <c r="L1058">
        <v>4646.97</v>
      </c>
      <c r="M1058">
        <v>8733.2199999999993</v>
      </c>
      <c r="N1058">
        <v>46.777667000000001</v>
      </c>
      <c r="O1058">
        <v>-87.560167000000007</v>
      </c>
      <c r="P1058">
        <v>46.782832999999997</v>
      </c>
      <c r="Q1058">
        <v>-87.553667000000004</v>
      </c>
      <c r="R1058">
        <v>2612.8436059999999</v>
      </c>
      <c r="S1058">
        <v>27.5</v>
      </c>
      <c r="T1058">
        <v>36.1</v>
      </c>
      <c r="U1058">
        <v>0.5</v>
      </c>
      <c r="V1058">
        <v>2</v>
      </c>
      <c r="W1058">
        <v>3.7</v>
      </c>
      <c r="X1058">
        <v>3.6211500000000001</v>
      </c>
      <c r="Y1058">
        <v>0.29949999999999999</v>
      </c>
      <c r="Z1058">
        <v>92.830299999999994</v>
      </c>
      <c r="AA1058">
        <v>10</v>
      </c>
      <c r="AB1058">
        <v>0.44</v>
      </c>
      <c r="AC1058">
        <v>217</v>
      </c>
      <c r="AD1058">
        <v>5</v>
      </c>
    </row>
    <row r="1059" spans="1:30" x14ac:dyDescent="0.55000000000000004">
      <c r="A1059">
        <v>105703</v>
      </c>
      <c r="B1059" s="19">
        <v>43254</v>
      </c>
      <c r="C1059">
        <v>1532</v>
      </c>
      <c r="D1059">
        <v>2018</v>
      </c>
      <c r="E1059">
        <v>25</v>
      </c>
      <c r="F1059">
        <v>573</v>
      </c>
      <c r="G1059">
        <v>1</v>
      </c>
      <c r="H1059">
        <v>196</v>
      </c>
      <c r="I1059">
        <v>3</v>
      </c>
      <c r="J1059">
        <v>4646.66</v>
      </c>
      <c r="K1059">
        <v>8733.61</v>
      </c>
      <c r="L1059">
        <v>4646.97</v>
      </c>
      <c r="M1059">
        <v>8733.2199999999993</v>
      </c>
      <c r="N1059">
        <v>46.777667000000001</v>
      </c>
      <c r="O1059">
        <v>-87.560167000000007</v>
      </c>
      <c r="P1059">
        <v>46.782832999999997</v>
      </c>
      <c r="Q1059">
        <v>-87.553667000000004</v>
      </c>
      <c r="R1059">
        <v>2612.8436059999999</v>
      </c>
      <c r="S1059">
        <v>27.5</v>
      </c>
      <c r="T1059">
        <v>36.1</v>
      </c>
      <c r="U1059">
        <v>0.5</v>
      </c>
      <c r="V1059">
        <v>2</v>
      </c>
      <c r="W1059">
        <v>3.7</v>
      </c>
      <c r="X1059">
        <v>3.6211500000000001</v>
      </c>
      <c r="Y1059">
        <v>0.29949999999999999</v>
      </c>
      <c r="Z1059">
        <v>92.830299999999994</v>
      </c>
      <c r="AA1059">
        <v>10</v>
      </c>
      <c r="AB1059">
        <v>0.44</v>
      </c>
      <c r="AC1059">
        <v>217</v>
      </c>
      <c r="AD1059">
        <v>3</v>
      </c>
    </row>
    <row r="1060" spans="1:30" x14ac:dyDescent="0.55000000000000004">
      <c r="A1060">
        <v>105704</v>
      </c>
      <c r="B1060" s="19">
        <v>43254</v>
      </c>
      <c r="C1060">
        <v>804</v>
      </c>
      <c r="D1060">
        <v>2018</v>
      </c>
      <c r="E1060">
        <v>25</v>
      </c>
      <c r="F1060">
        <v>574</v>
      </c>
      <c r="G1060">
        <v>1</v>
      </c>
      <c r="H1060">
        <v>120</v>
      </c>
      <c r="I1060">
        <v>3</v>
      </c>
      <c r="J1060">
        <v>4630.3900000000003</v>
      </c>
      <c r="K1060">
        <v>8713.9500000000007</v>
      </c>
      <c r="L1060">
        <v>4630.72</v>
      </c>
      <c r="M1060">
        <v>8713.8700000000008</v>
      </c>
      <c r="N1060">
        <v>46.506500000000003</v>
      </c>
      <c r="O1060">
        <v>-87.232500000000002</v>
      </c>
      <c r="P1060">
        <v>46.512</v>
      </c>
      <c r="Q1060">
        <v>-87.231166999999999</v>
      </c>
      <c r="R1060">
        <v>3733.016885</v>
      </c>
      <c r="S1060">
        <v>19.7</v>
      </c>
      <c r="T1060">
        <v>25</v>
      </c>
      <c r="U1060">
        <v>0.5</v>
      </c>
      <c r="V1060">
        <v>2</v>
      </c>
      <c r="W1060">
        <v>5.4</v>
      </c>
      <c r="AA1060">
        <v>10</v>
      </c>
      <c r="AB1060">
        <v>0.4</v>
      </c>
      <c r="AC1060">
        <v>217</v>
      </c>
      <c r="AD1060">
        <v>64</v>
      </c>
    </row>
    <row r="1061" spans="1:30" x14ac:dyDescent="0.55000000000000004">
      <c r="A1061">
        <v>105705</v>
      </c>
      <c r="B1061" s="19">
        <v>43254</v>
      </c>
      <c r="C1061">
        <v>804</v>
      </c>
      <c r="D1061">
        <v>2018</v>
      </c>
      <c r="E1061">
        <v>25</v>
      </c>
      <c r="F1061">
        <v>575</v>
      </c>
      <c r="G1061">
        <v>1</v>
      </c>
      <c r="H1061">
        <v>120</v>
      </c>
      <c r="I1061">
        <v>3</v>
      </c>
      <c r="J1061">
        <v>4630.3900000000003</v>
      </c>
      <c r="K1061">
        <v>8713.9500000000007</v>
      </c>
      <c r="L1061">
        <v>4630.72</v>
      </c>
      <c r="M1061">
        <v>8713.8700000000008</v>
      </c>
      <c r="N1061">
        <v>46.506500000000003</v>
      </c>
      <c r="O1061">
        <v>-87.232500000000002</v>
      </c>
      <c r="P1061">
        <v>46.512</v>
      </c>
      <c r="Q1061">
        <v>-87.231166999999999</v>
      </c>
      <c r="R1061">
        <v>3733.016885</v>
      </c>
      <c r="S1061">
        <v>19.7</v>
      </c>
      <c r="T1061">
        <v>25</v>
      </c>
      <c r="U1061">
        <v>0.5</v>
      </c>
      <c r="V1061">
        <v>2</v>
      </c>
      <c r="W1061">
        <v>5.4</v>
      </c>
      <c r="AA1061">
        <v>10</v>
      </c>
      <c r="AB1061">
        <v>0.4</v>
      </c>
      <c r="AC1061">
        <v>217</v>
      </c>
      <c r="AD1061">
        <v>98</v>
      </c>
    </row>
    <row r="1062" spans="1:30" x14ac:dyDescent="0.55000000000000004">
      <c r="A1062">
        <v>105706</v>
      </c>
      <c r="B1062" s="19">
        <v>43255</v>
      </c>
      <c r="C1062">
        <v>1152</v>
      </c>
      <c r="D1062">
        <v>2018</v>
      </c>
      <c r="E1062">
        <v>25</v>
      </c>
      <c r="F1062">
        <v>576</v>
      </c>
      <c r="G1062">
        <v>1</v>
      </c>
      <c r="H1062">
        <v>88</v>
      </c>
      <c r="I1062">
        <v>3</v>
      </c>
      <c r="J1062">
        <v>4631.41</v>
      </c>
      <c r="K1062">
        <v>8655.35</v>
      </c>
      <c r="L1062">
        <v>4631.5600000000004</v>
      </c>
      <c r="M1062">
        <v>8654.8799999999992</v>
      </c>
      <c r="N1062">
        <v>46.523499999999999</v>
      </c>
      <c r="O1062">
        <v>-86.922499999999999</v>
      </c>
      <c r="P1062">
        <v>46.526000000000003</v>
      </c>
      <c r="Q1062">
        <v>-86.914666999999994</v>
      </c>
      <c r="R1062">
        <v>4575.3649349999996</v>
      </c>
      <c r="S1062">
        <v>29</v>
      </c>
      <c r="T1062">
        <v>43</v>
      </c>
      <c r="U1062">
        <v>0.5</v>
      </c>
      <c r="V1062">
        <v>2</v>
      </c>
      <c r="W1062">
        <v>4.2</v>
      </c>
      <c r="X1062">
        <v>3.63415</v>
      </c>
      <c r="Y1062">
        <v>0.18245</v>
      </c>
      <c r="Z1062">
        <v>90.515299999999996</v>
      </c>
      <c r="AA1062">
        <v>10</v>
      </c>
      <c r="AB1062">
        <v>0.43</v>
      </c>
      <c r="AC1062">
        <v>217</v>
      </c>
      <c r="AD1062">
        <v>1</v>
      </c>
    </row>
    <row r="1063" spans="1:30" x14ac:dyDescent="0.55000000000000004">
      <c r="A1063">
        <v>105707</v>
      </c>
      <c r="B1063" s="19">
        <v>43255</v>
      </c>
      <c r="C1063">
        <v>1152</v>
      </c>
      <c r="D1063">
        <v>2018</v>
      </c>
      <c r="E1063">
        <v>25</v>
      </c>
      <c r="F1063">
        <v>577</v>
      </c>
      <c r="G1063">
        <v>1</v>
      </c>
      <c r="H1063">
        <v>88</v>
      </c>
      <c r="I1063">
        <v>3</v>
      </c>
      <c r="J1063">
        <v>4631.41</v>
      </c>
      <c r="K1063">
        <v>8655.35</v>
      </c>
      <c r="L1063">
        <v>4631.5600000000004</v>
      </c>
      <c r="M1063">
        <v>8654.8799999999992</v>
      </c>
      <c r="N1063">
        <v>46.523499999999999</v>
      </c>
      <c r="O1063">
        <v>-86.922499999999999</v>
      </c>
      <c r="P1063">
        <v>46.526000000000003</v>
      </c>
      <c r="Q1063">
        <v>-86.914666999999994</v>
      </c>
      <c r="R1063">
        <v>4575.3649349999996</v>
      </c>
      <c r="S1063">
        <v>29</v>
      </c>
      <c r="T1063">
        <v>43</v>
      </c>
      <c r="U1063">
        <v>0.5</v>
      </c>
      <c r="V1063">
        <v>2</v>
      </c>
      <c r="W1063">
        <v>4.2</v>
      </c>
      <c r="X1063">
        <v>3.63415</v>
      </c>
      <c r="Y1063">
        <v>0.18245</v>
      </c>
      <c r="Z1063">
        <v>90.515299999999996</v>
      </c>
      <c r="AA1063">
        <v>10</v>
      </c>
      <c r="AB1063">
        <v>0.43</v>
      </c>
      <c r="AC1063">
        <v>217</v>
      </c>
      <c r="AD1063">
        <v>2</v>
      </c>
    </row>
    <row r="1064" spans="1:30" x14ac:dyDescent="0.55000000000000004">
      <c r="A1064">
        <v>105708</v>
      </c>
      <c r="B1064" s="19">
        <v>43255</v>
      </c>
      <c r="C1064">
        <v>1239</v>
      </c>
      <c r="D1064">
        <v>2018</v>
      </c>
      <c r="E1064">
        <v>25</v>
      </c>
      <c r="F1064">
        <v>578</v>
      </c>
      <c r="G1064">
        <v>1</v>
      </c>
      <c r="H1064">
        <v>209</v>
      </c>
      <c r="I1064">
        <v>3</v>
      </c>
      <c r="J1064">
        <v>4631.59</v>
      </c>
      <c r="K1064">
        <v>8643.56</v>
      </c>
      <c r="L1064">
        <v>4631.54</v>
      </c>
      <c r="M1064">
        <v>8643</v>
      </c>
      <c r="N1064">
        <v>46.526499999999999</v>
      </c>
      <c r="O1064">
        <v>-86.725999999999999</v>
      </c>
      <c r="P1064">
        <v>46.525666999999999</v>
      </c>
      <c r="Q1064">
        <v>-86.716667000000001</v>
      </c>
      <c r="R1064">
        <v>508.61472559999999</v>
      </c>
      <c r="S1064">
        <v>64.7</v>
      </c>
      <c r="T1064">
        <v>58.3</v>
      </c>
      <c r="U1064">
        <v>0.5</v>
      </c>
      <c r="V1064">
        <v>2</v>
      </c>
      <c r="W1064">
        <v>7.4</v>
      </c>
      <c r="X1064">
        <v>5.5484499999999999</v>
      </c>
      <c r="Y1064">
        <v>0.1293</v>
      </c>
      <c r="Z1064">
        <v>88.021450000000002</v>
      </c>
      <c r="AA1064">
        <v>10</v>
      </c>
      <c r="AB1064">
        <v>0.42</v>
      </c>
      <c r="AC1064">
        <v>217</v>
      </c>
      <c r="AD1064">
        <v>7</v>
      </c>
    </row>
    <row r="1065" spans="1:30" x14ac:dyDescent="0.55000000000000004">
      <c r="A1065">
        <v>105709</v>
      </c>
      <c r="B1065" s="19">
        <v>43255</v>
      </c>
      <c r="C1065">
        <v>1239</v>
      </c>
      <c r="D1065">
        <v>2018</v>
      </c>
      <c r="E1065">
        <v>25</v>
      </c>
      <c r="F1065">
        <v>579</v>
      </c>
      <c r="G1065">
        <v>1</v>
      </c>
      <c r="H1065">
        <v>209</v>
      </c>
      <c r="I1065">
        <v>3</v>
      </c>
      <c r="J1065">
        <v>4631.59</v>
      </c>
      <c r="K1065">
        <v>8643.56</v>
      </c>
      <c r="L1065">
        <v>4631.54</v>
      </c>
      <c r="M1065">
        <v>8643</v>
      </c>
      <c r="N1065">
        <v>46.526499999999999</v>
      </c>
      <c r="O1065">
        <v>-86.725999999999999</v>
      </c>
      <c r="P1065">
        <v>46.525666999999999</v>
      </c>
      <c r="Q1065">
        <v>-86.716667000000001</v>
      </c>
      <c r="R1065">
        <v>508.61472559999999</v>
      </c>
      <c r="S1065">
        <v>64.7</v>
      </c>
      <c r="T1065">
        <v>58.3</v>
      </c>
      <c r="U1065">
        <v>0.5</v>
      </c>
      <c r="V1065">
        <v>2</v>
      </c>
      <c r="W1065">
        <v>7.4</v>
      </c>
      <c r="X1065">
        <v>5.5484499999999999</v>
      </c>
      <c r="Y1065">
        <v>0.1293</v>
      </c>
      <c r="Z1065">
        <v>88.021450000000002</v>
      </c>
      <c r="AA1065">
        <v>10</v>
      </c>
      <c r="AB1065">
        <v>0.42</v>
      </c>
      <c r="AC1065">
        <v>217</v>
      </c>
      <c r="AD1065">
        <v>10</v>
      </c>
    </row>
    <row r="1066" spans="1:30" x14ac:dyDescent="0.55000000000000004">
      <c r="A1066">
        <v>105862</v>
      </c>
      <c r="B1066" s="19">
        <v>43255</v>
      </c>
      <c r="C1066">
        <v>1604</v>
      </c>
      <c r="D1066">
        <v>2018</v>
      </c>
      <c r="E1066">
        <v>25</v>
      </c>
      <c r="F1066">
        <v>580</v>
      </c>
      <c r="G1066">
        <v>1</v>
      </c>
      <c r="H1066">
        <v>178</v>
      </c>
      <c r="I1066">
        <v>3</v>
      </c>
      <c r="J1066">
        <v>4639.37</v>
      </c>
      <c r="K1066">
        <v>8618.35</v>
      </c>
      <c r="L1066">
        <v>4639.6000000000004</v>
      </c>
      <c r="M1066">
        <v>8618.84</v>
      </c>
      <c r="N1066">
        <v>46.656167000000003</v>
      </c>
      <c r="O1066">
        <v>-86.305833000000007</v>
      </c>
      <c r="P1066">
        <v>46.66</v>
      </c>
      <c r="Q1066">
        <v>-86.313999999999993</v>
      </c>
      <c r="R1066">
        <v>5623.3878450000002</v>
      </c>
      <c r="S1066">
        <v>28.7</v>
      </c>
      <c r="T1066">
        <v>35.700000000000003</v>
      </c>
      <c r="U1066">
        <v>0.5</v>
      </c>
      <c r="V1066">
        <v>2</v>
      </c>
      <c r="W1066">
        <v>3.9</v>
      </c>
      <c r="X1066">
        <v>3.18655</v>
      </c>
      <c r="Y1066">
        <v>0.15740000000000001</v>
      </c>
      <c r="Z1066">
        <v>92.370199999999997</v>
      </c>
      <c r="AA1066">
        <v>10</v>
      </c>
      <c r="AB1066">
        <v>0.42</v>
      </c>
      <c r="AC1066">
        <v>0</v>
      </c>
      <c r="AD1066">
        <v>0</v>
      </c>
    </row>
    <row r="1067" spans="1:30" x14ac:dyDescent="0.55000000000000004">
      <c r="A1067">
        <v>105863</v>
      </c>
      <c r="B1067" s="19">
        <v>43255</v>
      </c>
      <c r="C1067">
        <v>1604</v>
      </c>
      <c r="D1067">
        <v>2018</v>
      </c>
      <c r="E1067">
        <v>25</v>
      </c>
      <c r="F1067">
        <v>581</v>
      </c>
      <c r="G1067">
        <v>1</v>
      </c>
      <c r="H1067">
        <v>178</v>
      </c>
      <c r="I1067">
        <v>3</v>
      </c>
      <c r="J1067">
        <v>4639.37</v>
      </c>
      <c r="K1067">
        <v>8618.35</v>
      </c>
      <c r="L1067">
        <v>4639.6000000000004</v>
      </c>
      <c r="M1067">
        <v>8618.84</v>
      </c>
      <c r="N1067">
        <v>46.656167000000003</v>
      </c>
      <c r="O1067">
        <v>-86.305833000000007</v>
      </c>
      <c r="P1067">
        <v>46.66</v>
      </c>
      <c r="Q1067">
        <v>-86.313999999999993</v>
      </c>
      <c r="R1067">
        <v>5623.3878450000002</v>
      </c>
      <c r="S1067">
        <v>28.7</v>
      </c>
      <c r="T1067">
        <v>35.700000000000003</v>
      </c>
      <c r="U1067">
        <v>0.5</v>
      </c>
      <c r="V1067">
        <v>2</v>
      </c>
      <c r="W1067">
        <v>3.9</v>
      </c>
      <c r="X1067">
        <v>3.18655</v>
      </c>
      <c r="Y1067">
        <v>0.15740000000000001</v>
      </c>
      <c r="Z1067">
        <v>92.370199999999997</v>
      </c>
      <c r="AA1067">
        <v>10</v>
      </c>
      <c r="AB1067">
        <v>0.42</v>
      </c>
      <c r="AC1067">
        <v>0</v>
      </c>
      <c r="AD1067">
        <v>0</v>
      </c>
    </row>
    <row r="1068" spans="1:30" x14ac:dyDescent="0.55000000000000004">
      <c r="A1068">
        <v>105864</v>
      </c>
      <c r="B1068" s="19">
        <v>43256</v>
      </c>
      <c r="C1068">
        <v>821</v>
      </c>
      <c r="D1068">
        <v>2018</v>
      </c>
      <c r="E1068">
        <v>25</v>
      </c>
      <c r="F1068">
        <v>582</v>
      </c>
      <c r="G1068">
        <v>1</v>
      </c>
      <c r="H1068">
        <v>177</v>
      </c>
      <c r="I1068">
        <v>3</v>
      </c>
      <c r="J1068">
        <v>4643.42</v>
      </c>
      <c r="K1068">
        <v>8546.08</v>
      </c>
      <c r="L1068">
        <v>4643.79</v>
      </c>
      <c r="M1068">
        <v>8546.11</v>
      </c>
      <c r="N1068">
        <v>46.723666999999999</v>
      </c>
      <c r="O1068">
        <v>-85.768000000000001</v>
      </c>
      <c r="P1068">
        <v>46.729832999999999</v>
      </c>
      <c r="Q1068">
        <v>-85.768500000000003</v>
      </c>
      <c r="R1068">
        <v>4893.4349730000004</v>
      </c>
      <c r="S1068">
        <v>19.5</v>
      </c>
      <c r="T1068">
        <v>21.6</v>
      </c>
      <c r="U1068">
        <v>0.5</v>
      </c>
      <c r="V1068">
        <v>2</v>
      </c>
      <c r="W1068">
        <v>5.4</v>
      </c>
      <c r="X1068">
        <v>3.9794999999999998</v>
      </c>
      <c r="Y1068">
        <v>0.2049</v>
      </c>
      <c r="Z1068">
        <v>83.35915</v>
      </c>
      <c r="AA1068">
        <v>10</v>
      </c>
      <c r="AB1068">
        <v>0.41</v>
      </c>
      <c r="AC1068">
        <v>217</v>
      </c>
      <c r="AD1068">
        <v>18</v>
      </c>
    </row>
    <row r="1069" spans="1:30" x14ac:dyDescent="0.55000000000000004">
      <c r="A1069">
        <v>105865</v>
      </c>
      <c r="B1069" s="19">
        <v>43256</v>
      </c>
      <c r="C1069">
        <v>821</v>
      </c>
      <c r="D1069">
        <v>2018</v>
      </c>
      <c r="E1069">
        <v>25</v>
      </c>
      <c r="F1069">
        <v>583</v>
      </c>
      <c r="G1069">
        <v>1</v>
      </c>
      <c r="H1069">
        <v>177</v>
      </c>
      <c r="I1069">
        <v>3</v>
      </c>
      <c r="J1069">
        <v>4643.42</v>
      </c>
      <c r="K1069">
        <v>8546.08</v>
      </c>
      <c r="L1069">
        <v>4643.79</v>
      </c>
      <c r="M1069">
        <v>8546.11</v>
      </c>
      <c r="N1069">
        <v>46.723666999999999</v>
      </c>
      <c r="O1069">
        <v>-85.768000000000001</v>
      </c>
      <c r="P1069">
        <v>46.729832999999999</v>
      </c>
      <c r="Q1069">
        <v>-85.768500000000003</v>
      </c>
      <c r="R1069">
        <v>4893.4349730000004</v>
      </c>
      <c r="S1069">
        <v>19.5</v>
      </c>
      <c r="T1069">
        <v>21.6</v>
      </c>
      <c r="U1069">
        <v>0.5</v>
      </c>
      <c r="V1069">
        <v>2</v>
      </c>
      <c r="W1069">
        <v>5.4</v>
      </c>
      <c r="X1069">
        <v>3.9794999999999998</v>
      </c>
      <c r="Y1069">
        <v>0.2049</v>
      </c>
      <c r="Z1069">
        <v>83.35915</v>
      </c>
      <c r="AA1069">
        <v>10</v>
      </c>
      <c r="AB1069">
        <v>0.41</v>
      </c>
      <c r="AC1069">
        <v>217</v>
      </c>
      <c r="AD1069">
        <v>28</v>
      </c>
    </row>
    <row r="1070" spans="1:30" x14ac:dyDescent="0.55000000000000004">
      <c r="A1070">
        <v>105866</v>
      </c>
      <c r="B1070" s="19">
        <v>43256</v>
      </c>
      <c r="C1070">
        <v>1125</v>
      </c>
      <c r="D1070">
        <v>2018</v>
      </c>
      <c r="E1070">
        <v>25</v>
      </c>
      <c r="F1070">
        <v>584</v>
      </c>
      <c r="G1070">
        <v>1</v>
      </c>
      <c r="H1070">
        <v>176</v>
      </c>
      <c r="I1070">
        <v>3</v>
      </c>
      <c r="J1070">
        <v>4646.42</v>
      </c>
      <c r="K1070">
        <v>8546.08</v>
      </c>
      <c r="L1070">
        <v>4646.7700000000004</v>
      </c>
      <c r="M1070">
        <v>8519.2099999999991</v>
      </c>
      <c r="N1070">
        <v>46.773667000000003</v>
      </c>
      <c r="O1070">
        <v>-85.768000000000001</v>
      </c>
      <c r="P1070">
        <v>46.779499999999999</v>
      </c>
      <c r="Q1070">
        <v>-85.320166999999998</v>
      </c>
      <c r="R1070">
        <v>5180.0277290000004</v>
      </c>
      <c r="S1070">
        <v>20</v>
      </c>
      <c r="T1070">
        <v>20.3</v>
      </c>
      <c r="U1070">
        <v>0.5</v>
      </c>
      <c r="V1070">
        <v>2</v>
      </c>
      <c r="W1070">
        <v>6.8</v>
      </c>
      <c r="X1070">
        <v>5.2146499999999998</v>
      </c>
      <c r="Y1070">
        <v>8.3650000000000002E-2</v>
      </c>
      <c r="Z1070">
        <v>74.176000000000002</v>
      </c>
      <c r="AA1070">
        <v>10</v>
      </c>
      <c r="AB1070">
        <v>0.43</v>
      </c>
      <c r="AC1070">
        <v>217</v>
      </c>
      <c r="AD1070">
        <v>2</v>
      </c>
    </row>
    <row r="1071" spans="1:30" x14ac:dyDescent="0.55000000000000004">
      <c r="A1071">
        <v>105867</v>
      </c>
      <c r="B1071" s="19">
        <v>43256</v>
      </c>
      <c r="C1071">
        <v>1125</v>
      </c>
      <c r="D1071">
        <v>2018</v>
      </c>
      <c r="E1071">
        <v>25</v>
      </c>
      <c r="F1071">
        <v>585</v>
      </c>
      <c r="G1071">
        <v>1</v>
      </c>
      <c r="H1071">
        <v>176</v>
      </c>
      <c r="I1071">
        <v>3</v>
      </c>
      <c r="J1071">
        <v>4646.42</v>
      </c>
      <c r="K1071">
        <v>8519.01</v>
      </c>
      <c r="L1071">
        <v>4646.7700000000004</v>
      </c>
      <c r="M1071">
        <v>8519.2099999999991</v>
      </c>
      <c r="N1071">
        <v>46.773667000000003</v>
      </c>
      <c r="O1071">
        <v>-85.316833000000003</v>
      </c>
      <c r="P1071">
        <v>46.779499999999999</v>
      </c>
      <c r="Q1071">
        <v>-85.320166999999998</v>
      </c>
      <c r="R1071">
        <v>5180.0277290000004</v>
      </c>
      <c r="S1071">
        <v>20</v>
      </c>
      <c r="T1071">
        <v>23.4</v>
      </c>
      <c r="U1071">
        <v>0.5</v>
      </c>
      <c r="V1071">
        <v>2</v>
      </c>
      <c r="W1071">
        <v>6.8</v>
      </c>
      <c r="X1071">
        <v>5.2146499999999998</v>
      </c>
      <c r="Y1071">
        <v>8.3650000000000002E-2</v>
      </c>
      <c r="Z1071">
        <v>74.176000000000002</v>
      </c>
      <c r="AA1071">
        <v>10</v>
      </c>
      <c r="AB1071">
        <v>0.43</v>
      </c>
      <c r="AC1071">
        <v>217</v>
      </c>
      <c r="AD1071">
        <v>1</v>
      </c>
    </row>
    <row r="1072" spans="1:30" x14ac:dyDescent="0.55000000000000004">
      <c r="A1072">
        <v>105868</v>
      </c>
      <c r="B1072" s="19">
        <v>43256</v>
      </c>
      <c r="C1072">
        <v>1454</v>
      </c>
      <c r="D1072">
        <v>2018</v>
      </c>
      <c r="E1072">
        <v>25</v>
      </c>
      <c r="F1072">
        <v>586</v>
      </c>
      <c r="G1072">
        <v>1</v>
      </c>
      <c r="H1072">
        <v>195</v>
      </c>
      <c r="I1072">
        <v>3</v>
      </c>
      <c r="J1072">
        <v>4647.82</v>
      </c>
      <c r="K1072">
        <v>8459.33</v>
      </c>
      <c r="L1072">
        <v>4648.1400000000003</v>
      </c>
      <c r="M1072">
        <v>8459.08</v>
      </c>
      <c r="N1072">
        <v>46.796999999999997</v>
      </c>
      <c r="O1072">
        <v>-84.988833</v>
      </c>
      <c r="P1072">
        <v>46.802332999999997</v>
      </c>
      <c r="Q1072">
        <v>-84.984667000000002</v>
      </c>
      <c r="R1072">
        <v>2765.9801950000001</v>
      </c>
      <c r="S1072">
        <v>12</v>
      </c>
      <c r="T1072">
        <v>59.1</v>
      </c>
      <c r="U1072">
        <v>0.5</v>
      </c>
      <c r="V1072">
        <v>2</v>
      </c>
      <c r="W1072">
        <v>7</v>
      </c>
      <c r="X1072">
        <v>5.5404499999999999</v>
      </c>
      <c r="Y1072">
        <v>0.12859999999999999</v>
      </c>
      <c r="Z1072">
        <v>91.291150000000002</v>
      </c>
      <c r="AA1072">
        <v>10</v>
      </c>
      <c r="AB1072">
        <v>0.43</v>
      </c>
      <c r="AC1072">
        <v>217</v>
      </c>
      <c r="AD1072">
        <v>1</v>
      </c>
    </row>
    <row r="1073" spans="1:30" x14ac:dyDescent="0.55000000000000004">
      <c r="A1073">
        <v>105869</v>
      </c>
      <c r="B1073" s="19">
        <v>43256</v>
      </c>
      <c r="C1073">
        <v>1454</v>
      </c>
      <c r="D1073">
        <v>2018</v>
      </c>
      <c r="E1073">
        <v>25</v>
      </c>
      <c r="F1073">
        <v>587</v>
      </c>
      <c r="G1073">
        <v>1</v>
      </c>
      <c r="H1073">
        <v>195</v>
      </c>
      <c r="I1073">
        <v>3</v>
      </c>
      <c r="J1073">
        <v>4647.82</v>
      </c>
      <c r="K1073">
        <v>8459.33</v>
      </c>
      <c r="L1073">
        <v>4648.1400000000003</v>
      </c>
      <c r="M1073">
        <v>8459.08</v>
      </c>
      <c r="N1073">
        <v>46.796999999999997</v>
      </c>
      <c r="O1073">
        <v>-84.988833</v>
      </c>
      <c r="P1073">
        <v>46.802332999999997</v>
      </c>
      <c r="Q1073">
        <v>-84.984667000000002</v>
      </c>
      <c r="R1073">
        <v>2765.9801950000001</v>
      </c>
      <c r="S1073">
        <v>12</v>
      </c>
      <c r="T1073">
        <v>59.1</v>
      </c>
      <c r="U1073">
        <v>0.5</v>
      </c>
      <c r="V1073">
        <v>2</v>
      </c>
      <c r="W1073">
        <v>7</v>
      </c>
      <c r="X1073">
        <v>5.5404499999999999</v>
      </c>
      <c r="Y1073">
        <v>0.12859999999999999</v>
      </c>
      <c r="Z1073">
        <v>91.291150000000002</v>
      </c>
      <c r="AA1073">
        <v>10</v>
      </c>
      <c r="AB1073">
        <v>0.43</v>
      </c>
      <c r="AC1073">
        <v>217</v>
      </c>
      <c r="AD1073">
        <v>1</v>
      </c>
    </row>
    <row r="1074" spans="1:30" x14ac:dyDescent="0.55000000000000004">
      <c r="A1074">
        <v>105870</v>
      </c>
      <c r="B1074" s="19">
        <v>43257</v>
      </c>
      <c r="C1074">
        <v>1035</v>
      </c>
      <c r="D1074">
        <v>2018</v>
      </c>
      <c r="E1074">
        <v>25</v>
      </c>
      <c r="F1074">
        <v>588</v>
      </c>
      <c r="G1074">
        <v>1</v>
      </c>
      <c r="H1074">
        <v>194</v>
      </c>
      <c r="I1074">
        <v>3</v>
      </c>
      <c r="J1074">
        <v>4637.2299999999996</v>
      </c>
      <c r="K1074">
        <v>8454.02</v>
      </c>
      <c r="L1074">
        <v>4637.3599999999997</v>
      </c>
      <c r="M1074">
        <v>8453.4699999999993</v>
      </c>
      <c r="N1074">
        <v>46.6205</v>
      </c>
      <c r="O1074">
        <v>-84.900333000000003</v>
      </c>
      <c r="P1074">
        <v>46.622667</v>
      </c>
      <c r="Q1074">
        <v>-84.891166999999996</v>
      </c>
      <c r="R1074">
        <v>10597.364310000001</v>
      </c>
      <c r="S1074">
        <v>27.7</v>
      </c>
      <c r="T1074">
        <v>40.700000000000003</v>
      </c>
      <c r="U1074">
        <v>0.5</v>
      </c>
      <c r="V1074">
        <v>2</v>
      </c>
      <c r="W1074">
        <v>5.4</v>
      </c>
      <c r="X1074">
        <v>4.3816499999999996</v>
      </c>
      <c r="Y1074">
        <v>0.15160000000000001</v>
      </c>
      <c r="Z1074">
        <v>91.989249999999998</v>
      </c>
      <c r="AA1074">
        <v>10</v>
      </c>
      <c r="AB1074">
        <v>0.42</v>
      </c>
      <c r="AC1074">
        <v>0</v>
      </c>
      <c r="AD1074">
        <v>0</v>
      </c>
    </row>
    <row r="1075" spans="1:30" x14ac:dyDescent="0.55000000000000004">
      <c r="A1075">
        <v>105871</v>
      </c>
      <c r="B1075" s="19">
        <v>43257</v>
      </c>
      <c r="C1075">
        <v>1035</v>
      </c>
      <c r="D1075">
        <v>2018</v>
      </c>
      <c r="E1075">
        <v>25</v>
      </c>
      <c r="F1075">
        <v>589</v>
      </c>
      <c r="G1075">
        <v>1</v>
      </c>
      <c r="H1075">
        <v>194</v>
      </c>
      <c r="I1075">
        <v>3</v>
      </c>
      <c r="J1075">
        <v>4637.2299999999996</v>
      </c>
      <c r="K1075">
        <v>8454.02</v>
      </c>
      <c r="L1075">
        <v>4637.3599999999997</v>
      </c>
      <c r="M1075">
        <v>8453.4699999999993</v>
      </c>
      <c r="N1075">
        <v>46.6205</v>
      </c>
      <c r="O1075">
        <v>-84.900333000000003</v>
      </c>
      <c r="P1075">
        <v>46.622667</v>
      </c>
      <c r="Q1075">
        <v>-84.891166999999996</v>
      </c>
      <c r="R1075">
        <v>10597.364310000001</v>
      </c>
      <c r="S1075">
        <v>27.7</v>
      </c>
      <c r="T1075">
        <v>40.700000000000003</v>
      </c>
      <c r="U1075">
        <v>0.5</v>
      </c>
      <c r="V1075">
        <v>2</v>
      </c>
      <c r="W1075">
        <v>5.4</v>
      </c>
      <c r="X1075">
        <v>4.3816499999999996</v>
      </c>
      <c r="Y1075">
        <v>0.15160000000000001</v>
      </c>
      <c r="Z1075">
        <v>91.989249999999998</v>
      </c>
      <c r="AA1075">
        <v>10</v>
      </c>
      <c r="AB1075">
        <v>0.42</v>
      </c>
      <c r="AC1075">
        <v>217</v>
      </c>
      <c r="AD1075">
        <v>1</v>
      </c>
    </row>
    <row r="1076" spans="1:30" x14ac:dyDescent="0.55000000000000004">
      <c r="A1076">
        <v>105871</v>
      </c>
      <c r="B1076" s="19">
        <v>43257</v>
      </c>
      <c r="C1076">
        <v>1035</v>
      </c>
      <c r="D1076">
        <v>2018</v>
      </c>
      <c r="E1076">
        <v>25</v>
      </c>
      <c r="F1076">
        <v>589</v>
      </c>
      <c r="G1076">
        <v>1</v>
      </c>
      <c r="H1076">
        <v>194</v>
      </c>
      <c r="I1076">
        <v>3</v>
      </c>
      <c r="J1076">
        <v>4637.2299999999996</v>
      </c>
      <c r="K1076">
        <v>8454.02</v>
      </c>
      <c r="L1076">
        <v>4637.3599999999997</v>
      </c>
      <c r="M1076">
        <v>8453.4699999999993</v>
      </c>
      <c r="N1076">
        <v>46.6205</v>
      </c>
      <c r="O1076">
        <v>-84.900333000000003</v>
      </c>
      <c r="P1076">
        <v>46.622667</v>
      </c>
      <c r="Q1076">
        <v>-84.891166999999996</v>
      </c>
      <c r="R1076">
        <v>10597.364310000001</v>
      </c>
      <c r="S1076">
        <v>27.7</v>
      </c>
      <c r="T1076">
        <v>40.700000000000003</v>
      </c>
      <c r="U1076">
        <v>0.5</v>
      </c>
      <c r="V1076">
        <v>2</v>
      </c>
      <c r="W1076">
        <v>5.4</v>
      </c>
      <c r="X1076">
        <v>4.3816499999999996</v>
      </c>
      <c r="Y1076">
        <v>0.15160000000000001</v>
      </c>
      <c r="Z1076">
        <v>91.989249999999998</v>
      </c>
      <c r="AA1076">
        <v>10</v>
      </c>
      <c r="AB1076">
        <v>0.42</v>
      </c>
      <c r="AC1076">
        <v>316</v>
      </c>
      <c r="AD1076">
        <v>1</v>
      </c>
    </row>
    <row r="1077" spans="1:30" x14ac:dyDescent="0.55000000000000004">
      <c r="A1077">
        <v>105872</v>
      </c>
      <c r="B1077" s="19">
        <v>43257</v>
      </c>
      <c r="C1077">
        <v>1230</v>
      </c>
      <c r="D1077">
        <v>2018</v>
      </c>
      <c r="E1077">
        <v>25</v>
      </c>
      <c r="F1077">
        <v>590</v>
      </c>
      <c r="G1077">
        <v>1</v>
      </c>
      <c r="H1077">
        <v>79</v>
      </c>
      <c r="I1077">
        <v>3</v>
      </c>
      <c r="J1077">
        <v>4633.8100000000004</v>
      </c>
      <c r="K1077">
        <v>8453.2199999999993</v>
      </c>
      <c r="L1077">
        <v>4633.8999999999996</v>
      </c>
      <c r="M1077">
        <v>8452.65</v>
      </c>
      <c r="N1077">
        <v>46.563499999999998</v>
      </c>
      <c r="O1077">
        <v>-84.887</v>
      </c>
      <c r="P1077">
        <v>46.564999999999998</v>
      </c>
      <c r="Q1077">
        <v>-84.877499999999998</v>
      </c>
      <c r="R1077">
        <v>9346.6455089999999</v>
      </c>
      <c r="S1077">
        <v>20.3</v>
      </c>
      <c r="T1077">
        <v>37</v>
      </c>
      <c r="U1077">
        <v>0.5</v>
      </c>
      <c r="V1077">
        <v>2</v>
      </c>
      <c r="W1077">
        <v>5.5</v>
      </c>
      <c r="X1077">
        <v>4.5978500000000002</v>
      </c>
      <c r="Y1077">
        <v>0.15490000000000001</v>
      </c>
      <c r="Z1077">
        <v>88.326700000000002</v>
      </c>
      <c r="AA1077">
        <v>10</v>
      </c>
      <c r="AB1077">
        <v>0.44</v>
      </c>
      <c r="AC1077">
        <v>0</v>
      </c>
      <c r="AD1077">
        <v>0</v>
      </c>
    </row>
    <row r="1078" spans="1:30" x14ac:dyDescent="0.55000000000000004">
      <c r="A1078">
        <v>105873</v>
      </c>
      <c r="B1078" s="19">
        <v>43257</v>
      </c>
      <c r="C1078">
        <v>1230</v>
      </c>
      <c r="D1078">
        <v>2018</v>
      </c>
      <c r="E1078">
        <v>25</v>
      </c>
      <c r="F1078">
        <v>591</v>
      </c>
      <c r="G1078">
        <v>1</v>
      </c>
      <c r="H1078">
        <v>79</v>
      </c>
      <c r="I1078">
        <v>3</v>
      </c>
      <c r="J1078">
        <v>4633.8100000000004</v>
      </c>
      <c r="K1078">
        <v>8453.2199999999993</v>
      </c>
      <c r="L1078">
        <v>4633.8999999999996</v>
      </c>
      <c r="M1078">
        <v>8452.65</v>
      </c>
      <c r="N1078">
        <v>46.563499999999998</v>
      </c>
      <c r="O1078">
        <v>-84.887</v>
      </c>
      <c r="P1078">
        <v>46.564999999999998</v>
      </c>
      <c r="Q1078">
        <v>-84.877499999999998</v>
      </c>
      <c r="R1078">
        <v>9346.6455089999999</v>
      </c>
      <c r="S1078">
        <v>20.3</v>
      </c>
      <c r="T1078">
        <v>37</v>
      </c>
      <c r="U1078">
        <v>0.5</v>
      </c>
      <c r="V1078">
        <v>2</v>
      </c>
      <c r="W1078">
        <v>5.5</v>
      </c>
      <c r="X1078">
        <v>4.5978500000000002</v>
      </c>
      <c r="Y1078">
        <v>0.15490000000000001</v>
      </c>
      <c r="Z1078">
        <v>88.326700000000002</v>
      </c>
      <c r="AA1078">
        <v>10</v>
      </c>
      <c r="AB1078">
        <v>0.44</v>
      </c>
      <c r="AC1078">
        <v>0</v>
      </c>
      <c r="AD1078">
        <v>0</v>
      </c>
    </row>
    <row r="1079" spans="1:30" x14ac:dyDescent="0.55000000000000004">
      <c r="A1079">
        <v>105874</v>
      </c>
      <c r="B1079" s="19">
        <v>43257</v>
      </c>
      <c r="C1079">
        <v>1413</v>
      </c>
      <c r="D1079">
        <v>2018</v>
      </c>
      <c r="E1079">
        <v>25</v>
      </c>
      <c r="F1079">
        <v>592</v>
      </c>
      <c r="G1079">
        <v>1</v>
      </c>
      <c r="H1079">
        <v>193</v>
      </c>
      <c r="I1079">
        <v>3</v>
      </c>
      <c r="J1079">
        <v>4630.4399999999996</v>
      </c>
      <c r="K1079">
        <v>8452.6</v>
      </c>
      <c r="L1079">
        <v>4630.78</v>
      </c>
      <c r="M1079">
        <v>8452.17</v>
      </c>
      <c r="N1079">
        <v>46.507333000000003</v>
      </c>
      <c r="O1079">
        <v>-84.876666999999998</v>
      </c>
      <c r="P1079">
        <v>46.512999999999998</v>
      </c>
      <c r="Q1079">
        <v>-84.869500000000002</v>
      </c>
      <c r="R1079">
        <v>4531.7732919999999</v>
      </c>
      <c r="S1079">
        <v>14.6</v>
      </c>
      <c r="T1079">
        <v>29.3</v>
      </c>
      <c r="U1079">
        <v>0.5</v>
      </c>
      <c r="V1079">
        <v>2</v>
      </c>
      <c r="W1079">
        <v>7.3</v>
      </c>
      <c r="X1079">
        <v>5.8650500000000001</v>
      </c>
      <c r="Y1079">
        <v>0.20974999999999999</v>
      </c>
      <c r="Z1079">
        <v>91.521950000000004</v>
      </c>
      <c r="AA1079">
        <v>10</v>
      </c>
      <c r="AB1079">
        <v>0.5</v>
      </c>
      <c r="AC1079">
        <v>0</v>
      </c>
      <c r="AD1079">
        <v>0</v>
      </c>
    </row>
    <row r="1080" spans="1:30" x14ac:dyDescent="0.55000000000000004">
      <c r="A1080">
        <v>105875</v>
      </c>
      <c r="B1080" s="19">
        <v>43257</v>
      </c>
      <c r="C1080">
        <v>1413</v>
      </c>
      <c r="D1080">
        <v>2018</v>
      </c>
      <c r="E1080">
        <v>25</v>
      </c>
      <c r="F1080">
        <v>593</v>
      </c>
      <c r="G1080">
        <v>1</v>
      </c>
      <c r="H1080">
        <v>193</v>
      </c>
      <c r="I1080">
        <v>3</v>
      </c>
      <c r="J1080">
        <v>4630.4399999999996</v>
      </c>
      <c r="K1080">
        <v>8452.6</v>
      </c>
      <c r="L1080">
        <v>4630.78</v>
      </c>
      <c r="M1080">
        <v>8452.17</v>
      </c>
      <c r="N1080">
        <v>46.507333000000003</v>
      </c>
      <c r="O1080">
        <v>-84.876666999999998</v>
      </c>
      <c r="P1080">
        <v>46.512999999999998</v>
      </c>
      <c r="Q1080">
        <v>-84.869500000000002</v>
      </c>
      <c r="R1080">
        <v>4531.7732919999999</v>
      </c>
      <c r="S1080">
        <v>14.6</v>
      </c>
      <c r="T1080">
        <v>29.3</v>
      </c>
      <c r="U1080">
        <v>0.5</v>
      </c>
      <c r="V1080">
        <v>2</v>
      </c>
      <c r="W1080">
        <v>7.3</v>
      </c>
      <c r="X1080">
        <v>5.8650500000000001</v>
      </c>
      <c r="Y1080">
        <v>0.20974999999999999</v>
      </c>
      <c r="Z1080">
        <v>91.521950000000004</v>
      </c>
      <c r="AA1080">
        <v>10</v>
      </c>
      <c r="AB1080">
        <v>0.5</v>
      </c>
      <c r="AC1080">
        <v>217</v>
      </c>
      <c r="AD1080">
        <v>1</v>
      </c>
    </row>
    <row r="1081" spans="1:30" x14ac:dyDescent="0.55000000000000004">
      <c r="A1081">
        <v>105876</v>
      </c>
      <c r="B1081" s="19">
        <v>43257</v>
      </c>
      <c r="C1081">
        <v>1552</v>
      </c>
      <c r="D1081">
        <v>2018</v>
      </c>
      <c r="E1081">
        <v>25</v>
      </c>
      <c r="F1081">
        <v>594</v>
      </c>
      <c r="G1081">
        <v>1</v>
      </c>
      <c r="H1081">
        <v>174</v>
      </c>
      <c r="I1081">
        <v>3</v>
      </c>
      <c r="J1081">
        <v>4630.78</v>
      </c>
      <c r="K1081">
        <v>8442.5499999999993</v>
      </c>
      <c r="L1081">
        <v>4631.08</v>
      </c>
      <c r="M1081">
        <v>8442.91</v>
      </c>
      <c r="N1081">
        <v>46.512999999999998</v>
      </c>
      <c r="O1081">
        <v>-84.709166999999994</v>
      </c>
      <c r="P1081">
        <v>46.518000000000001</v>
      </c>
      <c r="Q1081">
        <v>-84.715166999999994</v>
      </c>
      <c r="R1081">
        <v>5117.9945829999997</v>
      </c>
      <c r="S1081">
        <v>18.899999999999999</v>
      </c>
      <c r="T1081">
        <v>29.7</v>
      </c>
      <c r="U1081">
        <v>0.5</v>
      </c>
      <c r="V1081">
        <v>2</v>
      </c>
      <c r="W1081">
        <v>8</v>
      </c>
      <c r="X1081">
        <v>6.3484999999999996</v>
      </c>
      <c r="Y1081">
        <v>0.53339999999999999</v>
      </c>
      <c r="Z1081">
        <v>85.383150000000001</v>
      </c>
      <c r="AA1081">
        <v>10</v>
      </c>
      <c r="AB1081">
        <v>0.44</v>
      </c>
      <c r="AC1081">
        <v>217</v>
      </c>
      <c r="AD1081">
        <v>2</v>
      </c>
    </row>
    <row r="1082" spans="1:30" x14ac:dyDescent="0.55000000000000004">
      <c r="A1082">
        <v>105877</v>
      </c>
      <c r="B1082" s="19">
        <v>43257</v>
      </c>
      <c r="C1082">
        <v>1552</v>
      </c>
      <c r="D1082">
        <v>2018</v>
      </c>
      <c r="E1082">
        <v>25</v>
      </c>
      <c r="F1082">
        <v>595</v>
      </c>
      <c r="G1082">
        <v>1</v>
      </c>
      <c r="H1082">
        <v>174</v>
      </c>
      <c r="I1082">
        <v>3</v>
      </c>
      <c r="J1082">
        <v>4630.78</v>
      </c>
      <c r="K1082">
        <v>8442.5499999999993</v>
      </c>
      <c r="L1082">
        <v>4631.08</v>
      </c>
      <c r="M1082">
        <v>8442.91</v>
      </c>
      <c r="N1082">
        <v>46.512999999999998</v>
      </c>
      <c r="O1082">
        <v>-84.709166999999994</v>
      </c>
      <c r="P1082">
        <v>46.518000000000001</v>
      </c>
      <c r="Q1082">
        <v>-84.715166999999994</v>
      </c>
      <c r="R1082">
        <v>5117.9945829999997</v>
      </c>
      <c r="S1082">
        <v>18.899999999999999</v>
      </c>
      <c r="T1082">
        <v>29.7</v>
      </c>
      <c r="U1082">
        <v>0.5</v>
      </c>
      <c r="V1082">
        <v>2</v>
      </c>
      <c r="W1082">
        <v>8</v>
      </c>
      <c r="X1082">
        <v>6.3484999999999996</v>
      </c>
      <c r="Y1082">
        <v>0.53339999999999999</v>
      </c>
      <c r="Z1082">
        <v>85.383150000000001</v>
      </c>
      <c r="AA1082">
        <v>10</v>
      </c>
      <c r="AB1082">
        <v>0.44</v>
      </c>
      <c r="AC1082">
        <v>217</v>
      </c>
      <c r="AD1082">
        <v>1</v>
      </c>
    </row>
    <row r="1083" spans="1:30" x14ac:dyDescent="0.55000000000000004">
      <c r="A1083">
        <v>105878</v>
      </c>
      <c r="B1083" s="19">
        <v>43259</v>
      </c>
      <c r="C1083">
        <v>1009</v>
      </c>
      <c r="D1083">
        <v>2018</v>
      </c>
      <c r="E1083">
        <v>25</v>
      </c>
      <c r="F1083">
        <v>596</v>
      </c>
      <c r="G1083">
        <v>1</v>
      </c>
      <c r="H1083">
        <v>460</v>
      </c>
      <c r="I1083">
        <v>3</v>
      </c>
      <c r="J1083">
        <v>4640.75</v>
      </c>
      <c r="K1083">
        <v>8433.58</v>
      </c>
      <c r="L1083">
        <v>4640.43</v>
      </c>
      <c r="M1083">
        <v>8433.9699999999993</v>
      </c>
      <c r="N1083">
        <v>46.679167</v>
      </c>
      <c r="O1083">
        <v>-84.559667000000005</v>
      </c>
      <c r="P1083">
        <v>46.673833000000002</v>
      </c>
      <c r="Q1083">
        <v>-84.566166999999993</v>
      </c>
      <c r="R1083">
        <v>632.35152389999996</v>
      </c>
      <c r="S1083">
        <v>15</v>
      </c>
      <c r="T1083">
        <v>23</v>
      </c>
      <c r="U1083">
        <v>0.5</v>
      </c>
      <c r="V1083">
        <v>2</v>
      </c>
      <c r="W1083">
        <v>8.4</v>
      </c>
      <c r="X1083">
        <v>7.9263000000000003</v>
      </c>
      <c r="Y1083">
        <v>0.2949</v>
      </c>
      <c r="Z1083">
        <v>82.845799999999997</v>
      </c>
      <c r="AA1083">
        <v>10</v>
      </c>
      <c r="AB1083">
        <v>0.46</v>
      </c>
      <c r="AC1083">
        <v>0</v>
      </c>
      <c r="AD1083">
        <v>0</v>
      </c>
    </row>
    <row r="1084" spans="1:30" x14ac:dyDescent="0.55000000000000004">
      <c r="A1084">
        <v>105879</v>
      </c>
      <c r="B1084" s="19">
        <v>43259</v>
      </c>
      <c r="C1084">
        <v>1009</v>
      </c>
      <c r="D1084">
        <v>2018</v>
      </c>
      <c r="E1084">
        <v>25</v>
      </c>
      <c r="F1084">
        <v>597</v>
      </c>
      <c r="G1084">
        <v>1</v>
      </c>
      <c r="H1084">
        <v>460</v>
      </c>
      <c r="I1084">
        <v>3</v>
      </c>
      <c r="J1084">
        <v>4640.75</v>
      </c>
      <c r="K1084">
        <v>8433.58</v>
      </c>
      <c r="L1084">
        <v>4640.43</v>
      </c>
      <c r="M1084">
        <v>8433.9699999999993</v>
      </c>
      <c r="N1084">
        <v>46.679167</v>
      </c>
      <c r="O1084">
        <v>-84.559667000000005</v>
      </c>
      <c r="P1084">
        <v>46.673833000000002</v>
      </c>
      <c r="Q1084">
        <v>-84.566166999999993</v>
      </c>
      <c r="R1084">
        <v>632.35152389999996</v>
      </c>
      <c r="S1084">
        <v>15</v>
      </c>
      <c r="T1084">
        <v>23</v>
      </c>
      <c r="U1084">
        <v>0.5</v>
      </c>
      <c r="V1084">
        <v>2</v>
      </c>
      <c r="W1084">
        <v>8.4</v>
      </c>
      <c r="X1084">
        <v>7.9263000000000003</v>
      </c>
      <c r="Y1084">
        <v>0.2949</v>
      </c>
      <c r="Z1084">
        <v>82.845799999999997</v>
      </c>
      <c r="AA1084">
        <v>10</v>
      </c>
      <c r="AB1084">
        <v>0.46</v>
      </c>
      <c r="AC1084">
        <v>0</v>
      </c>
      <c r="AD1084">
        <v>0</v>
      </c>
    </row>
    <row r="1085" spans="1:30" x14ac:dyDescent="0.55000000000000004">
      <c r="A1085">
        <v>105890</v>
      </c>
      <c r="B1085" s="19">
        <v>43259</v>
      </c>
      <c r="C1085">
        <v>1150</v>
      </c>
      <c r="D1085">
        <v>2018</v>
      </c>
      <c r="E1085">
        <v>25</v>
      </c>
      <c r="F1085">
        <v>598</v>
      </c>
      <c r="G1085">
        <v>1</v>
      </c>
      <c r="H1085">
        <v>459</v>
      </c>
      <c r="I1085">
        <v>3</v>
      </c>
      <c r="J1085">
        <v>4646.34</v>
      </c>
      <c r="K1085">
        <v>8435.5499999999993</v>
      </c>
      <c r="L1085">
        <v>4646.21</v>
      </c>
      <c r="M1085">
        <v>8436.11</v>
      </c>
      <c r="N1085">
        <v>46.772333000000003</v>
      </c>
      <c r="O1085">
        <v>-84.592500000000001</v>
      </c>
      <c r="P1085">
        <v>46.770167000000001</v>
      </c>
      <c r="Q1085">
        <v>-84.601832999999999</v>
      </c>
      <c r="R1085">
        <v>2748.0519340000001</v>
      </c>
      <c r="S1085">
        <v>17.600000000000001</v>
      </c>
      <c r="T1085">
        <v>25</v>
      </c>
      <c r="U1085">
        <v>0.5</v>
      </c>
      <c r="V1085">
        <v>2</v>
      </c>
      <c r="W1085">
        <v>8.3000000000000007</v>
      </c>
      <c r="X1085">
        <v>7.42455</v>
      </c>
      <c r="Y1085">
        <v>0.16644999999999999</v>
      </c>
      <c r="Z1085">
        <v>81.8613</v>
      </c>
      <c r="AA1085">
        <v>10</v>
      </c>
      <c r="AB1085">
        <v>0.43</v>
      </c>
      <c r="AC1085">
        <v>217</v>
      </c>
      <c r="AD1085">
        <v>1</v>
      </c>
    </row>
    <row r="1086" spans="1:30" x14ac:dyDescent="0.55000000000000004">
      <c r="A1086">
        <v>105891</v>
      </c>
      <c r="B1086" s="19">
        <v>43259</v>
      </c>
      <c r="C1086">
        <v>1150</v>
      </c>
      <c r="D1086">
        <v>2018</v>
      </c>
      <c r="E1086">
        <v>25</v>
      </c>
      <c r="F1086">
        <v>599</v>
      </c>
      <c r="G1086">
        <v>1</v>
      </c>
      <c r="H1086">
        <v>459</v>
      </c>
      <c r="I1086">
        <v>3</v>
      </c>
      <c r="J1086">
        <v>4646.34</v>
      </c>
      <c r="K1086">
        <v>8435.5499999999993</v>
      </c>
      <c r="L1086">
        <v>4646.21</v>
      </c>
      <c r="M1086">
        <v>8436.11</v>
      </c>
      <c r="N1086">
        <v>46.772333000000003</v>
      </c>
      <c r="O1086">
        <v>-84.592500000000001</v>
      </c>
      <c r="P1086">
        <v>46.770167000000001</v>
      </c>
      <c r="Q1086">
        <v>-84.601832999999999</v>
      </c>
      <c r="R1086">
        <v>2748.0519340000001</v>
      </c>
      <c r="S1086">
        <v>17.600000000000001</v>
      </c>
      <c r="T1086">
        <v>25</v>
      </c>
      <c r="U1086">
        <v>0.5</v>
      </c>
      <c r="V1086">
        <v>2</v>
      </c>
      <c r="W1086">
        <v>8.3000000000000007</v>
      </c>
      <c r="X1086">
        <v>7.42455</v>
      </c>
      <c r="Y1086">
        <v>0.16644999999999999</v>
      </c>
      <c r="Z1086">
        <v>81.8613</v>
      </c>
      <c r="AA1086">
        <v>10</v>
      </c>
      <c r="AB1086">
        <v>0.43</v>
      </c>
      <c r="AC1086">
        <v>217</v>
      </c>
      <c r="AD1086">
        <v>1</v>
      </c>
    </row>
    <row r="1087" spans="1:30" x14ac:dyDescent="0.55000000000000004">
      <c r="A1087">
        <v>105892</v>
      </c>
      <c r="B1087" s="19">
        <v>43259</v>
      </c>
      <c r="C1087">
        <v>1440</v>
      </c>
      <c r="D1087">
        <v>2018</v>
      </c>
      <c r="E1087">
        <v>25</v>
      </c>
      <c r="F1087">
        <v>600</v>
      </c>
      <c r="G1087">
        <v>1</v>
      </c>
      <c r="H1087">
        <v>461</v>
      </c>
      <c r="I1087">
        <v>3</v>
      </c>
      <c r="J1087">
        <v>4656.74</v>
      </c>
      <c r="K1087">
        <v>8443.6299999999992</v>
      </c>
      <c r="L1087">
        <v>4656.32</v>
      </c>
      <c r="M1087">
        <v>8443.65</v>
      </c>
      <c r="N1087">
        <v>46.945667</v>
      </c>
      <c r="O1087">
        <v>-84.727166999999994</v>
      </c>
      <c r="P1087">
        <v>46.938667000000002</v>
      </c>
      <c r="Q1087">
        <v>-84.727500000000006</v>
      </c>
      <c r="R1087">
        <v>740.19289609999998</v>
      </c>
      <c r="S1087">
        <v>34.1</v>
      </c>
      <c r="T1087">
        <v>66.599999999999994</v>
      </c>
      <c r="U1087">
        <v>0.5</v>
      </c>
      <c r="V1087">
        <v>2</v>
      </c>
      <c r="W1087">
        <v>7.9</v>
      </c>
      <c r="X1087">
        <v>5.9005999999999998</v>
      </c>
      <c r="Y1087">
        <v>0.15625</v>
      </c>
      <c r="Z1087">
        <v>90.495850000000004</v>
      </c>
      <c r="AA1087">
        <v>10</v>
      </c>
      <c r="AB1087">
        <v>0.45</v>
      </c>
      <c r="AC1087">
        <v>217</v>
      </c>
      <c r="AD1087">
        <v>9</v>
      </c>
    </row>
    <row r="1088" spans="1:30" x14ac:dyDescent="0.55000000000000004">
      <c r="A1088">
        <v>105893</v>
      </c>
      <c r="B1088" s="19">
        <v>43259</v>
      </c>
      <c r="C1088">
        <v>1440</v>
      </c>
      <c r="D1088">
        <v>2018</v>
      </c>
      <c r="E1088">
        <v>25</v>
      </c>
      <c r="F1088">
        <v>601</v>
      </c>
      <c r="G1088">
        <v>1</v>
      </c>
      <c r="H1088">
        <v>461</v>
      </c>
      <c r="I1088">
        <v>3</v>
      </c>
      <c r="J1088">
        <v>4656.74</v>
      </c>
      <c r="K1088">
        <v>8443.6299999999992</v>
      </c>
      <c r="L1088">
        <v>4656.32</v>
      </c>
      <c r="M1088">
        <v>8443.65</v>
      </c>
      <c r="N1088">
        <v>46.945667</v>
      </c>
      <c r="O1088">
        <v>-84.727166999999994</v>
      </c>
      <c r="P1088">
        <v>46.938667000000002</v>
      </c>
      <c r="Q1088">
        <v>-84.727500000000006</v>
      </c>
      <c r="R1088">
        <v>740.19289609999998</v>
      </c>
      <c r="S1088">
        <v>34.1</v>
      </c>
      <c r="T1088">
        <v>66.599999999999994</v>
      </c>
      <c r="U1088">
        <v>0.5</v>
      </c>
      <c r="V1088">
        <v>2</v>
      </c>
      <c r="W1088">
        <v>7.9</v>
      </c>
      <c r="X1088">
        <v>5.9005999999999998</v>
      </c>
      <c r="Y1088">
        <v>0.15625</v>
      </c>
      <c r="Z1088">
        <v>90.495850000000004</v>
      </c>
      <c r="AA1088">
        <v>10</v>
      </c>
      <c r="AB1088">
        <v>0.45</v>
      </c>
      <c r="AC1088">
        <v>217</v>
      </c>
      <c r="AD1088">
        <v>3</v>
      </c>
    </row>
    <row r="1089" spans="1:30" x14ac:dyDescent="0.55000000000000004">
      <c r="A1089">
        <v>105894</v>
      </c>
      <c r="B1089" s="19">
        <v>43259</v>
      </c>
      <c r="C1089">
        <v>1711</v>
      </c>
      <c r="D1089">
        <v>2018</v>
      </c>
      <c r="E1089">
        <v>25</v>
      </c>
      <c r="F1089">
        <v>602</v>
      </c>
      <c r="G1089">
        <v>1</v>
      </c>
      <c r="H1089">
        <v>457</v>
      </c>
      <c r="I1089">
        <v>3</v>
      </c>
      <c r="J1089">
        <v>4709.5600000000004</v>
      </c>
      <c r="K1089">
        <v>8443.0400000000009</v>
      </c>
      <c r="L1089">
        <v>4709.7299999999996</v>
      </c>
      <c r="M1089">
        <v>8442.5400000000009</v>
      </c>
      <c r="N1089">
        <v>47.159332999999997</v>
      </c>
      <c r="O1089">
        <v>-84.717332999999996</v>
      </c>
      <c r="P1089">
        <v>47.162166999999997</v>
      </c>
      <c r="Q1089">
        <v>-84.709000000000003</v>
      </c>
      <c r="R1089">
        <v>404.23685260000002</v>
      </c>
      <c r="S1089">
        <v>102</v>
      </c>
      <c r="T1089">
        <v>44.1</v>
      </c>
      <c r="U1089">
        <v>0.5</v>
      </c>
      <c r="V1089">
        <v>2</v>
      </c>
      <c r="W1089">
        <v>3.7</v>
      </c>
      <c r="X1089">
        <v>3.5573000000000001</v>
      </c>
      <c r="Y1089">
        <v>0.16450000000000001</v>
      </c>
      <c r="Z1089">
        <v>92.323750000000004</v>
      </c>
      <c r="AA1089">
        <v>10</v>
      </c>
      <c r="AB1089">
        <v>0.42</v>
      </c>
      <c r="AC1089">
        <v>0</v>
      </c>
      <c r="AD1089">
        <v>0</v>
      </c>
    </row>
    <row r="1090" spans="1:30" x14ac:dyDescent="0.55000000000000004">
      <c r="A1090">
        <v>105895</v>
      </c>
      <c r="B1090" s="19">
        <v>43259</v>
      </c>
      <c r="C1090">
        <v>1711</v>
      </c>
      <c r="D1090">
        <v>2018</v>
      </c>
      <c r="E1090">
        <v>25</v>
      </c>
      <c r="F1090">
        <v>603</v>
      </c>
      <c r="G1090">
        <v>1</v>
      </c>
      <c r="H1090">
        <v>457</v>
      </c>
      <c r="I1090">
        <v>3</v>
      </c>
      <c r="J1090">
        <v>4709.5600000000004</v>
      </c>
      <c r="K1090">
        <v>8443.0400000000009</v>
      </c>
      <c r="L1090">
        <v>4709.7299999999996</v>
      </c>
      <c r="M1090">
        <v>8442.5400000000009</v>
      </c>
      <c r="N1090">
        <v>47.159332999999997</v>
      </c>
      <c r="O1090">
        <v>-84.717332999999996</v>
      </c>
      <c r="P1090">
        <v>47.162166999999997</v>
      </c>
      <c r="Q1090">
        <v>-84.709000000000003</v>
      </c>
      <c r="R1090">
        <v>404.23685260000002</v>
      </c>
      <c r="S1090">
        <v>102</v>
      </c>
      <c r="T1090">
        <v>44.1</v>
      </c>
      <c r="U1090">
        <v>0.5</v>
      </c>
      <c r="V1090">
        <v>2</v>
      </c>
      <c r="W1090">
        <v>3.7</v>
      </c>
      <c r="X1090">
        <v>3.5573000000000001</v>
      </c>
      <c r="Y1090">
        <v>0.16450000000000001</v>
      </c>
      <c r="Z1090">
        <v>92.323750000000004</v>
      </c>
      <c r="AA1090">
        <v>10</v>
      </c>
      <c r="AB1090">
        <v>0.42</v>
      </c>
      <c r="AC1090">
        <v>0</v>
      </c>
      <c r="AD1090">
        <v>0</v>
      </c>
    </row>
    <row r="1091" spans="1:30" x14ac:dyDescent="0.55000000000000004">
      <c r="A1091">
        <v>105896</v>
      </c>
      <c r="B1091" s="19">
        <v>43260</v>
      </c>
      <c r="C1091">
        <v>737</v>
      </c>
      <c r="D1091">
        <v>2018</v>
      </c>
      <c r="E1091">
        <v>25</v>
      </c>
      <c r="F1091">
        <v>604</v>
      </c>
      <c r="G1091">
        <v>1</v>
      </c>
      <c r="H1091">
        <v>456</v>
      </c>
      <c r="I1091">
        <v>3</v>
      </c>
      <c r="J1091">
        <v>4719.03</v>
      </c>
      <c r="K1091">
        <v>8438.73</v>
      </c>
      <c r="L1091">
        <v>4718.84</v>
      </c>
      <c r="M1091">
        <v>8439.33</v>
      </c>
      <c r="N1091">
        <v>47.317166999999998</v>
      </c>
      <c r="O1091">
        <v>-84.645499999999998</v>
      </c>
      <c r="P1091">
        <v>47.314</v>
      </c>
      <c r="Q1091">
        <v>-84.655500000000004</v>
      </c>
      <c r="R1091">
        <v>2445.814742</v>
      </c>
      <c r="S1091">
        <v>23.9</v>
      </c>
      <c r="T1091">
        <v>53.8</v>
      </c>
      <c r="U1091">
        <v>0.5</v>
      </c>
      <c r="V1091">
        <v>2</v>
      </c>
      <c r="W1091">
        <v>7.5</v>
      </c>
      <c r="X1091">
        <v>4.7232500000000002</v>
      </c>
      <c r="Y1091">
        <v>0.21260000000000001</v>
      </c>
      <c r="Z1091">
        <v>89.933700000000002</v>
      </c>
      <c r="AA1091">
        <v>10</v>
      </c>
      <c r="AB1091">
        <v>0.47</v>
      </c>
      <c r="AC1091">
        <v>217</v>
      </c>
      <c r="AD1091">
        <v>14</v>
      </c>
    </row>
    <row r="1092" spans="1:30" x14ac:dyDescent="0.55000000000000004">
      <c r="A1092">
        <v>105896</v>
      </c>
      <c r="B1092" s="19">
        <v>43260</v>
      </c>
      <c r="C1092">
        <v>737</v>
      </c>
      <c r="D1092">
        <v>2018</v>
      </c>
      <c r="E1092">
        <v>25</v>
      </c>
      <c r="F1092">
        <v>604</v>
      </c>
      <c r="G1092">
        <v>1</v>
      </c>
      <c r="H1092">
        <v>456</v>
      </c>
      <c r="I1092">
        <v>3</v>
      </c>
      <c r="J1092">
        <v>4719.03</v>
      </c>
      <c r="K1092">
        <v>8438.73</v>
      </c>
      <c r="L1092">
        <v>4718.84</v>
      </c>
      <c r="M1092">
        <v>8439.33</v>
      </c>
      <c r="N1092">
        <v>47.317166999999998</v>
      </c>
      <c r="O1092">
        <v>-84.645499999999998</v>
      </c>
      <c r="P1092">
        <v>47.314</v>
      </c>
      <c r="Q1092">
        <v>-84.655500000000004</v>
      </c>
      <c r="R1092">
        <v>2445.814742</v>
      </c>
      <c r="S1092">
        <v>23.9</v>
      </c>
      <c r="T1092">
        <v>53.8</v>
      </c>
      <c r="U1092">
        <v>0.5</v>
      </c>
      <c r="V1092">
        <v>2</v>
      </c>
      <c r="W1092">
        <v>7.5</v>
      </c>
      <c r="X1092">
        <v>4.7232500000000002</v>
      </c>
      <c r="Y1092">
        <v>0.21260000000000001</v>
      </c>
      <c r="Z1092">
        <v>89.933700000000002</v>
      </c>
      <c r="AA1092">
        <v>10</v>
      </c>
      <c r="AB1092">
        <v>0.47</v>
      </c>
      <c r="AC1092">
        <v>310</v>
      </c>
      <c r="AD1092">
        <v>1</v>
      </c>
    </row>
    <row r="1093" spans="1:30" x14ac:dyDescent="0.55000000000000004">
      <c r="A1093">
        <v>105897</v>
      </c>
      <c r="B1093" s="19">
        <v>43260</v>
      </c>
      <c r="C1093">
        <v>737</v>
      </c>
      <c r="D1093">
        <v>2018</v>
      </c>
      <c r="E1093">
        <v>25</v>
      </c>
      <c r="F1093">
        <v>605</v>
      </c>
      <c r="G1093">
        <v>1</v>
      </c>
      <c r="H1093">
        <v>456</v>
      </c>
      <c r="I1093">
        <v>3</v>
      </c>
      <c r="J1093">
        <v>4719.03</v>
      </c>
      <c r="K1093">
        <v>8438.73</v>
      </c>
      <c r="L1093">
        <v>4718.84</v>
      </c>
      <c r="M1093">
        <v>8439.33</v>
      </c>
      <c r="N1093">
        <v>47.317166999999998</v>
      </c>
      <c r="O1093">
        <v>-84.645499999999998</v>
      </c>
      <c r="P1093">
        <v>47.314</v>
      </c>
      <c r="Q1093">
        <v>-84.655500000000004</v>
      </c>
      <c r="R1093">
        <v>2445.814742</v>
      </c>
      <c r="S1093">
        <v>23.9</v>
      </c>
      <c r="T1093">
        <v>53.8</v>
      </c>
      <c r="U1093">
        <v>0.5</v>
      </c>
      <c r="V1093">
        <v>2</v>
      </c>
      <c r="W1093">
        <v>7.5</v>
      </c>
      <c r="X1093">
        <v>4.7232500000000002</v>
      </c>
      <c r="Y1093">
        <v>0.21260000000000001</v>
      </c>
      <c r="Z1093">
        <v>89.933700000000002</v>
      </c>
      <c r="AA1093">
        <v>10</v>
      </c>
      <c r="AB1093">
        <v>0.47</v>
      </c>
      <c r="AC1093">
        <v>217</v>
      </c>
      <c r="AD1093">
        <v>11</v>
      </c>
    </row>
    <row r="1094" spans="1:30" x14ac:dyDescent="0.55000000000000004">
      <c r="A1094">
        <v>105898</v>
      </c>
      <c r="B1094" s="19">
        <v>43260</v>
      </c>
      <c r="C1094">
        <v>935</v>
      </c>
      <c r="D1094">
        <v>2018</v>
      </c>
      <c r="E1094">
        <v>25</v>
      </c>
      <c r="F1094">
        <v>606</v>
      </c>
      <c r="G1094">
        <v>1</v>
      </c>
      <c r="H1094">
        <v>455</v>
      </c>
      <c r="I1094">
        <v>3</v>
      </c>
      <c r="J1094">
        <v>4733.1899999999996</v>
      </c>
      <c r="K1094">
        <v>8457.5</v>
      </c>
      <c r="L1094">
        <v>4733</v>
      </c>
      <c r="M1094">
        <v>8458.09</v>
      </c>
      <c r="N1094">
        <v>47.553167000000002</v>
      </c>
      <c r="O1094">
        <v>-84.958332999999996</v>
      </c>
      <c r="P1094">
        <v>47.55</v>
      </c>
      <c r="Q1094">
        <v>-84.968166999999994</v>
      </c>
      <c r="R1094">
        <v>505.07846460000002</v>
      </c>
      <c r="S1094">
        <v>24.7</v>
      </c>
      <c r="T1094">
        <v>78.7</v>
      </c>
      <c r="U1094">
        <v>0.5</v>
      </c>
      <c r="V1094">
        <v>2</v>
      </c>
      <c r="W1094">
        <v>4</v>
      </c>
      <c r="X1094">
        <v>3.4754499999999999</v>
      </c>
      <c r="Y1094">
        <v>0.13800000000000001</v>
      </c>
      <c r="Z1094">
        <v>92.864999999999995</v>
      </c>
      <c r="AA1094">
        <v>10</v>
      </c>
      <c r="AB1094">
        <v>0.48</v>
      </c>
      <c r="AC1094">
        <v>0</v>
      </c>
      <c r="AD1094">
        <v>0</v>
      </c>
    </row>
    <row r="1095" spans="1:30" x14ac:dyDescent="0.55000000000000004">
      <c r="A1095">
        <v>105899</v>
      </c>
      <c r="B1095" s="19">
        <v>43260</v>
      </c>
      <c r="C1095">
        <v>935</v>
      </c>
      <c r="D1095">
        <v>2018</v>
      </c>
      <c r="E1095">
        <v>25</v>
      </c>
      <c r="F1095">
        <v>607</v>
      </c>
      <c r="G1095">
        <v>1</v>
      </c>
      <c r="H1095">
        <v>455</v>
      </c>
      <c r="I1095">
        <v>3</v>
      </c>
      <c r="J1095">
        <v>4733.1899999999996</v>
      </c>
      <c r="K1095">
        <v>8457.5</v>
      </c>
      <c r="L1095">
        <v>4733</v>
      </c>
      <c r="M1095">
        <v>8458.09</v>
      </c>
      <c r="N1095">
        <v>47.553167000000002</v>
      </c>
      <c r="O1095">
        <v>-84.958332999999996</v>
      </c>
      <c r="P1095">
        <v>47.55</v>
      </c>
      <c r="Q1095">
        <v>-84.968166999999994</v>
      </c>
      <c r="R1095">
        <v>505.07846460000002</v>
      </c>
      <c r="S1095">
        <v>24.7</v>
      </c>
      <c r="T1095">
        <v>78.7</v>
      </c>
      <c r="U1095">
        <v>0.5</v>
      </c>
      <c r="V1095">
        <v>2</v>
      </c>
      <c r="W1095">
        <v>4</v>
      </c>
      <c r="X1095">
        <v>3.4754499999999999</v>
      </c>
      <c r="Y1095">
        <v>0.13800000000000001</v>
      </c>
      <c r="Z1095">
        <v>92.864999999999995</v>
      </c>
      <c r="AA1095">
        <v>10</v>
      </c>
      <c r="AB1095">
        <v>0.48</v>
      </c>
      <c r="AC1095">
        <v>0</v>
      </c>
      <c r="AD1095">
        <v>0</v>
      </c>
    </row>
    <row r="1096" spans="1:30" x14ac:dyDescent="0.55000000000000004">
      <c r="A1096">
        <v>105900</v>
      </c>
      <c r="B1096" s="19">
        <v>43260</v>
      </c>
      <c r="C1096">
        <v>1228</v>
      </c>
      <c r="D1096">
        <v>2018</v>
      </c>
      <c r="E1096">
        <v>25</v>
      </c>
      <c r="F1096">
        <v>608</v>
      </c>
      <c r="G1096">
        <v>1</v>
      </c>
      <c r="H1096">
        <v>454</v>
      </c>
      <c r="I1096">
        <v>3</v>
      </c>
      <c r="J1096">
        <v>4740.32</v>
      </c>
      <c r="K1096">
        <v>8459.6299999999992</v>
      </c>
      <c r="L1096">
        <v>4740.5200000000004</v>
      </c>
      <c r="M1096">
        <v>8459.1200000000008</v>
      </c>
      <c r="N1096">
        <v>47.671999999999997</v>
      </c>
      <c r="O1096">
        <v>-84.993832999999995</v>
      </c>
      <c r="P1096">
        <v>47.675333000000002</v>
      </c>
      <c r="Q1096">
        <v>-84.985332999999997</v>
      </c>
      <c r="R1096">
        <v>392.59048360000003</v>
      </c>
      <c r="S1096">
        <v>84.3</v>
      </c>
      <c r="T1096">
        <v>19.3</v>
      </c>
      <c r="U1096">
        <v>0.5</v>
      </c>
      <c r="V1096">
        <v>2</v>
      </c>
      <c r="W1096">
        <v>3.6</v>
      </c>
      <c r="X1096">
        <v>3.2985500000000001</v>
      </c>
      <c r="Y1096">
        <v>0.1419</v>
      </c>
      <c r="Z1096">
        <v>89.023449999999997</v>
      </c>
      <c r="AA1096">
        <v>10</v>
      </c>
      <c r="AB1096">
        <v>0.42</v>
      </c>
      <c r="AC1096">
        <v>0</v>
      </c>
      <c r="AD1096">
        <v>0</v>
      </c>
    </row>
    <row r="1097" spans="1:30" x14ac:dyDescent="0.55000000000000004">
      <c r="A1097">
        <v>105901</v>
      </c>
      <c r="B1097" s="19">
        <v>43260</v>
      </c>
      <c r="C1097">
        <v>1228</v>
      </c>
      <c r="D1097">
        <v>2018</v>
      </c>
      <c r="E1097">
        <v>25</v>
      </c>
      <c r="F1097">
        <v>609</v>
      </c>
      <c r="G1097">
        <v>1</v>
      </c>
      <c r="H1097">
        <v>454</v>
      </c>
      <c r="I1097">
        <v>3</v>
      </c>
      <c r="J1097">
        <v>4740.32</v>
      </c>
      <c r="K1097">
        <v>8459.6299999999992</v>
      </c>
      <c r="L1097">
        <v>4740.5200000000004</v>
      </c>
      <c r="M1097">
        <v>8459.1200000000008</v>
      </c>
      <c r="N1097">
        <v>47.671999999999997</v>
      </c>
      <c r="O1097">
        <v>-84.993832999999995</v>
      </c>
      <c r="P1097">
        <v>47.675333000000002</v>
      </c>
      <c r="Q1097">
        <v>-84.985332999999997</v>
      </c>
      <c r="R1097">
        <v>392.59048360000003</v>
      </c>
      <c r="S1097">
        <v>84.3</v>
      </c>
      <c r="T1097">
        <v>19.3</v>
      </c>
      <c r="U1097">
        <v>0.5</v>
      </c>
      <c r="V1097">
        <v>2</v>
      </c>
      <c r="W1097">
        <v>3.6</v>
      </c>
      <c r="X1097">
        <v>3.2985500000000001</v>
      </c>
      <c r="Y1097">
        <v>0.1419</v>
      </c>
      <c r="Z1097">
        <v>89.023449999999997</v>
      </c>
      <c r="AA1097">
        <v>10</v>
      </c>
      <c r="AB1097">
        <v>0.42</v>
      </c>
      <c r="AC1097">
        <v>0</v>
      </c>
      <c r="AD1097">
        <v>0</v>
      </c>
    </row>
    <row r="1098" spans="1:30" x14ac:dyDescent="0.55000000000000004">
      <c r="A1098">
        <v>105902</v>
      </c>
      <c r="B1098" s="19">
        <v>43260</v>
      </c>
      <c r="C1098">
        <v>1528</v>
      </c>
      <c r="D1098">
        <v>2018</v>
      </c>
      <c r="E1098">
        <v>25</v>
      </c>
      <c r="F1098">
        <v>610</v>
      </c>
      <c r="G1098">
        <v>1</v>
      </c>
      <c r="H1098">
        <v>451</v>
      </c>
      <c r="I1098">
        <v>3</v>
      </c>
      <c r="J1098">
        <v>4756.88</v>
      </c>
      <c r="K1098">
        <v>8511.1299999999992</v>
      </c>
      <c r="L1098">
        <v>4756.5</v>
      </c>
      <c r="M1098">
        <v>8510.99</v>
      </c>
      <c r="N1098">
        <v>47.948</v>
      </c>
      <c r="O1098">
        <v>-85.185500000000005</v>
      </c>
      <c r="P1098">
        <v>47.941667000000002</v>
      </c>
      <c r="Q1098">
        <v>-85.183166999999997</v>
      </c>
      <c r="R1098">
        <v>1060.3185840000001</v>
      </c>
      <c r="S1098">
        <v>16.2</v>
      </c>
      <c r="T1098">
        <v>34</v>
      </c>
      <c r="U1098">
        <v>0.5</v>
      </c>
      <c r="V1098">
        <v>2</v>
      </c>
      <c r="W1098">
        <v>4.3</v>
      </c>
      <c r="X1098">
        <v>3.8183500000000001</v>
      </c>
      <c r="Y1098">
        <v>0.14415</v>
      </c>
      <c r="Z1098">
        <v>89.379549999999995</v>
      </c>
      <c r="AA1098">
        <v>10</v>
      </c>
      <c r="AB1098">
        <v>0.42</v>
      </c>
      <c r="AC1098">
        <v>0</v>
      </c>
      <c r="AD1098">
        <v>0</v>
      </c>
    </row>
    <row r="1099" spans="1:30" x14ac:dyDescent="0.55000000000000004">
      <c r="A1099">
        <v>105903</v>
      </c>
      <c r="B1099" s="19">
        <v>43260</v>
      </c>
      <c r="C1099">
        <v>1528</v>
      </c>
      <c r="D1099">
        <v>2018</v>
      </c>
      <c r="E1099">
        <v>25</v>
      </c>
      <c r="F1099">
        <v>611</v>
      </c>
      <c r="G1099">
        <v>1</v>
      </c>
      <c r="H1099">
        <v>451</v>
      </c>
      <c r="I1099">
        <v>3</v>
      </c>
      <c r="J1099">
        <v>4756.88</v>
      </c>
      <c r="K1099">
        <v>8511.1299999999992</v>
      </c>
      <c r="L1099">
        <v>4756.5</v>
      </c>
      <c r="M1099">
        <v>8510.99</v>
      </c>
      <c r="N1099">
        <v>47.948</v>
      </c>
      <c r="O1099">
        <v>-85.185500000000005</v>
      </c>
      <c r="P1099">
        <v>47.941667000000002</v>
      </c>
      <c r="Q1099">
        <v>-85.183166999999997</v>
      </c>
      <c r="R1099">
        <v>1060.3185840000001</v>
      </c>
      <c r="S1099">
        <v>16.2</v>
      </c>
      <c r="T1099">
        <v>34</v>
      </c>
      <c r="U1099">
        <v>0.5</v>
      </c>
      <c r="V1099">
        <v>2</v>
      </c>
      <c r="W1099">
        <v>4.3</v>
      </c>
      <c r="X1099">
        <v>3.8183500000000001</v>
      </c>
      <c r="Y1099">
        <v>0.14415</v>
      </c>
      <c r="Z1099">
        <v>89.379549999999995</v>
      </c>
      <c r="AA1099">
        <v>10</v>
      </c>
      <c r="AB1099">
        <v>0.42</v>
      </c>
      <c r="AC1099">
        <v>0</v>
      </c>
      <c r="AD1099">
        <v>0</v>
      </c>
    </row>
    <row r="1100" spans="1:30" x14ac:dyDescent="0.55000000000000004">
      <c r="A1100">
        <v>105904</v>
      </c>
      <c r="B1100" s="19">
        <v>43260</v>
      </c>
      <c r="C1100">
        <v>1743</v>
      </c>
      <c r="D1100">
        <v>2018</v>
      </c>
      <c r="E1100">
        <v>25</v>
      </c>
      <c r="F1100">
        <v>612</v>
      </c>
      <c r="G1100">
        <v>1</v>
      </c>
      <c r="H1100">
        <v>462</v>
      </c>
      <c r="I1100">
        <v>3</v>
      </c>
      <c r="J1100">
        <v>4757.22</v>
      </c>
      <c r="K1100">
        <v>8456.85</v>
      </c>
      <c r="L1100">
        <v>4756.75</v>
      </c>
      <c r="M1100">
        <v>8456.75</v>
      </c>
      <c r="N1100">
        <v>47.953667000000003</v>
      </c>
      <c r="O1100">
        <v>-84.947500000000005</v>
      </c>
      <c r="P1100">
        <v>47.945833</v>
      </c>
      <c r="Q1100">
        <v>-84.945832999999993</v>
      </c>
      <c r="R1100">
        <v>898.44834530000003</v>
      </c>
      <c r="S1100">
        <v>20.3</v>
      </c>
      <c r="T1100">
        <v>107</v>
      </c>
      <c r="U1100">
        <v>0.5</v>
      </c>
      <c r="V1100">
        <v>2</v>
      </c>
      <c r="W1100">
        <v>3.8</v>
      </c>
      <c r="X1100">
        <v>3.3590499999999999</v>
      </c>
      <c r="Y1100">
        <v>0.13755000000000001</v>
      </c>
      <c r="Z1100">
        <v>87.08135</v>
      </c>
      <c r="AA1100">
        <v>10</v>
      </c>
      <c r="AC1100">
        <v>0</v>
      </c>
      <c r="AD1100">
        <v>0</v>
      </c>
    </row>
    <row r="1101" spans="1:30" x14ac:dyDescent="0.55000000000000004">
      <c r="A1101">
        <v>105905</v>
      </c>
      <c r="B1101" s="19">
        <v>43260</v>
      </c>
      <c r="C1101">
        <v>1743</v>
      </c>
      <c r="D1101">
        <v>2018</v>
      </c>
      <c r="E1101">
        <v>25</v>
      </c>
      <c r="F1101">
        <v>613</v>
      </c>
      <c r="G1101">
        <v>1</v>
      </c>
      <c r="H1101">
        <v>462</v>
      </c>
      <c r="I1101">
        <v>3</v>
      </c>
      <c r="J1101">
        <v>4757.22</v>
      </c>
      <c r="K1101">
        <v>8456.85</v>
      </c>
      <c r="L1101">
        <v>4756.75</v>
      </c>
      <c r="M1101">
        <v>8456.75</v>
      </c>
      <c r="N1101">
        <v>47.953667000000003</v>
      </c>
      <c r="O1101">
        <v>-84.947500000000005</v>
      </c>
      <c r="P1101">
        <v>47.945833</v>
      </c>
      <c r="Q1101">
        <v>-84.945832999999993</v>
      </c>
      <c r="R1101">
        <v>898.44834530000003</v>
      </c>
      <c r="S1101">
        <v>20.3</v>
      </c>
      <c r="T1101">
        <v>107</v>
      </c>
      <c r="U1101">
        <v>0.5</v>
      </c>
      <c r="V1101">
        <v>2</v>
      </c>
      <c r="W1101">
        <v>3.8</v>
      </c>
      <c r="X1101">
        <v>3.3590499999999999</v>
      </c>
      <c r="Y1101">
        <v>0.13755000000000001</v>
      </c>
      <c r="Z1101">
        <v>87.08135</v>
      </c>
      <c r="AA1101">
        <v>10</v>
      </c>
      <c r="AC1101">
        <v>316</v>
      </c>
      <c r="AD1101">
        <v>1</v>
      </c>
    </row>
    <row r="1102" spans="1:30" x14ac:dyDescent="0.55000000000000004">
      <c r="A1102">
        <v>105906</v>
      </c>
      <c r="B1102" s="19">
        <v>43261</v>
      </c>
      <c r="C1102">
        <v>922</v>
      </c>
      <c r="D1102">
        <v>2018</v>
      </c>
      <c r="E1102">
        <v>25</v>
      </c>
      <c r="F1102">
        <v>614</v>
      </c>
      <c r="G1102">
        <v>1</v>
      </c>
      <c r="H1102">
        <v>463</v>
      </c>
      <c r="I1102">
        <v>3</v>
      </c>
      <c r="J1102">
        <v>4755.08</v>
      </c>
      <c r="K1102">
        <v>8525.67</v>
      </c>
      <c r="L1102">
        <v>4754.63</v>
      </c>
      <c r="M1102">
        <v>8525.9</v>
      </c>
      <c r="N1102">
        <v>47.917999999999999</v>
      </c>
      <c r="O1102">
        <v>-85.427833000000007</v>
      </c>
      <c r="P1102">
        <v>47.910499999999999</v>
      </c>
      <c r="Q1102">
        <v>-85.431667000000004</v>
      </c>
      <c r="R1102">
        <v>487.48221030000002</v>
      </c>
      <c r="S1102">
        <v>22.7</v>
      </c>
      <c r="T1102">
        <v>65.2</v>
      </c>
      <c r="U1102">
        <v>0.5</v>
      </c>
      <c r="V1102">
        <v>2</v>
      </c>
      <c r="W1102">
        <v>4</v>
      </c>
      <c r="X1102">
        <v>3.6824499999999998</v>
      </c>
      <c r="Y1102">
        <v>0.15825</v>
      </c>
      <c r="Z1102">
        <v>84.846500000000006</v>
      </c>
      <c r="AA1102">
        <v>10</v>
      </c>
      <c r="AB1102">
        <v>0.5</v>
      </c>
      <c r="AC1102">
        <v>217</v>
      </c>
      <c r="AD1102">
        <v>4</v>
      </c>
    </row>
    <row r="1103" spans="1:30" x14ac:dyDescent="0.55000000000000004">
      <c r="A1103">
        <v>105907</v>
      </c>
      <c r="B1103" s="19">
        <v>43261</v>
      </c>
      <c r="C1103">
        <v>922</v>
      </c>
      <c r="D1103">
        <v>2018</v>
      </c>
      <c r="E1103">
        <v>25</v>
      </c>
      <c r="F1103">
        <v>615</v>
      </c>
      <c r="G1103">
        <v>1</v>
      </c>
      <c r="H1103">
        <v>463</v>
      </c>
      <c r="I1103">
        <v>3</v>
      </c>
      <c r="J1103">
        <v>4755.08</v>
      </c>
      <c r="K1103">
        <v>8525.67</v>
      </c>
      <c r="L1103">
        <v>4754.63</v>
      </c>
      <c r="M1103">
        <v>8525.9</v>
      </c>
      <c r="N1103">
        <v>47.917999999999999</v>
      </c>
      <c r="O1103">
        <v>-85.427833000000007</v>
      </c>
      <c r="P1103">
        <v>47.910499999999999</v>
      </c>
      <c r="Q1103">
        <v>-85.431667000000004</v>
      </c>
      <c r="R1103">
        <v>487.48221030000002</v>
      </c>
      <c r="S1103">
        <v>22.7</v>
      </c>
      <c r="T1103">
        <v>65.2</v>
      </c>
      <c r="U1103">
        <v>0.5</v>
      </c>
      <c r="V1103">
        <v>2</v>
      </c>
      <c r="W1103">
        <v>4</v>
      </c>
      <c r="X1103">
        <v>3.6824499999999998</v>
      </c>
      <c r="Y1103">
        <v>0.15825</v>
      </c>
      <c r="Z1103">
        <v>84.846500000000006</v>
      </c>
      <c r="AA1103">
        <v>10</v>
      </c>
      <c r="AB1103">
        <v>0.5</v>
      </c>
      <c r="AC1103">
        <v>217</v>
      </c>
      <c r="AD1103">
        <v>5</v>
      </c>
    </row>
    <row r="1104" spans="1:30" x14ac:dyDescent="0.55000000000000004">
      <c r="A1104">
        <v>105908</v>
      </c>
      <c r="B1104" s="19">
        <v>43261</v>
      </c>
      <c r="C1104">
        <v>1157</v>
      </c>
      <c r="D1104">
        <v>2018</v>
      </c>
      <c r="E1104">
        <v>25</v>
      </c>
      <c r="F1104">
        <v>616</v>
      </c>
      <c r="G1104">
        <v>1</v>
      </c>
      <c r="H1104">
        <v>464</v>
      </c>
      <c r="I1104">
        <v>3</v>
      </c>
      <c r="J1104">
        <v>4757.3100000000004</v>
      </c>
      <c r="K1104">
        <v>8549.26</v>
      </c>
      <c r="L1104">
        <v>4756.8999999999996</v>
      </c>
      <c r="M1104">
        <v>8549.17</v>
      </c>
      <c r="N1104">
        <v>47.955167000000003</v>
      </c>
      <c r="O1104">
        <v>-85.820999999999998</v>
      </c>
      <c r="P1104">
        <v>47.948332999999998</v>
      </c>
      <c r="Q1104">
        <v>-85.819500000000005</v>
      </c>
      <c r="R1104">
        <v>368.7667161</v>
      </c>
      <c r="S1104">
        <v>16.3</v>
      </c>
      <c r="T1104">
        <v>71.2</v>
      </c>
      <c r="U1104">
        <v>0.5</v>
      </c>
      <c r="V1104">
        <v>2</v>
      </c>
      <c r="W1104">
        <v>3.4</v>
      </c>
      <c r="X1104">
        <v>3.37845</v>
      </c>
      <c r="Y1104">
        <v>0.15384999999999999</v>
      </c>
      <c r="Z1104">
        <v>88.162549999999996</v>
      </c>
      <c r="AA1104">
        <v>10</v>
      </c>
      <c r="AB1104">
        <v>0.44</v>
      </c>
      <c r="AC1104">
        <v>0</v>
      </c>
      <c r="AD1104">
        <v>0</v>
      </c>
    </row>
    <row r="1105" spans="1:30" x14ac:dyDescent="0.55000000000000004">
      <c r="A1105">
        <v>105909</v>
      </c>
      <c r="B1105" s="19">
        <v>43261</v>
      </c>
      <c r="C1105">
        <v>1157</v>
      </c>
      <c r="D1105">
        <v>2018</v>
      </c>
      <c r="E1105">
        <v>25</v>
      </c>
      <c r="F1105">
        <v>617</v>
      </c>
      <c r="G1105">
        <v>1</v>
      </c>
      <c r="H1105">
        <v>464</v>
      </c>
      <c r="I1105">
        <v>3</v>
      </c>
      <c r="J1105">
        <v>4757.3100000000004</v>
      </c>
      <c r="K1105">
        <v>8549.26</v>
      </c>
      <c r="L1105">
        <v>4756.8999999999996</v>
      </c>
      <c r="M1105">
        <v>8549.17</v>
      </c>
      <c r="N1105">
        <v>47.955167000000003</v>
      </c>
      <c r="O1105">
        <v>-85.820999999999998</v>
      </c>
      <c r="P1105">
        <v>47.948332999999998</v>
      </c>
      <c r="Q1105">
        <v>-85.819500000000005</v>
      </c>
      <c r="R1105">
        <v>368.7667161</v>
      </c>
      <c r="S1105">
        <v>16.3</v>
      </c>
      <c r="T1105">
        <v>71.2</v>
      </c>
      <c r="U1105">
        <v>0.5</v>
      </c>
      <c r="V1105">
        <v>2</v>
      </c>
      <c r="W1105">
        <v>3.4</v>
      </c>
      <c r="X1105">
        <v>3.37845</v>
      </c>
      <c r="Y1105">
        <v>0.15384999999999999</v>
      </c>
      <c r="Z1105">
        <v>88.162549999999996</v>
      </c>
      <c r="AA1105">
        <v>10</v>
      </c>
      <c r="AB1105">
        <v>0.44</v>
      </c>
      <c r="AC1105">
        <v>0</v>
      </c>
      <c r="AD1105">
        <v>0</v>
      </c>
    </row>
    <row r="1106" spans="1:30" x14ac:dyDescent="0.55000000000000004">
      <c r="A1106">
        <v>105910</v>
      </c>
      <c r="B1106" s="19">
        <v>43261</v>
      </c>
      <c r="C1106">
        <v>1420</v>
      </c>
      <c r="D1106">
        <v>2018</v>
      </c>
      <c r="E1106">
        <v>25</v>
      </c>
      <c r="F1106">
        <v>618</v>
      </c>
      <c r="G1106">
        <v>1</v>
      </c>
      <c r="H1106">
        <v>465</v>
      </c>
      <c r="I1106">
        <v>3</v>
      </c>
      <c r="J1106">
        <v>4807.42</v>
      </c>
      <c r="K1106">
        <v>8603.74</v>
      </c>
      <c r="L1106">
        <v>4807.3100000000004</v>
      </c>
      <c r="M1106">
        <v>8603.19</v>
      </c>
      <c r="N1106">
        <v>48.123666999999998</v>
      </c>
      <c r="O1106">
        <v>-86.062332999999995</v>
      </c>
      <c r="P1106">
        <v>48.121833000000002</v>
      </c>
      <c r="Q1106">
        <v>-86.053167000000002</v>
      </c>
      <c r="R1106">
        <v>428.47106969999999</v>
      </c>
      <c r="S1106">
        <v>90.7</v>
      </c>
      <c r="T1106">
        <v>54</v>
      </c>
      <c r="U1106">
        <v>0.5</v>
      </c>
      <c r="V1106">
        <v>2</v>
      </c>
      <c r="W1106">
        <v>3.5</v>
      </c>
      <c r="X1106">
        <v>3.0464000000000002</v>
      </c>
      <c r="Y1106">
        <v>0.12909999999999999</v>
      </c>
      <c r="Z1106">
        <v>83.6601</v>
      </c>
      <c r="AA1106">
        <v>10</v>
      </c>
      <c r="AB1106">
        <v>0.43</v>
      </c>
      <c r="AC1106">
        <v>0</v>
      </c>
      <c r="AD1106">
        <v>0</v>
      </c>
    </row>
    <row r="1107" spans="1:30" x14ac:dyDescent="0.55000000000000004">
      <c r="A1107">
        <v>105911</v>
      </c>
      <c r="B1107" s="19">
        <v>43261</v>
      </c>
      <c r="C1107">
        <v>1420</v>
      </c>
      <c r="D1107">
        <v>2018</v>
      </c>
      <c r="E1107">
        <v>25</v>
      </c>
      <c r="F1107">
        <v>619</v>
      </c>
      <c r="G1107">
        <v>1</v>
      </c>
      <c r="H1107">
        <v>465</v>
      </c>
      <c r="I1107">
        <v>3</v>
      </c>
      <c r="J1107">
        <v>4807.42</v>
      </c>
      <c r="K1107">
        <v>8603.74</v>
      </c>
      <c r="L1107">
        <v>4807.3100000000004</v>
      </c>
      <c r="M1107">
        <v>8603.19</v>
      </c>
      <c r="N1107">
        <v>48.123666999999998</v>
      </c>
      <c r="O1107">
        <v>-86.062332999999995</v>
      </c>
      <c r="P1107">
        <v>48.121833000000002</v>
      </c>
      <c r="Q1107">
        <v>-86.053167000000002</v>
      </c>
      <c r="R1107">
        <v>428.47106969999999</v>
      </c>
      <c r="S1107">
        <v>90.7</v>
      </c>
      <c r="T1107">
        <v>54</v>
      </c>
      <c r="U1107">
        <v>0.5</v>
      </c>
      <c r="V1107">
        <v>2</v>
      </c>
      <c r="W1107">
        <v>3.5</v>
      </c>
      <c r="X1107">
        <v>3.0464000000000002</v>
      </c>
      <c r="Y1107">
        <v>0.12909999999999999</v>
      </c>
      <c r="Z1107">
        <v>83.6601</v>
      </c>
      <c r="AA1107">
        <v>10</v>
      </c>
      <c r="AB1107">
        <v>0.43</v>
      </c>
      <c r="AC1107">
        <v>0</v>
      </c>
      <c r="AD1107">
        <v>0</v>
      </c>
    </row>
    <row r="1108" spans="1:30" x14ac:dyDescent="0.55000000000000004">
      <c r="A1108">
        <v>105912</v>
      </c>
      <c r="B1108" s="19">
        <v>43262</v>
      </c>
      <c r="C1108">
        <v>741</v>
      </c>
      <c r="D1108">
        <v>2018</v>
      </c>
      <c r="E1108">
        <v>25</v>
      </c>
      <c r="F1108">
        <v>620</v>
      </c>
      <c r="G1108">
        <v>1</v>
      </c>
      <c r="H1108">
        <v>422</v>
      </c>
      <c r="I1108">
        <v>3</v>
      </c>
      <c r="J1108">
        <v>4832.42</v>
      </c>
      <c r="K1108">
        <v>8621.33</v>
      </c>
      <c r="L1108">
        <v>4838.45</v>
      </c>
      <c r="M1108">
        <v>8620.76</v>
      </c>
      <c r="N1108">
        <v>48.540332999999997</v>
      </c>
      <c r="O1108">
        <v>-86.355500000000006</v>
      </c>
      <c r="P1108">
        <v>48.640833000000001</v>
      </c>
      <c r="Q1108">
        <v>-86.346000000000004</v>
      </c>
      <c r="R1108">
        <v>443.99107350000003</v>
      </c>
      <c r="S1108">
        <v>35.299999999999997</v>
      </c>
      <c r="T1108">
        <v>38.299999999999997</v>
      </c>
      <c r="U1108">
        <v>0.5</v>
      </c>
      <c r="V1108">
        <v>2</v>
      </c>
      <c r="W1108">
        <v>6.7</v>
      </c>
      <c r="X1108">
        <v>5.3341000000000003</v>
      </c>
      <c r="Y1108">
        <v>0.22555</v>
      </c>
      <c r="Z1108">
        <v>82.100200000000001</v>
      </c>
      <c r="AA1108">
        <v>10</v>
      </c>
      <c r="AB1108">
        <v>0.41</v>
      </c>
      <c r="AC1108">
        <v>217</v>
      </c>
      <c r="AD1108">
        <v>12</v>
      </c>
    </row>
    <row r="1109" spans="1:30" x14ac:dyDescent="0.55000000000000004">
      <c r="A1109">
        <v>105913</v>
      </c>
      <c r="B1109" s="19">
        <v>43262</v>
      </c>
      <c r="C1109">
        <v>741</v>
      </c>
      <c r="D1109">
        <v>2018</v>
      </c>
      <c r="E1109">
        <v>25</v>
      </c>
      <c r="F1109">
        <v>621</v>
      </c>
      <c r="G1109">
        <v>1</v>
      </c>
      <c r="H1109">
        <v>422</v>
      </c>
      <c r="I1109">
        <v>3</v>
      </c>
      <c r="J1109">
        <v>4832.42</v>
      </c>
      <c r="K1109">
        <v>8621.33</v>
      </c>
      <c r="L1109">
        <v>4838.45</v>
      </c>
      <c r="M1109">
        <v>8620.76</v>
      </c>
      <c r="N1109">
        <v>48.540332999999997</v>
      </c>
      <c r="O1109">
        <v>-86.355500000000006</v>
      </c>
      <c r="P1109">
        <v>48.640833000000001</v>
      </c>
      <c r="Q1109">
        <v>-86.346000000000004</v>
      </c>
      <c r="R1109">
        <v>443.99107350000003</v>
      </c>
      <c r="S1109">
        <v>35.299999999999997</v>
      </c>
      <c r="T1109">
        <v>38.299999999999997</v>
      </c>
      <c r="U1109">
        <v>0.5</v>
      </c>
      <c r="V1109">
        <v>2</v>
      </c>
      <c r="W1109">
        <v>6.7</v>
      </c>
      <c r="X1109">
        <v>5.3341000000000003</v>
      </c>
      <c r="Y1109">
        <v>0.22555</v>
      </c>
      <c r="Z1109">
        <v>82.100200000000001</v>
      </c>
      <c r="AA1109">
        <v>10</v>
      </c>
      <c r="AB1109">
        <v>0.41</v>
      </c>
      <c r="AC1109">
        <v>217</v>
      </c>
      <c r="AD1109">
        <v>7</v>
      </c>
    </row>
    <row r="1110" spans="1:30" x14ac:dyDescent="0.55000000000000004">
      <c r="A1110">
        <v>105914</v>
      </c>
      <c r="B1110" s="19">
        <v>43262</v>
      </c>
      <c r="C1110">
        <v>1016</v>
      </c>
      <c r="D1110">
        <v>2018</v>
      </c>
      <c r="E1110">
        <v>25</v>
      </c>
      <c r="F1110">
        <v>622</v>
      </c>
      <c r="G1110">
        <v>1</v>
      </c>
      <c r="H1110">
        <v>420</v>
      </c>
      <c r="I1110">
        <v>3</v>
      </c>
      <c r="J1110">
        <v>4846.1400000000003</v>
      </c>
      <c r="K1110">
        <v>8637.84</v>
      </c>
      <c r="L1110">
        <v>4845.9799999999996</v>
      </c>
      <c r="M1110">
        <v>8638.3799999999992</v>
      </c>
      <c r="N1110">
        <v>48.768999999999998</v>
      </c>
      <c r="O1110">
        <v>-86.630667000000003</v>
      </c>
      <c r="P1110">
        <v>48.766333000000003</v>
      </c>
      <c r="Q1110">
        <v>-86.639667000000003</v>
      </c>
      <c r="R1110">
        <v>947.66548560000001</v>
      </c>
      <c r="S1110">
        <v>14.9</v>
      </c>
      <c r="T1110">
        <v>29.5</v>
      </c>
      <c r="U1110">
        <v>0.5</v>
      </c>
      <c r="V1110">
        <v>2</v>
      </c>
      <c r="W1110">
        <v>5.9</v>
      </c>
      <c r="X1110">
        <v>4.2298499999999999</v>
      </c>
      <c r="Y1110">
        <v>0.14680000000000001</v>
      </c>
      <c r="Z1110">
        <v>86.919799999999995</v>
      </c>
      <c r="AA1110">
        <v>10</v>
      </c>
      <c r="AB1110">
        <v>0.43</v>
      </c>
      <c r="AC1110">
        <v>0</v>
      </c>
      <c r="AD1110">
        <v>0</v>
      </c>
    </row>
    <row r="1111" spans="1:30" x14ac:dyDescent="0.55000000000000004">
      <c r="A1111">
        <v>105915</v>
      </c>
      <c r="B1111" s="19">
        <v>43262</v>
      </c>
      <c r="C1111">
        <v>1016</v>
      </c>
      <c r="D1111">
        <v>2018</v>
      </c>
      <c r="E1111">
        <v>25</v>
      </c>
      <c r="F1111">
        <v>623</v>
      </c>
      <c r="G1111">
        <v>1</v>
      </c>
      <c r="H1111">
        <v>420</v>
      </c>
      <c r="I1111">
        <v>3</v>
      </c>
      <c r="J1111">
        <v>4846.1400000000003</v>
      </c>
      <c r="K1111">
        <v>8637.84</v>
      </c>
      <c r="L1111">
        <v>4845.9799999999996</v>
      </c>
      <c r="M1111">
        <v>8638.3799999999992</v>
      </c>
      <c r="N1111">
        <v>48.768999999999998</v>
      </c>
      <c r="O1111">
        <v>-86.630667000000003</v>
      </c>
      <c r="P1111">
        <v>48.766333000000003</v>
      </c>
      <c r="Q1111">
        <v>-86.639667000000003</v>
      </c>
      <c r="R1111">
        <v>947.66548560000001</v>
      </c>
      <c r="S1111">
        <v>14.9</v>
      </c>
      <c r="T1111">
        <v>29.5</v>
      </c>
      <c r="U1111">
        <v>0.5</v>
      </c>
      <c r="V1111">
        <v>2</v>
      </c>
      <c r="W1111">
        <v>5.9</v>
      </c>
      <c r="X1111">
        <v>4.2298499999999999</v>
      </c>
      <c r="Y1111">
        <v>0.14680000000000001</v>
      </c>
      <c r="Z1111">
        <v>86.919799999999995</v>
      </c>
      <c r="AA1111">
        <v>10</v>
      </c>
      <c r="AB1111">
        <v>0.43</v>
      </c>
      <c r="AC1111">
        <v>0</v>
      </c>
      <c r="AD1111">
        <v>0</v>
      </c>
    </row>
    <row r="1112" spans="1:30" x14ac:dyDescent="0.55000000000000004">
      <c r="A1112">
        <v>105916</v>
      </c>
      <c r="B1112" s="19">
        <v>43262</v>
      </c>
      <c r="C1112">
        <v>1230</v>
      </c>
      <c r="D1112">
        <v>2018</v>
      </c>
      <c r="E1112">
        <v>25</v>
      </c>
      <c r="F1112">
        <v>624</v>
      </c>
      <c r="G1112">
        <v>1</v>
      </c>
      <c r="H1112">
        <v>419</v>
      </c>
      <c r="I1112">
        <v>3</v>
      </c>
      <c r="J1112">
        <v>4847.5200000000004</v>
      </c>
      <c r="K1112">
        <v>8659.32</v>
      </c>
      <c r="L1112">
        <v>4847.66</v>
      </c>
      <c r="M1112">
        <v>8658.75</v>
      </c>
      <c r="N1112">
        <v>48.792000000000002</v>
      </c>
      <c r="O1112">
        <v>-86.988667000000007</v>
      </c>
      <c r="P1112">
        <v>48.794333000000002</v>
      </c>
      <c r="Q1112">
        <v>-86.979167000000004</v>
      </c>
      <c r="R1112">
        <v>305.36636490000001</v>
      </c>
      <c r="S1112">
        <v>37.5</v>
      </c>
      <c r="T1112">
        <v>41.5</v>
      </c>
      <c r="U1112">
        <v>0.5</v>
      </c>
      <c r="V1112">
        <v>2</v>
      </c>
      <c r="W1112">
        <v>8.9</v>
      </c>
      <c r="X1112">
        <v>8.4214000000000002</v>
      </c>
      <c r="Y1112">
        <v>0.46310000000000001</v>
      </c>
      <c r="Z1112">
        <v>78.644599999999997</v>
      </c>
      <c r="AA1112">
        <v>10</v>
      </c>
      <c r="AB1112">
        <v>0.43</v>
      </c>
      <c r="AC1112">
        <v>217</v>
      </c>
      <c r="AD1112">
        <v>86</v>
      </c>
    </row>
    <row r="1113" spans="1:30" x14ac:dyDescent="0.55000000000000004">
      <c r="A1113">
        <v>105917</v>
      </c>
      <c r="B1113" s="19">
        <v>43262</v>
      </c>
      <c r="C1113">
        <v>1230</v>
      </c>
      <c r="D1113">
        <v>2018</v>
      </c>
      <c r="E1113">
        <v>25</v>
      </c>
      <c r="F1113">
        <v>625</v>
      </c>
      <c r="G1113">
        <v>1</v>
      </c>
      <c r="H1113">
        <v>419</v>
      </c>
      <c r="I1113">
        <v>3</v>
      </c>
      <c r="J1113">
        <v>4847.5200000000004</v>
      </c>
      <c r="K1113">
        <v>8659.32</v>
      </c>
      <c r="L1113">
        <v>4847.66</v>
      </c>
      <c r="M1113">
        <v>8658.75</v>
      </c>
      <c r="N1113">
        <v>48.792000000000002</v>
      </c>
      <c r="O1113">
        <v>-86.988667000000007</v>
      </c>
      <c r="P1113">
        <v>48.794333000000002</v>
      </c>
      <c r="Q1113">
        <v>-86.979167000000004</v>
      </c>
      <c r="R1113">
        <v>305.36636490000001</v>
      </c>
      <c r="S1113">
        <v>37.5</v>
      </c>
      <c r="T1113">
        <v>41.5</v>
      </c>
      <c r="U1113">
        <v>0.5</v>
      </c>
      <c r="V1113">
        <v>2</v>
      </c>
      <c r="W1113">
        <v>8.9</v>
      </c>
      <c r="X1113">
        <v>8.4214000000000002</v>
      </c>
      <c r="Y1113">
        <v>0.46310000000000001</v>
      </c>
      <c r="Z1113">
        <v>78.644599999999997</v>
      </c>
      <c r="AA1113">
        <v>10</v>
      </c>
      <c r="AB1113">
        <v>0.43</v>
      </c>
      <c r="AC1113">
        <v>217</v>
      </c>
      <c r="AD1113">
        <v>90</v>
      </c>
    </row>
    <row r="1114" spans="1:30" x14ac:dyDescent="0.55000000000000004">
      <c r="A1114">
        <v>105918</v>
      </c>
      <c r="B1114" s="19">
        <v>43262</v>
      </c>
      <c r="C1114">
        <v>1419</v>
      </c>
      <c r="D1114">
        <v>2018</v>
      </c>
      <c r="E1114">
        <v>25</v>
      </c>
      <c r="F1114">
        <v>626</v>
      </c>
      <c r="G1114">
        <v>1</v>
      </c>
      <c r="H1114">
        <v>418</v>
      </c>
      <c r="I1114">
        <v>3</v>
      </c>
      <c r="J1114">
        <v>4846.3999999999996</v>
      </c>
      <c r="K1114">
        <v>8710.0400000000009</v>
      </c>
      <c r="L1114">
        <v>4846.75</v>
      </c>
      <c r="M1114">
        <v>8710.27</v>
      </c>
      <c r="N1114">
        <v>48.773333000000001</v>
      </c>
      <c r="O1114">
        <v>-87.167332999999999</v>
      </c>
      <c r="P1114">
        <v>48.779167000000001</v>
      </c>
      <c r="Q1114">
        <v>-87.171166999999997</v>
      </c>
      <c r="R1114">
        <v>670.05564040000002</v>
      </c>
      <c r="S1114">
        <v>42.3</v>
      </c>
      <c r="T1114">
        <v>26.3</v>
      </c>
      <c r="U1114">
        <v>0.5</v>
      </c>
      <c r="V1114">
        <v>2</v>
      </c>
      <c r="W1114">
        <v>8.4</v>
      </c>
      <c r="X1114">
        <v>7.4715999999999996</v>
      </c>
      <c r="Y1114">
        <v>0.54115000000000002</v>
      </c>
      <c r="Z1114">
        <v>85.743799999999993</v>
      </c>
      <c r="AA1114">
        <v>10</v>
      </c>
      <c r="AB1114">
        <v>0.42</v>
      </c>
      <c r="AC1114">
        <v>217</v>
      </c>
      <c r="AD1114">
        <v>251</v>
      </c>
    </row>
    <row r="1115" spans="1:30" x14ac:dyDescent="0.55000000000000004">
      <c r="A1115">
        <v>105919</v>
      </c>
      <c r="B1115" s="19">
        <v>43262</v>
      </c>
      <c r="C1115">
        <v>1419</v>
      </c>
      <c r="D1115">
        <v>2018</v>
      </c>
      <c r="E1115">
        <v>25</v>
      </c>
      <c r="F1115">
        <v>627</v>
      </c>
      <c r="G1115">
        <v>1</v>
      </c>
      <c r="H1115">
        <v>418</v>
      </c>
      <c r="I1115">
        <v>3</v>
      </c>
      <c r="J1115">
        <v>4846.3999999999996</v>
      </c>
      <c r="K1115">
        <v>8710.0400000000009</v>
      </c>
      <c r="L1115">
        <v>4846.75</v>
      </c>
      <c r="M1115">
        <v>8710.27</v>
      </c>
      <c r="N1115">
        <v>48.773333000000001</v>
      </c>
      <c r="O1115">
        <v>-87.167332999999999</v>
      </c>
      <c r="P1115">
        <v>48.779167000000001</v>
      </c>
      <c r="Q1115">
        <v>-87.171166999999997</v>
      </c>
      <c r="R1115">
        <v>670.05564040000002</v>
      </c>
      <c r="S1115">
        <v>42.3</v>
      </c>
      <c r="T1115">
        <v>26.3</v>
      </c>
      <c r="U1115">
        <v>0.5</v>
      </c>
      <c r="V1115">
        <v>2</v>
      </c>
      <c r="W1115">
        <v>8.4</v>
      </c>
      <c r="X1115">
        <v>7.4715999999999996</v>
      </c>
      <c r="Y1115">
        <v>0.54115000000000002</v>
      </c>
      <c r="Z1115">
        <v>85.743799999999993</v>
      </c>
      <c r="AA1115">
        <v>10</v>
      </c>
      <c r="AB1115">
        <v>0.42</v>
      </c>
      <c r="AC1115">
        <v>217</v>
      </c>
      <c r="AD1115">
        <v>238</v>
      </c>
    </row>
    <row r="1116" spans="1:30" x14ac:dyDescent="0.55000000000000004">
      <c r="A1116">
        <v>105920</v>
      </c>
      <c r="B1116" s="19">
        <v>43262</v>
      </c>
      <c r="C1116">
        <v>1634</v>
      </c>
      <c r="D1116">
        <v>2018</v>
      </c>
      <c r="E1116">
        <v>25</v>
      </c>
      <c r="F1116">
        <v>628</v>
      </c>
      <c r="G1116">
        <v>1</v>
      </c>
      <c r="H1116">
        <v>417</v>
      </c>
      <c r="I1116">
        <v>3</v>
      </c>
      <c r="J1116">
        <v>4849.84</v>
      </c>
      <c r="K1116">
        <v>8728.26</v>
      </c>
      <c r="L1116">
        <v>4850.08</v>
      </c>
      <c r="M1116">
        <v>8728.74</v>
      </c>
      <c r="N1116">
        <v>48.830666999999998</v>
      </c>
      <c r="O1116">
        <v>-87.471000000000004</v>
      </c>
      <c r="P1116">
        <v>48.834667000000003</v>
      </c>
      <c r="Q1116">
        <v>-87.478999999999999</v>
      </c>
      <c r="R1116">
        <v>436.81210759999999</v>
      </c>
      <c r="S1116">
        <v>68</v>
      </c>
      <c r="T1116">
        <v>43.3</v>
      </c>
      <c r="U1116">
        <v>0.5</v>
      </c>
      <c r="V1116">
        <v>2</v>
      </c>
      <c r="W1116">
        <v>10.5</v>
      </c>
      <c r="X1116">
        <v>9.2530000000000001</v>
      </c>
      <c r="Y1116">
        <v>0.17380000000000001</v>
      </c>
      <c r="Z1116">
        <v>84.186850000000007</v>
      </c>
      <c r="AA1116">
        <v>10</v>
      </c>
      <c r="AB1116">
        <v>0.41</v>
      </c>
      <c r="AC1116">
        <v>217</v>
      </c>
      <c r="AD1116">
        <v>37</v>
      </c>
    </row>
    <row r="1117" spans="1:30" x14ac:dyDescent="0.55000000000000004">
      <c r="A1117">
        <v>105921</v>
      </c>
      <c r="B1117" s="19">
        <v>43262</v>
      </c>
      <c r="C1117">
        <v>1634</v>
      </c>
      <c r="D1117">
        <v>2018</v>
      </c>
      <c r="E1117">
        <v>25</v>
      </c>
      <c r="F1117">
        <v>629</v>
      </c>
      <c r="G1117">
        <v>1</v>
      </c>
      <c r="H1117">
        <v>417</v>
      </c>
      <c r="I1117">
        <v>3</v>
      </c>
      <c r="J1117">
        <v>4849.84</v>
      </c>
      <c r="K1117">
        <v>8728.26</v>
      </c>
      <c r="L1117">
        <v>4850.08</v>
      </c>
      <c r="M1117">
        <v>8728.74</v>
      </c>
      <c r="N1117">
        <v>48.830666999999998</v>
      </c>
      <c r="O1117">
        <v>-87.471000000000004</v>
      </c>
      <c r="P1117">
        <v>48.834667000000003</v>
      </c>
      <c r="Q1117">
        <v>-87.478999999999999</v>
      </c>
      <c r="R1117">
        <v>436.81210759999999</v>
      </c>
      <c r="S1117">
        <v>68</v>
      </c>
      <c r="T1117">
        <v>43.3</v>
      </c>
      <c r="U1117">
        <v>0.5</v>
      </c>
      <c r="V1117">
        <v>2</v>
      </c>
      <c r="W1117">
        <v>10.5</v>
      </c>
      <c r="X1117">
        <v>9.2530000000000001</v>
      </c>
      <c r="Y1117">
        <v>0.17380000000000001</v>
      </c>
      <c r="Z1117">
        <v>84.186850000000007</v>
      </c>
      <c r="AA1117">
        <v>10</v>
      </c>
      <c r="AB1117">
        <v>0.41</v>
      </c>
      <c r="AC1117">
        <v>217</v>
      </c>
      <c r="AD1117">
        <v>33</v>
      </c>
    </row>
    <row r="1118" spans="1:30" x14ac:dyDescent="0.55000000000000004">
      <c r="A1118">
        <v>105925</v>
      </c>
      <c r="B1118" s="19">
        <v>43263</v>
      </c>
      <c r="C1118">
        <v>806</v>
      </c>
      <c r="D1118">
        <v>2018</v>
      </c>
      <c r="E1118">
        <v>25</v>
      </c>
      <c r="F1118">
        <v>630</v>
      </c>
      <c r="G1118">
        <v>1</v>
      </c>
      <c r="H1118">
        <v>415</v>
      </c>
      <c r="I1118">
        <v>3</v>
      </c>
      <c r="J1118">
        <v>4853</v>
      </c>
      <c r="K1118">
        <v>8745.91</v>
      </c>
      <c r="L1118">
        <v>4853.3900000000003</v>
      </c>
      <c r="M1118">
        <v>8745.9699999999993</v>
      </c>
      <c r="N1118">
        <v>48.883333</v>
      </c>
      <c r="O1118">
        <v>-87.765167000000005</v>
      </c>
      <c r="P1118">
        <v>48.889833000000003</v>
      </c>
      <c r="Q1118">
        <v>-87.766166999999996</v>
      </c>
      <c r="R1118">
        <v>368.87364580000002</v>
      </c>
      <c r="S1118">
        <v>43.6</v>
      </c>
      <c r="T1118">
        <v>40.4</v>
      </c>
      <c r="U1118">
        <v>0.5</v>
      </c>
      <c r="V1118">
        <v>2</v>
      </c>
      <c r="W1118">
        <v>11.1</v>
      </c>
      <c r="X1118">
        <v>9.9518500000000003</v>
      </c>
      <c r="Y1118">
        <v>0.65225</v>
      </c>
      <c r="Z1118">
        <v>80.263400000000004</v>
      </c>
      <c r="AA1118">
        <v>10</v>
      </c>
      <c r="AB1118">
        <v>0.42</v>
      </c>
      <c r="AC1118">
        <v>217</v>
      </c>
      <c r="AD1118">
        <v>11</v>
      </c>
    </row>
    <row r="1119" spans="1:30" x14ac:dyDescent="0.55000000000000004">
      <c r="A1119">
        <v>105928</v>
      </c>
      <c r="B1119" s="19">
        <v>43263</v>
      </c>
      <c r="C1119">
        <v>806</v>
      </c>
      <c r="D1119">
        <v>2018</v>
      </c>
      <c r="E1119">
        <v>25</v>
      </c>
      <c r="F1119">
        <v>631</v>
      </c>
      <c r="G1119">
        <v>1</v>
      </c>
      <c r="H1119">
        <v>415</v>
      </c>
      <c r="I1119">
        <v>3</v>
      </c>
      <c r="J1119">
        <v>4853</v>
      </c>
      <c r="K1119">
        <v>8745.91</v>
      </c>
      <c r="L1119">
        <v>4853.3900000000003</v>
      </c>
      <c r="M1119">
        <v>8745.9699999999993</v>
      </c>
      <c r="N1119">
        <v>48.883333</v>
      </c>
      <c r="O1119">
        <v>-87.765167000000005</v>
      </c>
      <c r="P1119">
        <v>48.889833000000003</v>
      </c>
      <c r="Q1119">
        <v>-87.766166999999996</v>
      </c>
      <c r="R1119">
        <v>368.87364580000002</v>
      </c>
      <c r="S1119">
        <v>43.6</v>
      </c>
      <c r="T1119">
        <v>40.4</v>
      </c>
      <c r="U1119">
        <v>0.5</v>
      </c>
      <c r="V1119">
        <v>2</v>
      </c>
      <c r="W1119">
        <v>11.1</v>
      </c>
      <c r="X1119">
        <v>9.9518500000000003</v>
      </c>
      <c r="Y1119">
        <v>0.65225</v>
      </c>
      <c r="Z1119">
        <v>80.263400000000004</v>
      </c>
      <c r="AA1119">
        <v>10</v>
      </c>
      <c r="AB1119">
        <v>0.42</v>
      </c>
      <c r="AC1119">
        <v>217</v>
      </c>
      <c r="AD1119">
        <v>7</v>
      </c>
    </row>
    <row r="1120" spans="1:30" x14ac:dyDescent="0.55000000000000004">
      <c r="A1120">
        <v>105929</v>
      </c>
      <c r="B1120" s="19">
        <v>43263</v>
      </c>
      <c r="C1120">
        <v>1001</v>
      </c>
      <c r="D1120">
        <v>2018</v>
      </c>
      <c r="E1120">
        <v>25</v>
      </c>
      <c r="F1120">
        <v>632</v>
      </c>
      <c r="G1120">
        <v>1</v>
      </c>
      <c r="H1120">
        <v>414</v>
      </c>
      <c r="I1120">
        <v>3</v>
      </c>
      <c r="J1120">
        <v>4856.4799999999996</v>
      </c>
      <c r="K1120">
        <v>8758.7800000000007</v>
      </c>
      <c r="L1120">
        <v>4856.88</v>
      </c>
      <c r="M1120">
        <v>8758.65</v>
      </c>
      <c r="N1120">
        <v>48.941333</v>
      </c>
      <c r="O1120">
        <v>-87.979667000000006</v>
      </c>
      <c r="P1120">
        <v>48.948</v>
      </c>
      <c r="Q1120">
        <v>-87.977500000000006</v>
      </c>
      <c r="R1120">
        <v>120.4588639</v>
      </c>
      <c r="S1120">
        <v>23.8</v>
      </c>
      <c r="T1120">
        <v>24.2</v>
      </c>
      <c r="U1120">
        <v>0.5</v>
      </c>
      <c r="V1120">
        <v>2</v>
      </c>
      <c r="W1120">
        <v>12.3</v>
      </c>
      <c r="X1120">
        <v>12.073549999999999</v>
      </c>
      <c r="Y1120">
        <v>0.72340000000000004</v>
      </c>
      <c r="Z1120">
        <v>73.0685</v>
      </c>
      <c r="AA1120">
        <v>10</v>
      </c>
      <c r="AB1120">
        <v>0.43</v>
      </c>
      <c r="AC1120">
        <v>217</v>
      </c>
      <c r="AD1120">
        <v>47</v>
      </c>
    </row>
    <row r="1121" spans="1:30" x14ac:dyDescent="0.55000000000000004">
      <c r="A1121">
        <v>105930</v>
      </c>
      <c r="B1121" s="19">
        <v>43263</v>
      </c>
      <c r="C1121">
        <v>1001</v>
      </c>
      <c r="D1121">
        <v>2018</v>
      </c>
      <c r="E1121">
        <v>25</v>
      </c>
      <c r="F1121">
        <v>633</v>
      </c>
      <c r="G1121">
        <v>1</v>
      </c>
      <c r="H1121">
        <v>414</v>
      </c>
      <c r="I1121">
        <v>3</v>
      </c>
      <c r="J1121">
        <v>4856.4799999999996</v>
      </c>
      <c r="K1121">
        <v>8758.7800000000007</v>
      </c>
      <c r="L1121">
        <v>4856.88</v>
      </c>
      <c r="M1121">
        <v>8758.65</v>
      </c>
      <c r="N1121">
        <v>48.941333</v>
      </c>
      <c r="O1121">
        <v>-87.979667000000006</v>
      </c>
      <c r="P1121">
        <v>48.948</v>
      </c>
      <c r="Q1121">
        <v>-87.977500000000006</v>
      </c>
      <c r="R1121">
        <v>120.4588639</v>
      </c>
      <c r="S1121">
        <v>23.8</v>
      </c>
      <c r="T1121">
        <v>24.2</v>
      </c>
      <c r="U1121">
        <v>0.5</v>
      </c>
      <c r="V1121">
        <v>2</v>
      </c>
      <c r="W1121">
        <v>12.3</v>
      </c>
      <c r="X1121">
        <v>12.073549999999999</v>
      </c>
      <c r="Y1121">
        <v>0.72340000000000004</v>
      </c>
      <c r="Z1121">
        <v>73.0685</v>
      </c>
      <c r="AA1121">
        <v>10</v>
      </c>
      <c r="AB1121">
        <v>0.43</v>
      </c>
      <c r="AC1121">
        <v>217</v>
      </c>
      <c r="AD1121">
        <v>21</v>
      </c>
    </row>
    <row r="1122" spans="1:30" x14ac:dyDescent="0.55000000000000004">
      <c r="A1122">
        <v>105931</v>
      </c>
      <c r="B1122" s="19">
        <v>43263</v>
      </c>
      <c r="C1122">
        <v>1202</v>
      </c>
      <c r="D1122">
        <v>2018</v>
      </c>
      <c r="E1122">
        <v>25</v>
      </c>
      <c r="F1122">
        <v>634</v>
      </c>
      <c r="G1122">
        <v>1</v>
      </c>
      <c r="H1122">
        <v>413</v>
      </c>
      <c r="I1122">
        <v>3</v>
      </c>
      <c r="J1122">
        <v>4856.12</v>
      </c>
      <c r="K1122">
        <v>8813.36</v>
      </c>
      <c r="L1122">
        <v>4856.1899999999996</v>
      </c>
      <c r="M1122">
        <v>8813.9500000000007</v>
      </c>
      <c r="N1122">
        <v>48.935333</v>
      </c>
      <c r="O1122">
        <v>-88.222667000000001</v>
      </c>
      <c r="P1122">
        <v>48.936500000000002</v>
      </c>
      <c r="Q1122">
        <v>-88.232500000000002</v>
      </c>
      <c r="R1122">
        <v>548.07993610000005</v>
      </c>
      <c r="S1122">
        <v>24.6</v>
      </c>
      <c r="T1122">
        <v>18.7</v>
      </c>
      <c r="U1122">
        <v>0.5</v>
      </c>
      <c r="V1122">
        <v>2</v>
      </c>
      <c r="W1122">
        <v>14.2</v>
      </c>
      <c r="X1122">
        <v>14.337350000000001</v>
      </c>
      <c r="Y1122">
        <v>1.5510999999999999</v>
      </c>
      <c r="Z1122">
        <v>61.547800000000002</v>
      </c>
      <c r="AA1122">
        <v>10</v>
      </c>
      <c r="AB1122">
        <v>0.42</v>
      </c>
      <c r="AC1122">
        <v>0</v>
      </c>
      <c r="AD1122">
        <v>0</v>
      </c>
    </row>
    <row r="1123" spans="1:30" x14ac:dyDescent="0.55000000000000004">
      <c r="A1123">
        <v>105933</v>
      </c>
      <c r="B1123" s="19">
        <v>43263</v>
      </c>
      <c r="C1123">
        <v>1202</v>
      </c>
      <c r="D1123">
        <v>2018</v>
      </c>
      <c r="E1123">
        <v>25</v>
      </c>
      <c r="F1123">
        <v>635</v>
      </c>
      <c r="G1123">
        <v>1</v>
      </c>
      <c r="H1123">
        <v>413</v>
      </c>
      <c r="I1123">
        <v>3</v>
      </c>
      <c r="J1123">
        <v>4856.12</v>
      </c>
      <c r="K1123">
        <v>8813.36</v>
      </c>
      <c r="L1123">
        <v>4856.1899999999996</v>
      </c>
      <c r="M1123">
        <v>8813.9500000000007</v>
      </c>
      <c r="N1123">
        <v>48.935333</v>
      </c>
      <c r="O1123">
        <v>-88.222667000000001</v>
      </c>
      <c r="P1123">
        <v>48.936500000000002</v>
      </c>
      <c r="Q1123">
        <v>-88.232500000000002</v>
      </c>
      <c r="R1123">
        <v>548.07993610000005</v>
      </c>
      <c r="S1123">
        <v>24.6</v>
      </c>
      <c r="T1123">
        <v>18.7</v>
      </c>
      <c r="U1123">
        <v>0.5</v>
      </c>
      <c r="V1123">
        <v>2</v>
      </c>
      <c r="W1123">
        <v>14.2</v>
      </c>
      <c r="X1123">
        <v>14.337350000000001</v>
      </c>
      <c r="Y1123">
        <v>1.5510999999999999</v>
      </c>
      <c r="Z1123">
        <v>61.547800000000002</v>
      </c>
      <c r="AA1123">
        <v>10</v>
      </c>
      <c r="AB1123">
        <v>0.42</v>
      </c>
      <c r="AC1123">
        <v>217</v>
      </c>
      <c r="AD1123">
        <v>1</v>
      </c>
    </row>
    <row r="1124" spans="1:30" x14ac:dyDescent="0.55000000000000004">
      <c r="A1124">
        <v>105934</v>
      </c>
      <c r="B1124" s="19">
        <v>43263</v>
      </c>
      <c r="C1124">
        <v>1348</v>
      </c>
      <c r="D1124">
        <v>2018</v>
      </c>
      <c r="E1124">
        <v>25</v>
      </c>
      <c r="F1124">
        <v>636</v>
      </c>
      <c r="G1124">
        <v>1</v>
      </c>
      <c r="H1124">
        <v>412</v>
      </c>
      <c r="I1124">
        <v>3</v>
      </c>
      <c r="J1124">
        <v>4849.78</v>
      </c>
      <c r="K1124">
        <v>8806.7199999999993</v>
      </c>
      <c r="L1124">
        <v>4849.7</v>
      </c>
      <c r="M1124">
        <v>8806.17</v>
      </c>
      <c r="N1124">
        <v>48.829667000000001</v>
      </c>
      <c r="O1124">
        <v>-88.111999999999995</v>
      </c>
      <c r="P1124">
        <v>48.828333000000001</v>
      </c>
      <c r="Q1124">
        <v>-88.102833000000004</v>
      </c>
      <c r="R1124">
        <v>2048.9014940000002</v>
      </c>
      <c r="S1124">
        <v>50</v>
      </c>
      <c r="T1124">
        <v>42</v>
      </c>
      <c r="U1124">
        <v>0.5</v>
      </c>
      <c r="V1124">
        <v>2</v>
      </c>
      <c r="W1124">
        <v>13.5</v>
      </c>
      <c r="X1124">
        <v>12.517200000000001</v>
      </c>
      <c r="Y1124">
        <v>0.85629999999999995</v>
      </c>
      <c r="Z1124">
        <v>60.967149999999997</v>
      </c>
      <c r="AA1124">
        <v>10</v>
      </c>
      <c r="AB1124">
        <v>0.41</v>
      </c>
      <c r="AC1124">
        <v>0</v>
      </c>
      <c r="AD1124">
        <v>0</v>
      </c>
    </row>
    <row r="1125" spans="1:30" x14ac:dyDescent="0.55000000000000004">
      <c r="A1125">
        <v>105935</v>
      </c>
      <c r="B1125" s="19">
        <v>43263</v>
      </c>
      <c r="C1125">
        <v>1348</v>
      </c>
      <c r="D1125">
        <v>2018</v>
      </c>
      <c r="E1125">
        <v>25</v>
      </c>
      <c r="F1125">
        <v>637</v>
      </c>
      <c r="G1125">
        <v>1</v>
      </c>
      <c r="H1125">
        <v>412</v>
      </c>
      <c r="I1125">
        <v>3</v>
      </c>
      <c r="J1125">
        <v>4849.78</v>
      </c>
      <c r="K1125">
        <v>8806.7199999999993</v>
      </c>
      <c r="L1125">
        <v>4849.7</v>
      </c>
      <c r="M1125">
        <v>8806.17</v>
      </c>
      <c r="N1125">
        <v>48.829667000000001</v>
      </c>
      <c r="O1125">
        <v>-88.111999999999995</v>
      </c>
      <c r="P1125">
        <v>48.828333000000001</v>
      </c>
      <c r="Q1125">
        <v>-88.102833000000004</v>
      </c>
      <c r="R1125">
        <v>2048.9014940000002</v>
      </c>
      <c r="S1125">
        <v>50</v>
      </c>
      <c r="T1125">
        <v>42</v>
      </c>
      <c r="U1125">
        <v>0.5</v>
      </c>
      <c r="V1125">
        <v>2</v>
      </c>
      <c r="W1125">
        <v>13.5</v>
      </c>
      <c r="X1125">
        <v>12.517200000000001</v>
      </c>
      <c r="Y1125">
        <v>0.85629999999999995</v>
      </c>
      <c r="Z1125">
        <v>60.967149999999997</v>
      </c>
      <c r="AA1125">
        <v>10</v>
      </c>
      <c r="AB1125">
        <v>0.41</v>
      </c>
      <c r="AC1125">
        <v>217</v>
      </c>
      <c r="AD1125">
        <v>1</v>
      </c>
    </row>
    <row r="1126" spans="1:30" x14ac:dyDescent="0.55000000000000004">
      <c r="A1126">
        <v>105936</v>
      </c>
      <c r="B1126" s="19">
        <v>43264</v>
      </c>
      <c r="C1126">
        <v>838</v>
      </c>
      <c r="D1126">
        <v>2018</v>
      </c>
      <c r="E1126">
        <v>25</v>
      </c>
      <c r="F1126">
        <v>638</v>
      </c>
      <c r="G1126">
        <v>1</v>
      </c>
      <c r="H1126">
        <v>406</v>
      </c>
      <c r="I1126">
        <v>3</v>
      </c>
      <c r="J1126">
        <v>4829.2700000000004</v>
      </c>
      <c r="K1126">
        <v>8836.2199999999993</v>
      </c>
      <c r="L1126">
        <v>4829.34</v>
      </c>
      <c r="M1126">
        <v>8836.76</v>
      </c>
      <c r="N1126">
        <v>48.487833000000002</v>
      </c>
      <c r="O1126">
        <v>-88.603667000000002</v>
      </c>
      <c r="P1126">
        <v>48.488999999999997</v>
      </c>
      <c r="Q1126">
        <v>-88.612667000000002</v>
      </c>
      <c r="R1126">
        <v>990.25055569999995</v>
      </c>
      <c r="S1126">
        <v>16.8</v>
      </c>
      <c r="T1126">
        <v>26.2</v>
      </c>
      <c r="U1126">
        <v>0.5</v>
      </c>
      <c r="V1126">
        <v>2</v>
      </c>
      <c r="W1126">
        <v>13.2</v>
      </c>
      <c r="X1126">
        <v>13.0526</v>
      </c>
      <c r="Y1126">
        <v>0.85419999999999996</v>
      </c>
      <c r="Z1126">
        <v>76.3352</v>
      </c>
      <c r="AA1126">
        <v>10</v>
      </c>
      <c r="AB1126">
        <v>0.41</v>
      </c>
      <c r="AC1126">
        <v>0</v>
      </c>
      <c r="AD1126">
        <v>0</v>
      </c>
    </row>
    <row r="1127" spans="1:30" x14ac:dyDescent="0.55000000000000004">
      <c r="A1127">
        <v>105937</v>
      </c>
      <c r="B1127" s="19">
        <v>43264</v>
      </c>
      <c r="C1127">
        <v>838</v>
      </c>
      <c r="D1127">
        <v>2018</v>
      </c>
      <c r="E1127">
        <v>25</v>
      </c>
      <c r="F1127">
        <v>639</v>
      </c>
      <c r="G1127">
        <v>1</v>
      </c>
      <c r="H1127">
        <v>406</v>
      </c>
      <c r="I1127">
        <v>3</v>
      </c>
      <c r="J1127">
        <v>4829.2700000000004</v>
      </c>
      <c r="K1127">
        <v>8836.2199999999993</v>
      </c>
      <c r="L1127">
        <v>4829.34</v>
      </c>
      <c r="M1127">
        <v>8836.76</v>
      </c>
      <c r="N1127">
        <v>48.487833000000002</v>
      </c>
      <c r="O1127">
        <v>-88.603667000000002</v>
      </c>
      <c r="P1127">
        <v>48.488999999999997</v>
      </c>
      <c r="Q1127">
        <v>-88.612667000000002</v>
      </c>
      <c r="R1127">
        <v>990.25055569999995</v>
      </c>
      <c r="S1127">
        <v>16.8</v>
      </c>
      <c r="T1127">
        <v>26.2</v>
      </c>
      <c r="U1127">
        <v>0.5</v>
      </c>
      <c r="V1127">
        <v>2</v>
      </c>
      <c r="W1127">
        <v>13.2</v>
      </c>
      <c r="X1127">
        <v>13.0526</v>
      </c>
      <c r="Y1127">
        <v>0.85419999999999996</v>
      </c>
      <c r="Z1127">
        <v>76.3352</v>
      </c>
      <c r="AA1127">
        <v>10</v>
      </c>
      <c r="AB1127">
        <v>0.41</v>
      </c>
      <c r="AC1127">
        <v>0</v>
      </c>
      <c r="AD1127">
        <v>0</v>
      </c>
    </row>
    <row r="1128" spans="1:30" x14ac:dyDescent="0.55000000000000004">
      <c r="A1128">
        <v>105938</v>
      </c>
      <c r="B1128" s="19">
        <v>43264</v>
      </c>
      <c r="C1128">
        <v>946</v>
      </c>
      <c r="D1128">
        <v>2018</v>
      </c>
      <c r="E1128">
        <v>25</v>
      </c>
      <c r="F1128">
        <v>640</v>
      </c>
      <c r="G1128">
        <v>1</v>
      </c>
      <c r="H1128">
        <v>407</v>
      </c>
      <c r="I1128">
        <v>3</v>
      </c>
      <c r="J1128">
        <v>4833.25</v>
      </c>
      <c r="K1128">
        <v>8835.6299999999992</v>
      </c>
      <c r="L1128">
        <v>4833.62</v>
      </c>
      <c r="M1128">
        <v>8835.4699999999993</v>
      </c>
      <c r="N1128">
        <v>48.554167</v>
      </c>
      <c r="O1128">
        <v>-88.593833000000004</v>
      </c>
      <c r="P1128">
        <v>48.560333</v>
      </c>
      <c r="Q1128">
        <v>-88.591166999999999</v>
      </c>
      <c r="R1128">
        <v>3435.6861610000001</v>
      </c>
      <c r="S1128">
        <v>22.4</v>
      </c>
      <c r="T1128">
        <v>18.5</v>
      </c>
      <c r="U1128">
        <v>0.5</v>
      </c>
      <c r="V1128">
        <v>2</v>
      </c>
      <c r="W1128">
        <v>13.8</v>
      </c>
      <c r="X1128">
        <v>14.2661</v>
      </c>
      <c r="Y1128">
        <v>0.2467</v>
      </c>
      <c r="Z1128">
        <v>72.186099999999996</v>
      </c>
      <c r="AA1128">
        <v>10</v>
      </c>
      <c r="AB1128">
        <v>0.41</v>
      </c>
      <c r="AC1128">
        <v>0</v>
      </c>
      <c r="AD1128">
        <v>0</v>
      </c>
    </row>
    <row r="1129" spans="1:30" x14ac:dyDescent="0.55000000000000004">
      <c r="A1129">
        <v>105939</v>
      </c>
      <c r="B1129" s="19">
        <v>43264</v>
      </c>
      <c r="C1129">
        <v>946</v>
      </c>
      <c r="D1129">
        <v>2018</v>
      </c>
      <c r="E1129">
        <v>25</v>
      </c>
      <c r="F1129">
        <v>641</v>
      </c>
      <c r="G1129">
        <v>1</v>
      </c>
      <c r="H1129">
        <v>407</v>
      </c>
      <c r="I1129">
        <v>3</v>
      </c>
      <c r="J1129">
        <v>4833.25</v>
      </c>
      <c r="K1129">
        <v>8835.6299999999992</v>
      </c>
      <c r="L1129">
        <v>4833.62</v>
      </c>
      <c r="M1129">
        <v>8835.4699999999993</v>
      </c>
      <c r="N1129">
        <v>48.554167</v>
      </c>
      <c r="O1129">
        <v>-88.593833000000004</v>
      </c>
      <c r="P1129">
        <v>48.560333</v>
      </c>
      <c r="Q1129">
        <v>-88.591166999999999</v>
      </c>
      <c r="R1129">
        <v>3435.6861610000001</v>
      </c>
      <c r="S1129">
        <v>22.4</v>
      </c>
      <c r="T1129">
        <v>18.5</v>
      </c>
      <c r="U1129">
        <v>0.5</v>
      </c>
      <c r="V1129">
        <v>2</v>
      </c>
      <c r="W1129">
        <v>13.8</v>
      </c>
      <c r="X1129">
        <v>14.2661</v>
      </c>
      <c r="Y1129">
        <v>0.2467</v>
      </c>
      <c r="Z1129">
        <v>72.186099999999996</v>
      </c>
      <c r="AA1129">
        <v>10</v>
      </c>
      <c r="AB1129">
        <v>0.41</v>
      </c>
      <c r="AC1129">
        <v>0</v>
      </c>
      <c r="AD1129">
        <v>0</v>
      </c>
    </row>
    <row r="1130" spans="1:30" x14ac:dyDescent="0.55000000000000004">
      <c r="A1130">
        <v>105941</v>
      </c>
      <c r="B1130" s="19">
        <v>43264</v>
      </c>
      <c r="C1130">
        <v>1105</v>
      </c>
      <c r="D1130">
        <v>2018</v>
      </c>
      <c r="E1130">
        <v>25</v>
      </c>
      <c r="F1130">
        <v>642</v>
      </c>
      <c r="G1130">
        <v>1</v>
      </c>
      <c r="H1130">
        <v>408</v>
      </c>
      <c r="I1130">
        <v>3</v>
      </c>
      <c r="J1130">
        <v>4835.72</v>
      </c>
      <c r="K1130">
        <v>8830.07</v>
      </c>
      <c r="L1130">
        <v>4835.99</v>
      </c>
      <c r="M1130">
        <v>8829.58</v>
      </c>
      <c r="N1130">
        <v>48.595332999999997</v>
      </c>
      <c r="O1130">
        <v>-88.501166999999995</v>
      </c>
      <c r="P1130">
        <v>48.599832999999997</v>
      </c>
      <c r="Q1130">
        <v>-88.492999999999995</v>
      </c>
      <c r="R1130">
        <v>2578.7394789999998</v>
      </c>
      <c r="S1130">
        <v>17.600000000000001</v>
      </c>
      <c r="T1130">
        <v>17.399999999999999</v>
      </c>
      <c r="U1130">
        <v>0.5</v>
      </c>
      <c r="V1130">
        <v>2</v>
      </c>
      <c r="W1130">
        <v>16.3</v>
      </c>
      <c r="X1130">
        <v>15.256550000000001</v>
      </c>
      <c r="Y1130">
        <v>0.40410000000000001</v>
      </c>
      <c r="Z1130">
        <v>72.066500000000005</v>
      </c>
      <c r="AA1130">
        <v>10</v>
      </c>
      <c r="AB1130">
        <v>0.42</v>
      </c>
      <c r="AC1130">
        <v>0</v>
      </c>
      <c r="AD1130">
        <v>0</v>
      </c>
    </row>
    <row r="1131" spans="1:30" x14ac:dyDescent="0.55000000000000004">
      <c r="A1131">
        <v>105942</v>
      </c>
      <c r="B1131" s="19">
        <v>43264</v>
      </c>
      <c r="C1131">
        <v>1105</v>
      </c>
      <c r="D1131">
        <v>2018</v>
      </c>
      <c r="E1131">
        <v>25</v>
      </c>
      <c r="F1131">
        <v>643</v>
      </c>
      <c r="G1131">
        <v>1</v>
      </c>
      <c r="H1131">
        <v>408</v>
      </c>
      <c r="I1131">
        <v>3</v>
      </c>
      <c r="J1131">
        <v>4835.72</v>
      </c>
      <c r="K1131">
        <v>8830.07</v>
      </c>
      <c r="L1131">
        <v>4835.99</v>
      </c>
      <c r="M1131">
        <v>8829.58</v>
      </c>
      <c r="N1131">
        <v>48.595332999999997</v>
      </c>
      <c r="O1131">
        <v>-88.501166999999995</v>
      </c>
      <c r="P1131">
        <v>48.599832999999997</v>
      </c>
      <c r="Q1131">
        <v>-88.492999999999995</v>
      </c>
      <c r="R1131">
        <v>2578.7394789999998</v>
      </c>
      <c r="S1131">
        <v>17.600000000000001</v>
      </c>
      <c r="T1131">
        <v>17.399999999999999</v>
      </c>
      <c r="U1131">
        <v>0.5</v>
      </c>
      <c r="V1131">
        <v>2</v>
      </c>
      <c r="W1131">
        <v>16.3</v>
      </c>
      <c r="X1131">
        <v>15.256550000000001</v>
      </c>
      <c r="Y1131">
        <v>0.40410000000000001</v>
      </c>
      <c r="Z1131">
        <v>72.066500000000005</v>
      </c>
      <c r="AA1131">
        <v>10</v>
      </c>
      <c r="AB1131">
        <v>0.42</v>
      </c>
      <c r="AC1131">
        <v>0</v>
      </c>
      <c r="AD1131">
        <v>0</v>
      </c>
    </row>
    <row r="1132" spans="1:30" x14ac:dyDescent="0.55000000000000004">
      <c r="A1132">
        <v>105943</v>
      </c>
      <c r="B1132" s="19">
        <v>43264</v>
      </c>
      <c r="C1132">
        <v>1311</v>
      </c>
      <c r="D1132">
        <v>2018</v>
      </c>
      <c r="E1132">
        <v>25</v>
      </c>
      <c r="F1132">
        <v>644</v>
      </c>
      <c r="G1132">
        <v>1</v>
      </c>
      <c r="H1132">
        <v>405</v>
      </c>
      <c r="I1132">
        <v>3</v>
      </c>
      <c r="J1132">
        <v>4825</v>
      </c>
      <c r="K1132">
        <v>8841.61</v>
      </c>
      <c r="L1132">
        <v>4824.68</v>
      </c>
      <c r="M1132">
        <v>8841.9</v>
      </c>
      <c r="N1132">
        <v>48.416666999999997</v>
      </c>
      <c r="O1132">
        <v>-88.6935</v>
      </c>
      <c r="P1132">
        <v>48.411332999999999</v>
      </c>
      <c r="Q1132">
        <v>-88.698333000000005</v>
      </c>
      <c r="R1132">
        <v>793.36209940000003</v>
      </c>
      <c r="S1132">
        <v>21.1</v>
      </c>
      <c r="T1132">
        <v>18.2</v>
      </c>
      <c r="U1132">
        <v>0.5</v>
      </c>
      <c r="V1132">
        <v>2</v>
      </c>
      <c r="W1132">
        <v>12.2</v>
      </c>
      <c r="X1132">
        <v>11.541449999999999</v>
      </c>
      <c r="Y1132">
        <v>0.3478</v>
      </c>
      <c r="Z1132">
        <v>77.767650000000003</v>
      </c>
      <c r="AA1132">
        <v>10</v>
      </c>
      <c r="AC1132">
        <v>0</v>
      </c>
      <c r="AD1132">
        <v>0</v>
      </c>
    </row>
    <row r="1133" spans="1:30" x14ac:dyDescent="0.55000000000000004">
      <c r="A1133">
        <v>105944</v>
      </c>
      <c r="B1133" s="19">
        <v>43264</v>
      </c>
      <c r="C1133">
        <v>1311</v>
      </c>
      <c r="D1133">
        <v>2018</v>
      </c>
      <c r="E1133">
        <v>25</v>
      </c>
      <c r="F1133">
        <v>645</v>
      </c>
      <c r="G1133">
        <v>1</v>
      </c>
      <c r="H1133">
        <v>405</v>
      </c>
      <c r="I1133">
        <v>3</v>
      </c>
      <c r="J1133">
        <v>4825</v>
      </c>
      <c r="K1133">
        <v>8841.61</v>
      </c>
      <c r="L1133">
        <v>4824.68</v>
      </c>
      <c r="M1133">
        <v>8841.9</v>
      </c>
      <c r="N1133">
        <v>48.416666999999997</v>
      </c>
      <c r="O1133">
        <v>-88.6935</v>
      </c>
      <c r="P1133">
        <v>48.411332999999999</v>
      </c>
      <c r="Q1133">
        <v>-88.698333000000005</v>
      </c>
      <c r="R1133">
        <v>793.36209940000003</v>
      </c>
      <c r="S1133">
        <v>21.1</v>
      </c>
      <c r="T1133">
        <v>18.2</v>
      </c>
      <c r="U1133">
        <v>0.5</v>
      </c>
      <c r="V1133">
        <v>2</v>
      </c>
      <c r="W1133">
        <v>12.2</v>
      </c>
      <c r="X1133">
        <v>11.541449999999999</v>
      </c>
      <c r="Y1133">
        <v>0.3478</v>
      </c>
      <c r="Z1133">
        <v>77.767650000000003</v>
      </c>
      <c r="AA1133">
        <v>10</v>
      </c>
      <c r="AC1133">
        <v>0</v>
      </c>
      <c r="AD1133">
        <v>0</v>
      </c>
    </row>
    <row r="1134" spans="1:30" x14ac:dyDescent="0.55000000000000004">
      <c r="A1134">
        <v>105945</v>
      </c>
      <c r="B1134" s="19">
        <v>43265</v>
      </c>
      <c r="C1134">
        <v>908</v>
      </c>
      <c r="D1134">
        <v>2018</v>
      </c>
      <c r="E1134">
        <v>25</v>
      </c>
      <c r="F1134">
        <v>646</v>
      </c>
      <c r="G1134">
        <v>1</v>
      </c>
      <c r="H1134">
        <v>401</v>
      </c>
      <c r="I1134">
        <v>3</v>
      </c>
      <c r="J1134">
        <v>4830.2</v>
      </c>
      <c r="K1134">
        <v>8856.64</v>
      </c>
      <c r="L1134">
        <v>4830.5600000000004</v>
      </c>
      <c r="M1134">
        <v>8856.48</v>
      </c>
      <c r="N1134">
        <v>48.503332999999998</v>
      </c>
      <c r="O1134">
        <v>-88.944000000000003</v>
      </c>
      <c r="P1134">
        <v>48.509332999999998</v>
      </c>
      <c r="Q1134">
        <v>-88.941333</v>
      </c>
      <c r="R1134">
        <v>855.87547559999996</v>
      </c>
      <c r="S1134">
        <v>51.8</v>
      </c>
      <c r="T1134">
        <v>36.1</v>
      </c>
      <c r="U1134">
        <v>0.5</v>
      </c>
      <c r="V1134">
        <v>2</v>
      </c>
      <c r="W1134">
        <v>7.8</v>
      </c>
      <c r="X1134">
        <v>7.9507500000000002</v>
      </c>
      <c r="Y1134">
        <v>0.35730000000000001</v>
      </c>
      <c r="Z1134">
        <v>83.567099999999996</v>
      </c>
      <c r="AA1134">
        <v>10</v>
      </c>
      <c r="AB1134">
        <v>0.43</v>
      </c>
      <c r="AC1134">
        <v>217</v>
      </c>
      <c r="AD1134">
        <v>58</v>
      </c>
    </row>
    <row r="1135" spans="1:30" x14ac:dyDescent="0.55000000000000004">
      <c r="A1135">
        <v>105947</v>
      </c>
      <c r="B1135" s="19">
        <v>43265</v>
      </c>
      <c r="C1135">
        <v>908</v>
      </c>
      <c r="D1135">
        <v>2018</v>
      </c>
      <c r="E1135">
        <v>25</v>
      </c>
      <c r="F1135">
        <v>647</v>
      </c>
      <c r="G1135">
        <v>1</v>
      </c>
      <c r="H1135">
        <v>401</v>
      </c>
      <c r="I1135">
        <v>3</v>
      </c>
      <c r="J1135">
        <v>4830.2</v>
      </c>
      <c r="K1135">
        <v>8856.64</v>
      </c>
      <c r="L1135">
        <v>4830.5600000000004</v>
      </c>
      <c r="M1135">
        <v>8856.48</v>
      </c>
      <c r="N1135">
        <v>48.503332999999998</v>
      </c>
      <c r="O1135">
        <v>-88.944000000000003</v>
      </c>
      <c r="P1135">
        <v>48.509332999999998</v>
      </c>
      <c r="Q1135">
        <v>-88.941333</v>
      </c>
      <c r="R1135">
        <v>855.87547559999996</v>
      </c>
      <c r="S1135">
        <v>51.8</v>
      </c>
      <c r="T1135">
        <v>36.1</v>
      </c>
      <c r="U1135">
        <v>0.5</v>
      </c>
      <c r="V1135">
        <v>2</v>
      </c>
      <c r="W1135">
        <v>7.8</v>
      </c>
      <c r="X1135">
        <v>7.9507500000000002</v>
      </c>
      <c r="Y1135">
        <v>0.35730000000000001</v>
      </c>
      <c r="Z1135">
        <v>83.567099999999996</v>
      </c>
      <c r="AA1135">
        <v>10</v>
      </c>
      <c r="AB1135">
        <v>0.43</v>
      </c>
      <c r="AC1135">
        <v>217</v>
      </c>
      <c r="AD1135">
        <v>45</v>
      </c>
    </row>
    <row r="1136" spans="1:30" x14ac:dyDescent="0.55000000000000004">
      <c r="A1136">
        <v>105948</v>
      </c>
      <c r="B1136" s="19">
        <v>43265</v>
      </c>
      <c r="C1136">
        <v>1100</v>
      </c>
      <c r="D1136">
        <v>2018</v>
      </c>
      <c r="E1136">
        <v>25</v>
      </c>
      <c r="F1136">
        <v>648</v>
      </c>
      <c r="G1136">
        <v>1</v>
      </c>
      <c r="H1136">
        <v>402</v>
      </c>
      <c r="I1136">
        <v>3</v>
      </c>
      <c r="J1136">
        <v>4822.08</v>
      </c>
      <c r="K1136">
        <v>8852.5400000000009</v>
      </c>
      <c r="L1136">
        <v>4822.3</v>
      </c>
      <c r="M1136">
        <v>8853.0300000000007</v>
      </c>
      <c r="N1136">
        <v>48.368000000000002</v>
      </c>
      <c r="O1136">
        <v>-88.875667000000007</v>
      </c>
      <c r="P1136">
        <v>48.371667000000002</v>
      </c>
      <c r="Q1136">
        <v>-88.883832999999996</v>
      </c>
      <c r="R1136">
        <v>458.0191294</v>
      </c>
      <c r="S1136">
        <v>15.9</v>
      </c>
      <c r="T1136">
        <v>26.7</v>
      </c>
      <c r="U1136">
        <v>0.5</v>
      </c>
      <c r="V1136">
        <v>2</v>
      </c>
      <c r="W1136">
        <v>11.3</v>
      </c>
      <c r="X1136">
        <v>11.0738</v>
      </c>
      <c r="Y1136">
        <v>0.31204999999999999</v>
      </c>
      <c r="Z1136">
        <v>83.748149999999995</v>
      </c>
      <c r="AA1136">
        <v>10</v>
      </c>
      <c r="AC1136">
        <v>217</v>
      </c>
      <c r="AD1136">
        <v>14</v>
      </c>
    </row>
    <row r="1137" spans="1:30" x14ac:dyDescent="0.55000000000000004">
      <c r="A1137">
        <v>106080</v>
      </c>
      <c r="B1137" s="19">
        <v>43265</v>
      </c>
      <c r="C1137">
        <v>1100</v>
      </c>
      <c r="D1137">
        <v>2018</v>
      </c>
      <c r="E1137">
        <v>25</v>
      </c>
      <c r="F1137">
        <v>649</v>
      </c>
      <c r="G1137">
        <v>1</v>
      </c>
      <c r="H1137">
        <v>402</v>
      </c>
      <c r="I1137">
        <v>3</v>
      </c>
      <c r="J1137">
        <v>4822.08</v>
      </c>
      <c r="K1137">
        <v>8852.5400000000009</v>
      </c>
      <c r="L1137">
        <v>4822.3</v>
      </c>
      <c r="M1137">
        <v>8853.0300000000007</v>
      </c>
      <c r="N1137">
        <v>48.368000000000002</v>
      </c>
      <c r="O1137">
        <v>-88.875667000000007</v>
      </c>
      <c r="P1137">
        <v>48.371667000000002</v>
      </c>
      <c r="Q1137">
        <v>-88.883832999999996</v>
      </c>
      <c r="R1137">
        <v>458.0191294</v>
      </c>
      <c r="S1137">
        <v>15.9</v>
      </c>
      <c r="T1137">
        <v>26.7</v>
      </c>
      <c r="U1137">
        <v>0.5</v>
      </c>
      <c r="V1137">
        <v>2</v>
      </c>
      <c r="W1137">
        <v>11.3</v>
      </c>
      <c r="X1137">
        <v>11.0738</v>
      </c>
      <c r="Y1137">
        <v>0.31204999999999999</v>
      </c>
      <c r="Z1137">
        <v>83.748149999999995</v>
      </c>
      <c r="AA1137">
        <v>10</v>
      </c>
      <c r="AC1137">
        <v>217</v>
      </c>
      <c r="AD1137">
        <v>22</v>
      </c>
    </row>
    <row r="1138" spans="1:30" x14ac:dyDescent="0.55000000000000004">
      <c r="A1138">
        <v>105949</v>
      </c>
      <c r="B1138" s="19">
        <v>43265</v>
      </c>
      <c r="C1138">
        <v>1229</v>
      </c>
      <c r="D1138">
        <v>2018</v>
      </c>
      <c r="E1138">
        <v>25</v>
      </c>
      <c r="F1138">
        <v>650</v>
      </c>
      <c r="G1138">
        <v>1</v>
      </c>
      <c r="H1138">
        <v>404</v>
      </c>
      <c r="I1138">
        <v>3</v>
      </c>
      <c r="J1138">
        <v>4813.3100000000004</v>
      </c>
      <c r="K1138">
        <v>8855.1</v>
      </c>
      <c r="L1138">
        <v>4818.5600000000004</v>
      </c>
      <c r="M1138">
        <v>8854.7099999999991</v>
      </c>
      <c r="N1138">
        <v>48.221832999999997</v>
      </c>
      <c r="O1138">
        <v>-88.918333000000004</v>
      </c>
      <c r="P1138">
        <v>48.309333000000002</v>
      </c>
      <c r="Q1138">
        <v>-88.911833000000001</v>
      </c>
      <c r="R1138">
        <v>463.59602719999998</v>
      </c>
      <c r="S1138">
        <v>61.6</v>
      </c>
      <c r="T1138">
        <v>51.9</v>
      </c>
      <c r="U1138">
        <v>0.5</v>
      </c>
      <c r="V1138">
        <v>2</v>
      </c>
      <c r="W1138">
        <v>8.9</v>
      </c>
      <c r="X1138">
        <v>7.8274999999999997</v>
      </c>
      <c r="Y1138">
        <v>0.14895</v>
      </c>
      <c r="Z1138">
        <v>84.129099999999994</v>
      </c>
      <c r="AA1138">
        <v>10</v>
      </c>
      <c r="AB1138">
        <v>0.41</v>
      </c>
      <c r="AC1138">
        <v>217</v>
      </c>
      <c r="AD1138">
        <v>85</v>
      </c>
    </row>
    <row r="1139" spans="1:30" x14ac:dyDescent="0.55000000000000004">
      <c r="A1139">
        <v>105950</v>
      </c>
      <c r="B1139" s="19">
        <v>43265</v>
      </c>
      <c r="C1139">
        <v>1229</v>
      </c>
      <c r="D1139">
        <v>2018</v>
      </c>
      <c r="E1139">
        <v>25</v>
      </c>
      <c r="F1139">
        <v>651</v>
      </c>
      <c r="G1139">
        <v>1</v>
      </c>
      <c r="H1139">
        <v>404</v>
      </c>
      <c r="I1139">
        <v>3</v>
      </c>
      <c r="J1139">
        <v>4813.3100000000004</v>
      </c>
      <c r="K1139">
        <v>8855.1</v>
      </c>
      <c r="L1139">
        <v>4818.5600000000004</v>
      </c>
      <c r="M1139">
        <v>8854.7099999999991</v>
      </c>
      <c r="N1139">
        <v>48.221832999999997</v>
      </c>
      <c r="O1139">
        <v>-88.918333000000004</v>
      </c>
      <c r="P1139">
        <v>48.309333000000002</v>
      </c>
      <c r="Q1139">
        <v>-88.911833000000001</v>
      </c>
      <c r="R1139">
        <v>463.59602719999998</v>
      </c>
      <c r="S1139">
        <v>61.6</v>
      </c>
      <c r="T1139">
        <v>51.9</v>
      </c>
      <c r="U1139">
        <v>0.5</v>
      </c>
      <c r="V1139">
        <v>2</v>
      </c>
      <c r="W1139">
        <v>8.9</v>
      </c>
      <c r="X1139">
        <v>7.8274999999999997</v>
      </c>
      <c r="Y1139">
        <v>0.14895</v>
      </c>
      <c r="Z1139">
        <v>84.129099999999994</v>
      </c>
      <c r="AA1139">
        <v>10</v>
      </c>
      <c r="AB1139">
        <v>0.41</v>
      </c>
      <c r="AC1139">
        <v>217</v>
      </c>
      <c r="AD1139">
        <v>35</v>
      </c>
    </row>
    <row r="1140" spans="1:30" x14ac:dyDescent="0.55000000000000004">
      <c r="A1140">
        <v>105951</v>
      </c>
      <c r="B1140" s="19">
        <v>43265</v>
      </c>
      <c r="C1140">
        <v>1431</v>
      </c>
      <c r="D1140">
        <v>2018</v>
      </c>
      <c r="E1140">
        <v>25</v>
      </c>
      <c r="F1140">
        <v>652</v>
      </c>
      <c r="G1140">
        <v>1</v>
      </c>
      <c r="H1140">
        <v>403</v>
      </c>
      <c r="I1140">
        <v>3</v>
      </c>
      <c r="J1140">
        <v>4815.49</v>
      </c>
      <c r="K1140">
        <v>8910.26</v>
      </c>
      <c r="N1140">
        <v>48.258167</v>
      </c>
      <c r="O1140">
        <v>-89.171000000000006</v>
      </c>
      <c r="R1140">
        <v>254.71853870000001</v>
      </c>
      <c r="S1140">
        <v>42.8</v>
      </c>
      <c r="U1140">
        <v>0.5</v>
      </c>
      <c r="V1140">
        <v>2</v>
      </c>
      <c r="W1140">
        <v>11.7</v>
      </c>
      <c r="X1140">
        <v>10.05395</v>
      </c>
      <c r="Y1140">
        <v>0.32164999999999999</v>
      </c>
      <c r="Z1140">
        <v>83.727649999999997</v>
      </c>
      <c r="AA1140">
        <v>10</v>
      </c>
      <c r="AB1140">
        <v>0.43</v>
      </c>
      <c r="AC1140">
        <v>217</v>
      </c>
      <c r="AD1140">
        <v>33</v>
      </c>
    </row>
    <row r="1141" spans="1:30" x14ac:dyDescent="0.55000000000000004">
      <c r="A1141">
        <v>105952</v>
      </c>
      <c r="B1141" s="19">
        <v>43265</v>
      </c>
      <c r="C1141">
        <v>1431</v>
      </c>
      <c r="D1141">
        <v>2018</v>
      </c>
      <c r="E1141">
        <v>25</v>
      </c>
      <c r="F1141">
        <v>653</v>
      </c>
      <c r="G1141">
        <v>1</v>
      </c>
      <c r="H1141">
        <v>403</v>
      </c>
      <c r="I1141">
        <v>3</v>
      </c>
      <c r="J1141">
        <v>4815.49</v>
      </c>
      <c r="K1141">
        <v>8910.26</v>
      </c>
      <c r="N1141">
        <v>48.258167</v>
      </c>
      <c r="O1141">
        <v>-89.171000000000006</v>
      </c>
      <c r="R1141">
        <v>254.71853870000001</v>
      </c>
      <c r="S1141">
        <v>42.8</v>
      </c>
      <c r="U1141">
        <v>0.5</v>
      </c>
      <c r="V1141">
        <v>2</v>
      </c>
      <c r="W1141">
        <v>11.7</v>
      </c>
      <c r="X1141">
        <v>10.05395</v>
      </c>
      <c r="Y1141">
        <v>0.32164999999999999</v>
      </c>
      <c r="Z1141">
        <v>83.727649999999997</v>
      </c>
      <c r="AA1141">
        <v>10</v>
      </c>
      <c r="AB1141">
        <v>0.43</v>
      </c>
      <c r="AC1141">
        <v>217</v>
      </c>
      <c r="AD1141">
        <v>30</v>
      </c>
    </row>
    <row r="1142" spans="1:30" x14ac:dyDescent="0.55000000000000004">
      <c r="A1142">
        <v>105953</v>
      </c>
      <c r="B1142" s="19">
        <v>43266</v>
      </c>
      <c r="C1142">
        <v>943</v>
      </c>
      <c r="D1142">
        <v>2018</v>
      </c>
      <c r="E1142">
        <v>25</v>
      </c>
      <c r="F1142">
        <v>654</v>
      </c>
      <c r="G1142">
        <v>1</v>
      </c>
      <c r="H1142">
        <v>400</v>
      </c>
      <c r="I1142">
        <v>3</v>
      </c>
      <c r="J1142">
        <v>4804.88</v>
      </c>
      <c r="K1142">
        <v>8925.4500000000007</v>
      </c>
      <c r="L1142">
        <v>4804.7</v>
      </c>
      <c r="M1142">
        <v>8924.92</v>
      </c>
      <c r="N1142">
        <v>48.081333000000001</v>
      </c>
      <c r="O1142">
        <v>-89.424166999999997</v>
      </c>
      <c r="P1142">
        <v>48.078333000000001</v>
      </c>
      <c r="Q1142">
        <v>-89.415333000000004</v>
      </c>
      <c r="R1142">
        <v>199.16238820000001</v>
      </c>
      <c r="S1142">
        <v>17</v>
      </c>
      <c r="T1142">
        <v>36.299999999999997</v>
      </c>
      <c r="U1142">
        <v>0.5</v>
      </c>
      <c r="V1142">
        <v>2</v>
      </c>
      <c r="W1142">
        <v>10.1</v>
      </c>
      <c r="X1142">
        <v>6.8072999999999997</v>
      </c>
      <c r="Y1142">
        <v>0.92669999999999997</v>
      </c>
      <c r="Z1142">
        <v>86.152199999999993</v>
      </c>
      <c r="AA1142">
        <v>10</v>
      </c>
      <c r="AB1142">
        <v>0.42</v>
      </c>
      <c r="AC1142">
        <v>217</v>
      </c>
      <c r="AD1142">
        <v>21</v>
      </c>
    </row>
    <row r="1143" spans="1:30" x14ac:dyDescent="0.55000000000000004">
      <c r="A1143">
        <v>105954</v>
      </c>
      <c r="B1143" s="19">
        <v>43266</v>
      </c>
      <c r="C1143">
        <v>943</v>
      </c>
      <c r="D1143">
        <v>2018</v>
      </c>
      <c r="E1143">
        <v>25</v>
      </c>
      <c r="F1143">
        <v>655</v>
      </c>
      <c r="G1143">
        <v>1</v>
      </c>
      <c r="H1143">
        <v>400</v>
      </c>
      <c r="I1143">
        <v>3</v>
      </c>
      <c r="J1143">
        <v>4804.88</v>
      </c>
      <c r="K1143">
        <v>8925.4500000000007</v>
      </c>
      <c r="L1143">
        <v>4804.7</v>
      </c>
      <c r="M1143">
        <v>8924.92</v>
      </c>
      <c r="N1143">
        <v>48.081333000000001</v>
      </c>
      <c r="O1143">
        <v>-89.424166999999997</v>
      </c>
      <c r="P1143">
        <v>48.078333000000001</v>
      </c>
      <c r="Q1143">
        <v>-89.415333000000004</v>
      </c>
      <c r="R1143">
        <v>199.16238820000001</v>
      </c>
      <c r="S1143">
        <v>17</v>
      </c>
      <c r="T1143">
        <v>36.299999999999997</v>
      </c>
      <c r="U1143">
        <v>0.5</v>
      </c>
      <c r="V1143">
        <v>2</v>
      </c>
      <c r="W1143">
        <v>10.1</v>
      </c>
      <c r="X1143">
        <v>6.8072999999999997</v>
      </c>
      <c r="Y1143">
        <v>0.92669999999999997</v>
      </c>
      <c r="Z1143">
        <v>86.152199999999993</v>
      </c>
      <c r="AA1143">
        <v>10</v>
      </c>
      <c r="AB1143">
        <v>0.42</v>
      </c>
      <c r="AC1143">
        <v>217</v>
      </c>
      <c r="AD1143">
        <v>28</v>
      </c>
    </row>
    <row r="1144" spans="1:30" x14ac:dyDescent="0.55000000000000004">
      <c r="A1144">
        <v>105955</v>
      </c>
      <c r="B1144" s="19">
        <v>43266</v>
      </c>
      <c r="C1144">
        <v>956</v>
      </c>
      <c r="D1144">
        <v>2018</v>
      </c>
      <c r="E1144">
        <v>25</v>
      </c>
      <c r="F1144">
        <v>656</v>
      </c>
      <c r="G1144">
        <v>1</v>
      </c>
      <c r="H1144">
        <v>400</v>
      </c>
      <c r="I1144">
        <v>3</v>
      </c>
      <c r="J1144">
        <v>4804.67</v>
      </c>
      <c r="K1144">
        <v>8924.81</v>
      </c>
      <c r="L1144">
        <v>4804.4799999999996</v>
      </c>
      <c r="M1144">
        <v>8924.26</v>
      </c>
      <c r="N1144">
        <v>48.077832999999998</v>
      </c>
      <c r="O1144">
        <v>-89.413499999999999</v>
      </c>
      <c r="P1144">
        <v>48.074666999999998</v>
      </c>
      <c r="Q1144">
        <v>-89.404332999999994</v>
      </c>
      <c r="R1144">
        <v>199.16238820000001</v>
      </c>
      <c r="S1144">
        <v>40.299999999999997</v>
      </c>
      <c r="T1144">
        <v>52.8</v>
      </c>
      <c r="U1144">
        <v>0.5</v>
      </c>
      <c r="V1144">
        <v>2</v>
      </c>
      <c r="W1144">
        <v>10.5</v>
      </c>
      <c r="X1144">
        <v>6.8072999999999997</v>
      </c>
      <c r="Y1144">
        <v>0.92669999999999997</v>
      </c>
      <c r="Z1144">
        <v>86.152199999999993</v>
      </c>
      <c r="AA1144">
        <v>10</v>
      </c>
      <c r="AB1144">
        <v>0.46</v>
      </c>
      <c r="AC1144">
        <v>217</v>
      </c>
      <c r="AD1144">
        <v>167</v>
      </c>
    </row>
    <row r="1145" spans="1:30" x14ac:dyDescent="0.55000000000000004">
      <c r="A1145">
        <v>105956</v>
      </c>
      <c r="B1145" s="19">
        <v>43266</v>
      </c>
      <c r="C1145">
        <v>956</v>
      </c>
      <c r="D1145">
        <v>2018</v>
      </c>
      <c r="E1145">
        <v>25</v>
      </c>
      <c r="F1145">
        <v>657</v>
      </c>
      <c r="G1145">
        <v>1</v>
      </c>
      <c r="H1145">
        <v>400</v>
      </c>
      <c r="I1145">
        <v>3</v>
      </c>
      <c r="J1145">
        <v>4804.67</v>
      </c>
      <c r="K1145">
        <v>8924.81</v>
      </c>
      <c r="L1145">
        <v>4804.4799999999996</v>
      </c>
      <c r="M1145">
        <v>8924.26</v>
      </c>
      <c r="N1145">
        <v>48.077832999999998</v>
      </c>
      <c r="O1145">
        <v>-89.413499999999999</v>
      </c>
      <c r="P1145">
        <v>48.074666999999998</v>
      </c>
      <c r="Q1145">
        <v>-89.404332999999994</v>
      </c>
      <c r="R1145">
        <v>199.16238820000001</v>
      </c>
      <c r="S1145">
        <v>40.299999999999997</v>
      </c>
      <c r="T1145">
        <v>52.8</v>
      </c>
      <c r="U1145">
        <v>0.5</v>
      </c>
      <c r="V1145">
        <v>2</v>
      </c>
      <c r="W1145">
        <v>10.5</v>
      </c>
      <c r="X1145">
        <v>6.8072999999999997</v>
      </c>
      <c r="Y1145">
        <v>0.92669999999999997</v>
      </c>
      <c r="Z1145">
        <v>86.152199999999993</v>
      </c>
      <c r="AA1145">
        <v>10</v>
      </c>
      <c r="AB1145">
        <v>0.46</v>
      </c>
      <c r="AC1145">
        <v>217</v>
      </c>
      <c r="AD1145">
        <v>127</v>
      </c>
    </row>
    <row r="1146" spans="1:30" x14ac:dyDescent="0.55000000000000004">
      <c r="A1146">
        <v>105957</v>
      </c>
      <c r="B1146" s="19">
        <v>43266</v>
      </c>
      <c r="C1146">
        <v>1208</v>
      </c>
      <c r="D1146">
        <v>2018</v>
      </c>
      <c r="E1146">
        <v>25</v>
      </c>
      <c r="F1146">
        <v>658</v>
      </c>
      <c r="G1146">
        <v>1</v>
      </c>
      <c r="H1146">
        <v>191</v>
      </c>
      <c r="I1146">
        <v>3</v>
      </c>
      <c r="J1146">
        <v>4758.82</v>
      </c>
      <c r="K1146">
        <v>8937.76</v>
      </c>
      <c r="L1146">
        <v>4758.46</v>
      </c>
      <c r="M1146">
        <v>8937.56</v>
      </c>
      <c r="N1146">
        <v>47.980333000000002</v>
      </c>
      <c r="O1146">
        <v>-89.629333000000003</v>
      </c>
      <c r="P1146">
        <v>47.974333000000001</v>
      </c>
      <c r="Q1146">
        <v>-89.626000000000005</v>
      </c>
      <c r="R1146">
        <v>1064.728022</v>
      </c>
      <c r="S1146">
        <v>18.100000000000001</v>
      </c>
      <c r="T1146">
        <v>24.6</v>
      </c>
      <c r="U1146">
        <v>0.5</v>
      </c>
      <c r="V1146">
        <v>2</v>
      </c>
      <c r="W1146">
        <v>7.1</v>
      </c>
      <c r="X1146">
        <v>4.3658333330000003</v>
      </c>
      <c r="Y1146">
        <v>0.22893333299999999</v>
      </c>
      <c r="Z1146">
        <v>87.788399999999996</v>
      </c>
      <c r="AA1146">
        <v>10</v>
      </c>
      <c r="AB1146">
        <v>0.42</v>
      </c>
      <c r="AC1146">
        <v>217</v>
      </c>
      <c r="AD1146">
        <v>51</v>
      </c>
    </row>
    <row r="1147" spans="1:30" x14ac:dyDescent="0.55000000000000004">
      <c r="A1147">
        <v>105958</v>
      </c>
      <c r="B1147" s="19">
        <v>43266</v>
      </c>
      <c r="C1147">
        <v>1208</v>
      </c>
      <c r="D1147">
        <v>2018</v>
      </c>
      <c r="E1147">
        <v>25</v>
      </c>
      <c r="F1147">
        <v>659</v>
      </c>
      <c r="G1147">
        <v>1</v>
      </c>
      <c r="H1147">
        <v>191</v>
      </c>
      <c r="I1147">
        <v>3</v>
      </c>
      <c r="J1147">
        <v>4758.82</v>
      </c>
      <c r="K1147">
        <v>8937.76</v>
      </c>
      <c r="L1147">
        <v>4758.46</v>
      </c>
      <c r="M1147">
        <v>8937.56</v>
      </c>
      <c r="N1147">
        <v>47.980333000000002</v>
      </c>
      <c r="O1147">
        <v>-89.629333000000003</v>
      </c>
      <c r="P1147">
        <v>47.974333000000001</v>
      </c>
      <c r="Q1147">
        <v>-89.626000000000005</v>
      </c>
      <c r="R1147">
        <v>1064.728022</v>
      </c>
      <c r="S1147">
        <v>18.100000000000001</v>
      </c>
      <c r="T1147">
        <v>24.6</v>
      </c>
      <c r="U1147">
        <v>0.5</v>
      </c>
      <c r="V1147">
        <v>2</v>
      </c>
      <c r="W1147">
        <v>7.1</v>
      </c>
      <c r="X1147">
        <v>4.3658333330000003</v>
      </c>
      <c r="Y1147">
        <v>0.22893333299999999</v>
      </c>
      <c r="Z1147">
        <v>87.788399999999996</v>
      </c>
      <c r="AA1147">
        <v>10</v>
      </c>
      <c r="AB1147">
        <v>0.42</v>
      </c>
      <c r="AC1147">
        <v>217</v>
      </c>
      <c r="AD1147">
        <v>75</v>
      </c>
    </row>
    <row r="1148" spans="1:30" x14ac:dyDescent="0.55000000000000004">
      <c r="A1148">
        <v>105959</v>
      </c>
      <c r="B1148" s="19">
        <v>43266</v>
      </c>
      <c r="C1148">
        <v>1311</v>
      </c>
      <c r="D1148">
        <v>2018</v>
      </c>
      <c r="E1148">
        <v>25</v>
      </c>
      <c r="F1148">
        <v>660</v>
      </c>
      <c r="G1148">
        <v>1</v>
      </c>
      <c r="H1148">
        <v>191</v>
      </c>
      <c r="I1148">
        <v>3</v>
      </c>
      <c r="J1148">
        <v>4756.55</v>
      </c>
      <c r="K1148">
        <v>8939.0400000000009</v>
      </c>
      <c r="L1148">
        <v>4756.2299999999996</v>
      </c>
      <c r="M1148">
        <v>8939.2999999999993</v>
      </c>
      <c r="N1148">
        <v>47.942500000000003</v>
      </c>
      <c r="O1148">
        <v>-89.650666999999999</v>
      </c>
      <c r="P1148">
        <v>47.937167000000002</v>
      </c>
      <c r="Q1148">
        <v>-89.655000000000001</v>
      </c>
      <c r="R1148">
        <v>1064.728022</v>
      </c>
      <c r="S1148">
        <v>70.2</v>
      </c>
      <c r="T1148">
        <v>42.3</v>
      </c>
      <c r="U1148">
        <v>0.5</v>
      </c>
      <c r="V1148">
        <v>2</v>
      </c>
      <c r="W1148">
        <v>3.3</v>
      </c>
      <c r="X1148">
        <v>4.3658333330000003</v>
      </c>
      <c r="Y1148">
        <v>0.22893333299999999</v>
      </c>
      <c r="Z1148">
        <v>87.788399999999996</v>
      </c>
      <c r="AA1148">
        <v>10</v>
      </c>
      <c r="AB1148">
        <v>0.39</v>
      </c>
      <c r="AC1148">
        <v>217</v>
      </c>
      <c r="AD1148">
        <v>2</v>
      </c>
    </row>
    <row r="1149" spans="1:30" x14ac:dyDescent="0.55000000000000004">
      <c r="A1149">
        <v>105960</v>
      </c>
      <c r="B1149" s="19">
        <v>43266</v>
      </c>
      <c r="C1149">
        <v>1311</v>
      </c>
      <c r="D1149">
        <v>2018</v>
      </c>
      <c r="E1149">
        <v>25</v>
      </c>
      <c r="F1149">
        <v>661</v>
      </c>
      <c r="G1149">
        <v>1</v>
      </c>
      <c r="H1149">
        <v>191</v>
      </c>
      <c r="I1149">
        <v>3</v>
      </c>
      <c r="J1149">
        <v>4756.55</v>
      </c>
      <c r="K1149">
        <v>8939.0400000000009</v>
      </c>
      <c r="L1149">
        <v>4756.2299999999996</v>
      </c>
      <c r="M1149">
        <v>8939.2999999999993</v>
      </c>
      <c r="N1149">
        <v>47.942500000000003</v>
      </c>
      <c r="O1149">
        <v>-89.650666999999999</v>
      </c>
      <c r="P1149">
        <v>47.937167000000002</v>
      </c>
      <c r="Q1149">
        <v>-89.655000000000001</v>
      </c>
      <c r="R1149">
        <v>1064.728022</v>
      </c>
      <c r="S1149">
        <v>70.2</v>
      </c>
      <c r="T1149">
        <v>42.3</v>
      </c>
      <c r="U1149">
        <v>0.5</v>
      </c>
      <c r="V1149">
        <v>2</v>
      </c>
      <c r="W1149">
        <v>3.3</v>
      </c>
      <c r="X1149">
        <v>4.3658333330000003</v>
      </c>
      <c r="Y1149">
        <v>0.22893333299999999</v>
      </c>
      <c r="Z1149">
        <v>87.788399999999996</v>
      </c>
      <c r="AA1149">
        <v>10</v>
      </c>
      <c r="AB1149">
        <v>0.39</v>
      </c>
      <c r="AC1149">
        <v>217</v>
      </c>
      <c r="AD1149">
        <v>1</v>
      </c>
    </row>
    <row r="1150" spans="1:30" x14ac:dyDescent="0.55000000000000004">
      <c r="A1150">
        <v>105961</v>
      </c>
      <c r="B1150" s="19">
        <v>43266</v>
      </c>
      <c r="C1150">
        <v>1330</v>
      </c>
      <c r="D1150">
        <v>2018</v>
      </c>
      <c r="E1150">
        <v>25</v>
      </c>
      <c r="F1150">
        <v>662</v>
      </c>
      <c r="G1150">
        <v>1</v>
      </c>
      <c r="H1150">
        <v>191</v>
      </c>
      <c r="I1150">
        <v>3</v>
      </c>
      <c r="J1150">
        <v>4756.5600000000004</v>
      </c>
      <c r="K1150">
        <v>8939.9599999999991</v>
      </c>
      <c r="L1150">
        <v>4756.43</v>
      </c>
      <c r="M1150">
        <v>8940.5</v>
      </c>
      <c r="N1150">
        <v>47.942667</v>
      </c>
      <c r="O1150">
        <v>-89.665999999999997</v>
      </c>
      <c r="P1150">
        <v>47.9405</v>
      </c>
      <c r="Q1150">
        <v>-89.674999999999997</v>
      </c>
      <c r="R1150">
        <v>1064.728022</v>
      </c>
      <c r="S1150">
        <v>39.5</v>
      </c>
      <c r="T1150">
        <v>25.2</v>
      </c>
      <c r="U1150">
        <v>0.5</v>
      </c>
      <c r="V1150">
        <v>2</v>
      </c>
      <c r="W1150">
        <v>3.3</v>
      </c>
      <c r="X1150">
        <v>4.3658333330000003</v>
      </c>
      <c r="Y1150">
        <v>0.22893333299999999</v>
      </c>
      <c r="Z1150">
        <v>87.788399999999996</v>
      </c>
      <c r="AA1150">
        <v>10</v>
      </c>
      <c r="AC1150">
        <v>217</v>
      </c>
      <c r="AD1150">
        <v>1</v>
      </c>
    </row>
    <row r="1151" spans="1:30" x14ac:dyDescent="0.55000000000000004">
      <c r="A1151">
        <v>105962</v>
      </c>
      <c r="B1151" s="19">
        <v>43266</v>
      </c>
      <c r="C1151">
        <v>1330</v>
      </c>
      <c r="D1151">
        <v>2018</v>
      </c>
      <c r="E1151">
        <v>25</v>
      </c>
      <c r="F1151">
        <v>663</v>
      </c>
      <c r="G1151">
        <v>1</v>
      </c>
      <c r="H1151">
        <v>191</v>
      </c>
      <c r="I1151">
        <v>3</v>
      </c>
      <c r="J1151">
        <v>4756.5600000000004</v>
      </c>
      <c r="K1151">
        <v>8939.9599999999991</v>
      </c>
      <c r="L1151">
        <v>4756.43</v>
      </c>
      <c r="M1151">
        <v>8940.5</v>
      </c>
      <c r="N1151">
        <v>47.942667</v>
      </c>
      <c r="O1151">
        <v>-89.665999999999997</v>
      </c>
      <c r="P1151">
        <v>47.9405</v>
      </c>
      <c r="Q1151">
        <v>-89.674999999999997</v>
      </c>
      <c r="R1151">
        <v>1064.728022</v>
      </c>
      <c r="S1151">
        <v>39.5</v>
      </c>
      <c r="T1151">
        <v>25.2</v>
      </c>
      <c r="U1151">
        <v>0.5</v>
      </c>
      <c r="V1151">
        <v>2</v>
      </c>
      <c r="W1151">
        <v>3.3</v>
      </c>
      <c r="X1151">
        <v>4.3658333330000003</v>
      </c>
      <c r="Y1151">
        <v>0.22893333299999999</v>
      </c>
      <c r="Z1151">
        <v>87.788399999999996</v>
      </c>
      <c r="AA1151">
        <v>10</v>
      </c>
      <c r="AC1151">
        <v>0</v>
      </c>
      <c r="AD1151">
        <v>0</v>
      </c>
    </row>
    <row r="1152" spans="1:30" x14ac:dyDescent="0.55000000000000004">
      <c r="A1152">
        <v>105963</v>
      </c>
      <c r="B1152" s="19">
        <v>43266</v>
      </c>
      <c r="C1152">
        <v>1505</v>
      </c>
      <c r="D1152">
        <v>2018</v>
      </c>
      <c r="E1152">
        <v>25</v>
      </c>
      <c r="F1152">
        <v>664</v>
      </c>
      <c r="G1152">
        <v>1</v>
      </c>
      <c r="H1152">
        <v>207</v>
      </c>
      <c r="I1152">
        <v>3</v>
      </c>
      <c r="J1152">
        <v>4749.8500000000004</v>
      </c>
      <c r="K1152">
        <v>8957.31</v>
      </c>
      <c r="L1152">
        <v>4750.1899999999996</v>
      </c>
      <c r="M1152">
        <v>8957.6</v>
      </c>
      <c r="N1152">
        <v>47.830832999999998</v>
      </c>
      <c r="O1152">
        <v>-89.955167000000003</v>
      </c>
      <c r="P1152">
        <v>47.836500000000001</v>
      </c>
      <c r="Q1152">
        <v>-89.96</v>
      </c>
      <c r="R1152">
        <v>448.52821749999998</v>
      </c>
      <c r="S1152">
        <v>78.5</v>
      </c>
      <c r="T1152">
        <v>24.6</v>
      </c>
      <c r="U1152">
        <v>0.5</v>
      </c>
      <c r="V1152">
        <v>2</v>
      </c>
      <c r="W1152">
        <v>3.8</v>
      </c>
      <c r="X1152">
        <v>3.3284500000000001</v>
      </c>
      <c r="Y1152">
        <v>0.45029999999999998</v>
      </c>
      <c r="Z1152">
        <v>89.320149999999998</v>
      </c>
      <c r="AA1152">
        <v>10</v>
      </c>
      <c r="AB1152">
        <v>0.4</v>
      </c>
      <c r="AC1152">
        <v>217</v>
      </c>
      <c r="AD1152">
        <v>30</v>
      </c>
    </row>
    <row r="1153" spans="1:30" x14ac:dyDescent="0.55000000000000004">
      <c r="A1153">
        <v>105964</v>
      </c>
      <c r="B1153" s="19">
        <v>43266</v>
      </c>
      <c r="C1153">
        <v>1505</v>
      </c>
      <c r="D1153">
        <v>2018</v>
      </c>
      <c r="E1153">
        <v>25</v>
      </c>
      <c r="F1153">
        <v>665</v>
      </c>
      <c r="G1153">
        <v>1</v>
      </c>
      <c r="H1153">
        <v>207</v>
      </c>
      <c r="I1153">
        <v>3</v>
      </c>
      <c r="J1153">
        <v>4749.8500000000004</v>
      </c>
      <c r="K1153">
        <v>8957.31</v>
      </c>
      <c r="L1153">
        <v>4750.1899999999996</v>
      </c>
      <c r="M1153">
        <v>8957.6</v>
      </c>
      <c r="N1153">
        <v>47.830832999999998</v>
      </c>
      <c r="O1153">
        <v>-89.955167000000003</v>
      </c>
      <c r="P1153">
        <v>47.836500000000001</v>
      </c>
      <c r="Q1153">
        <v>-89.96</v>
      </c>
      <c r="R1153">
        <v>448.52821749999998</v>
      </c>
      <c r="S1153">
        <v>78.5</v>
      </c>
      <c r="T1153">
        <v>24.6</v>
      </c>
      <c r="U1153">
        <v>0.5</v>
      </c>
      <c r="V1153">
        <v>2</v>
      </c>
      <c r="W1153">
        <v>3.8</v>
      </c>
      <c r="X1153">
        <v>3.3284500000000001</v>
      </c>
      <c r="Y1153">
        <v>0.45029999999999998</v>
      </c>
      <c r="Z1153">
        <v>89.320149999999998</v>
      </c>
      <c r="AA1153">
        <v>10</v>
      </c>
      <c r="AB1153">
        <v>0.4</v>
      </c>
      <c r="AC1153">
        <v>217</v>
      </c>
      <c r="AD1153">
        <v>15</v>
      </c>
    </row>
    <row r="1154" spans="1:30" x14ac:dyDescent="0.55000000000000004">
      <c r="A1154">
        <v>105965</v>
      </c>
      <c r="B1154" s="19">
        <v>43266</v>
      </c>
      <c r="C1154">
        <v>1634</v>
      </c>
      <c r="D1154">
        <v>2018</v>
      </c>
      <c r="E1154">
        <v>25</v>
      </c>
      <c r="F1154">
        <v>666</v>
      </c>
      <c r="G1154">
        <v>1</v>
      </c>
      <c r="H1154">
        <v>65</v>
      </c>
      <c r="I1154">
        <v>3</v>
      </c>
      <c r="J1154">
        <v>4744.53</v>
      </c>
      <c r="K1154">
        <v>9018.74</v>
      </c>
      <c r="L1154">
        <v>4744.49</v>
      </c>
      <c r="M1154">
        <v>9019.33</v>
      </c>
      <c r="N1154">
        <v>47.742167000000002</v>
      </c>
      <c r="O1154">
        <v>-90.312332999999995</v>
      </c>
      <c r="P1154">
        <v>47.741500000000002</v>
      </c>
      <c r="Q1154">
        <v>-90.322166999999993</v>
      </c>
      <c r="R1154">
        <v>688.20263509999995</v>
      </c>
      <c r="S1154">
        <v>101</v>
      </c>
      <c r="T1154">
        <v>70.5</v>
      </c>
      <c r="U1154">
        <v>0.5</v>
      </c>
      <c r="V1154">
        <v>2</v>
      </c>
      <c r="W1154">
        <v>3.4</v>
      </c>
      <c r="X1154">
        <v>3.2919999999999998</v>
      </c>
      <c r="Y1154">
        <v>0.46350000000000002</v>
      </c>
      <c r="Z1154">
        <v>89.055300000000003</v>
      </c>
      <c r="AA1154">
        <v>10</v>
      </c>
      <c r="AC1154">
        <v>217</v>
      </c>
      <c r="AD1154">
        <v>24</v>
      </c>
    </row>
    <row r="1155" spans="1:30" x14ac:dyDescent="0.55000000000000004">
      <c r="A1155">
        <v>105966</v>
      </c>
      <c r="B1155" s="19">
        <v>43266</v>
      </c>
      <c r="C1155">
        <v>1634</v>
      </c>
      <c r="D1155">
        <v>2018</v>
      </c>
      <c r="E1155">
        <v>25</v>
      </c>
      <c r="F1155">
        <v>667</v>
      </c>
      <c r="G1155">
        <v>1</v>
      </c>
      <c r="H1155">
        <v>65</v>
      </c>
      <c r="I1155">
        <v>3</v>
      </c>
      <c r="J1155">
        <v>4744.53</v>
      </c>
      <c r="K1155">
        <v>9018.74</v>
      </c>
      <c r="L1155">
        <v>4744.49</v>
      </c>
      <c r="M1155">
        <v>9019.33</v>
      </c>
      <c r="N1155">
        <v>47.742167000000002</v>
      </c>
      <c r="O1155">
        <v>-90.312332999999995</v>
      </c>
      <c r="P1155">
        <v>47.741500000000002</v>
      </c>
      <c r="Q1155">
        <v>-90.322166999999993</v>
      </c>
      <c r="R1155">
        <v>688.20263509999995</v>
      </c>
      <c r="S1155">
        <v>101</v>
      </c>
      <c r="T1155">
        <v>70.5</v>
      </c>
      <c r="U1155">
        <v>0.5</v>
      </c>
      <c r="V1155">
        <v>2</v>
      </c>
      <c r="W1155">
        <v>3.4</v>
      </c>
      <c r="X1155">
        <v>3.2919999999999998</v>
      </c>
      <c r="Y1155">
        <v>0.46350000000000002</v>
      </c>
      <c r="Z1155">
        <v>89.055300000000003</v>
      </c>
      <c r="AA1155">
        <v>10</v>
      </c>
      <c r="AC1155">
        <v>217</v>
      </c>
      <c r="AD1155">
        <v>26</v>
      </c>
    </row>
    <row r="1156" spans="1:30" x14ac:dyDescent="0.55000000000000004">
      <c r="A1156">
        <v>105967</v>
      </c>
      <c r="B1156" s="19">
        <v>43267</v>
      </c>
      <c r="C1156">
        <v>706</v>
      </c>
      <c r="D1156">
        <v>2018</v>
      </c>
      <c r="E1156">
        <v>25</v>
      </c>
      <c r="F1156">
        <v>668</v>
      </c>
      <c r="G1156">
        <v>1</v>
      </c>
      <c r="H1156">
        <v>65</v>
      </c>
      <c r="I1156">
        <v>3</v>
      </c>
      <c r="J1156">
        <v>4744.4399999999996</v>
      </c>
      <c r="K1156">
        <v>9020.57</v>
      </c>
      <c r="L1156">
        <v>4744.17</v>
      </c>
      <c r="M1156">
        <v>9020.98</v>
      </c>
      <c r="N1156">
        <v>47.740667000000002</v>
      </c>
      <c r="O1156">
        <v>-90.342832999999999</v>
      </c>
      <c r="P1156">
        <v>47.736167000000002</v>
      </c>
      <c r="Q1156">
        <v>-90.349666999999997</v>
      </c>
      <c r="R1156">
        <v>688.20263509999995</v>
      </c>
      <c r="S1156">
        <v>54.9</v>
      </c>
      <c r="T1156">
        <v>93.5</v>
      </c>
      <c r="U1156">
        <v>0.5</v>
      </c>
      <c r="V1156">
        <v>2</v>
      </c>
      <c r="W1156">
        <v>3.3</v>
      </c>
      <c r="X1156">
        <v>3.6312000000000002</v>
      </c>
      <c r="Y1156">
        <v>0.54279999999999995</v>
      </c>
      <c r="Z1156">
        <v>88.812399999999997</v>
      </c>
      <c r="AA1156">
        <v>10</v>
      </c>
      <c r="AC1156">
        <v>217</v>
      </c>
      <c r="AD1156">
        <v>122</v>
      </c>
    </row>
    <row r="1157" spans="1:30" x14ac:dyDescent="0.55000000000000004">
      <c r="A1157">
        <v>105968</v>
      </c>
      <c r="B1157" s="19">
        <v>43267</v>
      </c>
      <c r="C1157">
        <v>706</v>
      </c>
      <c r="D1157">
        <v>2018</v>
      </c>
      <c r="E1157">
        <v>25</v>
      </c>
      <c r="F1157">
        <v>669</v>
      </c>
      <c r="G1157">
        <v>1</v>
      </c>
      <c r="H1157">
        <v>65</v>
      </c>
      <c r="I1157">
        <v>3</v>
      </c>
      <c r="J1157">
        <v>4744.4399999999996</v>
      </c>
      <c r="K1157">
        <v>9020.57</v>
      </c>
      <c r="L1157">
        <v>4744.17</v>
      </c>
      <c r="M1157">
        <v>9020.98</v>
      </c>
      <c r="N1157">
        <v>47.740667000000002</v>
      </c>
      <c r="O1157">
        <v>-90.342832999999999</v>
      </c>
      <c r="P1157">
        <v>47.736167000000002</v>
      </c>
      <c r="Q1157">
        <v>-90.349666999999997</v>
      </c>
      <c r="R1157">
        <v>688.20263509999995</v>
      </c>
      <c r="S1157">
        <v>54.9</v>
      </c>
      <c r="T1157">
        <v>93.5</v>
      </c>
      <c r="U1157">
        <v>0.5</v>
      </c>
      <c r="V1157">
        <v>2</v>
      </c>
      <c r="W1157">
        <v>3.3</v>
      </c>
      <c r="X1157">
        <v>3.6312000000000002</v>
      </c>
      <c r="Y1157">
        <v>0.54279999999999995</v>
      </c>
      <c r="Z1157">
        <v>88.812399999999997</v>
      </c>
      <c r="AA1157">
        <v>10</v>
      </c>
      <c r="AC1157">
        <v>217</v>
      </c>
      <c r="AD1157">
        <v>84</v>
      </c>
    </row>
    <row r="1158" spans="1:30" x14ac:dyDescent="0.55000000000000004">
      <c r="A1158">
        <v>105976</v>
      </c>
      <c r="B1158" s="19">
        <v>43292</v>
      </c>
      <c r="C1158">
        <v>1154</v>
      </c>
      <c r="D1158">
        <v>2018</v>
      </c>
      <c r="E1158">
        <v>25</v>
      </c>
      <c r="F1158">
        <v>670</v>
      </c>
      <c r="G1158">
        <v>3</v>
      </c>
      <c r="H1158">
        <v>2161</v>
      </c>
      <c r="I1158">
        <v>3</v>
      </c>
      <c r="J1158">
        <v>4659.03</v>
      </c>
      <c r="K1158">
        <v>9114.09</v>
      </c>
      <c r="L1158">
        <v>4658.8</v>
      </c>
      <c r="M1158">
        <v>9114.59</v>
      </c>
      <c r="N1158">
        <v>46.983832999999997</v>
      </c>
      <c r="O1158">
        <v>-91.234832999999995</v>
      </c>
      <c r="P1158">
        <v>46.98</v>
      </c>
      <c r="Q1158">
        <v>-91.243167</v>
      </c>
      <c r="R1158">
        <v>11430.927079999999</v>
      </c>
      <c r="S1158">
        <v>136</v>
      </c>
      <c r="T1158">
        <v>137</v>
      </c>
      <c r="U1158">
        <v>0.5</v>
      </c>
      <c r="V1158">
        <v>2</v>
      </c>
      <c r="W1158">
        <v>11.6</v>
      </c>
      <c r="X1158">
        <v>11.547599999999999</v>
      </c>
      <c r="Y1158">
        <v>0.28399999999999997</v>
      </c>
      <c r="Z1158">
        <v>82.070999999999998</v>
      </c>
      <c r="AA1158">
        <v>10</v>
      </c>
      <c r="AB1158">
        <v>0.46</v>
      </c>
      <c r="AC1158">
        <v>217</v>
      </c>
      <c r="AD1158">
        <v>16</v>
      </c>
    </row>
    <row r="1159" spans="1:30" x14ac:dyDescent="0.55000000000000004">
      <c r="A1159">
        <v>105977</v>
      </c>
      <c r="B1159" s="19">
        <v>43292</v>
      </c>
      <c r="C1159">
        <v>1154</v>
      </c>
      <c r="D1159">
        <v>2018</v>
      </c>
      <c r="E1159">
        <v>25</v>
      </c>
      <c r="F1159">
        <v>671</v>
      </c>
      <c r="G1159">
        <v>3</v>
      </c>
      <c r="H1159">
        <v>2161</v>
      </c>
      <c r="I1159">
        <v>3</v>
      </c>
      <c r="J1159">
        <v>4659.03</v>
      </c>
      <c r="K1159">
        <v>9114.09</v>
      </c>
      <c r="L1159">
        <v>4658.8</v>
      </c>
      <c r="M1159">
        <v>9114.59</v>
      </c>
      <c r="N1159">
        <v>46.983832999999997</v>
      </c>
      <c r="O1159">
        <v>-91.234832999999995</v>
      </c>
      <c r="P1159">
        <v>46.98</v>
      </c>
      <c r="Q1159">
        <v>-91.243167</v>
      </c>
      <c r="R1159">
        <v>11430.927079999999</v>
      </c>
      <c r="S1159">
        <v>136</v>
      </c>
      <c r="T1159">
        <v>137</v>
      </c>
      <c r="U1159">
        <v>0.5</v>
      </c>
      <c r="V1159">
        <v>2</v>
      </c>
      <c r="W1159">
        <v>11.6</v>
      </c>
      <c r="X1159">
        <v>11.547599999999999</v>
      </c>
      <c r="Y1159">
        <v>0.28399999999999997</v>
      </c>
      <c r="Z1159">
        <v>82.070999999999998</v>
      </c>
      <c r="AA1159">
        <v>10</v>
      </c>
      <c r="AB1159">
        <v>0.46</v>
      </c>
      <c r="AC1159">
        <v>217</v>
      </c>
      <c r="AD1159">
        <v>14</v>
      </c>
    </row>
    <row r="1160" spans="1:30" x14ac:dyDescent="0.55000000000000004">
      <c r="A1160">
        <v>105979</v>
      </c>
      <c r="B1160" s="19">
        <v>43292</v>
      </c>
      <c r="C1160">
        <v>1713</v>
      </c>
      <c r="D1160">
        <v>2018</v>
      </c>
      <c r="E1160">
        <v>25</v>
      </c>
      <c r="F1160">
        <v>672</v>
      </c>
      <c r="G1160">
        <v>3</v>
      </c>
      <c r="H1160">
        <v>2133</v>
      </c>
      <c r="I1160">
        <v>3</v>
      </c>
      <c r="J1160">
        <v>4731.91</v>
      </c>
      <c r="K1160">
        <v>9032.9</v>
      </c>
      <c r="L1160">
        <v>4732.1000000000004</v>
      </c>
      <c r="M1160">
        <v>9032.4500000000007</v>
      </c>
      <c r="N1160">
        <v>47.531832999999999</v>
      </c>
      <c r="O1160">
        <v>-90.548333</v>
      </c>
      <c r="P1160">
        <v>47.534999999999997</v>
      </c>
      <c r="Q1160">
        <v>-90.540833000000006</v>
      </c>
      <c r="R1160">
        <v>15638.0867</v>
      </c>
      <c r="S1160">
        <v>184</v>
      </c>
      <c r="T1160">
        <v>185</v>
      </c>
      <c r="U1160">
        <v>0.5</v>
      </c>
      <c r="V1160">
        <v>2</v>
      </c>
      <c r="W1160">
        <v>6.7</v>
      </c>
      <c r="X1160">
        <v>6.5551000000000004</v>
      </c>
      <c r="Y1160">
        <v>0.1268</v>
      </c>
      <c r="Z1160">
        <v>88.265799999999999</v>
      </c>
      <c r="AA1160">
        <v>10</v>
      </c>
      <c r="AB1160">
        <v>0.4</v>
      </c>
      <c r="AC1160">
        <v>217</v>
      </c>
      <c r="AD1160">
        <v>14</v>
      </c>
    </row>
    <row r="1161" spans="1:30" x14ac:dyDescent="0.55000000000000004">
      <c r="A1161">
        <v>105980</v>
      </c>
      <c r="B1161" s="19">
        <v>43292</v>
      </c>
      <c r="C1161">
        <v>1713</v>
      </c>
      <c r="D1161">
        <v>2018</v>
      </c>
      <c r="E1161">
        <v>25</v>
      </c>
      <c r="F1161">
        <v>673</v>
      </c>
      <c r="G1161">
        <v>3</v>
      </c>
      <c r="H1161">
        <v>2133</v>
      </c>
      <c r="I1161">
        <v>3</v>
      </c>
      <c r="J1161">
        <v>4731.91</v>
      </c>
      <c r="K1161">
        <v>9032.9</v>
      </c>
      <c r="L1161">
        <v>4732.1000000000004</v>
      </c>
      <c r="M1161">
        <v>9032.4500000000007</v>
      </c>
      <c r="N1161">
        <v>47.531832999999999</v>
      </c>
      <c r="O1161">
        <v>-90.548333</v>
      </c>
      <c r="P1161">
        <v>47.534999999999997</v>
      </c>
      <c r="Q1161">
        <v>-90.540833000000006</v>
      </c>
      <c r="R1161">
        <v>15638.0867</v>
      </c>
      <c r="S1161">
        <v>184</v>
      </c>
      <c r="T1161">
        <v>185</v>
      </c>
      <c r="U1161">
        <v>0.5</v>
      </c>
      <c r="V1161">
        <v>2</v>
      </c>
      <c r="W1161">
        <v>6.7</v>
      </c>
      <c r="X1161">
        <v>6.5551000000000004</v>
      </c>
      <c r="Y1161">
        <v>0.1268</v>
      </c>
      <c r="Z1161">
        <v>88.265799999999999</v>
      </c>
      <c r="AA1161">
        <v>10</v>
      </c>
      <c r="AB1161">
        <v>0.4</v>
      </c>
      <c r="AC1161">
        <v>217</v>
      </c>
      <c r="AD1161">
        <v>13</v>
      </c>
    </row>
    <row r="1162" spans="1:30" x14ac:dyDescent="0.55000000000000004">
      <c r="A1162">
        <v>105982</v>
      </c>
      <c r="B1162" s="19">
        <v>43293</v>
      </c>
      <c r="C1162">
        <v>918</v>
      </c>
      <c r="D1162">
        <v>2018</v>
      </c>
      <c r="E1162">
        <v>25</v>
      </c>
      <c r="F1162">
        <v>674</v>
      </c>
      <c r="G1162">
        <v>3</v>
      </c>
      <c r="H1162">
        <v>2124</v>
      </c>
      <c r="I1162">
        <v>3</v>
      </c>
      <c r="J1162">
        <v>4730.21</v>
      </c>
      <c r="K1162">
        <v>8959.61</v>
      </c>
      <c r="L1162">
        <v>4729.8900000000003</v>
      </c>
      <c r="M1162">
        <v>8959.86</v>
      </c>
      <c r="N1162">
        <v>47.503500000000003</v>
      </c>
      <c r="O1162">
        <v>-89.993499999999997</v>
      </c>
      <c r="P1162">
        <v>47.498167000000002</v>
      </c>
      <c r="Q1162">
        <v>-89.997667000000007</v>
      </c>
      <c r="R1162">
        <v>34414.230860000003</v>
      </c>
      <c r="S1162">
        <v>155</v>
      </c>
      <c r="T1162">
        <v>153</v>
      </c>
      <c r="U1162">
        <v>0.5</v>
      </c>
      <c r="V1162">
        <v>2</v>
      </c>
      <c r="W1162">
        <v>6.8</v>
      </c>
      <c r="X1162">
        <v>6.4420000000000002</v>
      </c>
      <c r="Y1162">
        <v>0.13159999999999999</v>
      </c>
      <c r="Z1162">
        <v>89.326599999999999</v>
      </c>
      <c r="AA1162">
        <v>10</v>
      </c>
      <c r="AB1162">
        <v>0.41</v>
      </c>
      <c r="AC1162">
        <v>217</v>
      </c>
      <c r="AD1162">
        <v>18</v>
      </c>
    </row>
    <row r="1163" spans="1:30" x14ac:dyDescent="0.55000000000000004">
      <c r="A1163">
        <v>105983</v>
      </c>
      <c r="B1163" s="19">
        <v>43293</v>
      </c>
      <c r="C1163">
        <v>918</v>
      </c>
      <c r="D1163">
        <v>2018</v>
      </c>
      <c r="E1163">
        <v>25</v>
      </c>
      <c r="F1163">
        <v>675</v>
      </c>
      <c r="G1163">
        <v>3</v>
      </c>
      <c r="H1163">
        <v>2124</v>
      </c>
      <c r="I1163">
        <v>3</v>
      </c>
      <c r="J1163">
        <v>4730.21</v>
      </c>
      <c r="K1163">
        <v>8959.61</v>
      </c>
      <c r="L1163">
        <v>4729.8900000000003</v>
      </c>
      <c r="M1163">
        <v>8959.86</v>
      </c>
      <c r="N1163">
        <v>47.503500000000003</v>
      </c>
      <c r="O1163">
        <v>-89.993499999999997</v>
      </c>
      <c r="P1163">
        <v>47.498167000000002</v>
      </c>
      <c r="Q1163">
        <v>-89.997667000000007</v>
      </c>
      <c r="R1163">
        <v>34414.230860000003</v>
      </c>
      <c r="S1163">
        <v>155</v>
      </c>
      <c r="T1163">
        <v>153</v>
      </c>
      <c r="U1163">
        <v>0.5</v>
      </c>
      <c r="V1163">
        <v>2</v>
      </c>
      <c r="W1163">
        <v>6.8</v>
      </c>
      <c r="X1163">
        <v>6.4420000000000002</v>
      </c>
      <c r="Y1163">
        <v>0.13159999999999999</v>
      </c>
      <c r="Z1163">
        <v>89.326599999999999</v>
      </c>
      <c r="AA1163">
        <v>10</v>
      </c>
      <c r="AB1163">
        <v>0.41</v>
      </c>
      <c r="AC1163">
        <v>217</v>
      </c>
      <c r="AD1163">
        <v>41</v>
      </c>
    </row>
    <row r="1164" spans="1:30" x14ac:dyDescent="0.55000000000000004">
      <c r="A1164">
        <v>105985</v>
      </c>
      <c r="B1164" s="19">
        <v>43293</v>
      </c>
      <c r="C1164">
        <v>1209</v>
      </c>
      <c r="D1164">
        <v>2018</v>
      </c>
      <c r="E1164">
        <v>25</v>
      </c>
      <c r="F1164">
        <v>676</v>
      </c>
      <c r="G1164">
        <v>3</v>
      </c>
      <c r="H1164">
        <v>2147</v>
      </c>
      <c r="I1164">
        <v>3</v>
      </c>
      <c r="J1164">
        <v>4709.68</v>
      </c>
      <c r="K1164">
        <v>8957.74</v>
      </c>
      <c r="L1164">
        <v>4709.41</v>
      </c>
      <c r="M1164">
        <v>8958.15</v>
      </c>
      <c r="N1164">
        <v>47.161332999999999</v>
      </c>
      <c r="O1164">
        <v>-89.962333000000001</v>
      </c>
      <c r="P1164">
        <v>47.156832999999999</v>
      </c>
      <c r="Q1164">
        <v>-89.969166999999999</v>
      </c>
      <c r="R1164">
        <v>33818.304250000001</v>
      </c>
      <c r="S1164">
        <v>175</v>
      </c>
      <c r="T1164">
        <v>171</v>
      </c>
      <c r="U1164">
        <v>0.5</v>
      </c>
      <c r="V1164">
        <v>2</v>
      </c>
      <c r="W1164">
        <v>5.7</v>
      </c>
      <c r="X1164">
        <v>5.2035999999999998</v>
      </c>
      <c r="Y1164">
        <v>0.13420000000000001</v>
      </c>
      <c r="Z1164">
        <v>88.370199999999997</v>
      </c>
      <c r="AA1164">
        <v>10</v>
      </c>
      <c r="AB1164">
        <v>0.41</v>
      </c>
      <c r="AC1164">
        <v>217</v>
      </c>
      <c r="AD1164">
        <v>10</v>
      </c>
    </row>
    <row r="1165" spans="1:30" x14ac:dyDescent="0.55000000000000004">
      <c r="A1165">
        <v>105986</v>
      </c>
      <c r="B1165" s="19">
        <v>43293</v>
      </c>
      <c r="C1165">
        <v>1209</v>
      </c>
      <c r="D1165">
        <v>2018</v>
      </c>
      <c r="E1165">
        <v>25</v>
      </c>
      <c r="F1165">
        <v>677</v>
      </c>
      <c r="G1165">
        <v>3</v>
      </c>
      <c r="H1165">
        <v>2147</v>
      </c>
      <c r="I1165">
        <v>3</v>
      </c>
      <c r="J1165">
        <v>4709.68</v>
      </c>
      <c r="K1165">
        <v>8957.74</v>
      </c>
      <c r="L1165">
        <v>4709.41</v>
      </c>
      <c r="M1165">
        <v>8958.15</v>
      </c>
      <c r="N1165">
        <v>47.161332999999999</v>
      </c>
      <c r="O1165">
        <v>-89.962333000000001</v>
      </c>
      <c r="P1165">
        <v>47.156832999999999</v>
      </c>
      <c r="Q1165">
        <v>-89.969166999999999</v>
      </c>
      <c r="R1165">
        <v>33818.304250000001</v>
      </c>
      <c r="S1165">
        <v>175</v>
      </c>
      <c r="T1165">
        <v>171</v>
      </c>
      <c r="U1165">
        <v>0.5</v>
      </c>
      <c r="V1165">
        <v>2</v>
      </c>
      <c r="W1165">
        <v>5.7</v>
      </c>
      <c r="X1165">
        <v>5.2035999999999998</v>
      </c>
      <c r="Y1165">
        <v>0.13420000000000001</v>
      </c>
      <c r="Z1165">
        <v>88.370199999999997</v>
      </c>
      <c r="AA1165">
        <v>10</v>
      </c>
      <c r="AB1165">
        <v>0.41</v>
      </c>
      <c r="AC1165">
        <v>217</v>
      </c>
      <c r="AD1165">
        <v>23</v>
      </c>
    </row>
    <row r="1166" spans="1:30" x14ac:dyDescent="0.55000000000000004">
      <c r="A1166">
        <v>105988</v>
      </c>
      <c r="B1166" s="19">
        <v>43293</v>
      </c>
      <c r="C1166">
        <v>1440</v>
      </c>
      <c r="D1166">
        <v>2018</v>
      </c>
      <c r="E1166">
        <v>25</v>
      </c>
      <c r="F1166">
        <v>678</v>
      </c>
      <c r="G1166">
        <v>3</v>
      </c>
      <c r="H1166">
        <v>2120</v>
      </c>
      <c r="I1166">
        <v>3</v>
      </c>
      <c r="J1166">
        <v>4704.37</v>
      </c>
      <c r="K1166">
        <v>8939.7099999999991</v>
      </c>
      <c r="L1166">
        <v>4704.09</v>
      </c>
      <c r="M1166">
        <v>8940.08</v>
      </c>
      <c r="N1166">
        <v>47.072833000000003</v>
      </c>
      <c r="O1166">
        <v>-89.661833000000001</v>
      </c>
      <c r="P1166">
        <v>47.068167000000003</v>
      </c>
      <c r="Q1166">
        <v>-89.668000000000006</v>
      </c>
      <c r="R1166">
        <v>27139.368109999999</v>
      </c>
      <c r="S1166">
        <v>210</v>
      </c>
      <c r="T1166">
        <v>210</v>
      </c>
      <c r="U1166">
        <v>0.5</v>
      </c>
      <c r="V1166">
        <v>2</v>
      </c>
      <c r="W1166">
        <v>7</v>
      </c>
      <c r="X1166">
        <v>6.7187000000000001</v>
      </c>
      <c r="Y1166">
        <v>0.11459999999999999</v>
      </c>
      <c r="Z1166">
        <v>88.725899999999996</v>
      </c>
      <c r="AA1166">
        <v>10</v>
      </c>
      <c r="AB1166">
        <v>0.41</v>
      </c>
      <c r="AC1166">
        <v>217</v>
      </c>
      <c r="AD1166">
        <v>4</v>
      </c>
    </row>
    <row r="1167" spans="1:30" x14ac:dyDescent="0.55000000000000004">
      <c r="A1167">
        <v>105989</v>
      </c>
      <c r="B1167" s="19">
        <v>43293</v>
      </c>
      <c r="C1167">
        <v>1440</v>
      </c>
      <c r="D1167">
        <v>2018</v>
      </c>
      <c r="E1167">
        <v>25</v>
      </c>
      <c r="F1167">
        <v>679</v>
      </c>
      <c r="G1167">
        <v>3</v>
      </c>
      <c r="H1167">
        <v>2120</v>
      </c>
      <c r="I1167">
        <v>3</v>
      </c>
      <c r="J1167">
        <v>4704.37</v>
      </c>
      <c r="K1167">
        <v>8939.7099999999991</v>
      </c>
      <c r="L1167">
        <v>4704.09</v>
      </c>
      <c r="M1167">
        <v>8940.08</v>
      </c>
      <c r="N1167">
        <v>47.072833000000003</v>
      </c>
      <c r="O1167">
        <v>-89.661833000000001</v>
      </c>
      <c r="P1167">
        <v>47.068167000000003</v>
      </c>
      <c r="Q1167">
        <v>-89.668000000000006</v>
      </c>
      <c r="R1167">
        <v>27139.368109999999</v>
      </c>
      <c r="S1167">
        <v>210</v>
      </c>
      <c r="T1167">
        <v>210</v>
      </c>
      <c r="U1167">
        <v>0.5</v>
      </c>
      <c r="V1167">
        <v>2</v>
      </c>
      <c r="W1167">
        <v>7</v>
      </c>
      <c r="X1167">
        <v>6.7187000000000001</v>
      </c>
      <c r="Y1167">
        <v>0.11459999999999999</v>
      </c>
      <c r="Z1167">
        <v>88.725899999999996</v>
      </c>
      <c r="AA1167">
        <v>10</v>
      </c>
      <c r="AB1167">
        <v>0.41</v>
      </c>
      <c r="AC1167">
        <v>217</v>
      </c>
      <c r="AD1167">
        <v>6</v>
      </c>
    </row>
    <row r="1168" spans="1:30" x14ac:dyDescent="0.55000000000000004">
      <c r="A1168">
        <v>105991</v>
      </c>
      <c r="B1168" s="19">
        <v>43294</v>
      </c>
      <c r="C1168">
        <v>941</v>
      </c>
      <c r="D1168">
        <v>2018</v>
      </c>
      <c r="E1168">
        <v>25</v>
      </c>
      <c r="F1168">
        <v>680</v>
      </c>
      <c r="G1168">
        <v>3</v>
      </c>
      <c r="H1168">
        <v>2136</v>
      </c>
      <c r="I1168">
        <v>3</v>
      </c>
      <c r="J1168">
        <v>4713.38</v>
      </c>
      <c r="K1168">
        <v>8932.9</v>
      </c>
      <c r="L1168">
        <v>4713.58</v>
      </c>
      <c r="M1168">
        <v>8932.43</v>
      </c>
      <c r="N1168">
        <v>47.222999999999999</v>
      </c>
      <c r="O1168">
        <v>-89.548333</v>
      </c>
      <c r="P1168">
        <v>47.226332999999997</v>
      </c>
      <c r="Q1168">
        <v>-89.540499999999994</v>
      </c>
      <c r="R1168">
        <v>40355.932849999997</v>
      </c>
      <c r="S1168">
        <v>205</v>
      </c>
      <c r="T1168">
        <v>205</v>
      </c>
      <c r="U1168">
        <v>0.5</v>
      </c>
      <c r="V1168">
        <v>2</v>
      </c>
      <c r="W1168">
        <v>5.9</v>
      </c>
      <c r="X1168">
        <v>5.5744999999999996</v>
      </c>
      <c r="Y1168">
        <v>0.20699999999999999</v>
      </c>
      <c r="Z1168">
        <v>92.711799999999997</v>
      </c>
      <c r="AA1168">
        <v>10</v>
      </c>
      <c r="AB1168">
        <v>0.41</v>
      </c>
      <c r="AC1168">
        <v>217</v>
      </c>
      <c r="AD1168">
        <v>77</v>
      </c>
    </row>
    <row r="1169" spans="1:30" x14ac:dyDescent="0.55000000000000004">
      <c r="A1169">
        <v>105992</v>
      </c>
      <c r="B1169" s="19">
        <v>43294</v>
      </c>
      <c r="C1169">
        <v>941</v>
      </c>
      <c r="D1169">
        <v>2018</v>
      </c>
      <c r="E1169">
        <v>25</v>
      </c>
      <c r="F1169">
        <v>681</v>
      </c>
      <c r="G1169">
        <v>3</v>
      </c>
      <c r="H1169">
        <v>2136</v>
      </c>
      <c r="I1169">
        <v>3</v>
      </c>
      <c r="J1169">
        <v>4713.38</v>
      </c>
      <c r="K1169">
        <v>8932.9</v>
      </c>
      <c r="L1169">
        <v>4713.58</v>
      </c>
      <c r="M1169">
        <v>8932.43</v>
      </c>
      <c r="N1169">
        <v>47.222999999999999</v>
      </c>
      <c r="O1169">
        <v>-89.548333</v>
      </c>
      <c r="P1169">
        <v>47.226332999999997</v>
      </c>
      <c r="Q1169">
        <v>-89.540499999999994</v>
      </c>
      <c r="R1169">
        <v>40355.932849999997</v>
      </c>
      <c r="S1169">
        <v>205</v>
      </c>
      <c r="T1169">
        <v>205</v>
      </c>
      <c r="U1169">
        <v>0.5</v>
      </c>
      <c r="V1169">
        <v>2</v>
      </c>
      <c r="W1169">
        <v>5.9</v>
      </c>
      <c r="X1169">
        <v>5.5744999999999996</v>
      </c>
      <c r="Y1169">
        <v>0.20699999999999999</v>
      </c>
      <c r="Z1169">
        <v>92.711799999999997</v>
      </c>
      <c r="AA1169">
        <v>10</v>
      </c>
      <c r="AB1169">
        <v>0.41</v>
      </c>
      <c r="AC1169">
        <v>217</v>
      </c>
      <c r="AD1169">
        <v>32</v>
      </c>
    </row>
    <row r="1170" spans="1:30" x14ac:dyDescent="0.55000000000000004">
      <c r="A1170">
        <v>105994</v>
      </c>
      <c r="B1170" s="19">
        <v>43294</v>
      </c>
      <c r="C1170">
        <v>1142</v>
      </c>
      <c r="D1170">
        <v>2018</v>
      </c>
      <c r="E1170">
        <v>25</v>
      </c>
      <c r="F1170">
        <v>682</v>
      </c>
      <c r="G1170">
        <v>3</v>
      </c>
      <c r="H1170">
        <v>2151</v>
      </c>
      <c r="I1170">
        <v>3</v>
      </c>
      <c r="J1170">
        <v>4709.24</v>
      </c>
      <c r="K1170">
        <v>8918.1200000000008</v>
      </c>
      <c r="L1170">
        <v>4709.21</v>
      </c>
      <c r="M1170">
        <v>8917.58</v>
      </c>
      <c r="N1170">
        <v>47.154000000000003</v>
      </c>
      <c r="O1170">
        <v>-89.302000000000007</v>
      </c>
      <c r="P1170">
        <v>47.153500000000001</v>
      </c>
      <c r="Q1170">
        <v>-89.293000000000006</v>
      </c>
      <c r="R1170">
        <v>22253.35642</v>
      </c>
      <c r="S1170">
        <v>143</v>
      </c>
      <c r="T1170">
        <v>143</v>
      </c>
      <c r="U1170">
        <v>0.5</v>
      </c>
      <c r="V1170">
        <v>2</v>
      </c>
      <c r="W1170">
        <v>11.1</v>
      </c>
      <c r="X1170">
        <v>11.4245</v>
      </c>
      <c r="Y1170">
        <v>0.10829999999999999</v>
      </c>
      <c r="Z1170">
        <v>43.937199999999997</v>
      </c>
      <c r="AA1170">
        <v>10</v>
      </c>
      <c r="AB1170">
        <v>0.42</v>
      </c>
      <c r="AC1170">
        <v>217</v>
      </c>
      <c r="AD1170">
        <v>17</v>
      </c>
    </row>
    <row r="1171" spans="1:30" x14ac:dyDescent="0.55000000000000004">
      <c r="A1171">
        <v>105995</v>
      </c>
      <c r="B1171" s="19">
        <v>43294</v>
      </c>
      <c r="C1171">
        <v>1142</v>
      </c>
      <c r="D1171">
        <v>2018</v>
      </c>
      <c r="E1171">
        <v>25</v>
      </c>
      <c r="F1171">
        <v>683</v>
      </c>
      <c r="G1171">
        <v>3</v>
      </c>
      <c r="H1171">
        <v>2151</v>
      </c>
      <c r="I1171">
        <v>3</v>
      </c>
      <c r="J1171">
        <v>4709.24</v>
      </c>
      <c r="K1171">
        <v>8918.1200000000008</v>
      </c>
      <c r="L1171">
        <v>4709.21</v>
      </c>
      <c r="M1171">
        <v>8917.58</v>
      </c>
      <c r="N1171">
        <v>47.154000000000003</v>
      </c>
      <c r="O1171">
        <v>-89.302000000000007</v>
      </c>
      <c r="P1171">
        <v>47.153500000000001</v>
      </c>
      <c r="Q1171">
        <v>-89.293000000000006</v>
      </c>
      <c r="R1171">
        <v>22253.35642</v>
      </c>
      <c r="S1171">
        <v>143</v>
      </c>
      <c r="T1171">
        <v>143</v>
      </c>
      <c r="U1171">
        <v>0.5</v>
      </c>
      <c r="V1171">
        <v>2</v>
      </c>
      <c r="W1171">
        <v>11.1</v>
      </c>
      <c r="X1171">
        <v>11.4245</v>
      </c>
      <c r="Y1171">
        <v>0.10829999999999999</v>
      </c>
      <c r="Z1171">
        <v>43.937199999999997</v>
      </c>
      <c r="AA1171">
        <v>10</v>
      </c>
      <c r="AB1171">
        <v>0.42</v>
      </c>
      <c r="AC1171">
        <v>217</v>
      </c>
      <c r="AD1171">
        <v>29</v>
      </c>
    </row>
    <row r="1172" spans="1:30" x14ac:dyDescent="0.55000000000000004">
      <c r="A1172">
        <v>105997</v>
      </c>
      <c r="B1172" s="19">
        <v>43295</v>
      </c>
      <c r="C1172">
        <v>941</v>
      </c>
      <c r="D1172">
        <v>2018</v>
      </c>
      <c r="E1172">
        <v>25</v>
      </c>
      <c r="F1172">
        <v>684</v>
      </c>
      <c r="G1172">
        <v>3</v>
      </c>
      <c r="H1172">
        <v>2115</v>
      </c>
      <c r="I1172">
        <v>3</v>
      </c>
      <c r="J1172">
        <v>4724.82</v>
      </c>
      <c r="K1172">
        <v>8828.2000000000007</v>
      </c>
      <c r="L1172">
        <v>4725.04</v>
      </c>
      <c r="M1172">
        <v>8827.73</v>
      </c>
      <c r="N1172">
        <v>47.413666999999997</v>
      </c>
      <c r="O1172">
        <v>-88.47</v>
      </c>
      <c r="P1172">
        <v>47.417332999999999</v>
      </c>
      <c r="Q1172">
        <v>-88.462166999999994</v>
      </c>
      <c r="R1172">
        <v>6021.3592170000002</v>
      </c>
      <c r="S1172">
        <v>200</v>
      </c>
      <c r="T1172">
        <v>205</v>
      </c>
      <c r="U1172">
        <v>0.5</v>
      </c>
      <c r="V1172">
        <v>2</v>
      </c>
      <c r="W1172">
        <v>9.1999999999999993</v>
      </c>
      <c r="X1172">
        <v>9.7521000000000004</v>
      </c>
      <c r="Y1172">
        <v>0.11890000000000001</v>
      </c>
      <c r="Z1172">
        <v>90.495800000000003</v>
      </c>
      <c r="AA1172">
        <v>10</v>
      </c>
      <c r="AB1172">
        <v>0.43</v>
      </c>
      <c r="AC1172">
        <v>217</v>
      </c>
      <c r="AD1172">
        <v>25</v>
      </c>
    </row>
    <row r="1173" spans="1:30" x14ac:dyDescent="0.55000000000000004">
      <c r="A1173">
        <v>105998</v>
      </c>
      <c r="B1173" s="19">
        <v>43295</v>
      </c>
      <c r="C1173">
        <v>941</v>
      </c>
      <c r="D1173">
        <v>2018</v>
      </c>
      <c r="E1173">
        <v>25</v>
      </c>
      <c r="F1173">
        <v>685</v>
      </c>
      <c r="G1173">
        <v>3</v>
      </c>
      <c r="H1173">
        <v>2115</v>
      </c>
      <c r="I1173">
        <v>3</v>
      </c>
      <c r="J1173">
        <v>4724.82</v>
      </c>
      <c r="K1173">
        <v>8828.2000000000007</v>
      </c>
      <c r="L1173">
        <v>4725.04</v>
      </c>
      <c r="M1173">
        <v>8827.73</v>
      </c>
      <c r="N1173">
        <v>47.413666999999997</v>
      </c>
      <c r="O1173">
        <v>-88.47</v>
      </c>
      <c r="P1173">
        <v>47.417332999999999</v>
      </c>
      <c r="Q1173">
        <v>-88.462166999999994</v>
      </c>
      <c r="R1173">
        <v>6021.3592170000002</v>
      </c>
      <c r="S1173">
        <v>200</v>
      </c>
      <c r="T1173">
        <v>205</v>
      </c>
      <c r="U1173">
        <v>0.5</v>
      </c>
      <c r="V1173">
        <v>2</v>
      </c>
      <c r="W1173">
        <v>9.1999999999999993</v>
      </c>
      <c r="X1173">
        <v>9.7521000000000004</v>
      </c>
      <c r="Y1173">
        <v>0.11890000000000001</v>
      </c>
      <c r="Z1173">
        <v>90.495800000000003</v>
      </c>
      <c r="AA1173">
        <v>10</v>
      </c>
      <c r="AB1173">
        <v>0.43</v>
      </c>
      <c r="AC1173">
        <v>217</v>
      </c>
      <c r="AD1173">
        <v>23</v>
      </c>
    </row>
    <row r="1174" spans="1:30" x14ac:dyDescent="0.55000000000000004">
      <c r="A1174">
        <v>106000</v>
      </c>
      <c r="B1174" s="19">
        <v>43295</v>
      </c>
      <c r="C1174">
        <v>1333</v>
      </c>
      <c r="D1174">
        <v>2018</v>
      </c>
      <c r="E1174">
        <v>25</v>
      </c>
      <c r="F1174">
        <v>686</v>
      </c>
      <c r="G1174">
        <v>3</v>
      </c>
      <c r="H1174">
        <v>2128</v>
      </c>
      <c r="I1174">
        <v>3</v>
      </c>
      <c r="J1174">
        <v>4750</v>
      </c>
      <c r="K1174">
        <v>8845.33</v>
      </c>
      <c r="L1174">
        <v>4750.22</v>
      </c>
      <c r="M1174">
        <v>8844.8799999999992</v>
      </c>
      <c r="N1174">
        <v>47.833333000000003</v>
      </c>
      <c r="O1174">
        <v>-88.755499999999998</v>
      </c>
      <c r="P1174">
        <v>47.837000000000003</v>
      </c>
      <c r="Q1174">
        <v>-88.748000000000005</v>
      </c>
      <c r="R1174">
        <v>11023.97098</v>
      </c>
      <c r="S1174">
        <v>244</v>
      </c>
      <c r="T1174">
        <v>243</v>
      </c>
      <c r="U1174">
        <v>0.5</v>
      </c>
      <c r="V1174">
        <v>2</v>
      </c>
      <c r="W1174">
        <v>4.5</v>
      </c>
      <c r="X1174">
        <v>4.2293000000000003</v>
      </c>
      <c r="Y1174">
        <v>0.12970000000000001</v>
      </c>
      <c r="Z1174">
        <v>93.857299999999995</v>
      </c>
      <c r="AA1174">
        <v>10</v>
      </c>
      <c r="AB1174">
        <v>0.42</v>
      </c>
      <c r="AC1174">
        <v>217</v>
      </c>
      <c r="AD1174">
        <v>2</v>
      </c>
    </row>
    <row r="1175" spans="1:30" x14ac:dyDescent="0.55000000000000004">
      <c r="A1175">
        <v>106001</v>
      </c>
      <c r="B1175" s="19">
        <v>43295</v>
      </c>
      <c r="C1175">
        <v>1333</v>
      </c>
      <c r="D1175">
        <v>2018</v>
      </c>
      <c r="E1175">
        <v>25</v>
      </c>
      <c r="F1175">
        <v>687</v>
      </c>
      <c r="G1175">
        <v>3</v>
      </c>
      <c r="H1175">
        <v>2128</v>
      </c>
      <c r="I1175">
        <v>3</v>
      </c>
      <c r="J1175">
        <v>4750</v>
      </c>
      <c r="K1175">
        <v>8845.33</v>
      </c>
      <c r="L1175">
        <v>4750.22</v>
      </c>
      <c r="M1175">
        <v>8844.8799999999992</v>
      </c>
      <c r="N1175">
        <v>47.833333000000003</v>
      </c>
      <c r="O1175">
        <v>-88.755499999999998</v>
      </c>
      <c r="P1175">
        <v>47.837000000000003</v>
      </c>
      <c r="Q1175">
        <v>-88.748000000000005</v>
      </c>
      <c r="R1175">
        <v>11023.97098</v>
      </c>
      <c r="S1175">
        <v>244</v>
      </c>
      <c r="T1175">
        <v>243</v>
      </c>
      <c r="U1175">
        <v>0.5</v>
      </c>
      <c r="V1175">
        <v>2</v>
      </c>
      <c r="W1175">
        <v>4.5</v>
      </c>
      <c r="X1175">
        <v>4.2293000000000003</v>
      </c>
      <c r="Y1175">
        <v>0.12970000000000001</v>
      </c>
      <c r="Z1175">
        <v>93.857299999999995</v>
      </c>
      <c r="AA1175">
        <v>10</v>
      </c>
      <c r="AB1175">
        <v>0.42</v>
      </c>
      <c r="AC1175">
        <v>217</v>
      </c>
      <c r="AD1175">
        <v>2</v>
      </c>
    </row>
    <row r="1176" spans="1:30" x14ac:dyDescent="0.55000000000000004">
      <c r="A1176">
        <v>106003</v>
      </c>
      <c r="B1176" s="19">
        <v>43295</v>
      </c>
      <c r="C1176">
        <v>1704</v>
      </c>
      <c r="D1176">
        <v>2018</v>
      </c>
      <c r="E1176">
        <v>25</v>
      </c>
      <c r="F1176">
        <v>688</v>
      </c>
      <c r="G1176">
        <v>3</v>
      </c>
      <c r="H1176">
        <v>2134</v>
      </c>
      <c r="I1176">
        <v>3</v>
      </c>
      <c r="J1176">
        <v>4802.91</v>
      </c>
      <c r="K1176">
        <v>8815.24</v>
      </c>
      <c r="L1176">
        <v>4802.97</v>
      </c>
      <c r="M1176">
        <v>8815.77</v>
      </c>
      <c r="N1176">
        <v>48.048499999999997</v>
      </c>
      <c r="O1176">
        <v>-88.254000000000005</v>
      </c>
      <c r="P1176">
        <v>48.049500000000002</v>
      </c>
      <c r="Q1176">
        <v>-88.262833000000001</v>
      </c>
      <c r="R1176">
        <v>18309.673719999999</v>
      </c>
      <c r="S1176">
        <v>255</v>
      </c>
      <c r="T1176">
        <v>255</v>
      </c>
      <c r="U1176">
        <v>0.5</v>
      </c>
      <c r="V1176">
        <v>2</v>
      </c>
      <c r="W1176">
        <v>4.2</v>
      </c>
      <c r="X1176">
        <v>3.8323999999999998</v>
      </c>
      <c r="Y1176">
        <v>0.17549999999999999</v>
      </c>
      <c r="Z1176">
        <v>94.43</v>
      </c>
      <c r="AA1176">
        <v>10</v>
      </c>
      <c r="AB1176">
        <v>0.41</v>
      </c>
      <c r="AC1176">
        <v>0</v>
      </c>
      <c r="AD1176">
        <v>0</v>
      </c>
    </row>
    <row r="1177" spans="1:30" x14ac:dyDescent="0.55000000000000004">
      <c r="A1177">
        <v>106004</v>
      </c>
      <c r="B1177" s="19">
        <v>43295</v>
      </c>
      <c r="C1177">
        <v>1704</v>
      </c>
      <c r="D1177">
        <v>2018</v>
      </c>
      <c r="E1177">
        <v>25</v>
      </c>
      <c r="F1177">
        <v>689</v>
      </c>
      <c r="G1177">
        <v>3</v>
      </c>
      <c r="H1177">
        <v>2134</v>
      </c>
      <c r="I1177">
        <v>3</v>
      </c>
      <c r="J1177">
        <v>4802.91</v>
      </c>
      <c r="K1177">
        <v>8815.24</v>
      </c>
      <c r="L1177">
        <v>4802.97</v>
      </c>
      <c r="M1177">
        <v>8815.77</v>
      </c>
      <c r="N1177">
        <v>48.048499999999997</v>
      </c>
      <c r="O1177">
        <v>-88.254000000000005</v>
      </c>
      <c r="P1177">
        <v>48.049500000000002</v>
      </c>
      <c r="Q1177">
        <v>-88.262833000000001</v>
      </c>
      <c r="R1177">
        <v>18309.673719999999</v>
      </c>
      <c r="S1177">
        <v>255</v>
      </c>
      <c r="T1177">
        <v>255</v>
      </c>
      <c r="U1177">
        <v>0.5</v>
      </c>
      <c r="V1177">
        <v>2</v>
      </c>
      <c r="W1177">
        <v>4.2</v>
      </c>
      <c r="X1177">
        <v>3.8323999999999998</v>
      </c>
      <c r="Y1177">
        <v>0.17549999999999999</v>
      </c>
      <c r="Z1177">
        <v>94.43</v>
      </c>
      <c r="AA1177">
        <v>10</v>
      </c>
      <c r="AB1177">
        <v>0.41</v>
      </c>
      <c r="AC1177">
        <v>217</v>
      </c>
      <c r="AD1177">
        <v>1</v>
      </c>
    </row>
    <row r="1178" spans="1:30" x14ac:dyDescent="0.55000000000000004">
      <c r="A1178">
        <v>106006</v>
      </c>
      <c r="B1178" s="19">
        <v>43296</v>
      </c>
      <c r="C1178">
        <v>1009</v>
      </c>
      <c r="D1178">
        <v>2018</v>
      </c>
      <c r="E1178">
        <v>25</v>
      </c>
      <c r="F1178">
        <v>690</v>
      </c>
      <c r="G1178">
        <v>3</v>
      </c>
      <c r="H1178">
        <v>2118</v>
      </c>
      <c r="I1178">
        <v>3</v>
      </c>
      <c r="J1178">
        <v>4752.45</v>
      </c>
      <c r="K1178">
        <v>8804.3700000000008</v>
      </c>
      <c r="L1178">
        <v>4752.45</v>
      </c>
      <c r="M1178">
        <v>8803.83</v>
      </c>
      <c r="N1178">
        <v>47.874167</v>
      </c>
      <c r="O1178">
        <v>-88.072833000000003</v>
      </c>
      <c r="P1178">
        <v>47.874167</v>
      </c>
      <c r="Q1178">
        <v>-88.063833000000002</v>
      </c>
      <c r="R1178">
        <v>42823.20031</v>
      </c>
      <c r="S1178">
        <v>253</v>
      </c>
      <c r="T1178">
        <v>250</v>
      </c>
      <c r="U1178">
        <v>0.5</v>
      </c>
      <c r="V1178">
        <v>2</v>
      </c>
      <c r="W1178">
        <v>4.2</v>
      </c>
      <c r="X1178">
        <v>4.0225</v>
      </c>
      <c r="Y1178">
        <v>0.1168</v>
      </c>
      <c r="Z1178">
        <v>94.357200000000006</v>
      </c>
      <c r="AA1178">
        <v>10</v>
      </c>
      <c r="AB1178">
        <v>0.41</v>
      </c>
      <c r="AC1178">
        <v>217</v>
      </c>
      <c r="AD1178">
        <v>12</v>
      </c>
    </row>
    <row r="1179" spans="1:30" x14ac:dyDescent="0.55000000000000004">
      <c r="A1179">
        <v>106007</v>
      </c>
      <c r="B1179" s="19">
        <v>43296</v>
      </c>
      <c r="C1179">
        <v>1009</v>
      </c>
      <c r="D1179">
        <v>2018</v>
      </c>
      <c r="E1179">
        <v>25</v>
      </c>
      <c r="F1179">
        <v>691</v>
      </c>
      <c r="G1179">
        <v>3</v>
      </c>
      <c r="H1179">
        <v>2118</v>
      </c>
      <c r="I1179">
        <v>3</v>
      </c>
      <c r="J1179">
        <v>4752.45</v>
      </c>
      <c r="K1179">
        <v>8804.3700000000008</v>
      </c>
      <c r="L1179">
        <v>4752.45</v>
      </c>
      <c r="M1179">
        <v>8803.83</v>
      </c>
      <c r="N1179">
        <v>47.874167</v>
      </c>
      <c r="O1179">
        <v>-88.072833000000003</v>
      </c>
      <c r="P1179">
        <v>47.874167</v>
      </c>
      <c r="Q1179">
        <v>-88.063833000000002</v>
      </c>
      <c r="R1179">
        <v>42823.20031</v>
      </c>
      <c r="S1179">
        <v>253</v>
      </c>
      <c r="T1179">
        <v>250</v>
      </c>
      <c r="U1179">
        <v>0.5</v>
      </c>
      <c r="V1179">
        <v>2</v>
      </c>
      <c r="W1179">
        <v>4.2</v>
      </c>
      <c r="X1179">
        <v>4.0225</v>
      </c>
      <c r="Y1179">
        <v>0.1168</v>
      </c>
      <c r="Z1179">
        <v>94.357200000000006</v>
      </c>
      <c r="AA1179">
        <v>10</v>
      </c>
      <c r="AB1179">
        <v>0.41</v>
      </c>
      <c r="AC1179">
        <v>217</v>
      </c>
      <c r="AD1179">
        <v>6</v>
      </c>
    </row>
    <row r="1180" spans="1:30" x14ac:dyDescent="0.55000000000000004">
      <c r="A1180">
        <v>106009</v>
      </c>
      <c r="B1180" s="19">
        <v>43296</v>
      </c>
      <c r="C1180">
        <v>1237</v>
      </c>
      <c r="D1180">
        <v>2018</v>
      </c>
      <c r="E1180">
        <v>25</v>
      </c>
      <c r="F1180">
        <v>692</v>
      </c>
      <c r="G1180">
        <v>3</v>
      </c>
      <c r="H1180">
        <v>2122</v>
      </c>
      <c r="I1180">
        <v>3</v>
      </c>
      <c r="J1180">
        <v>4751.3999999999996</v>
      </c>
      <c r="K1180">
        <v>8743.43</v>
      </c>
      <c r="L1180">
        <v>4751.05</v>
      </c>
      <c r="M1180">
        <v>8743.43</v>
      </c>
      <c r="N1180">
        <v>47.856667000000002</v>
      </c>
      <c r="O1180">
        <v>-87.723832999999999</v>
      </c>
      <c r="P1180">
        <v>47.850833000000002</v>
      </c>
      <c r="Q1180">
        <v>-87.723832999999999</v>
      </c>
      <c r="R1180">
        <v>42429.281479999998</v>
      </c>
      <c r="S1180">
        <v>227</v>
      </c>
      <c r="T1180">
        <v>227</v>
      </c>
      <c r="U1180">
        <v>0.5</v>
      </c>
      <c r="V1180">
        <v>2</v>
      </c>
      <c r="W1180">
        <v>4.5</v>
      </c>
      <c r="X1180">
        <v>4.1833999999999998</v>
      </c>
      <c r="Y1180">
        <v>0.1154</v>
      </c>
      <c r="Z1180">
        <v>93.283900000000003</v>
      </c>
      <c r="AA1180">
        <v>10</v>
      </c>
      <c r="AB1180">
        <v>0.42</v>
      </c>
      <c r="AC1180">
        <v>217</v>
      </c>
      <c r="AD1180">
        <v>5</v>
      </c>
    </row>
    <row r="1181" spans="1:30" x14ac:dyDescent="0.55000000000000004">
      <c r="A1181">
        <v>106010</v>
      </c>
      <c r="B1181" s="19">
        <v>43296</v>
      </c>
      <c r="C1181">
        <v>1237</v>
      </c>
      <c r="D1181">
        <v>2018</v>
      </c>
      <c r="E1181">
        <v>25</v>
      </c>
      <c r="F1181">
        <v>693</v>
      </c>
      <c r="G1181">
        <v>3</v>
      </c>
      <c r="H1181">
        <v>2122</v>
      </c>
      <c r="I1181">
        <v>3</v>
      </c>
      <c r="J1181">
        <v>4751.3999999999996</v>
      </c>
      <c r="K1181">
        <v>8743.43</v>
      </c>
      <c r="L1181">
        <v>4751.05</v>
      </c>
      <c r="M1181">
        <v>8743.43</v>
      </c>
      <c r="N1181">
        <v>47.856667000000002</v>
      </c>
      <c r="O1181">
        <v>-87.723832999999999</v>
      </c>
      <c r="P1181">
        <v>47.850833000000002</v>
      </c>
      <c r="Q1181">
        <v>-87.723832999999999</v>
      </c>
      <c r="R1181">
        <v>42429.281479999998</v>
      </c>
      <c r="S1181">
        <v>227</v>
      </c>
      <c r="T1181">
        <v>227</v>
      </c>
      <c r="U1181">
        <v>0.5</v>
      </c>
      <c r="V1181">
        <v>2</v>
      </c>
      <c r="W1181">
        <v>4.5</v>
      </c>
      <c r="X1181">
        <v>4.1833999999999998</v>
      </c>
      <c r="Y1181">
        <v>0.1154</v>
      </c>
      <c r="Z1181">
        <v>93.283900000000003</v>
      </c>
      <c r="AA1181">
        <v>10</v>
      </c>
      <c r="AB1181">
        <v>0.42</v>
      </c>
      <c r="AC1181">
        <v>217</v>
      </c>
      <c r="AD1181">
        <v>2</v>
      </c>
    </row>
    <row r="1182" spans="1:30" x14ac:dyDescent="0.55000000000000004">
      <c r="A1182">
        <v>106012</v>
      </c>
      <c r="B1182" s="19">
        <v>43296</v>
      </c>
      <c r="C1182">
        <v>1627</v>
      </c>
      <c r="D1182">
        <v>2018</v>
      </c>
      <c r="E1182">
        <v>25</v>
      </c>
      <c r="F1182">
        <v>694</v>
      </c>
      <c r="G1182">
        <v>3</v>
      </c>
      <c r="H1182">
        <v>2138</v>
      </c>
      <c r="I1182">
        <v>3</v>
      </c>
      <c r="J1182">
        <v>4730.59</v>
      </c>
      <c r="K1182">
        <v>8713.61</v>
      </c>
      <c r="L1182">
        <v>4730.62</v>
      </c>
      <c r="M1182">
        <v>8713.08</v>
      </c>
      <c r="N1182">
        <v>47.509833</v>
      </c>
      <c r="O1182">
        <v>-87.226832999999999</v>
      </c>
      <c r="P1182">
        <v>47.510333000000003</v>
      </c>
      <c r="Q1182">
        <v>-87.218000000000004</v>
      </c>
      <c r="R1182">
        <v>29316.039809999998</v>
      </c>
      <c r="S1182">
        <v>299</v>
      </c>
      <c r="T1182">
        <v>309</v>
      </c>
      <c r="U1182">
        <v>0.5</v>
      </c>
      <c r="V1182">
        <v>2</v>
      </c>
      <c r="W1182">
        <v>4.4000000000000004</v>
      </c>
      <c r="X1182">
        <v>4.4352999999999998</v>
      </c>
      <c r="Y1182">
        <v>0.13150000000000001</v>
      </c>
      <c r="Z1182">
        <v>95.264399999999995</v>
      </c>
      <c r="AA1182">
        <v>10</v>
      </c>
      <c r="AB1182">
        <v>0.39</v>
      </c>
      <c r="AC1182">
        <v>217</v>
      </c>
      <c r="AD1182">
        <v>1</v>
      </c>
    </row>
    <row r="1183" spans="1:30" x14ac:dyDescent="0.55000000000000004">
      <c r="A1183">
        <v>106013</v>
      </c>
      <c r="B1183" s="19">
        <v>43296</v>
      </c>
      <c r="C1183">
        <v>1627</v>
      </c>
      <c r="D1183">
        <v>2018</v>
      </c>
      <c r="E1183">
        <v>25</v>
      </c>
      <c r="F1183">
        <v>695</v>
      </c>
      <c r="G1183">
        <v>3</v>
      </c>
      <c r="H1183">
        <v>2138</v>
      </c>
      <c r="I1183">
        <v>3</v>
      </c>
      <c r="J1183">
        <v>4730.59</v>
      </c>
      <c r="K1183">
        <v>8713.61</v>
      </c>
      <c r="L1183">
        <v>4730.62</v>
      </c>
      <c r="M1183">
        <v>8713.08</v>
      </c>
      <c r="N1183">
        <v>47.509833</v>
      </c>
      <c r="O1183">
        <v>-87.226832999999999</v>
      </c>
      <c r="P1183">
        <v>47.510333000000003</v>
      </c>
      <c r="Q1183">
        <v>-87.218000000000004</v>
      </c>
      <c r="R1183">
        <v>29316.039809999998</v>
      </c>
      <c r="S1183">
        <v>299</v>
      </c>
      <c r="T1183">
        <v>309</v>
      </c>
      <c r="U1183">
        <v>0.5</v>
      </c>
      <c r="V1183">
        <v>2</v>
      </c>
      <c r="W1183">
        <v>4.4000000000000004</v>
      </c>
      <c r="X1183">
        <v>4.4352999999999998</v>
      </c>
      <c r="Y1183">
        <v>0.13150000000000001</v>
      </c>
      <c r="Z1183">
        <v>95.264399999999995</v>
      </c>
      <c r="AA1183">
        <v>10</v>
      </c>
      <c r="AB1183">
        <v>0.39</v>
      </c>
      <c r="AC1183">
        <v>217</v>
      </c>
      <c r="AD1183">
        <v>1</v>
      </c>
    </row>
    <row r="1184" spans="1:30" x14ac:dyDescent="0.55000000000000004">
      <c r="A1184">
        <v>106017</v>
      </c>
      <c r="B1184" s="19">
        <v>43297</v>
      </c>
      <c r="C1184">
        <v>950</v>
      </c>
      <c r="D1184">
        <v>2018</v>
      </c>
      <c r="E1184">
        <v>25</v>
      </c>
      <c r="F1184">
        <v>696</v>
      </c>
      <c r="G1184">
        <v>3</v>
      </c>
      <c r="H1184">
        <v>2150</v>
      </c>
      <c r="I1184">
        <v>3</v>
      </c>
      <c r="J1184">
        <v>4708.47</v>
      </c>
      <c r="K1184">
        <v>8723.2800000000007</v>
      </c>
      <c r="L1184">
        <v>4708.2</v>
      </c>
      <c r="M1184">
        <v>8722.85</v>
      </c>
      <c r="N1184">
        <v>47.141167000000003</v>
      </c>
      <c r="O1184">
        <v>-87.388000000000005</v>
      </c>
      <c r="P1184">
        <v>47.136667000000003</v>
      </c>
      <c r="Q1184">
        <v>-87.380832999999996</v>
      </c>
      <c r="R1184">
        <v>34208.448069999999</v>
      </c>
      <c r="S1184">
        <v>136</v>
      </c>
      <c r="T1184">
        <v>132</v>
      </c>
      <c r="U1184">
        <v>0.5</v>
      </c>
      <c r="V1184">
        <v>2</v>
      </c>
      <c r="W1184">
        <v>11.9</v>
      </c>
      <c r="X1184">
        <v>12.023199999999999</v>
      </c>
      <c r="Y1184">
        <v>0.1288</v>
      </c>
      <c r="Z1184">
        <v>91.410600000000002</v>
      </c>
      <c r="AA1184">
        <v>10</v>
      </c>
      <c r="AB1184">
        <v>0.41</v>
      </c>
      <c r="AC1184">
        <v>217</v>
      </c>
      <c r="AD1184">
        <v>86</v>
      </c>
    </row>
    <row r="1185" spans="1:30" x14ac:dyDescent="0.55000000000000004">
      <c r="A1185">
        <v>106018</v>
      </c>
      <c r="B1185" s="19">
        <v>43297</v>
      </c>
      <c r="C1185">
        <v>950</v>
      </c>
      <c r="D1185">
        <v>2018</v>
      </c>
      <c r="E1185">
        <v>25</v>
      </c>
      <c r="F1185">
        <v>697</v>
      </c>
      <c r="G1185">
        <v>3</v>
      </c>
      <c r="H1185">
        <v>2150</v>
      </c>
      <c r="I1185">
        <v>3</v>
      </c>
      <c r="J1185">
        <v>4708.47</v>
      </c>
      <c r="K1185">
        <v>8723.2800000000007</v>
      </c>
      <c r="L1185">
        <v>4708.2</v>
      </c>
      <c r="M1185">
        <v>8722.85</v>
      </c>
      <c r="N1185">
        <v>47.141167000000003</v>
      </c>
      <c r="O1185">
        <v>-87.388000000000005</v>
      </c>
      <c r="P1185">
        <v>47.136667000000003</v>
      </c>
      <c r="Q1185">
        <v>-87.380832999999996</v>
      </c>
      <c r="R1185">
        <v>34208.448069999999</v>
      </c>
      <c r="S1185">
        <v>136</v>
      </c>
      <c r="T1185">
        <v>132</v>
      </c>
      <c r="U1185">
        <v>0.5</v>
      </c>
      <c r="V1185">
        <v>2</v>
      </c>
      <c r="W1185">
        <v>11.9</v>
      </c>
      <c r="X1185">
        <v>12.023199999999999</v>
      </c>
      <c r="Y1185">
        <v>0.1288</v>
      </c>
      <c r="Z1185">
        <v>91.410600000000002</v>
      </c>
      <c r="AA1185">
        <v>10</v>
      </c>
      <c r="AB1185">
        <v>0.41</v>
      </c>
      <c r="AC1185">
        <v>217</v>
      </c>
      <c r="AD1185">
        <v>66</v>
      </c>
    </row>
    <row r="1186" spans="1:30" x14ac:dyDescent="0.55000000000000004">
      <c r="A1186">
        <v>106019</v>
      </c>
      <c r="B1186" s="19">
        <v>43297</v>
      </c>
      <c r="C1186">
        <v>1142</v>
      </c>
      <c r="D1186">
        <v>2018</v>
      </c>
      <c r="E1186">
        <v>25</v>
      </c>
      <c r="F1186">
        <v>698</v>
      </c>
      <c r="G1186">
        <v>3</v>
      </c>
      <c r="H1186">
        <v>2154</v>
      </c>
      <c r="I1186">
        <v>3</v>
      </c>
      <c r="J1186">
        <v>4704.4399999999996</v>
      </c>
      <c r="K1186">
        <v>8709.9500000000007</v>
      </c>
      <c r="L1186">
        <v>4704.09</v>
      </c>
      <c r="M1186">
        <v>8709.93</v>
      </c>
      <c r="N1186">
        <v>47.073999999999998</v>
      </c>
      <c r="O1186">
        <v>-87.165833000000006</v>
      </c>
      <c r="P1186">
        <v>47.068167000000003</v>
      </c>
      <c r="Q1186">
        <v>-87.165499999999994</v>
      </c>
      <c r="R1186">
        <v>47021.675719999999</v>
      </c>
      <c r="S1186">
        <v>178</v>
      </c>
      <c r="T1186">
        <v>179</v>
      </c>
      <c r="U1186">
        <v>0.5</v>
      </c>
      <c r="V1186">
        <v>2</v>
      </c>
      <c r="W1186">
        <v>11.1</v>
      </c>
      <c r="X1186">
        <v>10.9978</v>
      </c>
      <c r="Y1186">
        <v>9.4100000000000003E-2</v>
      </c>
      <c r="Z1186">
        <v>93.0565</v>
      </c>
      <c r="AA1186">
        <v>10</v>
      </c>
      <c r="AB1186">
        <v>0.36</v>
      </c>
      <c r="AC1186">
        <v>217</v>
      </c>
      <c r="AD1186">
        <v>44</v>
      </c>
    </row>
    <row r="1187" spans="1:30" x14ac:dyDescent="0.55000000000000004">
      <c r="A1187">
        <v>106020</v>
      </c>
      <c r="B1187" s="19">
        <v>43297</v>
      </c>
      <c r="C1187">
        <v>1142</v>
      </c>
      <c r="D1187">
        <v>2018</v>
      </c>
      <c r="E1187">
        <v>25</v>
      </c>
      <c r="F1187">
        <v>699</v>
      </c>
      <c r="G1187">
        <v>3</v>
      </c>
      <c r="H1187">
        <v>2154</v>
      </c>
      <c r="I1187">
        <v>3</v>
      </c>
      <c r="J1187">
        <v>4704.4399999999996</v>
      </c>
      <c r="K1187">
        <v>8709.9500000000007</v>
      </c>
      <c r="L1187">
        <v>4704.09</v>
      </c>
      <c r="M1187">
        <v>8709.93</v>
      </c>
      <c r="N1187">
        <v>47.073999999999998</v>
      </c>
      <c r="O1187">
        <v>-87.165833000000006</v>
      </c>
      <c r="P1187">
        <v>47.068167000000003</v>
      </c>
      <c r="Q1187">
        <v>-87.165499999999994</v>
      </c>
      <c r="R1187">
        <v>47021.675719999999</v>
      </c>
      <c r="S1187">
        <v>178</v>
      </c>
      <c r="T1187">
        <v>179</v>
      </c>
      <c r="U1187">
        <v>0.5</v>
      </c>
      <c r="V1187">
        <v>2</v>
      </c>
      <c r="W1187">
        <v>11.1</v>
      </c>
      <c r="X1187">
        <v>10.9978</v>
      </c>
      <c r="Y1187">
        <v>9.4100000000000003E-2</v>
      </c>
      <c r="Z1187">
        <v>93.0565</v>
      </c>
      <c r="AA1187">
        <v>10</v>
      </c>
      <c r="AB1187">
        <v>0.36</v>
      </c>
      <c r="AC1187">
        <v>217</v>
      </c>
      <c r="AD1187">
        <v>28</v>
      </c>
    </row>
    <row r="1188" spans="1:30" x14ac:dyDescent="0.55000000000000004">
      <c r="A1188">
        <v>106021</v>
      </c>
      <c r="B1188" s="19">
        <v>43297</v>
      </c>
      <c r="C1188">
        <v>1411</v>
      </c>
      <c r="D1188">
        <v>2018</v>
      </c>
      <c r="E1188">
        <v>25</v>
      </c>
      <c r="F1188">
        <v>700</v>
      </c>
      <c r="G1188">
        <v>3</v>
      </c>
      <c r="H1188">
        <v>2152</v>
      </c>
      <c r="I1188">
        <v>3</v>
      </c>
      <c r="J1188">
        <v>4648.7700000000004</v>
      </c>
      <c r="K1188">
        <v>8702</v>
      </c>
      <c r="L1188">
        <v>4648.41</v>
      </c>
      <c r="M1188">
        <v>8701.76</v>
      </c>
      <c r="N1188">
        <v>46.812832999999998</v>
      </c>
      <c r="O1188">
        <v>-87.033332999999999</v>
      </c>
      <c r="P1188">
        <v>46.806832999999997</v>
      </c>
      <c r="Q1188">
        <v>-87.029332999999994</v>
      </c>
      <c r="R1188">
        <v>30091.805219999998</v>
      </c>
      <c r="S1188">
        <v>148</v>
      </c>
      <c r="T1188">
        <v>144</v>
      </c>
      <c r="U1188">
        <v>0.5</v>
      </c>
      <c r="V1188">
        <v>2</v>
      </c>
      <c r="W1188">
        <v>12.9</v>
      </c>
      <c r="X1188">
        <v>12.543799999999999</v>
      </c>
      <c r="Y1188">
        <v>0.1145</v>
      </c>
      <c r="Z1188">
        <v>94.109300000000005</v>
      </c>
      <c r="AA1188">
        <v>10</v>
      </c>
      <c r="AB1188">
        <v>0.4</v>
      </c>
      <c r="AC1188">
        <v>217</v>
      </c>
      <c r="AD1188">
        <v>7</v>
      </c>
    </row>
    <row r="1189" spans="1:30" x14ac:dyDescent="0.55000000000000004">
      <c r="A1189">
        <v>106022</v>
      </c>
      <c r="B1189" s="19">
        <v>43297</v>
      </c>
      <c r="C1189">
        <v>1411</v>
      </c>
      <c r="D1189">
        <v>2018</v>
      </c>
      <c r="E1189">
        <v>25</v>
      </c>
      <c r="F1189">
        <v>701</v>
      </c>
      <c r="G1189">
        <v>3</v>
      </c>
      <c r="H1189">
        <v>2152</v>
      </c>
      <c r="I1189">
        <v>3</v>
      </c>
      <c r="J1189">
        <v>4648.7700000000004</v>
      </c>
      <c r="K1189">
        <v>8702</v>
      </c>
      <c r="L1189">
        <v>4648.41</v>
      </c>
      <c r="M1189">
        <v>8701.76</v>
      </c>
      <c r="N1189">
        <v>46.812832999999998</v>
      </c>
      <c r="O1189">
        <v>-87.033332999999999</v>
      </c>
      <c r="P1189">
        <v>46.806832999999997</v>
      </c>
      <c r="Q1189">
        <v>-87.029332999999994</v>
      </c>
      <c r="R1189">
        <v>30091.805219999998</v>
      </c>
      <c r="S1189">
        <v>148</v>
      </c>
      <c r="T1189">
        <v>144</v>
      </c>
      <c r="U1189">
        <v>0.5</v>
      </c>
      <c r="V1189">
        <v>2</v>
      </c>
      <c r="W1189">
        <v>12.9</v>
      </c>
      <c r="X1189">
        <v>12.543799999999999</v>
      </c>
      <c r="Y1189">
        <v>0.1145</v>
      </c>
      <c r="Z1189">
        <v>94.109300000000005</v>
      </c>
      <c r="AA1189">
        <v>10</v>
      </c>
      <c r="AB1189">
        <v>0.4</v>
      </c>
      <c r="AC1189">
        <v>217</v>
      </c>
      <c r="AD1189">
        <v>17</v>
      </c>
    </row>
    <row r="1190" spans="1:30" x14ac:dyDescent="0.55000000000000004">
      <c r="A1190">
        <v>106028</v>
      </c>
      <c r="B1190" s="19">
        <v>43298</v>
      </c>
      <c r="C1190">
        <v>919</v>
      </c>
      <c r="D1190">
        <v>2018</v>
      </c>
      <c r="E1190">
        <v>25</v>
      </c>
      <c r="F1190">
        <v>702</v>
      </c>
      <c r="G1190">
        <v>3</v>
      </c>
      <c r="H1190">
        <v>2116</v>
      </c>
      <c r="I1190">
        <v>3</v>
      </c>
      <c r="J1190">
        <v>4644.8999999999996</v>
      </c>
      <c r="K1190">
        <v>8632.77</v>
      </c>
      <c r="L1190">
        <v>4645.0200000000004</v>
      </c>
      <c r="M1190">
        <v>8632.23</v>
      </c>
      <c r="N1190">
        <v>46.748333000000002</v>
      </c>
      <c r="O1190">
        <v>-86.546166999999997</v>
      </c>
      <c r="P1190">
        <v>46.750332999999998</v>
      </c>
      <c r="Q1190">
        <v>-86.537166999999997</v>
      </c>
      <c r="R1190">
        <v>22714.790079999999</v>
      </c>
      <c r="S1190">
        <v>170</v>
      </c>
      <c r="T1190">
        <v>184</v>
      </c>
      <c r="U1190">
        <v>0.5</v>
      </c>
      <c r="V1190">
        <v>2</v>
      </c>
      <c r="W1190">
        <v>7.9</v>
      </c>
      <c r="X1190">
        <v>7.9276</v>
      </c>
      <c r="Y1190">
        <v>0.1661</v>
      </c>
      <c r="Z1190">
        <v>91.781199999999998</v>
      </c>
      <c r="AA1190">
        <v>10</v>
      </c>
      <c r="AB1190">
        <v>0.43</v>
      </c>
      <c r="AC1190">
        <v>217</v>
      </c>
      <c r="AD1190">
        <v>10</v>
      </c>
    </row>
    <row r="1191" spans="1:30" x14ac:dyDescent="0.55000000000000004">
      <c r="A1191">
        <v>106029</v>
      </c>
      <c r="B1191" s="19">
        <v>43298</v>
      </c>
      <c r="C1191">
        <v>919</v>
      </c>
      <c r="D1191">
        <v>2018</v>
      </c>
      <c r="E1191">
        <v>25</v>
      </c>
      <c r="F1191">
        <v>703</v>
      </c>
      <c r="G1191">
        <v>3</v>
      </c>
      <c r="H1191">
        <v>2116</v>
      </c>
      <c r="I1191">
        <v>3</v>
      </c>
      <c r="J1191">
        <v>4644.8999999999996</v>
      </c>
      <c r="K1191">
        <v>8632.77</v>
      </c>
      <c r="L1191">
        <v>4645.0200000000004</v>
      </c>
      <c r="M1191">
        <v>8632.23</v>
      </c>
      <c r="N1191">
        <v>46.748333000000002</v>
      </c>
      <c r="O1191">
        <v>-86.546166999999997</v>
      </c>
      <c r="P1191">
        <v>46.750332999999998</v>
      </c>
      <c r="Q1191">
        <v>-86.537166999999997</v>
      </c>
      <c r="R1191">
        <v>22714.790079999999</v>
      </c>
      <c r="S1191">
        <v>170</v>
      </c>
      <c r="T1191">
        <v>184</v>
      </c>
      <c r="U1191">
        <v>0.5</v>
      </c>
      <c r="V1191">
        <v>2</v>
      </c>
      <c r="W1191">
        <v>7.9</v>
      </c>
      <c r="X1191">
        <v>7.9276</v>
      </c>
      <c r="Y1191">
        <v>0.1661</v>
      </c>
      <c r="Z1191">
        <v>91.781199999999998</v>
      </c>
      <c r="AA1191">
        <v>10</v>
      </c>
      <c r="AB1191">
        <v>0.43</v>
      </c>
      <c r="AC1191">
        <v>217</v>
      </c>
      <c r="AD1191">
        <v>16</v>
      </c>
    </row>
    <row r="1192" spans="1:30" x14ac:dyDescent="0.55000000000000004">
      <c r="A1192">
        <v>106030</v>
      </c>
      <c r="B1192" s="19">
        <v>43298</v>
      </c>
      <c r="C1192">
        <v>1255</v>
      </c>
      <c r="D1192">
        <v>2018</v>
      </c>
      <c r="E1192">
        <v>25</v>
      </c>
      <c r="F1192">
        <v>704</v>
      </c>
      <c r="G1192">
        <v>3</v>
      </c>
      <c r="H1192">
        <v>2141</v>
      </c>
      <c r="I1192">
        <v>3</v>
      </c>
      <c r="J1192">
        <v>4707.71</v>
      </c>
      <c r="K1192">
        <v>8610.1200000000008</v>
      </c>
      <c r="L1192">
        <v>4707.3900000000003</v>
      </c>
      <c r="M1192">
        <v>8609.86</v>
      </c>
      <c r="N1192">
        <v>47.128500000000003</v>
      </c>
      <c r="O1192">
        <v>-86.168666999999999</v>
      </c>
      <c r="P1192">
        <v>47.123167000000002</v>
      </c>
      <c r="Q1192">
        <v>-86.164332999999999</v>
      </c>
      <c r="R1192">
        <v>35566.606749999999</v>
      </c>
      <c r="S1192">
        <v>145</v>
      </c>
      <c r="T1192">
        <v>145</v>
      </c>
      <c r="U1192">
        <v>0.5</v>
      </c>
      <c r="V1192">
        <v>2</v>
      </c>
      <c r="W1192">
        <v>4.5999999999999996</v>
      </c>
      <c r="X1192">
        <v>4.3922999999999996</v>
      </c>
      <c r="Y1192">
        <v>0.14749999999999999</v>
      </c>
      <c r="Z1192">
        <v>91.753399999999999</v>
      </c>
      <c r="AA1192">
        <v>10</v>
      </c>
      <c r="AB1192">
        <v>0.41</v>
      </c>
      <c r="AC1192">
        <v>217</v>
      </c>
      <c r="AD1192">
        <v>6</v>
      </c>
    </row>
    <row r="1193" spans="1:30" x14ac:dyDescent="0.55000000000000004">
      <c r="A1193">
        <v>106031</v>
      </c>
      <c r="B1193" s="19">
        <v>43298</v>
      </c>
      <c r="C1193">
        <v>1255</v>
      </c>
      <c r="D1193">
        <v>2018</v>
      </c>
      <c r="E1193">
        <v>25</v>
      </c>
      <c r="F1193">
        <v>705</v>
      </c>
      <c r="G1193">
        <v>3</v>
      </c>
      <c r="H1193">
        <v>2141</v>
      </c>
      <c r="I1193">
        <v>3</v>
      </c>
      <c r="J1193">
        <v>4707.71</v>
      </c>
      <c r="K1193">
        <v>8610.1200000000008</v>
      </c>
      <c r="L1193">
        <v>4707.3900000000003</v>
      </c>
      <c r="M1193">
        <v>8609.86</v>
      </c>
      <c r="N1193">
        <v>47.128500000000003</v>
      </c>
      <c r="O1193">
        <v>-86.168666999999999</v>
      </c>
      <c r="P1193">
        <v>47.123167000000002</v>
      </c>
      <c r="Q1193">
        <v>-86.164332999999999</v>
      </c>
      <c r="R1193">
        <v>35566.606749999999</v>
      </c>
      <c r="S1193">
        <v>145</v>
      </c>
      <c r="T1193">
        <v>145</v>
      </c>
      <c r="U1193">
        <v>0.5</v>
      </c>
      <c r="V1193">
        <v>2</v>
      </c>
      <c r="W1193">
        <v>4.5999999999999996</v>
      </c>
      <c r="X1193">
        <v>4.3922999999999996</v>
      </c>
      <c r="Y1193">
        <v>0.14749999999999999</v>
      </c>
      <c r="Z1193">
        <v>91.753399999999999</v>
      </c>
      <c r="AA1193">
        <v>10</v>
      </c>
      <c r="AB1193">
        <v>0.41</v>
      </c>
      <c r="AC1193">
        <v>217</v>
      </c>
      <c r="AD1193">
        <v>3</v>
      </c>
    </row>
    <row r="1194" spans="1:30" x14ac:dyDescent="0.55000000000000004">
      <c r="A1194">
        <v>106032</v>
      </c>
      <c r="B1194" s="19">
        <v>43298</v>
      </c>
      <c r="C1194">
        <v>1443</v>
      </c>
      <c r="D1194">
        <v>2018</v>
      </c>
      <c r="E1194">
        <v>25</v>
      </c>
      <c r="F1194">
        <v>706</v>
      </c>
      <c r="G1194">
        <v>3</v>
      </c>
      <c r="H1194">
        <v>2125</v>
      </c>
      <c r="I1194">
        <v>3</v>
      </c>
      <c r="J1194">
        <v>4706.04</v>
      </c>
      <c r="K1194">
        <v>8558.16</v>
      </c>
      <c r="L1194">
        <v>4705.6499999999996</v>
      </c>
      <c r="M1194">
        <v>8557.91</v>
      </c>
      <c r="N1194">
        <v>47.100667000000001</v>
      </c>
      <c r="O1194">
        <v>-85.969333000000006</v>
      </c>
      <c r="P1194">
        <v>47.094166999999999</v>
      </c>
      <c r="Q1194">
        <v>-85.965166999999994</v>
      </c>
      <c r="R1194">
        <v>28316.628680000002</v>
      </c>
      <c r="S1194">
        <v>189</v>
      </c>
      <c r="T1194">
        <v>188</v>
      </c>
      <c r="U1194">
        <v>0.5</v>
      </c>
      <c r="V1194">
        <v>2</v>
      </c>
      <c r="W1194">
        <v>6.7</v>
      </c>
      <c r="X1194">
        <v>4.8467000000000002</v>
      </c>
      <c r="Y1194">
        <v>0.1303</v>
      </c>
      <c r="Z1194">
        <v>92.375399999999999</v>
      </c>
      <c r="AA1194">
        <v>10</v>
      </c>
      <c r="AB1194">
        <v>0.44</v>
      </c>
      <c r="AC1194">
        <v>217</v>
      </c>
      <c r="AD1194">
        <v>15</v>
      </c>
    </row>
    <row r="1195" spans="1:30" x14ac:dyDescent="0.55000000000000004">
      <c r="A1195">
        <v>106033</v>
      </c>
      <c r="B1195" s="19">
        <v>43298</v>
      </c>
      <c r="C1195">
        <v>1443</v>
      </c>
      <c r="D1195">
        <v>2018</v>
      </c>
      <c r="E1195">
        <v>25</v>
      </c>
      <c r="F1195">
        <v>707</v>
      </c>
      <c r="G1195">
        <v>3</v>
      </c>
      <c r="H1195">
        <v>2125</v>
      </c>
      <c r="I1195">
        <v>3</v>
      </c>
      <c r="J1195">
        <v>4706.04</v>
      </c>
      <c r="K1195">
        <v>8558.16</v>
      </c>
      <c r="L1195">
        <v>4705.6499999999996</v>
      </c>
      <c r="M1195">
        <v>8557.91</v>
      </c>
      <c r="N1195">
        <v>47.100667000000001</v>
      </c>
      <c r="O1195">
        <v>-85.969333000000006</v>
      </c>
      <c r="P1195">
        <v>47.094166999999999</v>
      </c>
      <c r="Q1195">
        <v>-85.965166999999994</v>
      </c>
      <c r="R1195">
        <v>28316.628680000002</v>
      </c>
      <c r="S1195">
        <v>189</v>
      </c>
      <c r="T1195">
        <v>188</v>
      </c>
      <c r="U1195">
        <v>0.5</v>
      </c>
      <c r="V1195">
        <v>2</v>
      </c>
      <c r="W1195">
        <v>5.3</v>
      </c>
      <c r="X1195">
        <v>4.8467000000000002</v>
      </c>
      <c r="Y1195">
        <v>0.1303</v>
      </c>
      <c r="Z1195">
        <v>92.375399999999999</v>
      </c>
      <c r="AA1195">
        <v>10</v>
      </c>
      <c r="AB1195">
        <v>0.44</v>
      </c>
      <c r="AC1195">
        <v>217</v>
      </c>
      <c r="AD1195">
        <v>1</v>
      </c>
    </row>
    <row r="1196" spans="1:30" x14ac:dyDescent="0.55000000000000004">
      <c r="A1196">
        <v>106034</v>
      </c>
      <c r="B1196" s="19">
        <v>43299</v>
      </c>
      <c r="C1196">
        <v>923</v>
      </c>
      <c r="D1196">
        <v>2018</v>
      </c>
      <c r="E1196">
        <v>25</v>
      </c>
      <c r="F1196">
        <v>708</v>
      </c>
      <c r="G1196">
        <v>3</v>
      </c>
      <c r="H1196">
        <v>2148</v>
      </c>
      <c r="I1196">
        <v>3</v>
      </c>
      <c r="J1196">
        <v>4653.66</v>
      </c>
      <c r="K1196">
        <v>8531.8799999999992</v>
      </c>
      <c r="L1196">
        <v>4654.05</v>
      </c>
      <c r="M1196">
        <v>8531.89</v>
      </c>
      <c r="N1196">
        <v>46.894333000000003</v>
      </c>
      <c r="O1196">
        <v>-85.531333000000004</v>
      </c>
      <c r="P1196">
        <v>46.900832999999999</v>
      </c>
      <c r="Q1196">
        <v>-85.531499999999994</v>
      </c>
      <c r="R1196">
        <v>23830.26771</v>
      </c>
      <c r="S1196">
        <v>157</v>
      </c>
      <c r="T1196">
        <v>157</v>
      </c>
      <c r="U1196">
        <v>0.5</v>
      </c>
      <c r="V1196">
        <v>2</v>
      </c>
      <c r="W1196">
        <v>6.7</v>
      </c>
      <c r="X1196">
        <v>6.5364000000000004</v>
      </c>
      <c r="Y1196">
        <v>0.1041</v>
      </c>
      <c r="Z1196">
        <v>91.092100000000002</v>
      </c>
      <c r="AA1196">
        <v>10</v>
      </c>
      <c r="AB1196">
        <v>0.43</v>
      </c>
      <c r="AC1196">
        <v>217</v>
      </c>
      <c r="AD1196">
        <v>8</v>
      </c>
    </row>
    <row r="1197" spans="1:30" x14ac:dyDescent="0.55000000000000004">
      <c r="A1197">
        <v>106035</v>
      </c>
      <c r="B1197" s="19">
        <v>43299</v>
      </c>
      <c r="C1197">
        <v>923</v>
      </c>
      <c r="D1197">
        <v>2018</v>
      </c>
      <c r="E1197">
        <v>25</v>
      </c>
      <c r="F1197">
        <v>709</v>
      </c>
      <c r="G1197">
        <v>3</v>
      </c>
      <c r="H1197">
        <v>2148</v>
      </c>
      <c r="I1197">
        <v>3</v>
      </c>
      <c r="J1197">
        <v>4653.66</v>
      </c>
      <c r="K1197">
        <v>8531.8799999999992</v>
      </c>
      <c r="L1197">
        <v>4654.05</v>
      </c>
      <c r="M1197">
        <v>8531.89</v>
      </c>
      <c r="N1197">
        <v>46.894333000000003</v>
      </c>
      <c r="O1197">
        <v>-85.531333000000004</v>
      </c>
      <c r="P1197">
        <v>46.900832999999999</v>
      </c>
      <c r="Q1197">
        <v>-85.531499999999994</v>
      </c>
      <c r="R1197">
        <v>23830.26771</v>
      </c>
      <c r="S1197">
        <v>157</v>
      </c>
      <c r="T1197">
        <v>157</v>
      </c>
      <c r="U1197">
        <v>0.5</v>
      </c>
      <c r="V1197">
        <v>2</v>
      </c>
      <c r="W1197">
        <v>6.7</v>
      </c>
      <c r="X1197">
        <v>6.5364000000000004</v>
      </c>
      <c r="Y1197">
        <v>0.1041</v>
      </c>
      <c r="Z1197">
        <v>91.092100000000002</v>
      </c>
      <c r="AA1197">
        <v>10</v>
      </c>
      <c r="AB1197">
        <v>0.43</v>
      </c>
      <c r="AC1197">
        <v>217</v>
      </c>
      <c r="AD1197">
        <v>5</v>
      </c>
    </row>
    <row r="1198" spans="1:30" x14ac:dyDescent="0.55000000000000004">
      <c r="A1198">
        <v>106036</v>
      </c>
      <c r="B1198" s="19">
        <v>43299</v>
      </c>
      <c r="C1198">
        <v>1045</v>
      </c>
      <c r="D1198">
        <v>2018</v>
      </c>
      <c r="E1198">
        <v>25</v>
      </c>
      <c r="F1198">
        <v>710</v>
      </c>
      <c r="G1198">
        <v>3</v>
      </c>
      <c r="H1198">
        <v>2039</v>
      </c>
      <c r="I1198">
        <v>3</v>
      </c>
      <c r="J1198">
        <v>4654.87</v>
      </c>
      <c r="K1198">
        <v>8525.52</v>
      </c>
      <c r="L1198">
        <v>4654.6400000000003</v>
      </c>
      <c r="M1198">
        <v>8525.0400000000009</v>
      </c>
      <c r="N1198">
        <v>46.914499999999997</v>
      </c>
      <c r="O1198">
        <v>-85.425332999999995</v>
      </c>
      <c r="P1198">
        <v>46.910666999999997</v>
      </c>
      <c r="Q1198">
        <v>-85.417332999999999</v>
      </c>
      <c r="R1198">
        <v>21237.73359</v>
      </c>
      <c r="S1198">
        <v>85</v>
      </c>
      <c r="T1198">
        <v>89.3</v>
      </c>
      <c r="U1198">
        <v>0.5</v>
      </c>
      <c r="V1198">
        <v>2</v>
      </c>
      <c r="W1198">
        <v>8.9</v>
      </c>
      <c r="X1198">
        <v>7.7328000000000001</v>
      </c>
      <c r="Y1198">
        <v>9.1899999999999996E-2</v>
      </c>
      <c r="Z1198">
        <v>89.197699999999998</v>
      </c>
      <c r="AA1198">
        <v>10</v>
      </c>
      <c r="AB1198">
        <v>0.43</v>
      </c>
      <c r="AC1198">
        <v>0</v>
      </c>
      <c r="AD1198">
        <v>0</v>
      </c>
    </row>
    <row r="1199" spans="1:30" x14ac:dyDescent="0.55000000000000004">
      <c r="A1199">
        <v>106037</v>
      </c>
      <c r="B1199" s="19">
        <v>43299</v>
      </c>
      <c r="C1199">
        <v>1045</v>
      </c>
      <c r="D1199">
        <v>2018</v>
      </c>
      <c r="E1199">
        <v>25</v>
      </c>
      <c r="F1199">
        <v>711</v>
      </c>
      <c r="G1199">
        <v>3</v>
      </c>
      <c r="H1199">
        <v>2039</v>
      </c>
      <c r="I1199">
        <v>3</v>
      </c>
      <c r="J1199">
        <v>4654.87</v>
      </c>
      <c r="K1199">
        <v>8525.52</v>
      </c>
      <c r="L1199">
        <v>4654.6400000000003</v>
      </c>
      <c r="M1199">
        <v>8525.0400000000009</v>
      </c>
      <c r="N1199">
        <v>46.914499999999997</v>
      </c>
      <c r="O1199">
        <v>-85.425332999999995</v>
      </c>
      <c r="P1199">
        <v>46.910666999999997</v>
      </c>
      <c r="Q1199">
        <v>-85.417332999999999</v>
      </c>
      <c r="R1199">
        <v>21237.73359</v>
      </c>
      <c r="S1199">
        <v>85</v>
      </c>
      <c r="T1199">
        <v>89.3</v>
      </c>
      <c r="U1199">
        <v>0.5</v>
      </c>
      <c r="V1199">
        <v>2</v>
      </c>
      <c r="W1199">
        <v>8.9</v>
      </c>
      <c r="X1199">
        <v>7.7328000000000001</v>
      </c>
      <c r="Y1199">
        <v>9.1899999999999996E-2</v>
      </c>
      <c r="Z1199">
        <v>89.197699999999998</v>
      </c>
      <c r="AA1199">
        <v>10</v>
      </c>
      <c r="AB1199">
        <v>0.43</v>
      </c>
      <c r="AC1199">
        <v>0</v>
      </c>
      <c r="AD1199">
        <v>0</v>
      </c>
    </row>
    <row r="1200" spans="1:30" x14ac:dyDescent="0.55000000000000004">
      <c r="A1200">
        <v>106039</v>
      </c>
      <c r="B1200" s="19">
        <v>43301</v>
      </c>
      <c r="C1200">
        <v>1327</v>
      </c>
      <c r="D1200">
        <v>2018</v>
      </c>
      <c r="E1200">
        <v>25</v>
      </c>
      <c r="F1200">
        <v>712</v>
      </c>
      <c r="G1200">
        <v>3</v>
      </c>
      <c r="H1200">
        <v>2137</v>
      </c>
      <c r="I1200">
        <v>3</v>
      </c>
      <c r="J1200">
        <v>4712.66</v>
      </c>
      <c r="K1200">
        <v>8506.15</v>
      </c>
      <c r="L1200">
        <v>4713.0200000000004</v>
      </c>
      <c r="M1200">
        <v>8506.16</v>
      </c>
      <c r="N1200">
        <v>47.210999999999999</v>
      </c>
      <c r="O1200">
        <v>-85.102500000000006</v>
      </c>
      <c r="P1200">
        <v>47.216999999999999</v>
      </c>
      <c r="Q1200">
        <v>-85.102666999999997</v>
      </c>
      <c r="R1200">
        <v>26762.228330000002</v>
      </c>
      <c r="S1200">
        <v>210</v>
      </c>
      <c r="T1200">
        <v>212</v>
      </c>
      <c r="U1200">
        <v>0.5</v>
      </c>
      <c r="V1200">
        <v>2</v>
      </c>
      <c r="W1200">
        <v>8.6999999999999993</v>
      </c>
      <c r="X1200">
        <v>8.8394999999999992</v>
      </c>
      <c r="Y1200">
        <v>7.3700000000000002E-2</v>
      </c>
      <c r="Z1200">
        <v>92.646699999999996</v>
      </c>
      <c r="AA1200">
        <v>10</v>
      </c>
      <c r="AB1200">
        <v>0.4</v>
      </c>
      <c r="AC1200">
        <v>217</v>
      </c>
      <c r="AD1200">
        <v>4</v>
      </c>
    </row>
    <row r="1201" spans="1:30" x14ac:dyDescent="0.55000000000000004">
      <c r="A1201">
        <v>106040</v>
      </c>
      <c r="B1201" s="19">
        <v>43301</v>
      </c>
      <c r="C1201">
        <v>1327</v>
      </c>
      <c r="D1201">
        <v>2018</v>
      </c>
      <c r="E1201">
        <v>25</v>
      </c>
      <c r="F1201">
        <v>713</v>
      </c>
      <c r="G1201">
        <v>3</v>
      </c>
      <c r="H1201">
        <v>2137</v>
      </c>
      <c r="I1201">
        <v>3</v>
      </c>
      <c r="J1201">
        <v>4712.66</v>
      </c>
      <c r="K1201">
        <v>8506.15</v>
      </c>
      <c r="L1201">
        <v>4713.0200000000004</v>
      </c>
      <c r="M1201">
        <v>8506.16</v>
      </c>
      <c r="N1201">
        <v>47.210999999999999</v>
      </c>
      <c r="O1201">
        <v>-85.102500000000006</v>
      </c>
      <c r="P1201">
        <v>47.216999999999999</v>
      </c>
      <c r="Q1201">
        <v>-85.102666999999997</v>
      </c>
      <c r="R1201">
        <v>26762.228330000002</v>
      </c>
      <c r="S1201">
        <v>210</v>
      </c>
      <c r="T1201">
        <v>212</v>
      </c>
      <c r="U1201">
        <v>0.5</v>
      </c>
      <c r="V1201">
        <v>2</v>
      </c>
      <c r="W1201">
        <v>8.6999999999999993</v>
      </c>
      <c r="X1201">
        <v>8.8394999999999992</v>
      </c>
      <c r="Y1201">
        <v>7.3700000000000002E-2</v>
      </c>
      <c r="Z1201">
        <v>92.646699999999996</v>
      </c>
      <c r="AA1201">
        <v>10</v>
      </c>
      <c r="AB1201">
        <v>0.4</v>
      </c>
      <c r="AC1201">
        <v>217</v>
      </c>
      <c r="AD1201">
        <v>4</v>
      </c>
    </row>
    <row r="1202" spans="1:30" x14ac:dyDescent="0.55000000000000004">
      <c r="A1202">
        <v>106044</v>
      </c>
      <c r="B1202" s="19">
        <v>43301</v>
      </c>
      <c r="C1202">
        <v>1604</v>
      </c>
      <c r="D1202">
        <v>2018</v>
      </c>
      <c r="E1202">
        <v>25</v>
      </c>
      <c r="F1202">
        <v>714</v>
      </c>
      <c r="G1202">
        <v>3</v>
      </c>
      <c r="H1202">
        <v>2121</v>
      </c>
      <c r="I1202">
        <v>3</v>
      </c>
      <c r="J1202">
        <v>4727.26</v>
      </c>
      <c r="K1202">
        <v>8515.99</v>
      </c>
      <c r="L1202">
        <v>4727.5600000000004</v>
      </c>
      <c r="M1202">
        <v>8515.89</v>
      </c>
      <c r="N1202">
        <v>47.454332999999998</v>
      </c>
      <c r="O1202">
        <v>-85.266499999999994</v>
      </c>
      <c r="P1202">
        <v>47.459333000000001</v>
      </c>
      <c r="Q1202">
        <v>-85.264832999999996</v>
      </c>
      <c r="R1202">
        <v>22827.845590000001</v>
      </c>
      <c r="S1202">
        <v>272</v>
      </c>
      <c r="T1202">
        <v>279</v>
      </c>
      <c r="U1202">
        <v>0.5</v>
      </c>
      <c r="V1202">
        <v>2</v>
      </c>
      <c r="W1202">
        <v>9.3000000000000007</v>
      </c>
      <c r="X1202">
        <v>9.4243000000000006</v>
      </c>
      <c r="Y1202">
        <v>9.11E-2</v>
      </c>
      <c r="Z1202">
        <v>92.470399999999998</v>
      </c>
      <c r="AA1202">
        <v>10</v>
      </c>
      <c r="AB1202">
        <v>0.39</v>
      </c>
      <c r="AC1202">
        <v>217</v>
      </c>
      <c r="AD1202">
        <v>2</v>
      </c>
    </row>
    <row r="1203" spans="1:30" x14ac:dyDescent="0.55000000000000004">
      <c r="A1203">
        <v>106045</v>
      </c>
      <c r="B1203" s="19">
        <v>43301</v>
      </c>
      <c r="C1203">
        <v>1604</v>
      </c>
      <c r="D1203">
        <v>2018</v>
      </c>
      <c r="E1203">
        <v>25</v>
      </c>
      <c r="F1203">
        <v>715</v>
      </c>
      <c r="G1203">
        <v>3</v>
      </c>
      <c r="H1203">
        <v>2121</v>
      </c>
      <c r="I1203">
        <v>3</v>
      </c>
      <c r="J1203">
        <v>4727.26</v>
      </c>
      <c r="K1203">
        <v>8515.99</v>
      </c>
      <c r="L1203">
        <v>4727.5600000000004</v>
      </c>
      <c r="M1203">
        <v>8515.89</v>
      </c>
      <c r="N1203">
        <v>47.454332999999998</v>
      </c>
      <c r="O1203">
        <v>-85.266499999999994</v>
      </c>
      <c r="P1203">
        <v>47.459333000000001</v>
      </c>
      <c r="Q1203">
        <v>-85.264832999999996</v>
      </c>
      <c r="R1203">
        <v>22827.845590000001</v>
      </c>
      <c r="S1203">
        <v>272</v>
      </c>
      <c r="T1203">
        <v>279</v>
      </c>
      <c r="U1203">
        <v>0.5</v>
      </c>
      <c r="V1203">
        <v>1</v>
      </c>
      <c r="W1203">
        <v>9.3000000000000007</v>
      </c>
      <c r="X1203">
        <v>9.4243000000000006</v>
      </c>
      <c r="Y1203">
        <v>9.11E-2</v>
      </c>
      <c r="Z1203">
        <v>92.470399999999998</v>
      </c>
      <c r="AA1203">
        <v>10</v>
      </c>
      <c r="AB1203">
        <v>0.39</v>
      </c>
      <c r="AC1203">
        <v>217</v>
      </c>
      <c r="AD1203">
        <v>3</v>
      </c>
    </row>
    <row r="1204" spans="1:30" x14ac:dyDescent="0.55000000000000004">
      <c r="A1204">
        <v>106046</v>
      </c>
      <c r="B1204" s="19">
        <v>43302</v>
      </c>
      <c r="C1204">
        <v>810</v>
      </c>
      <c r="D1204">
        <v>2018</v>
      </c>
      <c r="E1204">
        <v>25</v>
      </c>
      <c r="F1204">
        <v>716</v>
      </c>
      <c r="G1204">
        <v>3</v>
      </c>
      <c r="H1204">
        <v>2059</v>
      </c>
      <c r="I1204">
        <v>3</v>
      </c>
      <c r="J1204">
        <v>4742.21</v>
      </c>
      <c r="K1204">
        <v>8557.8799999999992</v>
      </c>
      <c r="L1204">
        <v>4742.07</v>
      </c>
      <c r="M1204">
        <v>8557.34</v>
      </c>
      <c r="N1204">
        <v>47.703499999999998</v>
      </c>
      <c r="O1204">
        <v>-85.964667000000006</v>
      </c>
      <c r="P1204">
        <v>47.701166999999998</v>
      </c>
      <c r="Q1204">
        <v>-85.955667000000005</v>
      </c>
      <c r="R1204">
        <v>1797.424289</v>
      </c>
      <c r="S1204">
        <v>107</v>
      </c>
      <c r="T1204">
        <v>109</v>
      </c>
      <c r="U1204">
        <v>0.5</v>
      </c>
      <c r="V1204">
        <v>2</v>
      </c>
      <c r="W1204">
        <v>8.3000000000000007</v>
      </c>
      <c r="X1204">
        <v>8.2490000000000006</v>
      </c>
      <c r="Y1204">
        <v>0.4773</v>
      </c>
      <c r="Z1204">
        <v>89.131500000000003</v>
      </c>
      <c r="AA1204">
        <v>10</v>
      </c>
      <c r="AB1204">
        <v>0.43</v>
      </c>
      <c r="AC1204">
        <v>217</v>
      </c>
      <c r="AD1204">
        <v>75</v>
      </c>
    </row>
    <row r="1205" spans="1:30" x14ac:dyDescent="0.55000000000000004">
      <c r="A1205">
        <v>106047</v>
      </c>
      <c r="B1205" s="19">
        <v>43302</v>
      </c>
      <c r="C1205">
        <v>810</v>
      </c>
      <c r="D1205">
        <v>2018</v>
      </c>
      <c r="E1205">
        <v>25</v>
      </c>
      <c r="F1205">
        <v>717</v>
      </c>
      <c r="G1205">
        <v>3</v>
      </c>
      <c r="H1205">
        <v>2059</v>
      </c>
      <c r="I1205">
        <v>3</v>
      </c>
      <c r="J1205">
        <v>4742.21</v>
      </c>
      <c r="K1205">
        <v>8557.8799999999992</v>
      </c>
      <c r="L1205">
        <v>4742.07</v>
      </c>
      <c r="M1205">
        <v>8557.34</v>
      </c>
      <c r="N1205">
        <v>47.703499999999998</v>
      </c>
      <c r="O1205">
        <v>-85.964667000000006</v>
      </c>
      <c r="P1205">
        <v>47.701166999999998</v>
      </c>
      <c r="Q1205">
        <v>-85.955667000000005</v>
      </c>
      <c r="R1205">
        <v>1797.424289</v>
      </c>
      <c r="S1205">
        <v>107</v>
      </c>
      <c r="T1205">
        <v>109</v>
      </c>
      <c r="U1205">
        <v>0.5</v>
      </c>
      <c r="V1205">
        <v>2</v>
      </c>
      <c r="W1205">
        <v>8.3000000000000007</v>
      </c>
      <c r="X1205">
        <v>8.2490000000000006</v>
      </c>
      <c r="Y1205">
        <v>0.4773</v>
      </c>
      <c r="Z1205">
        <v>89.131500000000003</v>
      </c>
      <c r="AA1205">
        <v>10</v>
      </c>
      <c r="AB1205">
        <v>0.43</v>
      </c>
      <c r="AC1205">
        <v>217</v>
      </c>
      <c r="AD1205">
        <v>71</v>
      </c>
    </row>
    <row r="1206" spans="1:30" x14ac:dyDescent="0.55000000000000004">
      <c r="A1206">
        <v>106048</v>
      </c>
      <c r="B1206" s="19">
        <v>43302</v>
      </c>
      <c r="C1206">
        <v>1056</v>
      </c>
      <c r="D1206">
        <v>2018</v>
      </c>
      <c r="E1206">
        <v>25</v>
      </c>
      <c r="F1206">
        <v>718</v>
      </c>
      <c r="G1206">
        <v>3</v>
      </c>
      <c r="H1206">
        <v>2153</v>
      </c>
      <c r="I1206">
        <v>3</v>
      </c>
      <c r="J1206">
        <v>4725.26</v>
      </c>
      <c r="K1206">
        <v>8540.0300000000007</v>
      </c>
      <c r="L1206">
        <v>4724.8599999999997</v>
      </c>
      <c r="M1206">
        <v>8539.9699999999993</v>
      </c>
      <c r="N1206">
        <v>47.420999999999999</v>
      </c>
      <c r="O1206">
        <v>-85.667167000000006</v>
      </c>
      <c r="P1206">
        <v>47.414332999999999</v>
      </c>
      <c r="Q1206">
        <v>-85.666167000000002</v>
      </c>
      <c r="R1206">
        <v>9802.0663349999995</v>
      </c>
      <c r="S1206">
        <v>153</v>
      </c>
      <c r="T1206">
        <v>150</v>
      </c>
      <c r="U1206">
        <v>0.5</v>
      </c>
      <c r="V1206">
        <v>2</v>
      </c>
      <c r="W1206">
        <v>6.2</v>
      </c>
      <c r="X1206">
        <v>5.7630999999999997</v>
      </c>
      <c r="Y1206">
        <v>0.15939999999999999</v>
      </c>
      <c r="Z1206">
        <v>91.909000000000006</v>
      </c>
      <c r="AA1206">
        <v>10</v>
      </c>
      <c r="AB1206">
        <v>0.42</v>
      </c>
      <c r="AC1206">
        <v>217</v>
      </c>
      <c r="AD1206">
        <v>4</v>
      </c>
    </row>
    <row r="1207" spans="1:30" x14ac:dyDescent="0.55000000000000004">
      <c r="A1207">
        <v>106049</v>
      </c>
      <c r="B1207" s="19">
        <v>43302</v>
      </c>
      <c r="C1207">
        <v>1056</v>
      </c>
      <c r="D1207">
        <v>2018</v>
      </c>
      <c r="E1207">
        <v>25</v>
      </c>
      <c r="F1207">
        <v>719</v>
      </c>
      <c r="G1207">
        <v>3</v>
      </c>
      <c r="H1207">
        <v>2153</v>
      </c>
      <c r="I1207">
        <v>3</v>
      </c>
      <c r="J1207">
        <v>4725.26</v>
      </c>
      <c r="K1207">
        <v>8540.0300000000007</v>
      </c>
      <c r="L1207">
        <v>4724.8599999999997</v>
      </c>
      <c r="M1207">
        <v>8539.9699999999993</v>
      </c>
      <c r="N1207">
        <v>47.420999999999999</v>
      </c>
      <c r="O1207">
        <v>-85.667167000000006</v>
      </c>
      <c r="P1207">
        <v>47.414332999999999</v>
      </c>
      <c r="Q1207">
        <v>-85.666167000000002</v>
      </c>
      <c r="R1207">
        <v>9802.0663349999995</v>
      </c>
      <c r="S1207">
        <v>153</v>
      </c>
      <c r="T1207">
        <v>150</v>
      </c>
      <c r="U1207">
        <v>0.5</v>
      </c>
      <c r="V1207">
        <v>2</v>
      </c>
      <c r="W1207">
        <v>6.2</v>
      </c>
      <c r="X1207">
        <v>5.7630999999999997</v>
      </c>
      <c r="Y1207">
        <v>0.15939999999999999</v>
      </c>
      <c r="Z1207">
        <v>91.909000000000006</v>
      </c>
      <c r="AA1207">
        <v>10</v>
      </c>
      <c r="AB1207">
        <v>0.42</v>
      </c>
      <c r="AC1207">
        <v>217</v>
      </c>
      <c r="AD1207">
        <v>9</v>
      </c>
    </row>
    <row r="1208" spans="1:30" x14ac:dyDescent="0.55000000000000004">
      <c r="A1208">
        <v>106054</v>
      </c>
      <c r="B1208" s="19">
        <v>43302</v>
      </c>
      <c r="C1208">
        <v>1326</v>
      </c>
      <c r="D1208">
        <v>2018</v>
      </c>
      <c r="E1208">
        <v>25</v>
      </c>
      <c r="F1208">
        <v>720</v>
      </c>
      <c r="G1208">
        <v>3</v>
      </c>
      <c r="H1208">
        <v>2129</v>
      </c>
      <c r="I1208">
        <v>3</v>
      </c>
      <c r="J1208">
        <v>4738.7</v>
      </c>
      <c r="K1208">
        <v>8533.7099999999991</v>
      </c>
      <c r="L1208">
        <v>4739.0600000000004</v>
      </c>
      <c r="M1208">
        <v>8533.57</v>
      </c>
      <c r="N1208">
        <v>47.645000000000003</v>
      </c>
      <c r="O1208">
        <v>-85.561832999999993</v>
      </c>
      <c r="P1208">
        <v>47.651000000000003</v>
      </c>
      <c r="Q1208">
        <v>-85.5595</v>
      </c>
      <c r="R1208">
        <v>9854.5266200000005</v>
      </c>
      <c r="S1208">
        <v>195</v>
      </c>
      <c r="T1208">
        <v>199</v>
      </c>
      <c r="U1208">
        <v>0.5</v>
      </c>
      <c r="V1208">
        <v>2</v>
      </c>
      <c r="W1208">
        <v>6.9</v>
      </c>
      <c r="X1208">
        <v>6.8547000000000002</v>
      </c>
      <c r="Y1208">
        <v>0.13320000000000001</v>
      </c>
      <c r="Z1208">
        <v>93.071399999999997</v>
      </c>
      <c r="AA1208">
        <v>10</v>
      </c>
      <c r="AB1208">
        <v>0.41</v>
      </c>
      <c r="AC1208">
        <v>217</v>
      </c>
      <c r="AD1208">
        <v>19</v>
      </c>
    </row>
    <row r="1209" spans="1:30" x14ac:dyDescent="0.55000000000000004">
      <c r="A1209">
        <v>106055</v>
      </c>
      <c r="B1209" s="19">
        <v>43302</v>
      </c>
      <c r="C1209">
        <v>1326</v>
      </c>
      <c r="D1209">
        <v>2018</v>
      </c>
      <c r="E1209">
        <v>25</v>
      </c>
      <c r="F1209">
        <v>721</v>
      </c>
      <c r="G1209">
        <v>3</v>
      </c>
      <c r="H1209">
        <v>2129</v>
      </c>
      <c r="I1209">
        <v>3</v>
      </c>
      <c r="J1209">
        <v>4738.7</v>
      </c>
      <c r="K1209">
        <v>8533.7099999999991</v>
      </c>
      <c r="L1209">
        <v>4739.0600000000004</v>
      </c>
      <c r="M1209">
        <v>8533.57</v>
      </c>
      <c r="N1209">
        <v>47.645000000000003</v>
      </c>
      <c r="O1209">
        <v>-85.561832999999993</v>
      </c>
      <c r="P1209">
        <v>47.651000000000003</v>
      </c>
      <c r="Q1209">
        <v>-85.5595</v>
      </c>
      <c r="R1209">
        <v>9854.5266200000005</v>
      </c>
      <c r="S1209">
        <v>195</v>
      </c>
      <c r="T1209">
        <v>199</v>
      </c>
      <c r="U1209">
        <v>0.5</v>
      </c>
      <c r="V1209">
        <v>2</v>
      </c>
      <c r="W1209">
        <v>6.9</v>
      </c>
      <c r="X1209">
        <v>6.8547000000000002</v>
      </c>
      <c r="Y1209">
        <v>0.13320000000000001</v>
      </c>
      <c r="Z1209">
        <v>93.071399999999997</v>
      </c>
      <c r="AA1209">
        <v>10</v>
      </c>
      <c r="AB1209">
        <v>0.41</v>
      </c>
      <c r="AC1209">
        <v>217</v>
      </c>
      <c r="AD1209">
        <v>13</v>
      </c>
    </row>
    <row r="1210" spans="1:30" x14ac:dyDescent="0.55000000000000004">
      <c r="A1210">
        <v>106056</v>
      </c>
      <c r="B1210" s="19">
        <v>43303</v>
      </c>
      <c r="C1210">
        <v>845</v>
      </c>
      <c r="D1210">
        <v>2018</v>
      </c>
      <c r="E1210">
        <v>25</v>
      </c>
      <c r="F1210">
        <v>722</v>
      </c>
      <c r="G1210">
        <v>3</v>
      </c>
      <c r="H1210">
        <v>2145</v>
      </c>
      <c r="I1210">
        <v>3</v>
      </c>
      <c r="J1210">
        <v>4738.1400000000003</v>
      </c>
      <c r="K1210">
        <v>8606.4599999999991</v>
      </c>
      <c r="L1210">
        <v>4737.8599999999997</v>
      </c>
      <c r="M1210">
        <v>8606.8799999999992</v>
      </c>
      <c r="N1210">
        <v>47.635666999999998</v>
      </c>
      <c r="O1210">
        <v>-86.107667000000006</v>
      </c>
      <c r="P1210">
        <v>47.631</v>
      </c>
      <c r="Q1210">
        <v>-86.114666999999997</v>
      </c>
      <c r="R1210">
        <v>15028.34283</v>
      </c>
      <c r="S1210">
        <v>150</v>
      </c>
      <c r="T1210">
        <v>143</v>
      </c>
      <c r="U1210">
        <v>0.5</v>
      </c>
      <c r="V1210">
        <v>2</v>
      </c>
      <c r="W1210">
        <v>9.1999999999999993</v>
      </c>
      <c r="X1210">
        <v>8.9936000000000007</v>
      </c>
      <c r="Y1210">
        <v>0.2737</v>
      </c>
      <c r="Z1210">
        <v>89.037199999999999</v>
      </c>
      <c r="AA1210">
        <v>10</v>
      </c>
      <c r="AB1210">
        <v>0.44</v>
      </c>
      <c r="AC1210">
        <v>217</v>
      </c>
      <c r="AD1210">
        <v>20</v>
      </c>
    </row>
    <row r="1211" spans="1:30" x14ac:dyDescent="0.55000000000000004">
      <c r="A1211">
        <v>106057</v>
      </c>
      <c r="B1211" s="19">
        <v>43303</v>
      </c>
      <c r="C1211">
        <v>845</v>
      </c>
      <c r="D1211">
        <v>2018</v>
      </c>
      <c r="E1211">
        <v>25</v>
      </c>
      <c r="F1211">
        <v>723</v>
      </c>
      <c r="G1211">
        <v>3</v>
      </c>
      <c r="H1211">
        <v>2145</v>
      </c>
      <c r="I1211">
        <v>3</v>
      </c>
      <c r="J1211">
        <v>4738.1400000000003</v>
      </c>
      <c r="K1211">
        <v>8606.4599999999991</v>
      </c>
      <c r="L1211">
        <v>4737.8599999999997</v>
      </c>
      <c r="M1211">
        <v>8606.8799999999992</v>
      </c>
      <c r="N1211">
        <v>47.635666999999998</v>
      </c>
      <c r="O1211">
        <v>-86.107667000000006</v>
      </c>
      <c r="P1211">
        <v>47.631</v>
      </c>
      <c r="Q1211">
        <v>-86.114666999999997</v>
      </c>
      <c r="R1211">
        <v>15028.34283</v>
      </c>
      <c r="S1211">
        <v>150</v>
      </c>
      <c r="T1211">
        <v>143</v>
      </c>
      <c r="U1211">
        <v>0.5</v>
      </c>
      <c r="V1211">
        <v>2</v>
      </c>
      <c r="W1211">
        <v>9.1999999999999993</v>
      </c>
      <c r="X1211">
        <v>8.9936000000000007</v>
      </c>
      <c r="Y1211">
        <v>0.2737</v>
      </c>
      <c r="Z1211">
        <v>89.037199999999999</v>
      </c>
      <c r="AA1211">
        <v>10</v>
      </c>
      <c r="AB1211">
        <v>0.44</v>
      </c>
      <c r="AC1211">
        <v>217</v>
      </c>
      <c r="AD1211">
        <v>12</v>
      </c>
    </row>
    <row r="1212" spans="1:30" x14ac:dyDescent="0.55000000000000004">
      <c r="A1212">
        <v>106058</v>
      </c>
      <c r="B1212" s="19">
        <v>43303</v>
      </c>
      <c r="C1212">
        <v>1013</v>
      </c>
      <c r="D1212">
        <v>2018</v>
      </c>
      <c r="E1212">
        <v>25</v>
      </c>
      <c r="F1212">
        <v>724</v>
      </c>
      <c r="G1212">
        <v>3</v>
      </c>
      <c r="H1212">
        <v>2165</v>
      </c>
      <c r="I1212">
        <v>3</v>
      </c>
      <c r="J1212">
        <v>4735.79</v>
      </c>
      <c r="K1212">
        <v>8613.51</v>
      </c>
      <c r="L1212">
        <v>4735.3999999999996</v>
      </c>
      <c r="M1212">
        <v>8613.5</v>
      </c>
      <c r="N1212">
        <v>47.596499999999999</v>
      </c>
      <c r="O1212">
        <v>-86.225166999999999</v>
      </c>
      <c r="P1212">
        <v>47.59</v>
      </c>
      <c r="Q1212">
        <v>-86.224999999999994</v>
      </c>
      <c r="R1212">
        <v>24345.13019</v>
      </c>
      <c r="S1212">
        <v>133</v>
      </c>
      <c r="T1212">
        <v>132</v>
      </c>
      <c r="U1212">
        <v>0.5</v>
      </c>
      <c r="V1212">
        <v>2</v>
      </c>
      <c r="W1212">
        <v>6.7</v>
      </c>
      <c r="X1212">
        <v>6.3304</v>
      </c>
      <c r="Y1212">
        <v>0.1171</v>
      </c>
      <c r="Z1212">
        <v>90.906499999999994</v>
      </c>
      <c r="AA1212">
        <v>10</v>
      </c>
      <c r="AB1212">
        <v>0.42</v>
      </c>
      <c r="AC1212">
        <v>217</v>
      </c>
      <c r="AD1212">
        <v>41</v>
      </c>
    </row>
    <row r="1213" spans="1:30" x14ac:dyDescent="0.55000000000000004">
      <c r="A1213">
        <v>106059</v>
      </c>
      <c r="B1213" s="19">
        <v>43303</v>
      </c>
      <c r="C1213">
        <v>1013</v>
      </c>
      <c r="D1213">
        <v>2018</v>
      </c>
      <c r="E1213">
        <v>25</v>
      </c>
      <c r="F1213">
        <v>725</v>
      </c>
      <c r="G1213">
        <v>3</v>
      </c>
      <c r="H1213">
        <v>2165</v>
      </c>
      <c r="I1213">
        <v>3</v>
      </c>
      <c r="J1213">
        <v>4735.79</v>
      </c>
      <c r="K1213">
        <v>8613.51</v>
      </c>
      <c r="L1213">
        <v>4735.3999999999996</v>
      </c>
      <c r="M1213">
        <v>8613.5</v>
      </c>
      <c r="N1213">
        <v>47.596499999999999</v>
      </c>
      <c r="O1213">
        <v>-86.225166999999999</v>
      </c>
      <c r="P1213">
        <v>47.59</v>
      </c>
      <c r="Q1213">
        <v>-86.224999999999994</v>
      </c>
      <c r="R1213">
        <v>24345.13019</v>
      </c>
      <c r="S1213">
        <v>133</v>
      </c>
      <c r="T1213">
        <v>132</v>
      </c>
      <c r="U1213">
        <v>0.5</v>
      </c>
      <c r="V1213">
        <v>2</v>
      </c>
      <c r="W1213">
        <v>6.7</v>
      </c>
      <c r="X1213">
        <v>6.3304</v>
      </c>
      <c r="Y1213">
        <v>0.1171</v>
      </c>
      <c r="Z1213">
        <v>90.906499999999994</v>
      </c>
      <c r="AA1213">
        <v>10</v>
      </c>
      <c r="AB1213">
        <v>0.42</v>
      </c>
      <c r="AC1213">
        <v>217</v>
      </c>
      <c r="AD1213">
        <v>24</v>
      </c>
    </row>
    <row r="1214" spans="1:30" x14ac:dyDescent="0.55000000000000004">
      <c r="A1214">
        <v>106060</v>
      </c>
      <c r="B1214" s="19">
        <v>43303</v>
      </c>
      <c r="C1214">
        <v>1255</v>
      </c>
      <c r="D1214">
        <v>2018</v>
      </c>
      <c r="E1214">
        <v>25</v>
      </c>
      <c r="F1214">
        <v>726</v>
      </c>
      <c r="G1214">
        <v>3</v>
      </c>
      <c r="H1214">
        <v>2126</v>
      </c>
      <c r="I1214">
        <v>3</v>
      </c>
      <c r="J1214">
        <v>4723.82</v>
      </c>
      <c r="K1214">
        <v>8628.16</v>
      </c>
      <c r="L1214">
        <v>4724.21</v>
      </c>
      <c r="M1214">
        <v>8628.2900000000009</v>
      </c>
      <c r="N1214">
        <v>47.396999999999998</v>
      </c>
      <c r="O1214">
        <v>-86.469333000000006</v>
      </c>
      <c r="P1214">
        <v>47.403500000000001</v>
      </c>
      <c r="Q1214">
        <v>-86.471500000000006</v>
      </c>
      <c r="R1214">
        <v>48597.18664</v>
      </c>
      <c r="S1214">
        <v>315</v>
      </c>
      <c r="T1214">
        <v>317</v>
      </c>
      <c r="U1214">
        <v>0.5</v>
      </c>
      <c r="V1214">
        <v>2</v>
      </c>
      <c r="W1214">
        <v>4.5</v>
      </c>
      <c r="X1214">
        <v>4.3129999999999997</v>
      </c>
      <c r="Y1214">
        <v>0.1237</v>
      </c>
      <c r="Z1214">
        <v>92.643299999999996</v>
      </c>
      <c r="AA1214">
        <v>10</v>
      </c>
      <c r="AB1214">
        <v>0.41</v>
      </c>
      <c r="AC1214">
        <v>217</v>
      </c>
      <c r="AD1214">
        <v>2</v>
      </c>
    </row>
    <row r="1215" spans="1:30" x14ac:dyDescent="0.55000000000000004">
      <c r="A1215">
        <v>106061</v>
      </c>
      <c r="B1215" s="19">
        <v>43303</v>
      </c>
      <c r="C1215">
        <v>1255</v>
      </c>
      <c r="D1215">
        <v>2018</v>
      </c>
      <c r="E1215">
        <v>25</v>
      </c>
      <c r="F1215">
        <v>727</v>
      </c>
      <c r="G1215">
        <v>3</v>
      </c>
      <c r="H1215">
        <v>2126</v>
      </c>
      <c r="I1215">
        <v>3</v>
      </c>
      <c r="J1215">
        <v>4723.82</v>
      </c>
      <c r="K1215">
        <v>8628.16</v>
      </c>
      <c r="L1215">
        <v>4724.21</v>
      </c>
      <c r="M1215">
        <v>8628.2900000000009</v>
      </c>
      <c r="N1215">
        <v>47.396999999999998</v>
      </c>
      <c r="O1215">
        <v>-86.469333000000006</v>
      </c>
      <c r="P1215">
        <v>47.403500000000001</v>
      </c>
      <c r="Q1215">
        <v>-86.471500000000006</v>
      </c>
      <c r="R1215">
        <v>48597.18664</v>
      </c>
      <c r="S1215">
        <v>315</v>
      </c>
      <c r="T1215">
        <v>317</v>
      </c>
      <c r="U1215">
        <v>0.5</v>
      </c>
      <c r="V1215">
        <v>2</v>
      </c>
      <c r="W1215">
        <v>4.5</v>
      </c>
      <c r="X1215">
        <v>4.3129999999999997</v>
      </c>
      <c r="Y1215">
        <v>0.1237</v>
      </c>
      <c r="Z1215">
        <v>92.643299999999996</v>
      </c>
      <c r="AA1215">
        <v>10</v>
      </c>
      <c r="AB1215">
        <v>0.41</v>
      </c>
      <c r="AC1215">
        <v>217</v>
      </c>
      <c r="AD1215">
        <v>4</v>
      </c>
    </row>
    <row r="1216" spans="1:30" x14ac:dyDescent="0.55000000000000004">
      <c r="A1216">
        <v>106068</v>
      </c>
      <c r="B1216" s="19">
        <v>43304</v>
      </c>
      <c r="C1216">
        <v>1108</v>
      </c>
      <c r="D1216">
        <v>2018</v>
      </c>
      <c r="E1216">
        <v>25</v>
      </c>
      <c r="F1216">
        <v>728</v>
      </c>
      <c r="G1216">
        <v>3</v>
      </c>
      <c r="H1216">
        <v>2119</v>
      </c>
      <c r="I1216">
        <v>3</v>
      </c>
      <c r="J1216">
        <v>4749.51</v>
      </c>
      <c r="K1216">
        <v>8641.85</v>
      </c>
      <c r="L1216">
        <v>4749.87</v>
      </c>
      <c r="M1216">
        <v>8642.0300000000007</v>
      </c>
      <c r="N1216">
        <v>47.825167</v>
      </c>
      <c r="O1216">
        <v>-86.697500000000005</v>
      </c>
      <c r="P1216">
        <v>47.831167000000001</v>
      </c>
      <c r="Q1216">
        <v>-86.700500000000005</v>
      </c>
      <c r="R1216">
        <v>56390.372300000003</v>
      </c>
      <c r="S1216">
        <v>270</v>
      </c>
      <c r="T1216">
        <v>270</v>
      </c>
      <c r="U1216">
        <v>0.5</v>
      </c>
      <c r="V1216">
        <v>2</v>
      </c>
      <c r="W1216">
        <v>5.6</v>
      </c>
      <c r="X1216">
        <v>4.3741000000000003</v>
      </c>
      <c r="Y1216">
        <v>8.4500000000000006E-2</v>
      </c>
      <c r="Z1216">
        <v>79.472200000000001</v>
      </c>
      <c r="AA1216">
        <v>10</v>
      </c>
      <c r="AB1216">
        <v>0.43</v>
      </c>
      <c r="AC1216">
        <v>0</v>
      </c>
      <c r="AD1216">
        <v>0</v>
      </c>
    </row>
    <row r="1217" spans="1:30" x14ac:dyDescent="0.55000000000000004">
      <c r="A1217">
        <v>106069</v>
      </c>
      <c r="B1217" s="19">
        <v>43304</v>
      </c>
      <c r="C1217">
        <v>1108</v>
      </c>
      <c r="D1217">
        <v>2018</v>
      </c>
      <c r="E1217">
        <v>25</v>
      </c>
      <c r="F1217">
        <v>729</v>
      </c>
      <c r="G1217">
        <v>3</v>
      </c>
      <c r="H1217">
        <v>2119</v>
      </c>
      <c r="I1217">
        <v>3</v>
      </c>
      <c r="J1217">
        <v>4749.51</v>
      </c>
      <c r="K1217">
        <v>8641.85</v>
      </c>
      <c r="L1217">
        <v>4749.87</v>
      </c>
      <c r="M1217">
        <v>8642.0300000000007</v>
      </c>
      <c r="N1217">
        <v>47.825167</v>
      </c>
      <c r="O1217">
        <v>-86.697500000000005</v>
      </c>
      <c r="P1217">
        <v>47.831167000000001</v>
      </c>
      <c r="Q1217">
        <v>-86.700500000000005</v>
      </c>
      <c r="R1217">
        <v>56390.372300000003</v>
      </c>
      <c r="S1217">
        <v>270</v>
      </c>
      <c r="T1217">
        <v>270</v>
      </c>
      <c r="U1217">
        <v>0.5</v>
      </c>
      <c r="V1217">
        <v>2</v>
      </c>
      <c r="W1217">
        <v>5.6</v>
      </c>
      <c r="X1217">
        <v>4.3741000000000003</v>
      </c>
      <c r="Y1217">
        <v>8.4500000000000006E-2</v>
      </c>
      <c r="Z1217">
        <v>79.472200000000001</v>
      </c>
      <c r="AA1217">
        <v>10</v>
      </c>
      <c r="AB1217">
        <v>0.43</v>
      </c>
      <c r="AC1217">
        <v>0</v>
      </c>
      <c r="AD1217">
        <v>0</v>
      </c>
    </row>
    <row r="1218" spans="1:30" x14ac:dyDescent="0.55000000000000004">
      <c r="A1218">
        <v>106070</v>
      </c>
      <c r="B1218" s="19">
        <v>43304</v>
      </c>
      <c r="C1218">
        <v>1329</v>
      </c>
      <c r="D1218">
        <v>2018</v>
      </c>
      <c r="E1218">
        <v>25</v>
      </c>
      <c r="F1218">
        <v>730</v>
      </c>
      <c r="G1218">
        <v>3</v>
      </c>
      <c r="H1218">
        <v>2135</v>
      </c>
      <c r="I1218">
        <v>3</v>
      </c>
      <c r="J1218">
        <v>4801.38</v>
      </c>
      <c r="K1218">
        <v>8638.36</v>
      </c>
      <c r="L1218">
        <v>4801.38</v>
      </c>
      <c r="M1218">
        <v>8637.7199999999993</v>
      </c>
      <c r="N1218">
        <v>48.023000000000003</v>
      </c>
      <c r="O1218">
        <v>-86.639332999999993</v>
      </c>
      <c r="P1218">
        <v>48.023000000000003</v>
      </c>
      <c r="Q1218">
        <v>-86.628666999999993</v>
      </c>
      <c r="R1218">
        <v>43796.03703</v>
      </c>
      <c r="S1218">
        <v>141</v>
      </c>
      <c r="T1218">
        <v>143</v>
      </c>
      <c r="U1218">
        <v>0.5</v>
      </c>
      <c r="V1218">
        <v>2</v>
      </c>
      <c r="W1218">
        <v>8.1999999999999993</v>
      </c>
      <c r="X1218">
        <v>7.0923999999999996</v>
      </c>
      <c r="Y1218">
        <v>0.13519999999999999</v>
      </c>
      <c r="Z1218">
        <v>89.068299999999994</v>
      </c>
      <c r="AA1218">
        <v>10</v>
      </c>
      <c r="AB1218">
        <v>0.43</v>
      </c>
      <c r="AC1218">
        <v>0</v>
      </c>
      <c r="AD1218">
        <v>0</v>
      </c>
    </row>
    <row r="1219" spans="1:30" x14ac:dyDescent="0.55000000000000004">
      <c r="A1219">
        <v>106071</v>
      </c>
      <c r="B1219" s="19">
        <v>43304</v>
      </c>
      <c r="C1219">
        <v>1329</v>
      </c>
      <c r="D1219">
        <v>2018</v>
      </c>
      <c r="E1219">
        <v>25</v>
      </c>
      <c r="F1219">
        <v>731</v>
      </c>
      <c r="G1219">
        <v>3</v>
      </c>
      <c r="H1219">
        <v>2135</v>
      </c>
      <c r="I1219">
        <v>3</v>
      </c>
      <c r="J1219">
        <v>4801.38</v>
      </c>
      <c r="K1219">
        <v>8638.36</v>
      </c>
      <c r="L1219">
        <v>4801.38</v>
      </c>
      <c r="M1219">
        <v>8637.7199999999993</v>
      </c>
      <c r="N1219">
        <v>48.023000000000003</v>
      </c>
      <c r="O1219">
        <v>-86.639332999999993</v>
      </c>
      <c r="P1219">
        <v>48.023000000000003</v>
      </c>
      <c r="Q1219">
        <v>-86.628666999999993</v>
      </c>
      <c r="R1219">
        <v>43796.03703</v>
      </c>
      <c r="S1219">
        <v>141</v>
      </c>
      <c r="T1219">
        <v>143</v>
      </c>
      <c r="U1219">
        <v>0.5</v>
      </c>
      <c r="V1219">
        <v>2</v>
      </c>
      <c r="W1219">
        <v>8.1999999999999993</v>
      </c>
      <c r="X1219">
        <v>7.0923999999999996</v>
      </c>
      <c r="Y1219">
        <v>0.13519999999999999</v>
      </c>
      <c r="Z1219">
        <v>89.068299999999994</v>
      </c>
      <c r="AA1219">
        <v>10</v>
      </c>
      <c r="AB1219">
        <v>0.43</v>
      </c>
      <c r="AC1219">
        <v>217</v>
      </c>
      <c r="AD1219">
        <v>1</v>
      </c>
    </row>
    <row r="1220" spans="1:30" x14ac:dyDescent="0.55000000000000004">
      <c r="A1220">
        <v>106072</v>
      </c>
      <c r="B1220" s="19">
        <v>43305</v>
      </c>
      <c r="C1220">
        <v>912</v>
      </c>
      <c r="D1220">
        <v>2018</v>
      </c>
      <c r="E1220">
        <v>25</v>
      </c>
      <c r="F1220">
        <v>732</v>
      </c>
      <c r="G1220">
        <v>3</v>
      </c>
      <c r="H1220">
        <v>2139</v>
      </c>
      <c r="I1220">
        <v>3</v>
      </c>
      <c r="J1220">
        <v>4821.2</v>
      </c>
      <c r="K1220">
        <v>8658.9599999999991</v>
      </c>
      <c r="L1220">
        <v>4821.4399999999996</v>
      </c>
      <c r="M1220">
        <v>8658.4699999999993</v>
      </c>
      <c r="N1220">
        <v>48.353332999999999</v>
      </c>
      <c r="O1220">
        <v>-86.982667000000006</v>
      </c>
      <c r="P1220">
        <v>48.357332999999997</v>
      </c>
      <c r="Q1220">
        <v>-86.974500000000006</v>
      </c>
      <c r="R1220">
        <v>29798.95262</v>
      </c>
      <c r="S1220">
        <v>187</v>
      </c>
      <c r="T1220">
        <v>191</v>
      </c>
      <c r="U1220">
        <v>0.5</v>
      </c>
      <c r="V1220">
        <v>2</v>
      </c>
      <c r="W1220">
        <v>6.5</v>
      </c>
      <c r="X1220">
        <v>6.1219000000000001</v>
      </c>
      <c r="Y1220">
        <v>9.4200000000000006E-2</v>
      </c>
      <c r="Z1220">
        <v>92.492599999999996</v>
      </c>
      <c r="AA1220">
        <v>10</v>
      </c>
      <c r="AB1220">
        <v>0.42</v>
      </c>
      <c r="AC1220">
        <v>217</v>
      </c>
      <c r="AD1220">
        <v>7</v>
      </c>
    </row>
    <row r="1221" spans="1:30" x14ac:dyDescent="0.55000000000000004">
      <c r="A1221">
        <v>106073</v>
      </c>
      <c r="B1221" s="19">
        <v>43305</v>
      </c>
      <c r="C1221">
        <v>912</v>
      </c>
      <c r="D1221">
        <v>2018</v>
      </c>
      <c r="E1221">
        <v>25</v>
      </c>
      <c r="F1221">
        <v>733</v>
      </c>
      <c r="G1221">
        <v>3</v>
      </c>
      <c r="H1221">
        <v>2139</v>
      </c>
      <c r="I1221">
        <v>3</v>
      </c>
      <c r="J1221">
        <v>4821.2</v>
      </c>
      <c r="K1221">
        <v>8658.9599999999991</v>
      </c>
      <c r="L1221">
        <v>4821.4399999999996</v>
      </c>
      <c r="M1221">
        <v>8658.4699999999993</v>
      </c>
      <c r="N1221">
        <v>48.353332999999999</v>
      </c>
      <c r="O1221">
        <v>-86.982667000000006</v>
      </c>
      <c r="P1221">
        <v>48.357332999999997</v>
      </c>
      <c r="Q1221">
        <v>-86.974500000000006</v>
      </c>
      <c r="R1221">
        <v>29798.95262</v>
      </c>
      <c r="S1221">
        <v>187</v>
      </c>
      <c r="T1221">
        <v>191</v>
      </c>
      <c r="U1221">
        <v>0.5</v>
      </c>
      <c r="V1221">
        <v>2</v>
      </c>
      <c r="W1221">
        <v>6.5</v>
      </c>
      <c r="X1221">
        <v>6.1219000000000001</v>
      </c>
      <c r="Y1221">
        <v>9.4200000000000006E-2</v>
      </c>
      <c r="Z1221">
        <v>92.492599999999996</v>
      </c>
      <c r="AA1221">
        <v>10</v>
      </c>
      <c r="AB1221">
        <v>0.42</v>
      </c>
      <c r="AC1221">
        <v>217</v>
      </c>
      <c r="AD1221">
        <v>2</v>
      </c>
    </row>
    <row r="1222" spans="1:30" x14ac:dyDescent="0.55000000000000004">
      <c r="A1222">
        <v>106074</v>
      </c>
      <c r="B1222" s="19">
        <v>43305</v>
      </c>
      <c r="C1222">
        <v>1235</v>
      </c>
      <c r="D1222">
        <v>2018</v>
      </c>
      <c r="E1222">
        <v>25</v>
      </c>
      <c r="F1222">
        <v>734</v>
      </c>
      <c r="G1222">
        <v>3</v>
      </c>
      <c r="H1222">
        <v>753</v>
      </c>
      <c r="I1222">
        <v>3</v>
      </c>
      <c r="J1222">
        <v>4842.84</v>
      </c>
      <c r="K1222">
        <v>8717.7800000000007</v>
      </c>
      <c r="L1222">
        <v>4843.1000000000004</v>
      </c>
      <c r="M1222">
        <v>8718.2900000000009</v>
      </c>
      <c r="N1222">
        <v>48.713999999999999</v>
      </c>
      <c r="O1222">
        <v>-87.296333000000004</v>
      </c>
      <c r="P1222">
        <v>48.718333000000001</v>
      </c>
      <c r="Q1222">
        <v>-87.304833000000002</v>
      </c>
      <c r="R1222">
        <v>4431.155127</v>
      </c>
      <c r="S1222">
        <v>169</v>
      </c>
      <c r="T1222">
        <v>165</v>
      </c>
      <c r="U1222">
        <v>0.5</v>
      </c>
      <c r="V1222">
        <v>2</v>
      </c>
      <c r="W1222">
        <v>8.6999999999999993</v>
      </c>
      <c r="X1222">
        <v>8.8926999999999996</v>
      </c>
      <c r="Y1222">
        <v>0.15629999999999999</v>
      </c>
      <c r="Z1222">
        <v>88.987200000000001</v>
      </c>
      <c r="AA1222">
        <v>10</v>
      </c>
      <c r="AB1222">
        <v>0.46</v>
      </c>
      <c r="AC1222">
        <v>217</v>
      </c>
      <c r="AD1222">
        <v>8</v>
      </c>
    </row>
    <row r="1223" spans="1:30" x14ac:dyDescent="0.55000000000000004">
      <c r="A1223">
        <v>106075</v>
      </c>
      <c r="B1223" s="19">
        <v>43305</v>
      </c>
      <c r="C1223">
        <v>1235</v>
      </c>
      <c r="D1223">
        <v>2018</v>
      </c>
      <c r="E1223">
        <v>25</v>
      </c>
      <c r="F1223">
        <v>735</v>
      </c>
      <c r="G1223">
        <v>3</v>
      </c>
      <c r="H1223">
        <v>753</v>
      </c>
      <c r="I1223">
        <v>3</v>
      </c>
      <c r="J1223">
        <v>4842.84</v>
      </c>
      <c r="K1223">
        <v>8717.7800000000007</v>
      </c>
      <c r="L1223">
        <v>4843.1000000000004</v>
      </c>
      <c r="M1223">
        <v>8718.2900000000009</v>
      </c>
      <c r="N1223">
        <v>48.713999999999999</v>
      </c>
      <c r="O1223">
        <v>-87.296333000000004</v>
      </c>
      <c r="P1223">
        <v>48.718333000000001</v>
      </c>
      <c r="Q1223">
        <v>-87.304833000000002</v>
      </c>
      <c r="R1223">
        <v>4431.155127</v>
      </c>
      <c r="S1223">
        <v>169</v>
      </c>
      <c r="T1223">
        <v>165</v>
      </c>
      <c r="U1223">
        <v>0.5</v>
      </c>
      <c r="V1223">
        <v>2</v>
      </c>
      <c r="W1223">
        <v>8.6999999999999993</v>
      </c>
      <c r="X1223">
        <v>8.8926999999999996</v>
      </c>
      <c r="Y1223">
        <v>0.15629999999999999</v>
      </c>
      <c r="Z1223">
        <v>88.987200000000001</v>
      </c>
      <c r="AA1223">
        <v>10</v>
      </c>
      <c r="AB1223">
        <v>0.46</v>
      </c>
      <c r="AC1223">
        <v>217</v>
      </c>
      <c r="AD1223">
        <v>3</v>
      </c>
    </row>
    <row r="1224" spans="1:30" x14ac:dyDescent="0.55000000000000004">
      <c r="A1224">
        <v>106076</v>
      </c>
      <c r="B1224" s="19">
        <v>43306</v>
      </c>
      <c r="C1224">
        <v>908</v>
      </c>
      <c r="D1224">
        <v>2018</v>
      </c>
      <c r="E1224">
        <v>25</v>
      </c>
      <c r="F1224">
        <v>736</v>
      </c>
      <c r="G1224">
        <v>3</v>
      </c>
      <c r="H1224">
        <v>2155</v>
      </c>
      <c r="I1224">
        <v>3</v>
      </c>
      <c r="J1224">
        <v>4833.71</v>
      </c>
      <c r="K1224">
        <v>8745.61</v>
      </c>
      <c r="L1224">
        <v>4833.43</v>
      </c>
      <c r="M1224">
        <v>8745.9699999999993</v>
      </c>
      <c r="N1224">
        <v>48.561833</v>
      </c>
      <c r="O1224">
        <v>-87.760166999999996</v>
      </c>
      <c r="P1224">
        <v>48.557167</v>
      </c>
      <c r="Q1224">
        <v>-87.766166999999996</v>
      </c>
      <c r="R1224">
        <v>19095.496640000001</v>
      </c>
      <c r="S1224">
        <v>151</v>
      </c>
      <c r="T1224">
        <v>150</v>
      </c>
      <c r="U1224">
        <v>0.5</v>
      </c>
      <c r="V1224">
        <v>2</v>
      </c>
      <c r="W1224">
        <v>7.3</v>
      </c>
      <c r="X1224">
        <v>7.1474000000000002</v>
      </c>
      <c r="Y1224">
        <v>0.1134</v>
      </c>
      <c r="Z1224">
        <v>91.870800000000003</v>
      </c>
      <c r="AA1224">
        <v>10</v>
      </c>
      <c r="AB1224">
        <v>0.41</v>
      </c>
      <c r="AC1224">
        <v>217</v>
      </c>
      <c r="AD1224">
        <v>15</v>
      </c>
    </row>
    <row r="1225" spans="1:30" x14ac:dyDescent="0.55000000000000004">
      <c r="A1225">
        <v>106077</v>
      </c>
      <c r="B1225" s="19">
        <v>43306</v>
      </c>
      <c r="C1225">
        <v>908</v>
      </c>
      <c r="D1225">
        <v>2018</v>
      </c>
      <c r="E1225">
        <v>25</v>
      </c>
      <c r="F1225">
        <v>737</v>
      </c>
      <c r="G1225">
        <v>3</v>
      </c>
      <c r="H1225">
        <v>2155</v>
      </c>
      <c r="I1225">
        <v>3</v>
      </c>
      <c r="J1225">
        <v>4833.71</v>
      </c>
      <c r="K1225">
        <v>8745.61</v>
      </c>
      <c r="L1225">
        <v>4833.43</v>
      </c>
      <c r="M1225">
        <v>8745.9699999999993</v>
      </c>
      <c r="N1225">
        <v>48.561833</v>
      </c>
      <c r="O1225">
        <v>-87.760166999999996</v>
      </c>
      <c r="P1225">
        <v>48.557167</v>
      </c>
      <c r="Q1225">
        <v>-87.766166999999996</v>
      </c>
      <c r="R1225">
        <v>19095.496640000001</v>
      </c>
      <c r="S1225">
        <v>151</v>
      </c>
      <c r="T1225">
        <v>150</v>
      </c>
      <c r="U1225">
        <v>0.5</v>
      </c>
      <c r="V1225">
        <v>2</v>
      </c>
      <c r="W1225">
        <v>7.3</v>
      </c>
      <c r="X1225">
        <v>7.1474000000000002</v>
      </c>
      <c r="Y1225">
        <v>0.1134</v>
      </c>
      <c r="Z1225">
        <v>91.870800000000003</v>
      </c>
      <c r="AA1225">
        <v>10</v>
      </c>
      <c r="AB1225">
        <v>0.41</v>
      </c>
      <c r="AC1225">
        <v>217</v>
      </c>
      <c r="AD1225">
        <v>20</v>
      </c>
    </row>
    <row r="1226" spans="1:30" x14ac:dyDescent="0.55000000000000004">
      <c r="A1226">
        <v>106078</v>
      </c>
      <c r="B1226" s="19">
        <v>43306</v>
      </c>
      <c r="C1226">
        <v>1146</v>
      </c>
      <c r="D1226">
        <v>2018</v>
      </c>
      <c r="E1226">
        <v>25</v>
      </c>
      <c r="F1226">
        <v>738</v>
      </c>
      <c r="G1226">
        <v>3</v>
      </c>
      <c r="H1226">
        <v>2127</v>
      </c>
      <c r="I1226">
        <v>3</v>
      </c>
      <c r="J1226">
        <v>4817.66</v>
      </c>
      <c r="K1226">
        <v>8739.52</v>
      </c>
      <c r="L1226">
        <v>4817.29</v>
      </c>
      <c r="M1226">
        <v>8739.6</v>
      </c>
      <c r="N1226">
        <v>48.294333000000002</v>
      </c>
      <c r="O1226">
        <v>-87.658666999999994</v>
      </c>
      <c r="P1226">
        <v>48.288167000000001</v>
      </c>
      <c r="Q1226">
        <v>-87.66</v>
      </c>
      <c r="R1226">
        <v>48653.205670000003</v>
      </c>
      <c r="S1226">
        <v>230</v>
      </c>
      <c r="T1226">
        <v>236</v>
      </c>
      <c r="U1226">
        <v>0.5</v>
      </c>
      <c r="V1226">
        <v>2</v>
      </c>
      <c r="W1226">
        <v>6.1</v>
      </c>
      <c r="X1226">
        <v>5.5522</v>
      </c>
      <c r="Y1226">
        <v>0.1011</v>
      </c>
      <c r="Z1226">
        <v>92.176699999999997</v>
      </c>
      <c r="AA1226">
        <v>10</v>
      </c>
      <c r="AB1226">
        <v>0.42</v>
      </c>
      <c r="AC1226">
        <v>217</v>
      </c>
      <c r="AD1226">
        <v>1</v>
      </c>
    </row>
    <row r="1227" spans="1:30" x14ac:dyDescent="0.55000000000000004">
      <c r="A1227">
        <v>106079</v>
      </c>
      <c r="B1227" s="19">
        <v>43306</v>
      </c>
      <c r="C1227">
        <v>1146</v>
      </c>
      <c r="D1227">
        <v>2018</v>
      </c>
      <c r="E1227">
        <v>25</v>
      </c>
      <c r="F1227">
        <v>739</v>
      </c>
      <c r="G1227">
        <v>3</v>
      </c>
      <c r="H1227">
        <v>2127</v>
      </c>
      <c r="I1227">
        <v>3</v>
      </c>
      <c r="J1227">
        <v>4817.66</v>
      </c>
      <c r="K1227">
        <v>8739.52</v>
      </c>
      <c r="L1227">
        <v>4817.29</v>
      </c>
      <c r="M1227">
        <v>8739.6</v>
      </c>
      <c r="N1227">
        <v>48.294333000000002</v>
      </c>
      <c r="O1227">
        <v>-87.658666999999994</v>
      </c>
      <c r="P1227">
        <v>48.288167000000001</v>
      </c>
      <c r="Q1227">
        <v>-87.66</v>
      </c>
      <c r="R1227">
        <v>48653.205670000003</v>
      </c>
      <c r="S1227">
        <v>230</v>
      </c>
      <c r="T1227">
        <v>236</v>
      </c>
      <c r="U1227">
        <v>0.5</v>
      </c>
      <c r="V1227">
        <v>2</v>
      </c>
      <c r="W1227">
        <v>6.1</v>
      </c>
      <c r="X1227">
        <v>5.5522</v>
      </c>
      <c r="Y1227">
        <v>0.1011</v>
      </c>
      <c r="Z1227">
        <v>92.176699999999997</v>
      </c>
      <c r="AA1227">
        <v>10</v>
      </c>
      <c r="AB1227">
        <v>0.42</v>
      </c>
      <c r="AC1227">
        <v>217</v>
      </c>
      <c r="AD1227">
        <v>3</v>
      </c>
    </row>
    <row r="1228" spans="1:30" x14ac:dyDescent="0.55000000000000004">
      <c r="A1228">
        <v>110519</v>
      </c>
      <c r="B1228" s="19">
        <v>43614</v>
      </c>
      <c r="C1228">
        <v>1000</v>
      </c>
      <c r="D1228">
        <v>2019</v>
      </c>
      <c r="E1228">
        <v>25</v>
      </c>
      <c r="F1228">
        <v>500</v>
      </c>
      <c r="G1228">
        <v>1</v>
      </c>
      <c r="H1228">
        <v>71</v>
      </c>
      <c r="I1228">
        <v>3</v>
      </c>
      <c r="J1228">
        <v>4656.46</v>
      </c>
      <c r="K1228">
        <v>9046.91</v>
      </c>
      <c r="L1228">
        <v>4656.3599999999997</v>
      </c>
      <c r="M1228">
        <v>9047.4699999999993</v>
      </c>
      <c r="N1228">
        <v>46.941000000000003</v>
      </c>
      <c r="O1228">
        <v>-90.781800000000004</v>
      </c>
      <c r="P1228">
        <v>46.939300000000003</v>
      </c>
      <c r="Q1228">
        <v>-90.791200000000003</v>
      </c>
      <c r="R1228">
        <v>249.6721489</v>
      </c>
      <c r="S1228">
        <v>37.299999999999997</v>
      </c>
      <c r="T1228">
        <v>33.200000000000003</v>
      </c>
      <c r="U1228">
        <v>0.5</v>
      </c>
      <c r="V1228">
        <v>2</v>
      </c>
      <c r="W1228">
        <v>8.6</v>
      </c>
      <c r="X1228">
        <v>7.7996499999999997</v>
      </c>
      <c r="Y1228">
        <v>0.42209999999999998</v>
      </c>
      <c r="Z1228">
        <v>65.511750000000006</v>
      </c>
      <c r="AA1228">
        <v>10</v>
      </c>
      <c r="AB1228">
        <v>0.43</v>
      </c>
      <c r="AC1228">
        <v>217</v>
      </c>
      <c r="AD1228">
        <v>549</v>
      </c>
    </row>
    <row r="1229" spans="1:30" x14ac:dyDescent="0.55000000000000004">
      <c r="A1229">
        <v>110520</v>
      </c>
      <c r="B1229" s="19">
        <v>43614</v>
      </c>
      <c r="C1229">
        <v>1000</v>
      </c>
      <c r="D1229">
        <v>2019</v>
      </c>
      <c r="E1229">
        <v>25</v>
      </c>
      <c r="F1229">
        <v>501</v>
      </c>
      <c r="G1229">
        <v>1</v>
      </c>
      <c r="H1229">
        <v>71</v>
      </c>
      <c r="I1229">
        <v>3</v>
      </c>
      <c r="J1229">
        <v>4656.46</v>
      </c>
      <c r="K1229">
        <v>9046.91</v>
      </c>
      <c r="L1229">
        <v>4656.3599999999997</v>
      </c>
      <c r="M1229">
        <v>9047.4699999999993</v>
      </c>
      <c r="N1229">
        <v>46.941000000000003</v>
      </c>
      <c r="O1229">
        <v>-90.781800000000004</v>
      </c>
      <c r="P1229">
        <v>46.939300000000003</v>
      </c>
      <c r="Q1229">
        <v>-90.791200000000003</v>
      </c>
      <c r="R1229">
        <v>249.6721489</v>
      </c>
      <c r="S1229">
        <v>37.299999999999997</v>
      </c>
      <c r="T1229">
        <v>33.200000000000003</v>
      </c>
      <c r="U1229">
        <v>0.5</v>
      </c>
      <c r="V1229">
        <v>2</v>
      </c>
      <c r="W1229">
        <v>8.6</v>
      </c>
      <c r="X1229">
        <v>7.7996499999999997</v>
      </c>
      <c r="Y1229">
        <v>0.42209999999999998</v>
      </c>
      <c r="Z1229">
        <v>65.511750000000006</v>
      </c>
      <c r="AA1229">
        <v>10</v>
      </c>
      <c r="AB1229">
        <v>0.43</v>
      </c>
      <c r="AC1229">
        <v>217</v>
      </c>
      <c r="AD1229">
        <v>263</v>
      </c>
    </row>
    <row r="1230" spans="1:30" x14ac:dyDescent="0.55000000000000004">
      <c r="A1230">
        <v>110521</v>
      </c>
      <c r="B1230" s="19">
        <v>43614</v>
      </c>
      <c r="C1230">
        <v>1127</v>
      </c>
      <c r="D1230">
        <v>2019</v>
      </c>
      <c r="E1230">
        <v>25</v>
      </c>
      <c r="F1230">
        <v>502</v>
      </c>
      <c r="G1230">
        <v>1</v>
      </c>
      <c r="H1230">
        <v>75</v>
      </c>
      <c r="I1230">
        <v>3</v>
      </c>
      <c r="J1230">
        <v>4700.03</v>
      </c>
      <c r="K1230">
        <v>9043.77</v>
      </c>
      <c r="L1230">
        <v>4700.17</v>
      </c>
      <c r="M1230">
        <v>9044.25</v>
      </c>
      <c r="N1230">
        <v>47.000500000000002</v>
      </c>
      <c r="O1230">
        <v>-90.729500000000002</v>
      </c>
      <c r="P1230">
        <v>47.002800000000001</v>
      </c>
      <c r="Q1230">
        <v>-90.737499999999997</v>
      </c>
      <c r="R1230">
        <v>246.12315290000001</v>
      </c>
      <c r="S1230">
        <v>48.6</v>
      </c>
      <c r="T1230">
        <v>34.6</v>
      </c>
      <c r="U1230">
        <v>0.5</v>
      </c>
      <c r="V1230">
        <v>2</v>
      </c>
      <c r="W1230">
        <v>7.1</v>
      </c>
      <c r="X1230">
        <v>6.3006000000000002</v>
      </c>
      <c r="Y1230">
        <v>0.32990000000000003</v>
      </c>
      <c r="Z1230">
        <v>77.967749999999995</v>
      </c>
      <c r="AA1230">
        <v>10</v>
      </c>
      <c r="AB1230">
        <v>0.43</v>
      </c>
      <c r="AC1230">
        <v>217</v>
      </c>
      <c r="AD1230">
        <v>31</v>
      </c>
    </row>
    <row r="1231" spans="1:30" x14ac:dyDescent="0.55000000000000004">
      <c r="A1231">
        <v>110522</v>
      </c>
      <c r="B1231" s="19">
        <v>43614</v>
      </c>
      <c r="C1231">
        <v>1127</v>
      </c>
      <c r="D1231">
        <v>2019</v>
      </c>
      <c r="E1231">
        <v>25</v>
      </c>
      <c r="F1231">
        <v>503</v>
      </c>
      <c r="G1231">
        <v>1</v>
      </c>
      <c r="H1231">
        <v>75</v>
      </c>
      <c r="I1231">
        <v>3</v>
      </c>
      <c r="J1231">
        <v>4700.03</v>
      </c>
      <c r="K1231">
        <v>9043.77</v>
      </c>
      <c r="L1231">
        <v>4700.17</v>
      </c>
      <c r="M1231">
        <v>9044.25</v>
      </c>
      <c r="N1231">
        <v>47.000500000000002</v>
      </c>
      <c r="O1231">
        <v>-90.729500000000002</v>
      </c>
      <c r="P1231">
        <v>47.002800000000001</v>
      </c>
      <c r="Q1231">
        <v>-90.737499999999997</v>
      </c>
      <c r="R1231">
        <v>246.12315290000001</v>
      </c>
      <c r="S1231">
        <v>48.6</v>
      </c>
      <c r="T1231">
        <v>34.6</v>
      </c>
      <c r="U1231">
        <v>0.5</v>
      </c>
      <c r="V1231">
        <v>2</v>
      </c>
      <c r="W1231">
        <v>7.1</v>
      </c>
      <c r="X1231">
        <v>6.3006000000000002</v>
      </c>
      <c r="Y1231">
        <v>0.32990000000000003</v>
      </c>
      <c r="Z1231">
        <v>77.967749999999995</v>
      </c>
      <c r="AA1231">
        <v>10</v>
      </c>
      <c r="AB1231">
        <v>0.43</v>
      </c>
      <c r="AC1231">
        <v>217</v>
      </c>
      <c r="AD1231">
        <v>9</v>
      </c>
    </row>
    <row r="1232" spans="1:30" x14ac:dyDescent="0.55000000000000004">
      <c r="A1232">
        <v>110523</v>
      </c>
      <c r="B1232" s="19">
        <v>43614</v>
      </c>
      <c r="C1232">
        <v>1252</v>
      </c>
      <c r="D1232">
        <v>2019</v>
      </c>
      <c r="E1232">
        <v>25</v>
      </c>
      <c r="F1232">
        <v>504</v>
      </c>
      <c r="G1232">
        <v>1</v>
      </c>
      <c r="H1232">
        <v>87</v>
      </c>
      <c r="I1232">
        <v>3</v>
      </c>
      <c r="J1232">
        <v>4656.59</v>
      </c>
      <c r="K1232">
        <v>9039.0300000000007</v>
      </c>
      <c r="L1232">
        <v>4656.18</v>
      </c>
      <c r="M1232">
        <v>9038.84</v>
      </c>
      <c r="N1232">
        <v>46.943199999999997</v>
      </c>
      <c r="O1232">
        <v>-90.650499999999994</v>
      </c>
      <c r="P1232">
        <v>46.936300000000003</v>
      </c>
      <c r="Q1232">
        <v>-90.647300000000001</v>
      </c>
      <c r="R1232">
        <v>171.78592839999999</v>
      </c>
      <c r="S1232">
        <v>59.8</v>
      </c>
      <c r="T1232">
        <v>40.799999999999997</v>
      </c>
      <c r="U1232">
        <v>0.5</v>
      </c>
      <c r="V1232">
        <v>2</v>
      </c>
      <c r="W1232">
        <v>9.8000000000000007</v>
      </c>
      <c r="X1232">
        <v>6.6173500000000001</v>
      </c>
      <c r="Y1232">
        <v>0.20305000000000001</v>
      </c>
      <c r="Z1232">
        <v>76.207849999999993</v>
      </c>
      <c r="AA1232">
        <v>10</v>
      </c>
      <c r="AB1232">
        <v>0.43</v>
      </c>
      <c r="AC1232">
        <v>217</v>
      </c>
      <c r="AD1232">
        <v>92</v>
      </c>
    </row>
    <row r="1233" spans="1:30" x14ac:dyDescent="0.55000000000000004">
      <c r="A1233">
        <v>110524</v>
      </c>
      <c r="B1233" s="19">
        <v>43614</v>
      </c>
      <c r="C1233">
        <v>1252</v>
      </c>
      <c r="D1233">
        <v>2019</v>
      </c>
      <c r="E1233">
        <v>25</v>
      </c>
      <c r="F1233">
        <v>505</v>
      </c>
      <c r="G1233">
        <v>1</v>
      </c>
      <c r="H1233">
        <v>87</v>
      </c>
      <c r="I1233">
        <v>3</v>
      </c>
      <c r="J1233">
        <v>4656.59</v>
      </c>
      <c r="K1233">
        <v>9039.0300000000007</v>
      </c>
      <c r="L1233">
        <v>4656.18</v>
      </c>
      <c r="M1233">
        <v>9038.84</v>
      </c>
      <c r="N1233">
        <v>46.943199999999997</v>
      </c>
      <c r="O1233">
        <v>-90.650499999999994</v>
      </c>
      <c r="P1233">
        <v>46.936300000000003</v>
      </c>
      <c r="Q1233">
        <v>-90.647300000000001</v>
      </c>
      <c r="R1233">
        <v>171.78592839999999</v>
      </c>
      <c r="S1233">
        <v>59.8</v>
      </c>
      <c r="T1233">
        <v>40.799999999999997</v>
      </c>
      <c r="U1233">
        <v>0.5</v>
      </c>
      <c r="V1233">
        <v>2</v>
      </c>
      <c r="W1233">
        <v>9.8000000000000007</v>
      </c>
      <c r="X1233">
        <v>6.6173500000000001</v>
      </c>
      <c r="Y1233">
        <v>0.20305000000000001</v>
      </c>
      <c r="Z1233">
        <v>76.207849999999993</v>
      </c>
      <c r="AA1233">
        <v>10</v>
      </c>
      <c r="AB1233">
        <v>0.43</v>
      </c>
      <c r="AC1233">
        <v>217</v>
      </c>
      <c r="AD1233">
        <v>50</v>
      </c>
    </row>
    <row r="1234" spans="1:30" x14ac:dyDescent="0.55000000000000004">
      <c r="A1234">
        <v>110525</v>
      </c>
      <c r="B1234" s="19">
        <v>43614</v>
      </c>
      <c r="C1234">
        <v>1441</v>
      </c>
      <c r="D1234">
        <v>2019</v>
      </c>
      <c r="E1234">
        <v>25</v>
      </c>
      <c r="F1234">
        <v>506</v>
      </c>
      <c r="G1234">
        <v>1</v>
      </c>
      <c r="H1234">
        <v>86</v>
      </c>
      <c r="I1234">
        <v>3</v>
      </c>
      <c r="J1234">
        <v>4650.12</v>
      </c>
      <c r="K1234">
        <v>9043.2199999999993</v>
      </c>
      <c r="L1234">
        <v>4650.42</v>
      </c>
      <c r="M1234">
        <v>9043.52</v>
      </c>
      <c r="N1234">
        <v>46.835299999999997</v>
      </c>
      <c r="O1234">
        <v>-90.720299999999995</v>
      </c>
      <c r="P1234">
        <v>46.840299999999999</v>
      </c>
      <c r="Q1234">
        <v>-90.725300000000004</v>
      </c>
      <c r="R1234">
        <v>365.93498879999999</v>
      </c>
      <c r="S1234">
        <v>54.6</v>
      </c>
      <c r="T1234">
        <v>43.2</v>
      </c>
      <c r="U1234">
        <v>0.5</v>
      </c>
      <c r="V1234">
        <v>2</v>
      </c>
      <c r="W1234">
        <v>11</v>
      </c>
      <c r="X1234">
        <v>8.6517499999999998</v>
      </c>
      <c r="Y1234">
        <v>0.40294999999999997</v>
      </c>
      <c r="Z1234">
        <v>68.942400000000006</v>
      </c>
      <c r="AA1234">
        <v>10</v>
      </c>
      <c r="AB1234">
        <v>0.39</v>
      </c>
      <c r="AC1234">
        <v>217</v>
      </c>
      <c r="AD1234">
        <v>139</v>
      </c>
    </row>
    <row r="1235" spans="1:30" x14ac:dyDescent="0.55000000000000004">
      <c r="A1235">
        <v>110526</v>
      </c>
      <c r="B1235" s="19">
        <v>43614</v>
      </c>
      <c r="C1235">
        <v>1441</v>
      </c>
      <c r="D1235">
        <v>2019</v>
      </c>
      <c r="E1235">
        <v>25</v>
      </c>
      <c r="F1235">
        <v>507</v>
      </c>
      <c r="G1235">
        <v>1</v>
      </c>
      <c r="H1235">
        <v>86</v>
      </c>
      <c r="I1235">
        <v>3</v>
      </c>
      <c r="J1235">
        <v>4650.12</v>
      </c>
      <c r="K1235">
        <v>9043.2199999999993</v>
      </c>
      <c r="L1235">
        <v>4650.42</v>
      </c>
      <c r="M1235">
        <v>9043.52</v>
      </c>
      <c r="N1235">
        <v>46.835299999999997</v>
      </c>
      <c r="O1235">
        <v>-90.720299999999995</v>
      </c>
      <c r="P1235">
        <v>46.840299999999999</v>
      </c>
      <c r="Q1235">
        <v>-90.725300000000004</v>
      </c>
      <c r="R1235">
        <v>365.93498879999999</v>
      </c>
      <c r="S1235">
        <v>54.6</v>
      </c>
      <c r="T1235">
        <v>43.2</v>
      </c>
      <c r="U1235">
        <v>0.5</v>
      </c>
      <c r="V1235">
        <v>2</v>
      </c>
      <c r="W1235">
        <v>11</v>
      </c>
      <c r="X1235">
        <v>8.6517499999999998</v>
      </c>
      <c r="Y1235">
        <v>0.40294999999999997</v>
      </c>
      <c r="Z1235">
        <v>68.942400000000006</v>
      </c>
      <c r="AA1235">
        <v>10</v>
      </c>
      <c r="AB1235">
        <v>0.39</v>
      </c>
      <c r="AC1235">
        <v>217</v>
      </c>
      <c r="AD1235">
        <v>92</v>
      </c>
    </row>
    <row r="1236" spans="1:30" x14ac:dyDescent="0.55000000000000004">
      <c r="A1236">
        <v>110527</v>
      </c>
      <c r="B1236" s="19">
        <v>43615</v>
      </c>
      <c r="C1236">
        <v>857</v>
      </c>
      <c r="D1236">
        <v>2019</v>
      </c>
      <c r="E1236">
        <v>25</v>
      </c>
      <c r="F1236">
        <v>508</v>
      </c>
      <c r="G1236">
        <v>1</v>
      </c>
      <c r="H1236">
        <v>2</v>
      </c>
      <c r="I1236">
        <v>3</v>
      </c>
      <c r="J1236">
        <v>4654.9399999999996</v>
      </c>
      <c r="K1236">
        <v>9033.7199999999993</v>
      </c>
      <c r="L1236">
        <v>4654.55</v>
      </c>
      <c r="M1236">
        <v>9033.86</v>
      </c>
      <c r="N1236">
        <v>46.915700000000001</v>
      </c>
      <c r="O1236">
        <v>-90.561999999999998</v>
      </c>
      <c r="P1236">
        <v>46.909199999999998</v>
      </c>
      <c r="Q1236">
        <v>-90.564300000000003</v>
      </c>
      <c r="R1236">
        <v>500.98315270000001</v>
      </c>
      <c r="S1236">
        <v>29.7</v>
      </c>
      <c r="T1236">
        <v>49.3</v>
      </c>
      <c r="U1236">
        <v>0.5</v>
      </c>
      <c r="V1236">
        <v>2</v>
      </c>
      <c r="W1236">
        <v>6.5</v>
      </c>
      <c r="X1236">
        <v>5.1048999999999998</v>
      </c>
      <c r="Y1236">
        <v>0.22225</v>
      </c>
      <c r="Z1236">
        <v>87.7928</v>
      </c>
      <c r="AA1236">
        <v>10</v>
      </c>
      <c r="AB1236">
        <v>0.45</v>
      </c>
      <c r="AC1236">
        <v>217</v>
      </c>
      <c r="AD1236">
        <v>285</v>
      </c>
    </row>
    <row r="1237" spans="1:30" x14ac:dyDescent="0.55000000000000004">
      <c r="A1237">
        <v>110528</v>
      </c>
      <c r="B1237" s="19">
        <v>43615</v>
      </c>
      <c r="C1237">
        <v>857</v>
      </c>
      <c r="D1237">
        <v>2019</v>
      </c>
      <c r="E1237">
        <v>25</v>
      </c>
      <c r="F1237">
        <v>509</v>
      </c>
      <c r="G1237">
        <v>1</v>
      </c>
      <c r="H1237">
        <v>2</v>
      </c>
      <c r="I1237">
        <v>3</v>
      </c>
      <c r="J1237">
        <v>4654.9399999999996</v>
      </c>
      <c r="K1237">
        <v>9033.7199999999993</v>
      </c>
      <c r="L1237">
        <v>4654.55</v>
      </c>
      <c r="M1237">
        <v>9033.86</v>
      </c>
      <c r="N1237">
        <v>46.915700000000001</v>
      </c>
      <c r="O1237">
        <v>-90.561999999999998</v>
      </c>
      <c r="P1237">
        <v>46.909199999999998</v>
      </c>
      <c r="Q1237">
        <v>-90.564300000000003</v>
      </c>
      <c r="R1237">
        <v>500.98315270000001</v>
      </c>
      <c r="S1237">
        <v>29.7</v>
      </c>
      <c r="T1237">
        <v>49.3</v>
      </c>
      <c r="U1237">
        <v>0.5</v>
      </c>
      <c r="V1237">
        <v>2</v>
      </c>
      <c r="W1237">
        <v>6.5</v>
      </c>
      <c r="X1237">
        <v>5.1048999999999998</v>
      </c>
      <c r="Y1237">
        <v>0.22225</v>
      </c>
      <c r="Z1237">
        <v>87.7928</v>
      </c>
      <c r="AA1237">
        <v>10</v>
      </c>
      <c r="AB1237">
        <v>0.45</v>
      </c>
      <c r="AC1237">
        <v>217</v>
      </c>
      <c r="AD1237">
        <v>363</v>
      </c>
    </row>
    <row r="1238" spans="1:30" x14ac:dyDescent="0.55000000000000004">
      <c r="A1238">
        <v>110529</v>
      </c>
      <c r="B1238" s="19">
        <v>43615</v>
      </c>
      <c r="C1238">
        <v>1026</v>
      </c>
      <c r="D1238">
        <v>2019</v>
      </c>
      <c r="E1238">
        <v>25</v>
      </c>
      <c r="F1238">
        <v>510</v>
      </c>
      <c r="G1238">
        <v>1</v>
      </c>
      <c r="H1238">
        <v>24</v>
      </c>
      <c r="I1238">
        <v>3</v>
      </c>
      <c r="J1238">
        <v>4651.29</v>
      </c>
      <c r="K1238">
        <v>9029.17</v>
      </c>
      <c r="L1238">
        <v>4651.34</v>
      </c>
      <c r="M1238">
        <v>9028.56</v>
      </c>
      <c r="N1238">
        <v>46.854799999999997</v>
      </c>
      <c r="O1238">
        <v>-90.486199999999997</v>
      </c>
      <c r="P1238">
        <v>46.855699999999999</v>
      </c>
      <c r="Q1238">
        <v>-90.475999999999999</v>
      </c>
      <c r="R1238">
        <v>2120.1913869999998</v>
      </c>
      <c r="S1238">
        <v>12.3</v>
      </c>
      <c r="T1238">
        <v>14.1</v>
      </c>
      <c r="U1238">
        <v>0.5</v>
      </c>
      <c r="V1238">
        <v>2</v>
      </c>
      <c r="W1238">
        <v>5.2</v>
      </c>
      <c r="X1238">
        <v>4.06935</v>
      </c>
      <c r="Y1238">
        <v>0.21440000000000001</v>
      </c>
      <c r="Z1238">
        <v>89.509900000000002</v>
      </c>
      <c r="AA1238">
        <v>10</v>
      </c>
      <c r="AB1238">
        <v>0.43</v>
      </c>
      <c r="AC1238">
        <v>217</v>
      </c>
      <c r="AD1238">
        <v>37</v>
      </c>
    </row>
    <row r="1239" spans="1:30" x14ac:dyDescent="0.55000000000000004">
      <c r="A1239">
        <v>110530</v>
      </c>
      <c r="B1239" s="19">
        <v>43615</v>
      </c>
      <c r="C1239">
        <v>1026</v>
      </c>
      <c r="D1239">
        <v>2019</v>
      </c>
      <c r="E1239">
        <v>25</v>
      </c>
      <c r="F1239">
        <v>511</v>
      </c>
      <c r="G1239">
        <v>1</v>
      </c>
      <c r="H1239">
        <v>24</v>
      </c>
      <c r="I1239">
        <v>3</v>
      </c>
      <c r="J1239">
        <v>4651.29</v>
      </c>
      <c r="K1239">
        <v>9029.17</v>
      </c>
      <c r="L1239">
        <v>4651.34</v>
      </c>
      <c r="M1239">
        <v>9028.56</v>
      </c>
      <c r="N1239">
        <v>46.854799999999997</v>
      </c>
      <c r="O1239">
        <v>-90.486199999999997</v>
      </c>
      <c r="P1239">
        <v>46.855699999999999</v>
      </c>
      <c r="Q1239">
        <v>-90.475999999999999</v>
      </c>
      <c r="R1239">
        <v>2120.1913869999998</v>
      </c>
      <c r="S1239">
        <v>12.3</v>
      </c>
      <c r="T1239">
        <v>14.1</v>
      </c>
      <c r="U1239">
        <v>0.5</v>
      </c>
      <c r="V1239">
        <v>2</v>
      </c>
      <c r="W1239">
        <v>5.2</v>
      </c>
      <c r="X1239">
        <v>4.06935</v>
      </c>
      <c r="Y1239">
        <v>0.21440000000000001</v>
      </c>
      <c r="Z1239">
        <v>89.509900000000002</v>
      </c>
      <c r="AA1239">
        <v>10</v>
      </c>
      <c r="AB1239">
        <v>0.43</v>
      </c>
      <c r="AC1239">
        <v>217</v>
      </c>
      <c r="AD1239">
        <v>36</v>
      </c>
    </row>
    <row r="1240" spans="1:30" x14ac:dyDescent="0.55000000000000004">
      <c r="A1240">
        <v>110531</v>
      </c>
      <c r="B1240" s="19">
        <v>43615</v>
      </c>
      <c r="C1240">
        <v>1254</v>
      </c>
      <c r="D1240">
        <v>2019</v>
      </c>
      <c r="E1240">
        <v>25</v>
      </c>
      <c r="F1240">
        <v>512</v>
      </c>
      <c r="G1240">
        <v>1</v>
      </c>
      <c r="H1240">
        <v>52</v>
      </c>
      <c r="I1240">
        <v>3</v>
      </c>
      <c r="J1240">
        <v>4659</v>
      </c>
      <c r="K1240">
        <v>9027.2900000000009</v>
      </c>
      <c r="L1240">
        <v>4658.6000000000004</v>
      </c>
      <c r="M1240">
        <v>9027.2000000000007</v>
      </c>
      <c r="N1240">
        <v>46.9833</v>
      </c>
      <c r="O1240">
        <v>-90.454800000000006</v>
      </c>
      <c r="P1240">
        <v>46.976700000000001</v>
      </c>
      <c r="Q1240">
        <v>-90.453299999999999</v>
      </c>
      <c r="R1240">
        <v>1238.123083</v>
      </c>
      <c r="S1240">
        <v>18.8</v>
      </c>
      <c r="T1240">
        <v>34.700000000000003</v>
      </c>
      <c r="U1240">
        <v>0.5</v>
      </c>
      <c r="V1240">
        <v>2</v>
      </c>
      <c r="W1240">
        <v>5.4</v>
      </c>
      <c r="X1240">
        <v>4.6314500000000001</v>
      </c>
      <c r="Y1240">
        <v>0.17297499999999999</v>
      </c>
      <c r="Z1240">
        <v>75.666799999999995</v>
      </c>
      <c r="AA1240">
        <v>10</v>
      </c>
      <c r="AB1240">
        <v>0.42</v>
      </c>
      <c r="AC1240">
        <v>217</v>
      </c>
      <c r="AD1240">
        <v>16</v>
      </c>
    </row>
    <row r="1241" spans="1:30" x14ac:dyDescent="0.55000000000000004">
      <c r="A1241">
        <v>110532</v>
      </c>
      <c r="B1241" s="19">
        <v>43615</v>
      </c>
      <c r="C1241">
        <v>1254</v>
      </c>
      <c r="D1241">
        <v>2019</v>
      </c>
      <c r="E1241">
        <v>25</v>
      </c>
      <c r="F1241">
        <v>513</v>
      </c>
      <c r="G1241">
        <v>1</v>
      </c>
      <c r="H1241">
        <v>52</v>
      </c>
      <c r="I1241">
        <v>3</v>
      </c>
      <c r="J1241">
        <v>4659</v>
      </c>
      <c r="K1241">
        <v>9027.2900000000009</v>
      </c>
      <c r="L1241">
        <v>4658.6000000000004</v>
      </c>
      <c r="M1241">
        <v>9027.2000000000007</v>
      </c>
      <c r="N1241">
        <v>46.9833</v>
      </c>
      <c r="O1241">
        <v>-90.454800000000006</v>
      </c>
      <c r="P1241">
        <v>46.976700000000001</v>
      </c>
      <c r="Q1241">
        <v>-90.453299999999999</v>
      </c>
      <c r="R1241">
        <v>1238.123083</v>
      </c>
      <c r="S1241">
        <v>18.8</v>
      </c>
      <c r="T1241">
        <v>34.700000000000003</v>
      </c>
      <c r="U1241">
        <v>0.5</v>
      </c>
      <c r="V1241">
        <v>2</v>
      </c>
      <c r="W1241">
        <v>5.4</v>
      </c>
      <c r="X1241">
        <v>4.6314500000000001</v>
      </c>
      <c r="Y1241">
        <v>0.17297499999999999</v>
      </c>
      <c r="Z1241">
        <v>75.666799999999995</v>
      </c>
      <c r="AA1241">
        <v>10</v>
      </c>
      <c r="AB1241">
        <v>0.42</v>
      </c>
      <c r="AC1241">
        <v>217</v>
      </c>
      <c r="AD1241">
        <v>8</v>
      </c>
    </row>
    <row r="1242" spans="1:30" x14ac:dyDescent="0.55000000000000004">
      <c r="A1242">
        <v>110533</v>
      </c>
      <c r="B1242" s="19">
        <v>43615</v>
      </c>
      <c r="C1242">
        <v>1440</v>
      </c>
      <c r="D1242">
        <v>2019</v>
      </c>
      <c r="E1242">
        <v>25</v>
      </c>
      <c r="F1242">
        <v>514</v>
      </c>
      <c r="G1242">
        <v>1</v>
      </c>
      <c r="H1242">
        <v>44</v>
      </c>
      <c r="I1242">
        <v>3</v>
      </c>
      <c r="J1242">
        <v>4701.95</v>
      </c>
      <c r="K1242">
        <v>9028.82</v>
      </c>
      <c r="L1242">
        <v>4702.05</v>
      </c>
      <c r="M1242">
        <v>9028.8700000000008</v>
      </c>
      <c r="N1242">
        <v>47.032499999999999</v>
      </c>
      <c r="O1242">
        <v>-90.4803</v>
      </c>
      <c r="P1242">
        <v>47.034199999999998</v>
      </c>
      <c r="Q1242">
        <v>-90.481200000000001</v>
      </c>
      <c r="R1242">
        <v>1990.952313</v>
      </c>
      <c r="S1242">
        <v>11.2</v>
      </c>
      <c r="T1242">
        <v>15.2</v>
      </c>
      <c r="U1242">
        <v>0.5</v>
      </c>
      <c r="V1242">
        <v>2</v>
      </c>
      <c r="W1242">
        <v>6.6</v>
      </c>
      <c r="AA1242">
        <v>10</v>
      </c>
      <c r="AB1242">
        <v>0.4</v>
      </c>
      <c r="AC1242">
        <v>217</v>
      </c>
      <c r="AD1242">
        <v>39</v>
      </c>
    </row>
    <row r="1243" spans="1:30" x14ac:dyDescent="0.55000000000000004">
      <c r="A1243">
        <v>110534</v>
      </c>
      <c r="B1243" s="19">
        <v>43615</v>
      </c>
      <c r="C1243">
        <v>1440</v>
      </c>
      <c r="D1243">
        <v>2019</v>
      </c>
      <c r="E1243">
        <v>25</v>
      </c>
      <c r="F1243">
        <v>515</v>
      </c>
      <c r="G1243">
        <v>1</v>
      </c>
      <c r="H1243">
        <v>44</v>
      </c>
      <c r="I1243">
        <v>3</v>
      </c>
      <c r="J1243">
        <v>4701.95</v>
      </c>
      <c r="K1243">
        <v>9028.82</v>
      </c>
      <c r="L1243">
        <v>4702.05</v>
      </c>
      <c r="M1243">
        <v>9028.8700000000008</v>
      </c>
      <c r="N1243">
        <v>47.032499999999999</v>
      </c>
      <c r="O1243">
        <v>-90.4803</v>
      </c>
      <c r="P1243">
        <v>47.034199999999998</v>
      </c>
      <c r="Q1243">
        <v>-90.481200000000001</v>
      </c>
      <c r="R1243">
        <v>1990.952313</v>
      </c>
      <c r="S1243">
        <v>11.2</v>
      </c>
      <c r="T1243">
        <v>15.2</v>
      </c>
      <c r="U1243">
        <v>0.5</v>
      </c>
      <c r="V1243">
        <v>2</v>
      </c>
      <c r="W1243">
        <v>6.6</v>
      </c>
      <c r="AA1243">
        <v>10</v>
      </c>
      <c r="AB1243">
        <v>0.4</v>
      </c>
      <c r="AC1243">
        <v>217</v>
      </c>
      <c r="AD1243">
        <v>31</v>
      </c>
    </row>
    <row r="1244" spans="1:30" x14ac:dyDescent="0.55000000000000004">
      <c r="A1244">
        <v>110535</v>
      </c>
      <c r="B1244" s="19">
        <v>43615</v>
      </c>
      <c r="C1244">
        <v>1552</v>
      </c>
      <c r="D1244">
        <v>2019</v>
      </c>
      <c r="E1244">
        <v>25</v>
      </c>
      <c r="F1244">
        <v>516</v>
      </c>
      <c r="G1244">
        <v>1</v>
      </c>
      <c r="H1244">
        <v>45</v>
      </c>
      <c r="I1244">
        <v>3</v>
      </c>
      <c r="J1244">
        <v>4659.6000000000004</v>
      </c>
      <c r="K1244">
        <v>9032.93</v>
      </c>
      <c r="L1244">
        <v>4659.34</v>
      </c>
      <c r="M1244">
        <v>9033.4</v>
      </c>
      <c r="N1244">
        <v>46.993299999999998</v>
      </c>
      <c r="O1244">
        <v>-90.5488</v>
      </c>
      <c r="P1244">
        <v>46.988999999999997</v>
      </c>
      <c r="Q1244">
        <v>-90.556700000000006</v>
      </c>
      <c r="R1244">
        <v>979.68868829999997</v>
      </c>
      <c r="S1244">
        <v>25.7</v>
      </c>
      <c r="T1244">
        <v>17.5</v>
      </c>
      <c r="U1244">
        <v>0.5</v>
      </c>
      <c r="V1244">
        <v>2</v>
      </c>
      <c r="W1244">
        <v>6.7</v>
      </c>
      <c r="X1244">
        <v>5.4494999999999996</v>
      </c>
      <c r="Y1244">
        <v>0.37314999999999998</v>
      </c>
      <c r="Z1244">
        <v>75.158150000000006</v>
      </c>
      <c r="AA1244">
        <v>10</v>
      </c>
      <c r="AB1244">
        <v>0.43</v>
      </c>
      <c r="AC1244">
        <v>217</v>
      </c>
      <c r="AD1244">
        <v>889</v>
      </c>
    </row>
    <row r="1245" spans="1:30" x14ac:dyDescent="0.55000000000000004">
      <c r="A1245">
        <v>110536</v>
      </c>
      <c r="B1245" s="19">
        <v>43615</v>
      </c>
      <c r="C1245">
        <v>1552</v>
      </c>
      <c r="D1245">
        <v>2019</v>
      </c>
      <c r="E1245">
        <v>25</v>
      </c>
      <c r="F1245">
        <v>517</v>
      </c>
      <c r="G1245">
        <v>1</v>
      </c>
      <c r="H1245">
        <v>45</v>
      </c>
      <c r="I1245">
        <v>3</v>
      </c>
      <c r="J1245">
        <v>4659.6000000000004</v>
      </c>
      <c r="K1245">
        <v>9032.93</v>
      </c>
      <c r="L1245">
        <v>4659.34</v>
      </c>
      <c r="M1245">
        <v>9033.4</v>
      </c>
      <c r="N1245">
        <v>46.993299999999998</v>
      </c>
      <c r="O1245">
        <v>-90.5488</v>
      </c>
      <c r="P1245">
        <v>46.988999999999997</v>
      </c>
      <c r="Q1245">
        <v>-90.556700000000006</v>
      </c>
      <c r="R1245">
        <v>979.68868829999997</v>
      </c>
      <c r="S1245">
        <v>25.7</v>
      </c>
      <c r="T1245">
        <v>17.5</v>
      </c>
      <c r="U1245">
        <v>0.5</v>
      </c>
      <c r="V1245">
        <v>2</v>
      </c>
      <c r="W1245">
        <v>6.7</v>
      </c>
      <c r="X1245">
        <v>5.4494999999999996</v>
      </c>
      <c r="Y1245">
        <v>0.37314999999999998</v>
      </c>
      <c r="Z1245">
        <v>75.158150000000006</v>
      </c>
      <c r="AA1245">
        <v>10</v>
      </c>
      <c r="AB1245">
        <v>0.43</v>
      </c>
      <c r="AC1245">
        <v>217</v>
      </c>
      <c r="AD1245">
        <v>471</v>
      </c>
    </row>
    <row r="1246" spans="1:30" x14ac:dyDescent="0.55000000000000004">
      <c r="A1246">
        <v>110540</v>
      </c>
      <c r="B1246" s="19">
        <v>43616</v>
      </c>
      <c r="C1246">
        <v>1152</v>
      </c>
      <c r="D1246">
        <v>2019</v>
      </c>
      <c r="E1246">
        <v>25</v>
      </c>
      <c r="F1246">
        <v>518</v>
      </c>
      <c r="G1246">
        <v>1</v>
      </c>
      <c r="H1246">
        <v>190</v>
      </c>
      <c r="I1246">
        <v>3</v>
      </c>
      <c r="J1246">
        <v>4737.2700000000004</v>
      </c>
      <c r="K1246">
        <v>9042.32</v>
      </c>
      <c r="L1246">
        <v>4737.6499999999996</v>
      </c>
      <c r="M1246">
        <v>9042.2900000000009</v>
      </c>
      <c r="N1246">
        <v>47.621200000000002</v>
      </c>
      <c r="O1246">
        <v>-90.705299999999994</v>
      </c>
      <c r="P1246">
        <v>47.627499999999998</v>
      </c>
      <c r="Q1246">
        <v>-90.704800000000006</v>
      </c>
      <c r="R1246">
        <v>603.31760629999997</v>
      </c>
      <c r="S1246">
        <v>100</v>
      </c>
      <c r="T1246">
        <v>46.9</v>
      </c>
      <c r="U1246">
        <v>0.5</v>
      </c>
      <c r="V1246">
        <v>2</v>
      </c>
      <c r="W1246">
        <v>4.9000000000000004</v>
      </c>
      <c r="X1246">
        <v>3.02095</v>
      </c>
      <c r="Y1246">
        <v>0.18275</v>
      </c>
      <c r="Z1246">
        <v>93.600750000000005</v>
      </c>
      <c r="AA1246">
        <v>10</v>
      </c>
      <c r="AB1246">
        <v>0.42</v>
      </c>
      <c r="AC1246">
        <v>217</v>
      </c>
      <c r="AD1246">
        <v>93</v>
      </c>
    </row>
    <row r="1247" spans="1:30" x14ac:dyDescent="0.55000000000000004">
      <c r="A1247">
        <v>110541</v>
      </c>
      <c r="B1247" s="19">
        <v>43616</v>
      </c>
      <c r="C1247">
        <v>1152</v>
      </c>
      <c r="D1247">
        <v>2019</v>
      </c>
      <c r="E1247">
        <v>25</v>
      </c>
      <c r="F1247">
        <v>519</v>
      </c>
      <c r="G1247">
        <v>1</v>
      </c>
      <c r="H1247">
        <v>190</v>
      </c>
      <c r="I1247">
        <v>3</v>
      </c>
      <c r="J1247">
        <v>4737.2700000000004</v>
      </c>
      <c r="K1247">
        <v>9042.32</v>
      </c>
      <c r="L1247">
        <v>4737.6499999999996</v>
      </c>
      <c r="M1247">
        <v>9042.2900000000009</v>
      </c>
      <c r="N1247">
        <v>47.621200000000002</v>
      </c>
      <c r="O1247">
        <v>-90.705299999999994</v>
      </c>
      <c r="P1247">
        <v>47.627499999999998</v>
      </c>
      <c r="Q1247">
        <v>-90.704800000000006</v>
      </c>
      <c r="R1247">
        <v>603.31760629999997</v>
      </c>
      <c r="S1247">
        <v>100</v>
      </c>
      <c r="T1247">
        <v>46.9</v>
      </c>
      <c r="U1247">
        <v>0.5</v>
      </c>
      <c r="V1247">
        <v>2</v>
      </c>
      <c r="W1247">
        <v>4.9000000000000004</v>
      </c>
      <c r="X1247">
        <v>3.02095</v>
      </c>
      <c r="Y1247">
        <v>0.18275</v>
      </c>
      <c r="Z1247">
        <v>93.600750000000005</v>
      </c>
      <c r="AA1247">
        <v>10</v>
      </c>
      <c r="AB1247">
        <v>0.42</v>
      </c>
      <c r="AC1247">
        <v>217</v>
      </c>
      <c r="AD1247">
        <v>45</v>
      </c>
    </row>
    <row r="1248" spans="1:30" x14ac:dyDescent="0.55000000000000004">
      <c r="A1248">
        <v>110542</v>
      </c>
      <c r="B1248" s="19">
        <v>43616</v>
      </c>
      <c r="C1248">
        <v>1351</v>
      </c>
      <c r="D1248">
        <v>2019</v>
      </c>
      <c r="E1248">
        <v>25</v>
      </c>
      <c r="F1248">
        <v>520</v>
      </c>
      <c r="G1248">
        <v>1</v>
      </c>
      <c r="H1248">
        <v>208</v>
      </c>
      <c r="I1248">
        <v>3</v>
      </c>
      <c r="J1248">
        <v>4741.0600000000004</v>
      </c>
      <c r="K1248">
        <v>9032.74</v>
      </c>
      <c r="L1248">
        <v>4741.41</v>
      </c>
      <c r="M1248">
        <v>9032.48</v>
      </c>
      <c r="N1248">
        <v>47.6843</v>
      </c>
      <c r="O1248">
        <v>-90.545699999999997</v>
      </c>
      <c r="P1248">
        <v>47.690199999999997</v>
      </c>
      <c r="Q1248">
        <v>-90.541300000000007</v>
      </c>
      <c r="R1248">
        <v>707.46760229999995</v>
      </c>
      <c r="S1248">
        <v>69.8</v>
      </c>
      <c r="T1248">
        <v>36</v>
      </c>
      <c r="U1248">
        <v>0.5</v>
      </c>
      <c r="V1248">
        <v>2</v>
      </c>
      <c r="W1248">
        <v>3.6</v>
      </c>
      <c r="X1248">
        <v>2.9998999999999998</v>
      </c>
      <c r="Y1248">
        <v>0.19205</v>
      </c>
      <c r="Z1248">
        <v>86.867050000000006</v>
      </c>
      <c r="AA1248">
        <v>10</v>
      </c>
      <c r="AB1248">
        <v>0.44</v>
      </c>
      <c r="AC1248">
        <v>217</v>
      </c>
      <c r="AD1248">
        <v>3</v>
      </c>
    </row>
    <row r="1249" spans="1:30" x14ac:dyDescent="0.55000000000000004">
      <c r="A1249">
        <v>110543</v>
      </c>
      <c r="B1249" s="19">
        <v>43616</v>
      </c>
      <c r="C1249">
        <v>1351</v>
      </c>
      <c r="D1249">
        <v>2019</v>
      </c>
      <c r="E1249">
        <v>25</v>
      </c>
      <c r="F1249">
        <v>521</v>
      </c>
      <c r="G1249">
        <v>1</v>
      </c>
      <c r="H1249">
        <v>208</v>
      </c>
      <c r="I1249">
        <v>3</v>
      </c>
      <c r="J1249">
        <v>4741.0600000000004</v>
      </c>
      <c r="K1249">
        <v>9032.74</v>
      </c>
      <c r="L1249">
        <v>4741.41</v>
      </c>
      <c r="M1249">
        <v>9032.48</v>
      </c>
      <c r="N1249">
        <v>47.6843</v>
      </c>
      <c r="O1249">
        <v>-90.545699999999997</v>
      </c>
      <c r="P1249">
        <v>47.690199999999997</v>
      </c>
      <c r="Q1249">
        <v>-90.541300000000007</v>
      </c>
      <c r="R1249">
        <v>707.46760229999995</v>
      </c>
      <c r="S1249">
        <v>69.8</v>
      </c>
      <c r="T1249">
        <v>36</v>
      </c>
      <c r="U1249">
        <v>0.5</v>
      </c>
      <c r="V1249">
        <v>2</v>
      </c>
      <c r="W1249">
        <v>3.6</v>
      </c>
      <c r="X1249">
        <v>2.9998999999999998</v>
      </c>
      <c r="Y1249">
        <v>0.19205</v>
      </c>
      <c r="Z1249">
        <v>86.867050000000006</v>
      </c>
      <c r="AA1249">
        <v>10</v>
      </c>
      <c r="AB1249">
        <v>0.44</v>
      </c>
      <c r="AC1249">
        <v>217</v>
      </c>
      <c r="AD1249">
        <v>7</v>
      </c>
    </row>
    <row r="1250" spans="1:30" x14ac:dyDescent="0.55000000000000004">
      <c r="A1250">
        <v>110544</v>
      </c>
      <c r="B1250" s="19">
        <v>43616</v>
      </c>
      <c r="C1250">
        <v>1554</v>
      </c>
      <c r="D1250">
        <v>2019</v>
      </c>
      <c r="E1250">
        <v>25</v>
      </c>
      <c r="F1250">
        <v>522</v>
      </c>
      <c r="G1250">
        <v>1</v>
      </c>
      <c r="H1250">
        <v>65</v>
      </c>
      <c r="I1250">
        <v>3</v>
      </c>
      <c r="J1250">
        <v>4744.42</v>
      </c>
      <c r="K1250">
        <v>9019</v>
      </c>
      <c r="L1250">
        <v>4744.75</v>
      </c>
      <c r="M1250">
        <v>9019.3700000000008</v>
      </c>
      <c r="N1250">
        <v>47.740299999999998</v>
      </c>
      <c r="O1250">
        <v>-90.316699999999997</v>
      </c>
      <c r="P1250">
        <v>47.745800000000003</v>
      </c>
      <c r="Q1250">
        <v>-90.322800000000001</v>
      </c>
      <c r="R1250">
        <v>688.20263509999995</v>
      </c>
      <c r="S1250">
        <v>100</v>
      </c>
      <c r="T1250">
        <v>21.7</v>
      </c>
      <c r="U1250">
        <v>0.5</v>
      </c>
      <c r="V1250">
        <v>2</v>
      </c>
      <c r="W1250">
        <v>3.5</v>
      </c>
      <c r="X1250">
        <v>2.88985</v>
      </c>
      <c r="Y1250">
        <v>0.23169999999999999</v>
      </c>
      <c r="Z1250">
        <v>91.244699999999995</v>
      </c>
      <c r="AA1250">
        <v>10</v>
      </c>
      <c r="AB1250">
        <v>0.44</v>
      </c>
      <c r="AC1250">
        <v>217</v>
      </c>
      <c r="AD1250">
        <v>72</v>
      </c>
    </row>
    <row r="1251" spans="1:30" x14ac:dyDescent="0.55000000000000004">
      <c r="A1251">
        <v>110545</v>
      </c>
      <c r="B1251" s="19">
        <v>43616</v>
      </c>
      <c r="C1251">
        <v>1554</v>
      </c>
      <c r="D1251">
        <v>2019</v>
      </c>
      <c r="E1251">
        <v>25</v>
      </c>
      <c r="F1251">
        <v>523</v>
      </c>
      <c r="G1251">
        <v>1</v>
      </c>
      <c r="H1251">
        <v>65</v>
      </c>
      <c r="I1251">
        <v>3</v>
      </c>
      <c r="J1251">
        <v>4744.42</v>
      </c>
      <c r="K1251">
        <v>9019</v>
      </c>
      <c r="L1251">
        <v>4744.75</v>
      </c>
      <c r="M1251">
        <v>9019.3700000000008</v>
      </c>
      <c r="N1251">
        <v>47.740299999999998</v>
      </c>
      <c r="O1251">
        <v>-90.316699999999997</v>
      </c>
      <c r="P1251">
        <v>47.745800000000003</v>
      </c>
      <c r="Q1251">
        <v>-90.322800000000001</v>
      </c>
      <c r="R1251">
        <v>688.20263509999995</v>
      </c>
      <c r="S1251">
        <v>100</v>
      </c>
      <c r="T1251">
        <v>21.7</v>
      </c>
      <c r="U1251">
        <v>0.5</v>
      </c>
      <c r="V1251">
        <v>2</v>
      </c>
      <c r="W1251">
        <v>3.5</v>
      </c>
      <c r="X1251">
        <v>2.88985</v>
      </c>
      <c r="Y1251">
        <v>0.23169999999999999</v>
      </c>
      <c r="Z1251">
        <v>91.244699999999995</v>
      </c>
      <c r="AA1251">
        <v>10</v>
      </c>
      <c r="AB1251">
        <v>0.44</v>
      </c>
      <c r="AC1251">
        <v>217</v>
      </c>
      <c r="AD1251">
        <v>32</v>
      </c>
    </row>
    <row r="1252" spans="1:30" x14ac:dyDescent="0.55000000000000004">
      <c r="A1252">
        <v>110549</v>
      </c>
      <c r="B1252" s="19">
        <v>43617</v>
      </c>
      <c r="C1252">
        <v>1102</v>
      </c>
      <c r="D1252">
        <v>2019</v>
      </c>
      <c r="E1252">
        <v>25</v>
      </c>
      <c r="F1252">
        <v>524</v>
      </c>
      <c r="G1252">
        <v>1</v>
      </c>
      <c r="H1252">
        <v>172</v>
      </c>
      <c r="I1252">
        <v>3</v>
      </c>
      <c r="J1252">
        <v>4720.3599999999997</v>
      </c>
      <c r="K1252">
        <v>9110.91</v>
      </c>
      <c r="L1252">
        <v>4720.1400000000003</v>
      </c>
      <c r="M1252">
        <v>9111.4</v>
      </c>
      <c r="N1252">
        <v>47.339300000000001</v>
      </c>
      <c r="O1252">
        <v>-91.181799999999996</v>
      </c>
      <c r="P1252">
        <v>47.335700000000003</v>
      </c>
      <c r="Q1252">
        <v>-91.19</v>
      </c>
      <c r="R1252">
        <v>370.65774320000003</v>
      </c>
      <c r="S1252">
        <v>101.8</v>
      </c>
      <c r="T1252">
        <v>22.8</v>
      </c>
      <c r="U1252">
        <v>0.5</v>
      </c>
      <c r="V1252">
        <v>2</v>
      </c>
      <c r="W1252">
        <v>4</v>
      </c>
      <c r="X1252">
        <v>3.5276999999999998</v>
      </c>
      <c r="Y1252">
        <v>0.18090000000000001</v>
      </c>
      <c r="Z1252">
        <v>93.746499999999997</v>
      </c>
      <c r="AA1252">
        <v>10</v>
      </c>
      <c r="AB1252">
        <v>0.42</v>
      </c>
      <c r="AC1252">
        <v>217</v>
      </c>
      <c r="AD1252">
        <v>632</v>
      </c>
    </row>
    <row r="1253" spans="1:30" x14ac:dyDescent="0.55000000000000004">
      <c r="A1253">
        <v>110550</v>
      </c>
      <c r="B1253" s="19">
        <v>43617</v>
      </c>
      <c r="C1253">
        <v>1102</v>
      </c>
      <c r="D1253">
        <v>2019</v>
      </c>
      <c r="E1253">
        <v>25</v>
      </c>
      <c r="F1253">
        <v>525</v>
      </c>
      <c r="G1253">
        <v>1</v>
      </c>
      <c r="H1253">
        <v>172</v>
      </c>
      <c r="I1253">
        <v>3</v>
      </c>
      <c r="J1253">
        <v>4720.3599999999997</v>
      </c>
      <c r="K1253">
        <v>9110.91</v>
      </c>
      <c r="L1253">
        <v>4720.1400000000003</v>
      </c>
      <c r="M1253">
        <v>9111.4</v>
      </c>
      <c r="N1253">
        <v>47.339300000000001</v>
      </c>
      <c r="O1253">
        <v>-91.181799999999996</v>
      </c>
      <c r="P1253">
        <v>47.335700000000003</v>
      </c>
      <c r="Q1253">
        <v>-91.19</v>
      </c>
      <c r="R1253">
        <v>370.65774320000003</v>
      </c>
      <c r="S1253">
        <v>101.8</v>
      </c>
      <c r="T1253">
        <v>22.8</v>
      </c>
      <c r="U1253">
        <v>0.5</v>
      </c>
      <c r="V1253">
        <v>2</v>
      </c>
      <c r="W1253">
        <v>4</v>
      </c>
      <c r="X1253">
        <v>3.5276999999999998</v>
      </c>
      <c r="Y1253">
        <v>0.18090000000000001</v>
      </c>
      <c r="Z1253">
        <v>93.746499999999997</v>
      </c>
      <c r="AA1253">
        <v>10</v>
      </c>
      <c r="AB1253">
        <v>0.42</v>
      </c>
      <c r="AC1253">
        <v>217</v>
      </c>
      <c r="AD1253">
        <v>495</v>
      </c>
    </row>
    <row r="1254" spans="1:30" x14ac:dyDescent="0.55000000000000004">
      <c r="A1254">
        <v>110551</v>
      </c>
      <c r="B1254" s="19">
        <v>43617</v>
      </c>
      <c r="C1254">
        <v>1404</v>
      </c>
      <c r="D1254">
        <v>2019</v>
      </c>
      <c r="E1254">
        <v>25</v>
      </c>
      <c r="F1254">
        <v>526</v>
      </c>
      <c r="G1254">
        <v>1</v>
      </c>
      <c r="H1254">
        <v>188</v>
      </c>
      <c r="I1254">
        <v>3</v>
      </c>
      <c r="J1254">
        <v>4704.8500000000004</v>
      </c>
      <c r="K1254">
        <v>9132.0400000000009</v>
      </c>
      <c r="L1254">
        <v>4704.99</v>
      </c>
      <c r="M1254">
        <v>9133.58</v>
      </c>
      <c r="N1254">
        <v>47.080800000000004</v>
      </c>
      <c r="O1254">
        <v>-91.534000000000006</v>
      </c>
      <c r="P1254">
        <v>47.083199999999998</v>
      </c>
      <c r="Q1254">
        <v>-91.559700000000007</v>
      </c>
      <c r="R1254">
        <v>1203.670781</v>
      </c>
      <c r="S1254">
        <v>44</v>
      </c>
      <c r="T1254">
        <v>35.200000000000003</v>
      </c>
      <c r="U1254">
        <v>0.5</v>
      </c>
      <c r="V1254">
        <v>2</v>
      </c>
      <c r="W1254">
        <v>4.2</v>
      </c>
      <c r="X1254">
        <v>3.3732500000000001</v>
      </c>
      <c r="Y1254">
        <v>0.16470000000000001</v>
      </c>
      <c r="Z1254">
        <v>92.462000000000003</v>
      </c>
      <c r="AA1254">
        <v>10</v>
      </c>
      <c r="AB1254">
        <v>0.42</v>
      </c>
      <c r="AC1254">
        <v>217</v>
      </c>
      <c r="AD1254">
        <v>31</v>
      </c>
    </row>
    <row r="1255" spans="1:30" x14ac:dyDescent="0.55000000000000004">
      <c r="A1255">
        <v>110552</v>
      </c>
      <c r="B1255" s="19">
        <v>43617</v>
      </c>
      <c r="C1255">
        <v>1404</v>
      </c>
      <c r="D1255">
        <v>2019</v>
      </c>
      <c r="E1255">
        <v>25</v>
      </c>
      <c r="F1255">
        <v>527</v>
      </c>
      <c r="G1255">
        <v>1</v>
      </c>
      <c r="H1255">
        <v>188</v>
      </c>
      <c r="I1255">
        <v>3</v>
      </c>
      <c r="J1255">
        <v>4704.8500000000004</v>
      </c>
      <c r="K1255">
        <v>9132.0400000000009</v>
      </c>
      <c r="L1255">
        <v>4704.99</v>
      </c>
      <c r="M1255">
        <v>9133.58</v>
      </c>
      <c r="N1255">
        <v>47.080800000000004</v>
      </c>
      <c r="O1255">
        <v>-91.534000000000006</v>
      </c>
      <c r="P1255">
        <v>47.083199999999998</v>
      </c>
      <c r="Q1255">
        <v>-91.559700000000007</v>
      </c>
      <c r="R1255">
        <v>1203.670781</v>
      </c>
      <c r="S1255">
        <v>44</v>
      </c>
      <c r="T1255">
        <v>35.200000000000003</v>
      </c>
      <c r="U1255">
        <v>0.5</v>
      </c>
      <c r="V1255">
        <v>2</v>
      </c>
      <c r="W1255">
        <v>4.2</v>
      </c>
      <c r="X1255">
        <v>3.3732500000000001</v>
      </c>
      <c r="Y1255">
        <v>0.16470000000000001</v>
      </c>
      <c r="Z1255">
        <v>92.462000000000003</v>
      </c>
      <c r="AA1255">
        <v>10</v>
      </c>
      <c r="AB1255">
        <v>0.42</v>
      </c>
      <c r="AC1255">
        <v>217</v>
      </c>
      <c r="AD1255">
        <v>22</v>
      </c>
    </row>
    <row r="1256" spans="1:30" x14ac:dyDescent="0.55000000000000004">
      <c r="A1256">
        <v>110553</v>
      </c>
      <c r="B1256" s="19">
        <v>43617</v>
      </c>
      <c r="C1256">
        <v>1534</v>
      </c>
      <c r="D1256">
        <v>2019</v>
      </c>
      <c r="E1256">
        <v>25</v>
      </c>
      <c r="F1256">
        <v>528</v>
      </c>
      <c r="G1256">
        <v>1</v>
      </c>
      <c r="H1256">
        <v>36</v>
      </c>
      <c r="I1256">
        <v>3</v>
      </c>
      <c r="J1256">
        <v>4700.09</v>
      </c>
      <c r="K1256">
        <v>9140.18</v>
      </c>
      <c r="L1256">
        <v>4700.07</v>
      </c>
      <c r="M1256">
        <v>9141.77</v>
      </c>
      <c r="N1256">
        <v>47.0015</v>
      </c>
      <c r="O1256">
        <v>-91.669700000000006</v>
      </c>
      <c r="P1256">
        <v>47.001199999999997</v>
      </c>
      <c r="Q1256">
        <v>-91.696200000000005</v>
      </c>
      <c r="R1256">
        <v>629.54925539999999</v>
      </c>
      <c r="S1256">
        <v>30.5</v>
      </c>
      <c r="T1256">
        <v>24.8</v>
      </c>
      <c r="U1256">
        <v>0.5</v>
      </c>
      <c r="V1256">
        <v>2</v>
      </c>
      <c r="W1256">
        <v>4.5</v>
      </c>
      <c r="X1256">
        <v>3.26545</v>
      </c>
      <c r="Y1256">
        <v>0.14324999999999999</v>
      </c>
      <c r="Z1256">
        <v>81.322550000000007</v>
      </c>
      <c r="AA1256">
        <v>10</v>
      </c>
      <c r="AB1256">
        <v>0.43</v>
      </c>
      <c r="AC1256">
        <v>217</v>
      </c>
      <c r="AD1256">
        <v>19</v>
      </c>
    </row>
    <row r="1257" spans="1:30" x14ac:dyDescent="0.55000000000000004">
      <c r="A1257">
        <v>110554</v>
      </c>
      <c r="B1257" s="19">
        <v>43617</v>
      </c>
      <c r="C1257">
        <v>1534</v>
      </c>
      <c r="D1257">
        <v>2019</v>
      </c>
      <c r="E1257">
        <v>25</v>
      </c>
      <c r="F1257">
        <v>529</v>
      </c>
      <c r="G1257">
        <v>1</v>
      </c>
      <c r="H1257">
        <v>36</v>
      </c>
      <c r="I1257">
        <v>3</v>
      </c>
      <c r="J1257">
        <v>4700.09</v>
      </c>
      <c r="K1257">
        <v>9140.18</v>
      </c>
      <c r="L1257">
        <v>4700.07</v>
      </c>
      <c r="M1257">
        <v>9141.77</v>
      </c>
      <c r="N1257">
        <v>47.0015</v>
      </c>
      <c r="O1257">
        <v>-91.669700000000006</v>
      </c>
      <c r="P1257">
        <v>47.001199999999997</v>
      </c>
      <c r="Q1257">
        <v>-91.696200000000005</v>
      </c>
      <c r="R1257">
        <v>629.54925539999999</v>
      </c>
      <c r="S1257">
        <v>30.5</v>
      </c>
      <c r="T1257">
        <v>24.8</v>
      </c>
      <c r="U1257">
        <v>0.5</v>
      </c>
      <c r="V1257">
        <v>2</v>
      </c>
      <c r="W1257">
        <v>4.5</v>
      </c>
      <c r="X1257">
        <v>3.26545</v>
      </c>
      <c r="Y1257">
        <v>0.14324999999999999</v>
      </c>
      <c r="Z1257">
        <v>81.322550000000007</v>
      </c>
      <c r="AA1257">
        <v>10</v>
      </c>
      <c r="AB1257">
        <v>0.43</v>
      </c>
      <c r="AC1257">
        <v>217</v>
      </c>
      <c r="AD1257">
        <v>21</v>
      </c>
    </row>
    <row r="1258" spans="1:30" x14ac:dyDescent="0.55000000000000004">
      <c r="A1258">
        <v>110559</v>
      </c>
      <c r="B1258" s="19">
        <v>43618</v>
      </c>
      <c r="C1258">
        <v>753</v>
      </c>
      <c r="D1258">
        <v>2019</v>
      </c>
      <c r="E1258">
        <v>25</v>
      </c>
      <c r="F1258">
        <v>530</v>
      </c>
      <c r="G1258">
        <v>1</v>
      </c>
      <c r="H1258">
        <v>210</v>
      </c>
      <c r="I1258">
        <v>3</v>
      </c>
      <c r="J1258">
        <v>4643.54</v>
      </c>
      <c r="K1258">
        <v>9201.49</v>
      </c>
      <c r="L1258">
        <v>4643.75</v>
      </c>
      <c r="M1258">
        <v>9201.07</v>
      </c>
      <c r="N1258">
        <v>46.725700000000003</v>
      </c>
      <c r="O1258">
        <v>-92.024799999999999</v>
      </c>
      <c r="P1258">
        <v>46.729199999999999</v>
      </c>
      <c r="Q1258">
        <v>-92.017799999999994</v>
      </c>
      <c r="R1258">
        <v>1160.9052320000001</v>
      </c>
      <c r="S1258">
        <v>15.4</v>
      </c>
      <c r="T1258">
        <v>18.600000000000001</v>
      </c>
      <c r="U1258">
        <v>0.5</v>
      </c>
      <c r="V1258">
        <v>1</v>
      </c>
      <c r="W1258">
        <v>9</v>
      </c>
      <c r="X1258">
        <v>8.7233000000000001</v>
      </c>
      <c r="Y1258">
        <v>1.61815</v>
      </c>
      <c r="Z1258">
        <v>6.7295499999999997</v>
      </c>
      <c r="AA1258">
        <v>10</v>
      </c>
      <c r="AB1258">
        <v>0.4</v>
      </c>
      <c r="AC1258">
        <v>217</v>
      </c>
      <c r="AD1258">
        <v>62</v>
      </c>
    </row>
    <row r="1259" spans="1:30" x14ac:dyDescent="0.55000000000000004">
      <c r="A1259">
        <v>110560</v>
      </c>
      <c r="B1259" s="19">
        <v>43618</v>
      </c>
      <c r="C1259">
        <v>753</v>
      </c>
      <c r="D1259">
        <v>2019</v>
      </c>
      <c r="E1259">
        <v>25</v>
      </c>
      <c r="F1259">
        <v>531</v>
      </c>
      <c r="G1259">
        <v>1</v>
      </c>
      <c r="H1259">
        <v>210</v>
      </c>
      <c r="I1259">
        <v>3</v>
      </c>
      <c r="J1259">
        <v>4643.54</v>
      </c>
      <c r="K1259">
        <v>9201.49</v>
      </c>
      <c r="L1259">
        <v>4643.75</v>
      </c>
      <c r="M1259">
        <v>9201.07</v>
      </c>
      <c r="N1259">
        <v>46.725700000000003</v>
      </c>
      <c r="O1259">
        <v>-92.024799999999999</v>
      </c>
      <c r="P1259">
        <v>46.729199999999999</v>
      </c>
      <c r="Q1259">
        <v>-92.017799999999994</v>
      </c>
      <c r="R1259">
        <v>1160.9052320000001</v>
      </c>
      <c r="S1259">
        <v>15.4</v>
      </c>
      <c r="T1259">
        <v>18.600000000000001</v>
      </c>
      <c r="U1259">
        <v>0.5</v>
      </c>
      <c r="V1259">
        <v>2</v>
      </c>
      <c r="W1259">
        <v>9</v>
      </c>
      <c r="X1259">
        <v>8.7233000000000001</v>
      </c>
      <c r="Y1259">
        <v>1.61815</v>
      </c>
      <c r="Z1259">
        <v>6.7295499999999997</v>
      </c>
      <c r="AA1259">
        <v>10</v>
      </c>
      <c r="AB1259">
        <v>0.4</v>
      </c>
      <c r="AC1259">
        <v>217</v>
      </c>
      <c r="AD1259">
        <v>44</v>
      </c>
    </row>
    <row r="1260" spans="1:30" x14ac:dyDescent="0.55000000000000004">
      <c r="A1260">
        <v>110561</v>
      </c>
      <c r="B1260" s="19">
        <v>43618</v>
      </c>
      <c r="C1260">
        <v>1042</v>
      </c>
      <c r="D1260">
        <v>2019</v>
      </c>
      <c r="E1260">
        <v>25</v>
      </c>
      <c r="F1260">
        <v>532</v>
      </c>
      <c r="G1260">
        <v>1</v>
      </c>
      <c r="H1260">
        <v>206</v>
      </c>
      <c r="I1260">
        <v>3</v>
      </c>
      <c r="J1260">
        <v>4646.1899999999996</v>
      </c>
      <c r="K1260">
        <v>9137.5300000000007</v>
      </c>
      <c r="L1260">
        <v>4646.5600000000004</v>
      </c>
      <c r="M1260">
        <v>9137.76</v>
      </c>
      <c r="N1260">
        <v>46.769799999999996</v>
      </c>
      <c r="O1260">
        <v>-91.625500000000002</v>
      </c>
      <c r="P1260">
        <v>46.776000000000003</v>
      </c>
      <c r="Q1260">
        <v>-91.629300000000001</v>
      </c>
      <c r="R1260">
        <v>2834.1058560000001</v>
      </c>
      <c r="S1260">
        <v>25.6</v>
      </c>
      <c r="T1260">
        <v>35.200000000000003</v>
      </c>
      <c r="U1260">
        <v>0.5</v>
      </c>
      <c r="V1260">
        <v>2</v>
      </c>
      <c r="W1260">
        <v>8.1999999999999993</v>
      </c>
      <c r="X1260">
        <v>5.14595</v>
      </c>
      <c r="Y1260">
        <v>0.50680000000000003</v>
      </c>
      <c r="Z1260">
        <v>67.863299999999995</v>
      </c>
      <c r="AA1260">
        <v>10</v>
      </c>
      <c r="AB1260">
        <v>0.4</v>
      </c>
      <c r="AC1260">
        <v>217</v>
      </c>
      <c r="AD1260">
        <v>44</v>
      </c>
    </row>
    <row r="1261" spans="1:30" x14ac:dyDescent="0.55000000000000004">
      <c r="A1261">
        <v>110562</v>
      </c>
      <c r="B1261" s="19">
        <v>43618</v>
      </c>
      <c r="C1261">
        <v>1042</v>
      </c>
      <c r="D1261">
        <v>2019</v>
      </c>
      <c r="E1261">
        <v>25</v>
      </c>
      <c r="F1261">
        <v>533</v>
      </c>
      <c r="G1261">
        <v>1</v>
      </c>
      <c r="H1261">
        <v>206</v>
      </c>
      <c r="I1261">
        <v>3</v>
      </c>
      <c r="J1261">
        <v>4646.1899999999996</v>
      </c>
      <c r="K1261">
        <v>9137.5300000000007</v>
      </c>
      <c r="L1261">
        <v>4646.5600000000004</v>
      </c>
      <c r="M1261">
        <v>9137.76</v>
      </c>
      <c r="N1261">
        <v>46.769799999999996</v>
      </c>
      <c r="O1261">
        <v>-91.625500000000002</v>
      </c>
      <c r="P1261">
        <v>46.776000000000003</v>
      </c>
      <c r="Q1261">
        <v>-91.629300000000001</v>
      </c>
      <c r="R1261">
        <v>2834.1058560000001</v>
      </c>
      <c r="S1261">
        <v>25.6</v>
      </c>
      <c r="T1261">
        <v>35.200000000000003</v>
      </c>
      <c r="U1261">
        <v>0.5</v>
      </c>
      <c r="V1261">
        <v>2</v>
      </c>
      <c r="W1261">
        <v>8.1999999999999993</v>
      </c>
      <c r="X1261">
        <v>5.14595</v>
      </c>
      <c r="Y1261">
        <v>0.50680000000000003</v>
      </c>
      <c r="Z1261">
        <v>67.863299999999995</v>
      </c>
      <c r="AA1261">
        <v>10</v>
      </c>
      <c r="AB1261">
        <v>0.4</v>
      </c>
      <c r="AC1261">
        <v>217</v>
      </c>
      <c r="AD1261">
        <v>28</v>
      </c>
    </row>
    <row r="1262" spans="1:30" x14ac:dyDescent="0.55000000000000004">
      <c r="A1262">
        <v>110563</v>
      </c>
      <c r="B1262" s="19">
        <v>43618</v>
      </c>
      <c r="C1262">
        <v>1248</v>
      </c>
      <c r="D1262">
        <v>2019</v>
      </c>
      <c r="E1262">
        <v>25</v>
      </c>
      <c r="F1262">
        <v>534</v>
      </c>
      <c r="G1262">
        <v>1</v>
      </c>
      <c r="H1262">
        <v>205</v>
      </c>
      <c r="I1262">
        <v>3</v>
      </c>
      <c r="J1262">
        <v>4648.59</v>
      </c>
      <c r="K1262">
        <v>9124.84</v>
      </c>
      <c r="L1262">
        <v>4648.9799999999996</v>
      </c>
      <c r="M1262">
        <v>9125.02</v>
      </c>
      <c r="N1262">
        <v>46.809800000000003</v>
      </c>
      <c r="O1262">
        <v>-91.414000000000001</v>
      </c>
      <c r="P1262">
        <v>46.816299999999998</v>
      </c>
      <c r="Q1262">
        <v>-91.417000000000002</v>
      </c>
      <c r="R1262">
        <v>1605.8109830000001</v>
      </c>
      <c r="S1262">
        <v>23.2</v>
      </c>
      <c r="T1262">
        <v>34.1</v>
      </c>
      <c r="U1262">
        <v>0.5</v>
      </c>
      <c r="V1262">
        <v>2</v>
      </c>
      <c r="W1262">
        <v>7</v>
      </c>
      <c r="X1262">
        <v>5.1044499999999999</v>
      </c>
      <c r="Y1262">
        <v>0.19655</v>
      </c>
      <c r="Z1262">
        <v>84.149649999999994</v>
      </c>
      <c r="AA1262">
        <v>10</v>
      </c>
      <c r="AB1262">
        <v>0.44</v>
      </c>
      <c r="AC1262">
        <v>217</v>
      </c>
      <c r="AD1262">
        <v>9</v>
      </c>
    </row>
    <row r="1263" spans="1:30" x14ac:dyDescent="0.55000000000000004">
      <c r="A1263">
        <v>110564</v>
      </c>
      <c r="B1263" s="19">
        <v>43618</v>
      </c>
      <c r="C1263">
        <v>1248</v>
      </c>
      <c r="D1263">
        <v>2019</v>
      </c>
      <c r="E1263">
        <v>25</v>
      </c>
      <c r="F1263">
        <v>535</v>
      </c>
      <c r="G1263">
        <v>1</v>
      </c>
      <c r="H1263">
        <v>205</v>
      </c>
      <c r="I1263">
        <v>3</v>
      </c>
      <c r="J1263">
        <v>4648.59</v>
      </c>
      <c r="K1263">
        <v>9124.84</v>
      </c>
      <c r="L1263">
        <v>4648.9799999999996</v>
      </c>
      <c r="M1263">
        <v>9125.02</v>
      </c>
      <c r="N1263">
        <v>46.809800000000003</v>
      </c>
      <c r="O1263">
        <v>-91.414000000000001</v>
      </c>
      <c r="P1263">
        <v>46.816299999999998</v>
      </c>
      <c r="Q1263">
        <v>-91.417000000000002</v>
      </c>
      <c r="R1263">
        <v>1605.8109830000001</v>
      </c>
      <c r="S1263">
        <v>23.2</v>
      </c>
      <c r="T1263">
        <v>34.1</v>
      </c>
      <c r="U1263">
        <v>0.5</v>
      </c>
      <c r="V1263">
        <v>2</v>
      </c>
      <c r="W1263">
        <v>7</v>
      </c>
      <c r="X1263">
        <v>5.1044499999999999</v>
      </c>
      <c r="Y1263">
        <v>0.19655</v>
      </c>
      <c r="Z1263">
        <v>84.149649999999994</v>
      </c>
      <c r="AA1263">
        <v>10</v>
      </c>
      <c r="AB1263">
        <v>0.44</v>
      </c>
      <c r="AC1263">
        <v>217</v>
      </c>
      <c r="AD1263">
        <v>1</v>
      </c>
    </row>
    <row r="1264" spans="1:30" x14ac:dyDescent="0.55000000000000004">
      <c r="A1264">
        <v>110565</v>
      </c>
      <c r="B1264" s="19">
        <v>43618</v>
      </c>
      <c r="C1264">
        <v>1516</v>
      </c>
      <c r="D1264">
        <v>2019</v>
      </c>
      <c r="E1264">
        <v>25</v>
      </c>
      <c r="F1264">
        <v>536</v>
      </c>
      <c r="G1264">
        <v>1</v>
      </c>
      <c r="H1264">
        <v>187</v>
      </c>
      <c r="I1264">
        <v>3</v>
      </c>
      <c r="J1264">
        <v>4654.82</v>
      </c>
      <c r="K1264">
        <v>9149.7099999999991</v>
      </c>
      <c r="L1264">
        <v>4654.8900000000003</v>
      </c>
      <c r="M1264">
        <v>9150.31</v>
      </c>
      <c r="N1264">
        <v>46.913699999999999</v>
      </c>
      <c r="O1264">
        <v>-91.828500000000005</v>
      </c>
      <c r="P1264">
        <v>46.9148</v>
      </c>
      <c r="Q1264">
        <v>-91.838499999999996</v>
      </c>
      <c r="R1264">
        <v>651.91209979999996</v>
      </c>
      <c r="S1264">
        <v>49</v>
      </c>
      <c r="T1264">
        <v>32.700000000000003</v>
      </c>
      <c r="U1264">
        <v>0.5</v>
      </c>
      <c r="V1264">
        <v>2</v>
      </c>
      <c r="W1264">
        <v>4.4000000000000004</v>
      </c>
      <c r="X1264">
        <v>3.2997000000000001</v>
      </c>
      <c r="Y1264">
        <v>0.19744999999999999</v>
      </c>
      <c r="Z1264">
        <v>90.34975</v>
      </c>
      <c r="AA1264">
        <v>10</v>
      </c>
      <c r="AB1264">
        <v>0.44</v>
      </c>
      <c r="AC1264">
        <v>217</v>
      </c>
      <c r="AD1264">
        <v>373</v>
      </c>
    </row>
    <row r="1265" spans="1:30" x14ac:dyDescent="0.55000000000000004">
      <c r="A1265">
        <v>110566</v>
      </c>
      <c r="B1265" s="19">
        <v>43618</v>
      </c>
      <c r="C1265">
        <v>1516</v>
      </c>
      <c r="D1265">
        <v>2019</v>
      </c>
      <c r="E1265">
        <v>25</v>
      </c>
      <c r="F1265">
        <v>537</v>
      </c>
      <c r="G1265">
        <v>1</v>
      </c>
      <c r="H1265">
        <v>187</v>
      </c>
      <c r="I1265">
        <v>3</v>
      </c>
      <c r="J1265">
        <v>4654.82</v>
      </c>
      <c r="K1265">
        <v>9149.7099999999991</v>
      </c>
      <c r="L1265">
        <v>4654.8900000000003</v>
      </c>
      <c r="M1265">
        <v>9150.31</v>
      </c>
      <c r="N1265">
        <v>46.913699999999999</v>
      </c>
      <c r="O1265">
        <v>-91.828500000000005</v>
      </c>
      <c r="P1265">
        <v>46.9148</v>
      </c>
      <c r="Q1265">
        <v>-91.838499999999996</v>
      </c>
      <c r="R1265">
        <v>651.91209979999996</v>
      </c>
      <c r="S1265">
        <v>49</v>
      </c>
      <c r="T1265">
        <v>32.700000000000003</v>
      </c>
      <c r="U1265">
        <v>0.5</v>
      </c>
      <c r="V1265">
        <v>2</v>
      </c>
      <c r="W1265">
        <v>4.4000000000000004</v>
      </c>
      <c r="X1265">
        <v>3.2997000000000001</v>
      </c>
      <c r="Y1265">
        <v>0.19744999999999999</v>
      </c>
      <c r="Z1265">
        <v>90.34975</v>
      </c>
      <c r="AA1265">
        <v>10</v>
      </c>
      <c r="AB1265">
        <v>0.44</v>
      </c>
      <c r="AC1265">
        <v>217</v>
      </c>
      <c r="AD1265">
        <v>217</v>
      </c>
    </row>
    <row r="1266" spans="1:30" x14ac:dyDescent="0.55000000000000004">
      <c r="A1266">
        <v>110574</v>
      </c>
      <c r="B1266" s="19">
        <v>43619</v>
      </c>
      <c r="C1266">
        <v>1051</v>
      </c>
      <c r="D1266">
        <v>2019</v>
      </c>
      <c r="E1266">
        <v>25</v>
      </c>
      <c r="F1266">
        <v>538</v>
      </c>
      <c r="G1266">
        <v>1</v>
      </c>
      <c r="H1266">
        <v>151</v>
      </c>
      <c r="I1266">
        <v>3</v>
      </c>
      <c r="J1266">
        <v>4652.7700000000004</v>
      </c>
      <c r="K1266">
        <v>9112.5400000000009</v>
      </c>
      <c r="L1266">
        <v>4653.1000000000004</v>
      </c>
      <c r="M1266">
        <v>9112.92</v>
      </c>
      <c r="N1266">
        <v>46.8795</v>
      </c>
      <c r="O1266">
        <v>-91.209000000000003</v>
      </c>
      <c r="P1266">
        <v>46.884999999999998</v>
      </c>
      <c r="Q1266">
        <v>-91.215299999999999</v>
      </c>
      <c r="R1266">
        <v>852.98955160000003</v>
      </c>
      <c r="S1266">
        <v>12.6</v>
      </c>
      <c r="T1266">
        <v>52.8</v>
      </c>
      <c r="U1266">
        <v>0.5</v>
      </c>
      <c r="V1266">
        <v>2</v>
      </c>
      <c r="W1266">
        <v>6.3</v>
      </c>
      <c r="X1266">
        <v>4.5079500000000001</v>
      </c>
      <c r="Y1266">
        <v>0.31924999999999998</v>
      </c>
      <c r="Z1266">
        <v>85.332499999999996</v>
      </c>
      <c r="AA1266">
        <v>10</v>
      </c>
      <c r="AB1266">
        <v>0.44</v>
      </c>
      <c r="AC1266">
        <v>217</v>
      </c>
      <c r="AD1266">
        <v>132</v>
      </c>
    </row>
    <row r="1267" spans="1:30" x14ac:dyDescent="0.55000000000000004">
      <c r="A1267">
        <v>110575</v>
      </c>
      <c r="B1267" s="19">
        <v>43619</v>
      </c>
      <c r="C1267">
        <v>1051</v>
      </c>
      <c r="D1267">
        <v>2019</v>
      </c>
      <c r="E1267">
        <v>25</v>
      </c>
      <c r="F1267">
        <v>539</v>
      </c>
      <c r="G1267">
        <v>1</v>
      </c>
      <c r="H1267">
        <v>151</v>
      </c>
      <c r="I1267">
        <v>3</v>
      </c>
      <c r="J1267">
        <v>4652.7700000000004</v>
      </c>
      <c r="K1267">
        <v>9112.5400000000009</v>
      </c>
      <c r="L1267">
        <v>4653.1000000000004</v>
      </c>
      <c r="M1267">
        <v>9112.92</v>
      </c>
      <c r="N1267">
        <v>46.8795</v>
      </c>
      <c r="O1267">
        <v>-91.209000000000003</v>
      </c>
      <c r="P1267">
        <v>46.884999999999998</v>
      </c>
      <c r="Q1267">
        <v>-91.215299999999999</v>
      </c>
      <c r="R1267">
        <v>852.98955160000003</v>
      </c>
      <c r="S1267">
        <v>12.6</v>
      </c>
      <c r="T1267">
        <v>52.8</v>
      </c>
      <c r="U1267">
        <v>0.5</v>
      </c>
      <c r="V1267">
        <v>2</v>
      </c>
      <c r="W1267">
        <v>6.3</v>
      </c>
      <c r="X1267">
        <v>4.5079500000000001</v>
      </c>
      <c r="Y1267">
        <v>0.31924999999999998</v>
      </c>
      <c r="Z1267">
        <v>85.332499999999996</v>
      </c>
      <c r="AA1267">
        <v>10</v>
      </c>
      <c r="AB1267">
        <v>0.44</v>
      </c>
      <c r="AC1267">
        <v>217</v>
      </c>
      <c r="AD1267">
        <v>50</v>
      </c>
    </row>
    <row r="1268" spans="1:30" x14ac:dyDescent="0.55000000000000004">
      <c r="A1268">
        <v>110576</v>
      </c>
      <c r="B1268" s="19">
        <v>43619</v>
      </c>
      <c r="C1268">
        <v>1234</v>
      </c>
      <c r="D1268">
        <v>2019</v>
      </c>
      <c r="E1268">
        <v>25</v>
      </c>
      <c r="F1268">
        <v>540</v>
      </c>
      <c r="G1268">
        <v>1</v>
      </c>
      <c r="H1268">
        <v>76</v>
      </c>
      <c r="I1268">
        <v>3</v>
      </c>
      <c r="J1268">
        <v>4653.1099999999997</v>
      </c>
      <c r="K1268">
        <v>9105.74</v>
      </c>
      <c r="L1268">
        <v>4653.45</v>
      </c>
      <c r="M1268">
        <v>9106.1299999999992</v>
      </c>
      <c r="N1268">
        <v>46.885199999999998</v>
      </c>
      <c r="O1268">
        <v>-91.095699999999994</v>
      </c>
      <c r="P1268">
        <v>46.890799999999999</v>
      </c>
      <c r="Q1268">
        <v>-91.102199999999996</v>
      </c>
      <c r="R1268">
        <v>465.72166900000002</v>
      </c>
      <c r="S1268">
        <v>19.7</v>
      </c>
      <c r="T1268">
        <v>35.1</v>
      </c>
      <c r="U1268">
        <v>0.5</v>
      </c>
      <c r="V1268">
        <v>2</v>
      </c>
      <c r="W1268">
        <v>7.9</v>
      </c>
      <c r="X1268">
        <v>7.5023499999999999</v>
      </c>
      <c r="Y1268">
        <v>0.28199999999999997</v>
      </c>
      <c r="Z1268">
        <v>78.776300000000006</v>
      </c>
      <c r="AA1268">
        <v>10</v>
      </c>
      <c r="AB1268">
        <v>0.47</v>
      </c>
      <c r="AC1268">
        <v>217</v>
      </c>
      <c r="AD1268">
        <v>22</v>
      </c>
    </row>
    <row r="1269" spans="1:30" x14ac:dyDescent="0.55000000000000004">
      <c r="A1269">
        <v>110577</v>
      </c>
      <c r="B1269" s="19">
        <v>43619</v>
      </c>
      <c r="C1269">
        <v>1234</v>
      </c>
      <c r="D1269">
        <v>2019</v>
      </c>
      <c r="E1269">
        <v>25</v>
      </c>
      <c r="F1269">
        <v>541</v>
      </c>
      <c r="G1269">
        <v>1</v>
      </c>
      <c r="H1269">
        <v>76</v>
      </c>
      <c r="I1269">
        <v>3</v>
      </c>
      <c r="J1269">
        <v>4653.1099999999997</v>
      </c>
      <c r="K1269">
        <v>9105.74</v>
      </c>
      <c r="L1269">
        <v>4653.45</v>
      </c>
      <c r="M1269">
        <v>9106.1299999999992</v>
      </c>
      <c r="N1269">
        <v>46.885199999999998</v>
      </c>
      <c r="O1269">
        <v>-91.095699999999994</v>
      </c>
      <c r="P1269">
        <v>46.890799999999999</v>
      </c>
      <c r="Q1269">
        <v>-91.102199999999996</v>
      </c>
      <c r="R1269">
        <v>465.72166900000002</v>
      </c>
      <c r="S1269">
        <v>19.7</v>
      </c>
      <c r="T1269">
        <v>35.1</v>
      </c>
      <c r="U1269">
        <v>0.5</v>
      </c>
      <c r="V1269">
        <v>2</v>
      </c>
      <c r="W1269">
        <v>7.9</v>
      </c>
      <c r="X1269">
        <v>7.5023499999999999</v>
      </c>
      <c r="Y1269">
        <v>0.28199999999999997</v>
      </c>
      <c r="Z1269">
        <v>78.776300000000006</v>
      </c>
      <c r="AA1269">
        <v>10</v>
      </c>
      <c r="AB1269">
        <v>0.47</v>
      </c>
      <c r="AC1269">
        <v>217</v>
      </c>
      <c r="AD1269">
        <v>28</v>
      </c>
    </row>
    <row r="1270" spans="1:30" x14ac:dyDescent="0.55000000000000004">
      <c r="A1270">
        <v>110578</v>
      </c>
      <c r="B1270" s="19">
        <v>43619</v>
      </c>
      <c r="C1270">
        <v>1408</v>
      </c>
      <c r="D1270">
        <v>2019</v>
      </c>
      <c r="E1270">
        <v>25</v>
      </c>
      <c r="F1270">
        <v>542</v>
      </c>
      <c r="G1270">
        <v>1</v>
      </c>
      <c r="H1270">
        <v>139</v>
      </c>
      <c r="I1270">
        <v>3</v>
      </c>
      <c r="J1270">
        <v>4658.3</v>
      </c>
      <c r="K1270">
        <v>9059.7099999999991</v>
      </c>
      <c r="L1270">
        <v>4658.3500000000004</v>
      </c>
      <c r="M1270">
        <v>9100.31</v>
      </c>
      <c r="N1270">
        <v>46.971699999999998</v>
      </c>
      <c r="O1270">
        <v>-90.995199999999997</v>
      </c>
      <c r="P1270">
        <v>46.972499999999997</v>
      </c>
      <c r="Q1270">
        <v>-91.005200000000002</v>
      </c>
      <c r="R1270">
        <v>1020.4776900000001</v>
      </c>
      <c r="S1270">
        <v>19.3</v>
      </c>
      <c r="T1270">
        <v>30.7</v>
      </c>
      <c r="U1270">
        <v>0.5</v>
      </c>
      <c r="V1270">
        <v>2</v>
      </c>
      <c r="W1270">
        <v>9.5</v>
      </c>
      <c r="X1270">
        <v>8.1783999999999999</v>
      </c>
      <c r="Y1270">
        <v>0.1792</v>
      </c>
      <c r="Z1270">
        <v>67.286900000000003</v>
      </c>
      <c r="AA1270">
        <v>10</v>
      </c>
      <c r="AB1270">
        <v>0.4</v>
      </c>
      <c r="AC1270">
        <v>217</v>
      </c>
      <c r="AD1270">
        <v>37</v>
      </c>
    </row>
    <row r="1271" spans="1:30" x14ac:dyDescent="0.55000000000000004">
      <c r="A1271">
        <v>110579</v>
      </c>
      <c r="B1271" s="19">
        <v>43619</v>
      </c>
      <c r="C1271">
        <v>1408</v>
      </c>
      <c r="D1271">
        <v>2019</v>
      </c>
      <c r="E1271">
        <v>25</v>
      </c>
      <c r="F1271">
        <v>543</v>
      </c>
      <c r="G1271">
        <v>1</v>
      </c>
      <c r="H1271">
        <v>139</v>
      </c>
      <c r="I1271">
        <v>3</v>
      </c>
      <c r="J1271">
        <v>4658.3</v>
      </c>
      <c r="K1271">
        <v>9059.7099999999991</v>
      </c>
      <c r="L1271">
        <v>4658.3500000000004</v>
      </c>
      <c r="M1271">
        <v>9100.31</v>
      </c>
      <c r="N1271">
        <v>46.971699999999998</v>
      </c>
      <c r="O1271">
        <v>-90.995199999999997</v>
      </c>
      <c r="P1271">
        <v>46.972499999999997</v>
      </c>
      <c r="Q1271">
        <v>-91.005200000000002</v>
      </c>
      <c r="R1271">
        <v>1020.4776900000001</v>
      </c>
      <c r="S1271">
        <v>19.3</v>
      </c>
      <c r="T1271">
        <v>30.7</v>
      </c>
      <c r="U1271">
        <v>0.5</v>
      </c>
      <c r="V1271">
        <v>2</v>
      </c>
      <c r="W1271">
        <v>9.5</v>
      </c>
      <c r="X1271">
        <v>8.1783999999999999</v>
      </c>
      <c r="Y1271">
        <v>0.1792</v>
      </c>
      <c r="Z1271">
        <v>67.286900000000003</v>
      </c>
      <c r="AA1271">
        <v>10</v>
      </c>
      <c r="AB1271">
        <v>0.4</v>
      </c>
      <c r="AC1271">
        <v>217</v>
      </c>
      <c r="AD1271">
        <v>22</v>
      </c>
    </row>
    <row r="1272" spans="1:30" x14ac:dyDescent="0.55000000000000004">
      <c r="A1272">
        <v>110580</v>
      </c>
      <c r="B1272" s="19">
        <v>43622</v>
      </c>
      <c r="C1272">
        <v>1014</v>
      </c>
      <c r="D1272">
        <v>2019</v>
      </c>
      <c r="E1272">
        <v>25</v>
      </c>
      <c r="F1272">
        <v>544</v>
      </c>
      <c r="G1272">
        <v>1</v>
      </c>
      <c r="H1272">
        <v>184</v>
      </c>
      <c r="I1272">
        <v>3</v>
      </c>
      <c r="J1272">
        <v>4636.97</v>
      </c>
      <c r="K1272">
        <v>9019.8700000000008</v>
      </c>
      <c r="L1272">
        <v>4637.3599999999997</v>
      </c>
      <c r="M1272">
        <v>9020.02</v>
      </c>
      <c r="N1272">
        <v>46.616199999999999</v>
      </c>
      <c r="O1272">
        <v>-90.331199999999995</v>
      </c>
      <c r="P1272">
        <v>46.622700000000002</v>
      </c>
      <c r="Q1272">
        <v>-90.333699999999993</v>
      </c>
      <c r="R1272">
        <v>678.27412460000005</v>
      </c>
      <c r="S1272">
        <v>22.9</v>
      </c>
      <c r="T1272">
        <v>29.1</v>
      </c>
      <c r="U1272">
        <v>0.5</v>
      </c>
      <c r="V1272">
        <v>2</v>
      </c>
      <c r="W1272">
        <v>10.3</v>
      </c>
      <c r="X1272">
        <v>9.0896500000000007</v>
      </c>
      <c r="Y1272">
        <v>0.26174999999999998</v>
      </c>
      <c r="Z1272">
        <v>73.050299999999993</v>
      </c>
      <c r="AA1272">
        <v>10</v>
      </c>
      <c r="AB1272">
        <v>0.44</v>
      </c>
      <c r="AC1272">
        <v>217</v>
      </c>
      <c r="AD1272">
        <v>55</v>
      </c>
    </row>
    <row r="1273" spans="1:30" x14ac:dyDescent="0.55000000000000004">
      <c r="A1273">
        <v>110581</v>
      </c>
      <c r="B1273" s="19">
        <v>43622</v>
      </c>
      <c r="C1273">
        <v>1014</v>
      </c>
      <c r="D1273">
        <v>2019</v>
      </c>
      <c r="E1273">
        <v>25</v>
      </c>
      <c r="F1273">
        <v>545</v>
      </c>
      <c r="G1273">
        <v>1</v>
      </c>
      <c r="H1273">
        <v>184</v>
      </c>
      <c r="I1273">
        <v>3</v>
      </c>
      <c r="J1273">
        <v>4636.97</v>
      </c>
      <c r="K1273">
        <v>9019.8700000000008</v>
      </c>
      <c r="L1273">
        <v>4637.3599999999997</v>
      </c>
      <c r="M1273">
        <v>9020.02</v>
      </c>
      <c r="N1273">
        <v>46.616199999999999</v>
      </c>
      <c r="O1273">
        <v>-90.331199999999995</v>
      </c>
      <c r="P1273">
        <v>46.622700000000002</v>
      </c>
      <c r="Q1273">
        <v>-90.333699999999993</v>
      </c>
      <c r="R1273">
        <v>678.27412460000005</v>
      </c>
      <c r="S1273">
        <v>22.9</v>
      </c>
      <c r="T1273">
        <v>29.1</v>
      </c>
      <c r="U1273">
        <v>0.5</v>
      </c>
      <c r="V1273">
        <v>2</v>
      </c>
      <c r="W1273">
        <v>10.3</v>
      </c>
      <c r="X1273">
        <v>9.0896500000000007</v>
      </c>
      <c r="Y1273">
        <v>0.26174999999999998</v>
      </c>
      <c r="Z1273">
        <v>73.050299999999993</v>
      </c>
      <c r="AA1273">
        <v>10</v>
      </c>
      <c r="AB1273">
        <v>0.44</v>
      </c>
      <c r="AC1273">
        <v>217</v>
      </c>
      <c r="AD1273">
        <v>78</v>
      </c>
    </row>
    <row r="1274" spans="1:30" x14ac:dyDescent="0.55000000000000004">
      <c r="A1274">
        <v>110582</v>
      </c>
      <c r="B1274" s="19">
        <v>43622</v>
      </c>
      <c r="C1274">
        <v>1250</v>
      </c>
      <c r="D1274">
        <v>2019</v>
      </c>
      <c r="E1274">
        <v>25</v>
      </c>
      <c r="F1274">
        <v>546</v>
      </c>
      <c r="G1274">
        <v>1</v>
      </c>
      <c r="H1274">
        <v>192</v>
      </c>
      <c r="I1274">
        <v>3</v>
      </c>
      <c r="J1274">
        <v>4641.32</v>
      </c>
      <c r="K1274">
        <v>9001.69</v>
      </c>
      <c r="L1274">
        <v>4641.6400000000003</v>
      </c>
      <c r="M1274">
        <v>9001.8700000000008</v>
      </c>
      <c r="N1274">
        <v>46.688699999999997</v>
      </c>
      <c r="O1274">
        <v>-90.028199999999998</v>
      </c>
      <c r="P1274">
        <v>46.694000000000003</v>
      </c>
      <c r="Q1274">
        <v>-90.031199999999998</v>
      </c>
      <c r="R1274">
        <v>1206.208648</v>
      </c>
      <c r="S1274">
        <v>17.5</v>
      </c>
      <c r="T1274">
        <v>23.4</v>
      </c>
      <c r="U1274">
        <v>0.5</v>
      </c>
      <c r="V1274">
        <v>2</v>
      </c>
      <c r="W1274">
        <v>9.1</v>
      </c>
      <c r="X1274">
        <v>7.4259500000000003</v>
      </c>
      <c r="Y1274">
        <v>0.18454999999999999</v>
      </c>
      <c r="Z1274">
        <v>83.697400000000002</v>
      </c>
      <c r="AA1274">
        <v>10</v>
      </c>
      <c r="AB1274">
        <v>0.44</v>
      </c>
      <c r="AC1274">
        <v>217</v>
      </c>
      <c r="AD1274">
        <v>35</v>
      </c>
    </row>
    <row r="1275" spans="1:30" x14ac:dyDescent="0.55000000000000004">
      <c r="A1275">
        <v>110583</v>
      </c>
      <c r="B1275" s="19">
        <v>43622</v>
      </c>
      <c r="C1275">
        <v>1250</v>
      </c>
      <c r="D1275">
        <v>2019</v>
      </c>
      <c r="E1275">
        <v>25</v>
      </c>
      <c r="F1275">
        <v>547</v>
      </c>
      <c r="G1275">
        <v>1</v>
      </c>
      <c r="H1275">
        <v>192</v>
      </c>
      <c r="I1275">
        <v>3</v>
      </c>
      <c r="J1275">
        <v>4641.32</v>
      </c>
      <c r="K1275">
        <v>9001.69</v>
      </c>
      <c r="L1275">
        <v>4641.6400000000003</v>
      </c>
      <c r="M1275">
        <v>9001.8700000000008</v>
      </c>
      <c r="N1275">
        <v>46.688699999999997</v>
      </c>
      <c r="O1275">
        <v>-90.028199999999998</v>
      </c>
      <c r="P1275">
        <v>46.694000000000003</v>
      </c>
      <c r="Q1275">
        <v>-90.031199999999998</v>
      </c>
      <c r="R1275">
        <v>1206.208648</v>
      </c>
      <c r="S1275">
        <v>17.5</v>
      </c>
      <c r="T1275">
        <v>23.4</v>
      </c>
      <c r="U1275">
        <v>0.5</v>
      </c>
      <c r="V1275">
        <v>2</v>
      </c>
      <c r="W1275">
        <v>9.1</v>
      </c>
      <c r="X1275">
        <v>7.4259500000000003</v>
      </c>
      <c r="Y1275">
        <v>0.18454999999999999</v>
      </c>
      <c r="Z1275">
        <v>83.697400000000002</v>
      </c>
      <c r="AA1275">
        <v>10</v>
      </c>
      <c r="AB1275">
        <v>0.44</v>
      </c>
      <c r="AC1275">
        <v>217</v>
      </c>
      <c r="AD1275">
        <v>15</v>
      </c>
    </row>
    <row r="1276" spans="1:30" x14ac:dyDescent="0.55000000000000004">
      <c r="A1276">
        <v>110584</v>
      </c>
      <c r="B1276" s="19">
        <v>43622</v>
      </c>
      <c r="C1276">
        <v>1649</v>
      </c>
      <c r="D1276">
        <v>2019</v>
      </c>
      <c r="E1276">
        <v>25</v>
      </c>
      <c r="F1276">
        <v>548</v>
      </c>
      <c r="G1276">
        <v>1</v>
      </c>
      <c r="H1276">
        <v>57</v>
      </c>
      <c r="I1276">
        <v>3</v>
      </c>
      <c r="J1276">
        <v>4654.01</v>
      </c>
      <c r="K1276">
        <v>8921.02</v>
      </c>
      <c r="L1276">
        <v>4654.32</v>
      </c>
      <c r="M1276">
        <v>8921.3799999999992</v>
      </c>
      <c r="N1276">
        <v>46.900199999999998</v>
      </c>
      <c r="O1276">
        <v>-89.350300000000004</v>
      </c>
      <c r="P1276">
        <v>46.905299999999997</v>
      </c>
      <c r="Q1276">
        <v>-89.356300000000005</v>
      </c>
      <c r="R1276">
        <v>3061.657843</v>
      </c>
      <c r="S1276">
        <v>19.399999999999999</v>
      </c>
      <c r="T1276">
        <v>26.4</v>
      </c>
      <c r="U1276">
        <v>0.5</v>
      </c>
      <c r="V1276">
        <v>2</v>
      </c>
      <c r="W1276">
        <v>11.7</v>
      </c>
      <c r="X1276">
        <v>10.95595</v>
      </c>
      <c r="Y1276">
        <v>0.15465000000000001</v>
      </c>
      <c r="Z1276">
        <v>58.676850000000002</v>
      </c>
      <c r="AA1276">
        <v>10</v>
      </c>
      <c r="AB1276">
        <v>0.44</v>
      </c>
      <c r="AC1276">
        <v>217</v>
      </c>
      <c r="AD1276">
        <v>68</v>
      </c>
    </row>
    <row r="1277" spans="1:30" x14ac:dyDescent="0.55000000000000004">
      <c r="A1277">
        <v>110585</v>
      </c>
      <c r="B1277" s="19">
        <v>43622</v>
      </c>
      <c r="C1277">
        <v>1649</v>
      </c>
      <c r="D1277">
        <v>2019</v>
      </c>
      <c r="E1277">
        <v>25</v>
      </c>
      <c r="F1277">
        <v>549</v>
      </c>
      <c r="G1277">
        <v>1</v>
      </c>
      <c r="H1277">
        <v>57</v>
      </c>
      <c r="I1277">
        <v>3</v>
      </c>
      <c r="J1277">
        <v>4654.01</v>
      </c>
      <c r="K1277">
        <v>8921.02</v>
      </c>
      <c r="L1277">
        <v>4654.32</v>
      </c>
      <c r="M1277">
        <v>8921.3799999999992</v>
      </c>
      <c r="N1277">
        <v>46.900199999999998</v>
      </c>
      <c r="O1277">
        <v>-89.350300000000004</v>
      </c>
      <c r="P1277">
        <v>46.905299999999997</v>
      </c>
      <c r="Q1277">
        <v>-89.356300000000005</v>
      </c>
      <c r="R1277">
        <v>3061.657843</v>
      </c>
      <c r="S1277">
        <v>19.399999999999999</v>
      </c>
      <c r="T1277">
        <v>26.4</v>
      </c>
      <c r="U1277">
        <v>0.5</v>
      </c>
      <c r="V1277">
        <v>2</v>
      </c>
      <c r="W1277">
        <v>11.7</v>
      </c>
      <c r="X1277">
        <v>10.95595</v>
      </c>
      <c r="Y1277">
        <v>0.15465000000000001</v>
      </c>
      <c r="Z1277">
        <v>58.676850000000002</v>
      </c>
      <c r="AA1277">
        <v>10</v>
      </c>
      <c r="AB1277">
        <v>0.44</v>
      </c>
      <c r="AC1277">
        <v>217</v>
      </c>
      <c r="AD1277">
        <v>211</v>
      </c>
    </row>
    <row r="1278" spans="1:30" x14ac:dyDescent="0.55000000000000004">
      <c r="A1278">
        <v>110588</v>
      </c>
      <c r="B1278" s="19">
        <v>43623</v>
      </c>
      <c r="C1278">
        <v>733</v>
      </c>
      <c r="D1278">
        <v>2019</v>
      </c>
      <c r="E1278">
        <v>25</v>
      </c>
      <c r="F1278">
        <v>550</v>
      </c>
      <c r="G1278">
        <v>1</v>
      </c>
      <c r="H1278">
        <v>183</v>
      </c>
      <c r="I1278">
        <v>3</v>
      </c>
      <c r="J1278">
        <v>4659.84</v>
      </c>
      <c r="K1278">
        <v>8908.7099999999991</v>
      </c>
      <c r="L1278">
        <v>4659.97</v>
      </c>
      <c r="M1278">
        <v>8909.2800000000007</v>
      </c>
      <c r="N1278">
        <v>46.997300000000003</v>
      </c>
      <c r="O1278">
        <v>-89.145200000000003</v>
      </c>
      <c r="P1278">
        <v>46.999499999999998</v>
      </c>
      <c r="Q1278">
        <v>-89.154700000000005</v>
      </c>
      <c r="R1278">
        <v>1085.9954769999999</v>
      </c>
      <c r="S1278">
        <v>17.100000000000001</v>
      </c>
      <c r="T1278">
        <v>24.6</v>
      </c>
      <c r="U1278">
        <v>0.5</v>
      </c>
      <c r="V1278">
        <v>2</v>
      </c>
      <c r="W1278">
        <v>9.5</v>
      </c>
      <c r="X1278">
        <v>9.4650999999999996</v>
      </c>
      <c r="Y1278">
        <v>0.25685000000000002</v>
      </c>
      <c r="Z1278">
        <v>77.706599999999995</v>
      </c>
      <c r="AA1278">
        <v>10</v>
      </c>
      <c r="AB1278">
        <v>0.43</v>
      </c>
      <c r="AC1278">
        <v>217</v>
      </c>
      <c r="AD1278">
        <v>21</v>
      </c>
    </row>
    <row r="1279" spans="1:30" x14ac:dyDescent="0.55000000000000004">
      <c r="A1279">
        <v>110589</v>
      </c>
      <c r="B1279" s="19">
        <v>43623</v>
      </c>
      <c r="C1279">
        <v>733</v>
      </c>
      <c r="D1279">
        <v>2019</v>
      </c>
      <c r="E1279">
        <v>25</v>
      </c>
      <c r="F1279">
        <v>551</v>
      </c>
      <c r="G1279">
        <v>1</v>
      </c>
      <c r="H1279">
        <v>183</v>
      </c>
      <c r="I1279">
        <v>3</v>
      </c>
      <c r="J1279">
        <v>4659.84</v>
      </c>
      <c r="K1279">
        <v>8908.7099999999991</v>
      </c>
      <c r="L1279">
        <v>4659.97</v>
      </c>
      <c r="M1279">
        <v>8909.2800000000007</v>
      </c>
      <c r="N1279">
        <v>46.997300000000003</v>
      </c>
      <c r="O1279">
        <v>-89.145200000000003</v>
      </c>
      <c r="P1279">
        <v>46.999499999999998</v>
      </c>
      <c r="Q1279">
        <v>-89.154700000000005</v>
      </c>
      <c r="R1279">
        <v>1085.9954769999999</v>
      </c>
      <c r="S1279">
        <v>17.100000000000001</v>
      </c>
      <c r="T1279">
        <v>24.6</v>
      </c>
      <c r="U1279">
        <v>0.5</v>
      </c>
      <c r="V1279">
        <v>2</v>
      </c>
      <c r="W1279">
        <v>9.5</v>
      </c>
      <c r="X1279">
        <v>9.4650999999999996</v>
      </c>
      <c r="Y1279">
        <v>0.25685000000000002</v>
      </c>
      <c r="Z1279">
        <v>77.706599999999995</v>
      </c>
      <c r="AA1279">
        <v>10</v>
      </c>
      <c r="AB1279">
        <v>0.43</v>
      </c>
      <c r="AC1279">
        <v>217</v>
      </c>
      <c r="AD1279">
        <v>38</v>
      </c>
    </row>
    <row r="1280" spans="1:30" x14ac:dyDescent="0.55000000000000004">
      <c r="A1280">
        <v>110590</v>
      </c>
      <c r="B1280" s="19">
        <v>43623</v>
      </c>
      <c r="C1280">
        <v>1032</v>
      </c>
      <c r="D1280">
        <v>2019</v>
      </c>
      <c r="E1280">
        <v>25</v>
      </c>
      <c r="F1280">
        <v>552</v>
      </c>
      <c r="G1280">
        <v>1</v>
      </c>
      <c r="H1280">
        <v>182</v>
      </c>
      <c r="I1280">
        <v>3</v>
      </c>
      <c r="J1280">
        <v>4708.87</v>
      </c>
      <c r="K1280">
        <v>8851.15</v>
      </c>
      <c r="L1280">
        <v>4708.99</v>
      </c>
      <c r="M1280">
        <v>8851.76</v>
      </c>
      <c r="N1280">
        <v>47.147799999999997</v>
      </c>
      <c r="O1280">
        <v>-88.852500000000006</v>
      </c>
      <c r="P1280">
        <v>47.149799999999999</v>
      </c>
      <c r="Q1280">
        <v>-88.862700000000004</v>
      </c>
      <c r="R1280">
        <v>3033.4925290000001</v>
      </c>
      <c r="S1280">
        <v>28.9</v>
      </c>
      <c r="T1280">
        <v>34.6</v>
      </c>
      <c r="U1280">
        <v>0.5</v>
      </c>
      <c r="V1280">
        <v>2</v>
      </c>
      <c r="W1280">
        <v>7.9</v>
      </c>
      <c r="X1280">
        <v>6.3309499999999996</v>
      </c>
      <c r="Y1280">
        <v>0.13450000000000001</v>
      </c>
      <c r="Z1280">
        <v>87.897949999999994</v>
      </c>
      <c r="AA1280">
        <v>10</v>
      </c>
      <c r="AB1280">
        <v>0.44</v>
      </c>
      <c r="AC1280">
        <v>217</v>
      </c>
      <c r="AD1280">
        <v>5</v>
      </c>
    </row>
    <row r="1281" spans="1:30" x14ac:dyDescent="0.55000000000000004">
      <c r="A1281">
        <v>110591</v>
      </c>
      <c r="B1281" s="19">
        <v>43623</v>
      </c>
      <c r="C1281">
        <v>1032</v>
      </c>
      <c r="D1281">
        <v>2019</v>
      </c>
      <c r="E1281">
        <v>25</v>
      </c>
      <c r="F1281">
        <v>553</v>
      </c>
      <c r="G1281">
        <v>1</v>
      </c>
      <c r="H1281">
        <v>182</v>
      </c>
      <c r="I1281">
        <v>3</v>
      </c>
      <c r="J1281">
        <v>4708.87</v>
      </c>
      <c r="K1281">
        <v>8851.15</v>
      </c>
      <c r="L1281">
        <v>4708.99</v>
      </c>
      <c r="M1281">
        <v>8851.76</v>
      </c>
      <c r="N1281">
        <v>47.147799999999997</v>
      </c>
      <c r="O1281">
        <v>-88.852500000000006</v>
      </c>
      <c r="P1281">
        <v>47.149799999999999</v>
      </c>
      <c r="Q1281">
        <v>-88.862700000000004</v>
      </c>
      <c r="R1281">
        <v>3033.4925290000001</v>
      </c>
      <c r="S1281">
        <v>28.9</v>
      </c>
      <c r="T1281">
        <v>34.6</v>
      </c>
      <c r="U1281">
        <v>0.5</v>
      </c>
      <c r="V1281">
        <v>2</v>
      </c>
      <c r="W1281">
        <v>7.9</v>
      </c>
      <c r="X1281">
        <v>6.3309499999999996</v>
      </c>
      <c r="Y1281">
        <v>0.13450000000000001</v>
      </c>
      <c r="Z1281">
        <v>87.897949999999994</v>
      </c>
      <c r="AA1281">
        <v>10</v>
      </c>
      <c r="AB1281">
        <v>0.44</v>
      </c>
      <c r="AC1281">
        <v>217</v>
      </c>
      <c r="AD1281">
        <v>0</v>
      </c>
    </row>
    <row r="1282" spans="1:30" x14ac:dyDescent="0.55000000000000004">
      <c r="A1282">
        <v>110592</v>
      </c>
      <c r="B1282" s="19">
        <v>43623</v>
      </c>
      <c r="C1282">
        <v>1351</v>
      </c>
      <c r="D1282">
        <v>2019</v>
      </c>
      <c r="E1282">
        <v>25</v>
      </c>
      <c r="F1282">
        <v>554</v>
      </c>
      <c r="G1282">
        <v>1</v>
      </c>
      <c r="H1282">
        <v>181</v>
      </c>
      <c r="I1282">
        <v>3</v>
      </c>
      <c r="J1282">
        <v>4720.1899999999996</v>
      </c>
      <c r="K1282">
        <v>8828.92</v>
      </c>
      <c r="L1282">
        <v>4720.58</v>
      </c>
      <c r="M1282">
        <v>8829.17</v>
      </c>
      <c r="N1282">
        <v>47.336500000000001</v>
      </c>
      <c r="O1282">
        <v>-88.481999999999999</v>
      </c>
      <c r="P1282">
        <v>47.343000000000004</v>
      </c>
      <c r="Q1282">
        <v>-88.486199999999997</v>
      </c>
      <c r="R1282">
        <v>1103.1946</v>
      </c>
      <c r="S1282">
        <v>26.3</v>
      </c>
      <c r="T1282">
        <v>56.3</v>
      </c>
      <c r="U1282">
        <v>0.5</v>
      </c>
      <c r="V1282">
        <v>2</v>
      </c>
      <c r="W1282">
        <v>4.7</v>
      </c>
      <c r="X1282">
        <v>4.5545999999999998</v>
      </c>
      <c r="Y1282">
        <v>0.16575000000000001</v>
      </c>
      <c r="Z1282">
        <v>92.705950000000001</v>
      </c>
      <c r="AA1282">
        <v>10</v>
      </c>
      <c r="AB1282">
        <v>0.46</v>
      </c>
      <c r="AC1282">
        <v>217</v>
      </c>
      <c r="AD1282">
        <v>0</v>
      </c>
    </row>
    <row r="1283" spans="1:30" x14ac:dyDescent="0.55000000000000004">
      <c r="A1283">
        <v>110593</v>
      </c>
      <c r="B1283" s="19">
        <v>43623</v>
      </c>
      <c r="C1283">
        <v>1351</v>
      </c>
      <c r="D1283">
        <v>2019</v>
      </c>
      <c r="E1283">
        <v>25</v>
      </c>
      <c r="F1283">
        <v>555</v>
      </c>
      <c r="G1283">
        <v>1</v>
      </c>
      <c r="H1283">
        <v>181</v>
      </c>
      <c r="I1283">
        <v>3</v>
      </c>
      <c r="J1283">
        <v>4720.1899999999996</v>
      </c>
      <c r="K1283">
        <v>8828.92</v>
      </c>
      <c r="L1283">
        <v>4720.58</v>
      </c>
      <c r="M1283">
        <v>8829.17</v>
      </c>
      <c r="N1283">
        <v>47.336500000000001</v>
      </c>
      <c r="O1283">
        <v>-88.481999999999999</v>
      </c>
      <c r="P1283">
        <v>47.343000000000004</v>
      </c>
      <c r="Q1283">
        <v>-88.486199999999997</v>
      </c>
      <c r="R1283">
        <v>1103.1946</v>
      </c>
      <c r="S1283">
        <v>26.3</v>
      </c>
      <c r="T1283">
        <v>56.3</v>
      </c>
      <c r="U1283">
        <v>0.5</v>
      </c>
      <c r="V1283">
        <v>2</v>
      </c>
      <c r="W1283">
        <v>4.7</v>
      </c>
      <c r="X1283">
        <v>4.5545999999999998</v>
      </c>
      <c r="Y1283">
        <v>0.16575000000000001</v>
      </c>
      <c r="Z1283">
        <v>92.705950000000001</v>
      </c>
      <c r="AA1283">
        <v>10</v>
      </c>
      <c r="AB1283">
        <v>0.46</v>
      </c>
      <c r="AC1283">
        <v>217</v>
      </c>
      <c r="AD1283">
        <v>0</v>
      </c>
    </row>
    <row r="1284" spans="1:30" x14ac:dyDescent="0.55000000000000004">
      <c r="A1284">
        <v>110594</v>
      </c>
      <c r="B1284" s="19">
        <v>43624</v>
      </c>
      <c r="C1284">
        <v>934</v>
      </c>
      <c r="D1284">
        <v>2019</v>
      </c>
      <c r="E1284">
        <v>25</v>
      </c>
      <c r="F1284">
        <v>556</v>
      </c>
      <c r="G1284">
        <v>1</v>
      </c>
      <c r="H1284">
        <v>82</v>
      </c>
      <c r="I1284">
        <v>3</v>
      </c>
      <c r="J1284">
        <v>4658.71</v>
      </c>
      <c r="K1284">
        <v>8823.75</v>
      </c>
      <c r="L1284">
        <v>4658.49</v>
      </c>
      <c r="M1284">
        <v>8823.2999999999993</v>
      </c>
      <c r="N1284">
        <v>46.978499999999997</v>
      </c>
      <c r="O1284">
        <v>-88.395799999999994</v>
      </c>
      <c r="P1284">
        <v>46.974800000000002</v>
      </c>
      <c r="Q1284">
        <v>-88.388300000000001</v>
      </c>
      <c r="R1284">
        <v>1045.25918</v>
      </c>
      <c r="S1284">
        <v>18.600000000000001</v>
      </c>
      <c r="T1284">
        <v>45.7</v>
      </c>
      <c r="U1284">
        <v>0.5</v>
      </c>
      <c r="V1284">
        <v>2</v>
      </c>
      <c r="W1284">
        <v>9.5</v>
      </c>
      <c r="X1284">
        <v>6.8807499999999999</v>
      </c>
      <c r="Y1284">
        <v>0.1714</v>
      </c>
      <c r="Z1284">
        <v>89.329400000000007</v>
      </c>
      <c r="AA1284">
        <v>10</v>
      </c>
      <c r="AB1284">
        <v>0.42</v>
      </c>
      <c r="AC1284">
        <v>217</v>
      </c>
      <c r="AD1284">
        <v>643</v>
      </c>
    </row>
    <row r="1285" spans="1:30" x14ac:dyDescent="0.55000000000000004">
      <c r="A1285">
        <v>110595</v>
      </c>
      <c r="B1285" s="19">
        <v>43624</v>
      </c>
      <c r="C1285">
        <v>934</v>
      </c>
      <c r="D1285">
        <v>2019</v>
      </c>
      <c r="E1285">
        <v>25</v>
      </c>
      <c r="F1285">
        <v>557</v>
      </c>
      <c r="G1285">
        <v>1</v>
      </c>
      <c r="H1285">
        <v>82</v>
      </c>
      <c r="I1285">
        <v>3</v>
      </c>
      <c r="J1285">
        <v>4658.71</v>
      </c>
      <c r="K1285">
        <v>8823.75</v>
      </c>
      <c r="L1285">
        <v>4658.49</v>
      </c>
      <c r="M1285">
        <v>8823.2999999999993</v>
      </c>
      <c r="N1285">
        <v>46.978499999999997</v>
      </c>
      <c r="O1285">
        <v>-88.395799999999994</v>
      </c>
      <c r="P1285">
        <v>46.974800000000002</v>
      </c>
      <c r="Q1285">
        <v>-88.388300000000001</v>
      </c>
      <c r="R1285">
        <v>1045.25918</v>
      </c>
      <c r="S1285">
        <v>18.600000000000001</v>
      </c>
      <c r="T1285">
        <v>45.7</v>
      </c>
      <c r="U1285">
        <v>0.5</v>
      </c>
      <c r="V1285">
        <v>2</v>
      </c>
      <c r="W1285">
        <v>9.5</v>
      </c>
      <c r="X1285">
        <v>6.8807499999999999</v>
      </c>
      <c r="Y1285">
        <v>0.1714</v>
      </c>
      <c r="Z1285">
        <v>89.329400000000007</v>
      </c>
      <c r="AA1285">
        <v>10</v>
      </c>
      <c r="AB1285">
        <v>0.42</v>
      </c>
      <c r="AC1285">
        <v>217</v>
      </c>
      <c r="AD1285">
        <v>384</v>
      </c>
    </row>
    <row r="1286" spans="1:30" x14ac:dyDescent="0.55000000000000004">
      <c r="A1286">
        <v>110596</v>
      </c>
      <c r="B1286" s="19">
        <v>43624</v>
      </c>
      <c r="C1286">
        <v>1015</v>
      </c>
      <c r="D1286">
        <v>2019</v>
      </c>
      <c r="E1286">
        <v>25</v>
      </c>
      <c r="F1286">
        <v>558</v>
      </c>
      <c r="G1286">
        <v>1</v>
      </c>
      <c r="H1286">
        <v>84</v>
      </c>
      <c r="I1286">
        <v>3</v>
      </c>
      <c r="J1286">
        <v>4653.51</v>
      </c>
      <c r="K1286">
        <v>8819.24</v>
      </c>
      <c r="L1286">
        <v>4653.93</v>
      </c>
      <c r="M1286">
        <v>8819.2800000000007</v>
      </c>
      <c r="N1286">
        <v>46.891800000000003</v>
      </c>
      <c r="O1286">
        <v>-88.320700000000002</v>
      </c>
      <c r="P1286">
        <v>46.898800000000001</v>
      </c>
      <c r="Q1286">
        <v>-88.321299999999994</v>
      </c>
      <c r="R1286">
        <v>799.8589594</v>
      </c>
      <c r="S1286">
        <v>20.3</v>
      </c>
      <c r="T1286">
        <v>33.299999999999997</v>
      </c>
      <c r="U1286">
        <v>0.5</v>
      </c>
      <c r="V1286">
        <v>2</v>
      </c>
      <c r="W1286">
        <v>8.5</v>
      </c>
      <c r="X1286">
        <v>8.3396000000000008</v>
      </c>
      <c r="Y1286">
        <v>0.15915000000000001</v>
      </c>
      <c r="Z1286">
        <v>90.682649999999995</v>
      </c>
      <c r="AA1286">
        <v>10</v>
      </c>
      <c r="AB1286">
        <v>0.38</v>
      </c>
      <c r="AC1286">
        <v>217</v>
      </c>
      <c r="AD1286">
        <v>965</v>
      </c>
    </row>
    <row r="1287" spans="1:30" x14ac:dyDescent="0.55000000000000004">
      <c r="A1287">
        <v>110597</v>
      </c>
      <c r="B1287" s="19">
        <v>43624</v>
      </c>
      <c r="C1287">
        <v>1015</v>
      </c>
      <c r="D1287">
        <v>2019</v>
      </c>
      <c r="E1287">
        <v>25</v>
      </c>
      <c r="F1287">
        <v>559</v>
      </c>
      <c r="G1287">
        <v>1</v>
      </c>
      <c r="H1287">
        <v>84</v>
      </c>
      <c r="I1287">
        <v>3</v>
      </c>
      <c r="J1287">
        <v>4653.51</v>
      </c>
      <c r="K1287">
        <v>8819.24</v>
      </c>
      <c r="L1287">
        <v>4653.93</v>
      </c>
      <c r="M1287">
        <v>8819.2800000000007</v>
      </c>
      <c r="N1287">
        <v>46.891800000000003</v>
      </c>
      <c r="O1287">
        <v>-88.320700000000002</v>
      </c>
      <c r="P1287">
        <v>46.898800000000001</v>
      </c>
      <c r="Q1287">
        <v>-88.321299999999994</v>
      </c>
      <c r="R1287">
        <v>799.8589594</v>
      </c>
      <c r="S1287">
        <v>20.3</v>
      </c>
      <c r="T1287">
        <v>33.299999999999997</v>
      </c>
      <c r="U1287">
        <v>0.5</v>
      </c>
      <c r="V1287">
        <v>2</v>
      </c>
      <c r="W1287">
        <v>8.5</v>
      </c>
      <c r="X1287">
        <v>8.3396000000000008</v>
      </c>
      <c r="Y1287">
        <v>0.15915000000000001</v>
      </c>
      <c r="Z1287">
        <v>90.682649999999995</v>
      </c>
      <c r="AA1287">
        <v>10</v>
      </c>
      <c r="AB1287">
        <v>0.38</v>
      </c>
      <c r="AC1287">
        <v>217</v>
      </c>
      <c r="AD1287">
        <v>398</v>
      </c>
    </row>
    <row r="1288" spans="1:30" x14ac:dyDescent="0.55000000000000004">
      <c r="A1288">
        <v>110605</v>
      </c>
      <c r="B1288" s="19">
        <v>43624</v>
      </c>
      <c r="C1288">
        <v>1322</v>
      </c>
      <c r="D1288">
        <v>2019</v>
      </c>
      <c r="E1288">
        <v>25</v>
      </c>
      <c r="F1288">
        <v>560</v>
      </c>
      <c r="G1288">
        <v>1</v>
      </c>
      <c r="H1288">
        <v>85</v>
      </c>
      <c r="I1288">
        <v>3</v>
      </c>
      <c r="J1288">
        <v>4712.3100000000004</v>
      </c>
      <c r="K1288">
        <v>8809.4599999999991</v>
      </c>
      <c r="L1288">
        <v>4712.68</v>
      </c>
      <c r="M1288">
        <v>8809.2199999999993</v>
      </c>
      <c r="N1288">
        <v>47.205199999999998</v>
      </c>
      <c r="O1288">
        <v>-88.157700000000006</v>
      </c>
      <c r="P1288">
        <v>47.211300000000001</v>
      </c>
      <c r="Q1288">
        <v>-88.153700000000001</v>
      </c>
      <c r="R1288">
        <v>906.76383169999997</v>
      </c>
      <c r="S1288">
        <v>25.7</v>
      </c>
      <c r="T1288">
        <v>15.4</v>
      </c>
      <c r="U1288">
        <v>0.5</v>
      </c>
      <c r="V1288">
        <v>2</v>
      </c>
      <c r="W1288">
        <v>8.6999999999999993</v>
      </c>
      <c r="X1288">
        <v>6.9132499999999997</v>
      </c>
      <c r="Y1288">
        <v>0.12889999999999999</v>
      </c>
      <c r="Z1288">
        <v>90.186449999999994</v>
      </c>
      <c r="AA1288">
        <v>10</v>
      </c>
      <c r="AB1288">
        <v>0.42</v>
      </c>
      <c r="AC1288">
        <v>217</v>
      </c>
      <c r="AD1288">
        <v>118</v>
      </c>
    </row>
    <row r="1289" spans="1:30" x14ac:dyDescent="0.55000000000000004">
      <c r="A1289">
        <v>110606</v>
      </c>
      <c r="B1289" s="19">
        <v>43624</v>
      </c>
      <c r="C1289">
        <v>1322</v>
      </c>
      <c r="D1289">
        <v>2019</v>
      </c>
      <c r="E1289">
        <v>25</v>
      </c>
      <c r="F1289">
        <v>561</v>
      </c>
      <c r="G1289">
        <v>1</v>
      </c>
      <c r="H1289">
        <v>85</v>
      </c>
      <c r="I1289">
        <v>3</v>
      </c>
      <c r="J1289">
        <v>4712.3100000000004</v>
      </c>
      <c r="K1289">
        <v>8809.4599999999991</v>
      </c>
      <c r="L1289">
        <v>4712.68</v>
      </c>
      <c r="M1289">
        <v>8809.2199999999993</v>
      </c>
      <c r="N1289">
        <v>47.205199999999998</v>
      </c>
      <c r="O1289">
        <v>-88.157700000000006</v>
      </c>
      <c r="P1289">
        <v>47.211300000000001</v>
      </c>
      <c r="Q1289">
        <v>-88.153700000000001</v>
      </c>
      <c r="R1289">
        <v>906.76383169999997</v>
      </c>
      <c r="S1289">
        <v>25.7</v>
      </c>
      <c r="T1289">
        <v>15.4</v>
      </c>
      <c r="U1289">
        <v>0.5</v>
      </c>
      <c r="V1289">
        <v>2</v>
      </c>
      <c r="W1289">
        <v>8.6999999999999993</v>
      </c>
      <c r="X1289">
        <v>6.9132499999999997</v>
      </c>
      <c r="Y1289">
        <v>0.12889999999999999</v>
      </c>
      <c r="Z1289">
        <v>90.186449999999994</v>
      </c>
      <c r="AA1289">
        <v>10</v>
      </c>
      <c r="AB1289">
        <v>0.42</v>
      </c>
      <c r="AC1289">
        <v>217</v>
      </c>
      <c r="AD1289">
        <v>54</v>
      </c>
    </row>
    <row r="1290" spans="1:30" x14ac:dyDescent="0.55000000000000004">
      <c r="A1290">
        <v>110607</v>
      </c>
      <c r="B1290" s="19">
        <v>43624</v>
      </c>
      <c r="C1290">
        <v>1631</v>
      </c>
      <c r="D1290">
        <v>2019</v>
      </c>
      <c r="E1290">
        <v>25</v>
      </c>
      <c r="F1290">
        <v>562</v>
      </c>
      <c r="G1290">
        <v>1</v>
      </c>
      <c r="H1290">
        <v>101</v>
      </c>
      <c r="I1290">
        <v>3</v>
      </c>
      <c r="J1290">
        <v>4722.8500000000004</v>
      </c>
      <c r="K1290">
        <v>8748.6299999999992</v>
      </c>
      <c r="L1290">
        <v>4722.4399999999996</v>
      </c>
      <c r="M1290">
        <v>8748.76</v>
      </c>
      <c r="N1290">
        <v>47.380800000000001</v>
      </c>
      <c r="O1290">
        <v>-87.810500000000005</v>
      </c>
      <c r="P1290">
        <v>47.374000000000002</v>
      </c>
      <c r="Q1290">
        <v>-87.812700000000007</v>
      </c>
      <c r="R1290">
        <v>1293.317943</v>
      </c>
      <c r="S1290">
        <v>19.2</v>
      </c>
      <c r="T1290">
        <v>44.7</v>
      </c>
      <c r="U1290">
        <v>0.5</v>
      </c>
      <c r="V1290">
        <v>2</v>
      </c>
      <c r="W1290">
        <v>6.6</v>
      </c>
      <c r="X1290">
        <v>5.3669000000000002</v>
      </c>
      <c r="Y1290">
        <v>0.15035000000000001</v>
      </c>
      <c r="Z1290">
        <v>87.576499999999996</v>
      </c>
      <c r="AA1290">
        <v>10</v>
      </c>
      <c r="AB1290">
        <v>0.42</v>
      </c>
      <c r="AC1290">
        <v>217</v>
      </c>
      <c r="AD1290">
        <v>47</v>
      </c>
    </row>
    <row r="1291" spans="1:30" x14ac:dyDescent="0.55000000000000004">
      <c r="A1291">
        <v>110608</v>
      </c>
      <c r="B1291" s="19">
        <v>43624</v>
      </c>
      <c r="C1291">
        <v>1631</v>
      </c>
      <c r="D1291">
        <v>2019</v>
      </c>
      <c r="E1291">
        <v>25</v>
      </c>
      <c r="F1291">
        <v>563</v>
      </c>
      <c r="G1291">
        <v>1</v>
      </c>
      <c r="H1291">
        <v>101</v>
      </c>
      <c r="I1291">
        <v>3</v>
      </c>
      <c r="J1291">
        <v>4722.8500000000004</v>
      </c>
      <c r="K1291">
        <v>8748.6299999999992</v>
      </c>
      <c r="L1291">
        <v>4722.4399999999996</v>
      </c>
      <c r="M1291">
        <v>8748.76</v>
      </c>
      <c r="N1291">
        <v>47.380800000000001</v>
      </c>
      <c r="O1291">
        <v>-87.810500000000005</v>
      </c>
      <c r="P1291">
        <v>47.374000000000002</v>
      </c>
      <c r="Q1291">
        <v>-87.812700000000007</v>
      </c>
      <c r="R1291">
        <v>1293.317943</v>
      </c>
      <c r="S1291">
        <v>19.2</v>
      </c>
      <c r="T1291">
        <v>44.7</v>
      </c>
      <c r="U1291">
        <v>0.5</v>
      </c>
      <c r="V1291">
        <v>2</v>
      </c>
      <c r="W1291">
        <v>6.6</v>
      </c>
      <c r="X1291">
        <v>5.3669000000000002</v>
      </c>
      <c r="Y1291">
        <v>0.15035000000000001</v>
      </c>
      <c r="Z1291">
        <v>87.576499999999996</v>
      </c>
      <c r="AA1291">
        <v>10</v>
      </c>
      <c r="AB1291">
        <v>0.42</v>
      </c>
      <c r="AC1291">
        <v>217</v>
      </c>
      <c r="AD1291">
        <v>27</v>
      </c>
    </row>
    <row r="1292" spans="1:30" x14ac:dyDescent="0.55000000000000004">
      <c r="A1292">
        <v>110609</v>
      </c>
      <c r="B1292" s="19">
        <v>43625</v>
      </c>
      <c r="C1292">
        <v>810</v>
      </c>
      <c r="D1292">
        <v>2019</v>
      </c>
      <c r="E1292">
        <v>25</v>
      </c>
      <c r="F1292">
        <v>564</v>
      </c>
      <c r="G1292">
        <v>1</v>
      </c>
      <c r="H1292">
        <v>158</v>
      </c>
      <c r="I1292">
        <v>3</v>
      </c>
      <c r="J1292">
        <v>4656.29</v>
      </c>
      <c r="K1292">
        <v>8808.2000000000007</v>
      </c>
      <c r="L1292">
        <v>4656.2</v>
      </c>
      <c r="M1292">
        <v>8807.57</v>
      </c>
      <c r="N1292">
        <v>46.938200000000002</v>
      </c>
      <c r="O1292">
        <v>-88.136700000000005</v>
      </c>
      <c r="P1292">
        <v>46.936700000000002</v>
      </c>
      <c r="Q1292">
        <v>-88.126199999999997</v>
      </c>
      <c r="R1292">
        <v>1642.18472</v>
      </c>
      <c r="S1292">
        <v>16.8</v>
      </c>
      <c r="T1292">
        <v>32.4</v>
      </c>
      <c r="U1292">
        <v>0.5</v>
      </c>
      <c r="V1292">
        <v>2</v>
      </c>
      <c r="W1292">
        <v>12.3</v>
      </c>
      <c r="X1292">
        <v>11.015599999999999</v>
      </c>
      <c r="Y1292">
        <v>0.34379999999999999</v>
      </c>
      <c r="Z1292">
        <v>89.063450000000003</v>
      </c>
      <c r="AA1292">
        <v>10</v>
      </c>
      <c r="AB1292">
        <v>0.45</v>
      </c>
      <c r="AC1292">
        <v>217</v>
      </c>
      <c r="AD1292">
        <v>23</v>
      </c>
    </row>
    <row r="1293" spans="1:30" x14ac:dyDescent="0.55000000000000004">
      <c r="A1293">
        <v>110610</v>
      </c>
      <c r="B1293" s="19">
        <v>43625</v>
      </c>
      <c r="C1293">
        <v>810</v>
      </c>
      <c r="D1293">
        <v>2019</v>
      </c>
      <c r="E1293">
        <v>25</v>
      </c>
      <c r="F1293">
        <v>565</v>
      </c>
      <c r="G1293">
        <v>1</v>
      </c>
      <c r="H1293">
        <v>158</v>
      </c>
      <c r="I1293">
        <v>3</v>
      </c>
      <c r="J1293">
        <v>4656.29</v>
      </c>
      <c r="K1293">
        <v>8808.2000000000007</v>
      </c>
      <c r="L1293">
        <v>4656.2</v>
      </c>
      <c r="M1293">
        <v>8807.57</v>
      </c>
      <c r="N1293">
        <v>46.938200000000002</v>
      </c>
      <c r="O1293">
        <v>-88.136700000000005</v>
      </c>
      <c r="P1293">
        <v>46.936700000000002</v>
      </c>
      <c r="Q1293">
        <v>-88.126199999999997</v>
      </c>
      <c r="R1293">
        <v>1642.18472</v>
      </c>
      <c r="S1293">
        <v>16.8</v>
      </c>
      <c r="T1293">
        <v>32.4</v>
      </c>
      <c r="U1293">
        <v>0.5</v>
      </c>
      <c r="V1293">
        <v>2</v>
      </c>
      <c r="W1293">
        <v>12.3</v>
      </c>
      <c r="X1293">
        <v>11.015599999999999</v>
      </c>
      <c r="Y1293">
        <v>0.34379999999999999</v>
      </c>
      <c r="Z1293">
        <v>89.063450000000003</v>
      </c>
      <c r="AA1293">
        <v>10</v>
      </c>
      <c r="AB1293">
        <v>0.45</v>
      </c>
      <c r="AC1293">
        <v>217</v>
      </c>
      <c r="AD1293">
        <v>25</v>
      </c>
    </row>
    <row r="1294" spans="1:30" x14ac:dyDescent="0.55000000000000004">
      <c r="A1294">
        <v>110611</v>
      </c>
      <c r="B1294" s="19">
        <v>43625</v>
      </c>
      <c r="C1294">
        <v>1111</v>
      </c>
      <c r="D1294">
        <v>2019</v>
      </c>
      <c r="E1294">
        <v>25</v>
      </c>
      <c r="F1294">
        <v>566</v>
      </c>
      <c r="G1294">
        <v>1</v>
      </c>
      <c r="H1294">
        <v>142</v>
      </c>
      <c r="I1294">
        <v>3</v>
      </c>
      <c r="J1294">
        <v>4651.24</v>
      </c>
      <c r="K1294">
        <v>8743.7000000000007</v>
      </c>
      <c r="L1294">
        <v>4651.54</v>
      </c>
      <c r="M1294">
        <v>8743.2999999999993</v>
      </c>
      <c r="N1294">
        <v>46.853999999999999</v>
      </c>
      <c r="O1294">
        <v>-87.728300000000004</v>
      </c>
      <c r="P1294">
        <v>46.859000000000002</v>
      </c>
      <c r="Q1294">
        <v>-87.721699999999998</v>
      </c>
      <c r="R1294">
        <v>1281.0560129999999</v>
      </c>
      <c r="S1294">
        <v>20.3</v>
      </c>
      <c r="T1294">
        <v>43.1</v>
      </c>
      <c r="U1294">
        <v>0.5</v>
      </c>
      <c r="V1294">
        <v>2</v>
      </c>
      <c r="W1294">
        <v>7.6</v>
      </c>
      <c r="X1294">
        <v>6.0613000000000001</v>
      </c>
      <c r="Y1294">
        <v>0.15065000000000001</v>
      </c>
      <c r="Z1294">
        <v>91.204499999999996</v>
      </c>
      <c r="AA1294">
        <v>10</v>
      </c>
      <c r="AB1294">
        <v>0.43</v>
      </c>
      <c r="AC1294">
        <v>217</v>
      </c>
      <c r="AD1294">
        <v>0</v>
      </c>
    </row>
    <row r="1295" spans="1:30" x14ac:dyDescent="0.55000000000000004">
      <c r="A1295">
        <v>110612</v>
      </c>
      <c r="B1295" s="19">
        <v>43625</v>
      </c>
      <c r="C1295">
        <v>1111</v>
      </c>
      <c r="D1295">
        <v>2019</v>
      </c>
      <c r="E1295">
        <v>25</v>
      </c>
      <c r="F1295">
        <v>567</v>
      </c>
      <c r="G1295">
        <v>1</v>
      </c>
      <c r="H1295">
        <v>142</v>
      </c>
      <c r="I1295">
        <v>3</v>
      </c>
      <c r="J1295">
        <v>4651.24</v>
      </c>
      <c r="K1295">
        <v>8743.7000000000007</v>
      </c>
      <c r="L1295">
        <v>4651.54</v>
      </c>
      <c r="M1295">
        <v>8743.2999999999993</v>
      </c>
      <c r="N1295">
        <v>46.853999999999999</v>
      </c>
      <c r="O1295">
        <v>-87.728300000000004</v>
      </c>
      <c r="P1295">
        <v>46.859000000000002</v>
      </c>
      <c r="Q1295">
        <v>-87.721699999999998</v>
      </c>
      <c r="R1295">
        <v>1281.0560129999999</v>
      </c>
      <c r="S1295">
        <v>20.3</v>
      </c>
      <c r="T1295">
        <v>43.1</v>
      </c>
      <c r="U1295">
        <v>0.5</v>
      </c>
      <c r="V1295">
        <v>2</v>
      </c>
      <c r="W1295">
        <v>7.6</v>
      </c>
      <c r="X1295">
        <v>6.0613000000000001</v>
      </c>
      <c r="Y1295">
        <v>0.15065000000000001</v>
      </c>
      <c r="Z1295">
        <v>91.204499999999996</v>
      </c>
      <c r="AA1295">
        <v>10</v>
      </c>
      <c r="AB1295">
        <v>0.43</v>
      </c>
      <c r="AC1295">
        <v>217</v>
      </c>
      <c r="AD1295">
        <v>0</v>
      </c>
    </row>
    <row r="1296" spans="1:30" x14ac:dyDescent="0.55000000000000004">
      <c r="A1296">
        <v>110613</v>
      </c>
      <c r="B1296" s="19">
        <v>43625</v>
      </c>
      <c r="C1296">
        <v>1321</v>
      </c>
      <c r="D1296">
        <v>2019</v>
      </c>
      <c r="E1296">
        <v>25</v>
      </c>
      <c r="F1296">
        <v>568</v>
      </c>
      <c r="G1296">
        <v>1</v>
      </c>
      <c r="H1296">
        <v>196</v>
      </c>
      <c r="I1296">
        <v>3</v>
      </c>
      <c r="J1296">
        <v>4646.8100000000004</v>
      </c>
      <c r="K1296">
        <v>8733.44</v>
      </c>
      <c r="L1296">
        <v>4647.12</v>
      </c>
      <c r="M1296">
        <v>8733.0400000000009</v>
      </c>
      <c r="N1296">
        <v>46.780200000000001</v>
      </c>
      <c r="O1296">
        <v>-87.557299999999998</v>
      </c>
      <c r="P1296">
        <v>46.785299999999999</v>
      </c>
      <c r="Q1296">
        <v>-87.550700000000006</v>
      </c>
      <c r="R1296">
        <v>2612.8436059999999</v>
      </c>
      <c r="S1296">
        <v>27.5</v>
      </c>
      <c r="T1296">
        <v>41</v>
      </c>
      <c r="U1296">
        <v>0.5</v>
      </c>
      <c r="V1296">
        <v>2</v>
      </c>
      <c r="W1296">
        <v>7.7</v>
      </c>
      <c r="X1296">
        <v>6.3260500000000004</v>
      </c>
      <c r="Y1296">
        <v>0.17419999999999999</v>
      </c>
      <c r="Z1296">
        <v>90.7179</v>
      </c>
      <c r="AA1296">
        <v>10</v>
      </c>
      <c r="AB1296">
        <v>0.47</v>
      </c>
      <c r="AC1296">
        <v>217</v>
      </c>
      <c r="AD1296">
        <v>8</v>
      </c>
    </row>
    <row r="1297" spans="1:30" x14ac:dyDescent="0.55000000000000004">
      <c r="A1297">
        <v>110614</v>
      </c>
      <c r="B1297" s="19">
        <v>43625</v>
      </c>
      <c r="C1297">
        <v>1321</v>
      </c>
      <c r="D1297">
        <v>2019</v>
      </c>
      <c r="E1297">
        <v>25</v>
      </c>
      <c r="F1297">
        <v>569</v>
      </c>
      <c r="G1297">
        <v>1</v>
      </c>
      <c r="H1297">
        <v>196</v>
      </c>
      <c r="I1297">
        <v>3</v>
      </c>
      <c r="J1297">
        <v>4646.8100000000004</v>
      </c>
      <c r="K1297">
        <v>8733.44</v>
      </c>
      <c r="L1297">
        <v>4647.12</v>
      </c>
      <c r="M1297">
        <v>8733.0400000000009</v>
      </c>
      <c r="N1297">
        <v>46.780200000000001</v>
      </c>
      <c r="O1297">
        <v>-87.557299999999998</v>
      </c>
      <c r="P1297">
        <v>46.785299999999999</v>
      </c>
      <c r="Q1297">
        <v>-87.550700000000006</v>
      </c>
      <c r="R1297">
        <v>2612.8436059999999</v>
      </c>
      <c r="S1297">
        <v>27.5</v>
      </c>
      <c r="T1297">
        <v>41</v>
      </c>
      <c r="U1297">
        <v>0.5</v>
      </c>
      <c r="V1297">
        <v>2</v>
      </c>
      <c r="W1297">
        <v>7.7</v>
      </c>
      <c r="X1297">
        <v>6.3260500000000004</v>
      </c>
      <c r="Y1297">
        <v>0.17419999999999999</v>
      </c>
      <c r="Z1297">
        <v>90.7179</v>
      </c>
      <c r="AA1297">
        <v>10</v>
      </c>
      <c r="AB1297">
        <v>0.47</v>
      </c>
      <c r="AC1297">
        <v>217</v>
      </c>
      <c r="AD1297">
        <v>7</v>
      </c>
    </row>
    <row r="1298" spans="1:30" x14ac:dyDescent="0.55000000000000004">
      <c r="A1298">
        <v>110616</v>
      </c>
      <c r="B1298" s="19">
        <v>43627</v>
      </c>
      <c r="C1298">
        <v>805</v>
      </c>
      <c r="D1298">
        <v>2019</v>
      </c>
      <c r="E1298">
        <v>25</v>
      </c>
      <c r="F1298">
        <v>570</v>
      </c>
      <c r="G1298">
        <v>1</v>
      </c>
      <c r="H1298">
        <v>120</v>
      </c>
      <c r="I1298">
        <v>3</v>
      </c>
      <c r="J1298">
        <v>4630.4399999999996</v>
      </c>
      <c r="K1298">
        <v>8713.9500000000007</v>
      </c>
      <c r="L1298">
        <v>4630.84</v>
      </c>
      <c r="M1298">
        <v>8713.85</v>
      </c>
      <c r="N1298">
        <v>46.507300000000001</v>
      </c>
      <c r="O1298">
        <v>-87.232500000000002</v>
      </c>
      <c r="P1298">
        <v>46.514000000000003</v>
      </c>
      <c r="Q1298">
        <v>-87.230800000000002</v>
      </c>
      <c r="R1298">
        <v>3733.016885</v>
      </c>
      <c r="S1298">
        <v>19.899999999999999</v>
      </c>
      <c r="T1298">
        <v>27</v>
      </c>
      <c r="U1298">
        <v>0.5</v>
      </c>
      <c r="V1298">
        <v>2</v>
      </c>
      <c r="W1298">
        <v>7.9</v>
      </c>
      <c r="X1298">
        <v>5.8007</v>
      </c>
      <c r="Y1298">
        <v>0.23955000000000001</v>
      </c>
      <c r="Z1298">
        <v>91.017349999999993</v>
      </c>
      <c r="AA1298">
        <v>10</v>
      </c>
      <c r="AB1298">
        <v>0.43</v>
      </c>
      <c r="AC1298">
        <v>217</v>
      </c>
      <c r="AD1298">
        <v>3</v>
      </c>
    </row>
    <row r="1299" spans="1:30" x14ac:dyDescent="0.55000000000000004">
      <c r="A1299">
        <v>110617</v>
      </c>
      <c r="B1299" s="19">
        <v>43627</v>
      </c>
      <c r="C1299">
        <v>805</v>
      </c>
      <c r="D1299">
        <v>2019</v>
      </c>
      <c r="E1299">
        <v>25</v>
      </c>
      <c r="F1299">
        <v>571</v>
      </c>
      <c r="G1299">
        <v>1</v>
      </c>
      <c r="H1299">
        <v>120</v>
      </c>
      <c r="I1299">
        <v>3</v>
      </c>
      <c r="J1299">
        <v>4630.4399999999996</v>
      </c>
      <c r="K1299">
        <v>8713.9500000000007</v>
      </c>
      <c r="L1299">
        <v>4630.84</v>
      </c>
      <c r="M1299">
        <v>8713.85</v>
      </c>
      <c r="N1299">
        <v>46.507300000000001</v>
      </c>
      <c r="O1299">
        <v>-87.232500000000002</v>
      </c>
      <c r="P1299">
        <v>46.514000000000003</v>
      </c>
      <c r="Q1299">
        <v>-87.230800000000002</v>
      </c>
      <c r="R1299">
        <v>3733.016885</v>
      </c>
      <c r="S1299">
        <v>19.899999999999999</v>
      </c>
      <c r="T1299">
        <v>27</v>
      </c>
      <c r="U1299">
        <v>0.5</v>
      </c>
      <c r="V1299">
        <v>2</v>
      </c>
      <c r="W1299">
        <v>7.9</v>
      </c>
      <c r="X1299">
        <v>5.8007</v>
      </c>
      <c r="Y1299">
        <v>0.23955000000000001</v>
      </c>
      <c r="Z1299">
        <v>91.017349999999993</v>
      </c>
      <c r="AA1299">
        <v>10</v>
      </c>
      <c r="AB1299">
        <v>0.43</v>
      </c>
      <c r="AC1299">
        <v>217</v>
      </c>
      <c r="AD1299">
        <v>3</v>
      </c>
    </row>
    <row r="1300" spans="1:30" x14ac:dyDescent="0.55000000000000004">
      <c r="A1300">
        <v>110620</v>
      </c>
      <c r="B1300" s="19">
        <v>43627</v>
      </c>
      <c r="C1300">
        <v>1046</v>
      </c>
      <c r="D1300">
        <v>2019</v>
      </c>
      <c r="E1300">
        <v>25</v>
      </c>
      <c r="F1300">
        <v>572</v>
      </c>
      <c r="G1300">
        <v>1</v>
      </c>
      <c r="H1300">
        <v>88</v>
      </c>
      <c r="I1300">
        <v>3</v>
      </c>
      <c r="J1300">
        <v>4631.43</v>
      </c>
      <c r="K1300">
        <v>8655.27</v>
      </c>
      <c r="L1300">
        <v>4631.62</v>
      </c>
      <c r="M1300">
        <v>8654.77</v>
      </c>
      <c r="N1300">
        <v>46.523800000000001</v>
      </c>
      <c r="O1300">
        <v>-86.921199999999999</v>
      </c>
      <c r="P1300">
        <v>46.527000000000001</v>
      </c>
      <c r="Q1300">
        <v>-86.912800000000004</v>
      </c>
      <c r="R1300">
        <v>4575.3649349999996</v>
      </c>
      <c r="S1300">
        <v>34.200000000000003</v>
      </c>
      <c r="T1300">
        <v>44.8</v>
      </c>
      <c r="U1300">
        <v>0.5</v>
      </c>
      <c r="V1300">
        <v>2</v>
      </c>
      <c r="W1300">
        <v>6.4</v>
      </c>
      <c r="X1300">
        <v>5.3525</v>
      </c>
      <c r="Y1300">
        <v>0.115</v>
      </c>
      <c r="Z1300">
        <v>64.978350000000006</v>
      </c>
      <c r="AA1300">
        <v>10</v>
      </c>
      <c r="AB1300">
        <v>0.42</v>
      </c>
      <c r="AC1300">
        <v>217</v>
      </c>
      <c r="AD1300">
        <v>0</v>
      </c>
    </row>
    <row r="1301" spans="1:30" x14ac:dyDescent="0.55000000000000004">
      <c r="A1301">
        <v>110621</v>
      </c>
      <c r="B1301" s="19">
        <v>43627</v>
      </c>
      <c r="C1301">
        <v>1046</v>
      </c>
      <c r="D1301">
        <v>2019</v>
      </c>
      <c r="E1301">
        <v>25</v>
      </c>
      <c r="F1301">
        <v>573</v>
      </c>
      <c r="G1301">
        <v>1</v>
      </c>
      <c r="H1301">
        <v>88</v>
      </c>
      <c r="I1301">
        <v>3</v>
      </c>
      <c r="J1301">
        <v>4631.43</v>
      </c>
      <c r="K1301">
        <v>8655.27</v>
      </c>
      <c r="L1301">
        <v>4631.62</v>
      </c>
      <c r="M1301">
        <v>8654.77</v>
      </c>
      <c r="N1301">
        <v>46.523800000000001</v>
      </c>
      <c r="O1301">
        <v>-86.921199999999999</v>
      </c>
      <c r="P1301">
        <v>46.527000000000001</v>
      </c>
      <c r="Q1301">
        <v>-86.912800000000004</v>
      </c>
      <c r="R1301">
        <v>4575.3649349999996</v>
      </c>
      <c r="S1301">
        <v>34.200000000000003</v>
      </c>
      <c r="T1301">
        <v>44.8</v>
      </c>
      <c r="U1301">
        <v>0.5</v>
      </c>
      <c r="V1301">
        <v>2</v>
      </c>
      <c r="W1301">
        <v>6.4</v>
      </c>
      <c r="X1301">
        <v>5.3525</v>
      </c>
      <c r="Y1301">
        <v>0.115</v>
      </c>
      <c r="Z1301">
        <v>64.978350000000006</v>
      </c>
      <c r="AA1301">
        <v>10</v>
      </c>
      <c r="AB1301">
        <v>0.42</v>
      </c>
      <c r="AC1301">
        <v>217</v>
      </c>
      <c r="AD1301">
        <v>0</v>
      </c>
    </row>
    <row r="1302" spans="1:30" x14ac:dyDescent="0.55000000000000004">
      <c r="A1302">
        <v>110622</v>
      </c>
      <c r="B1302" s="19">
        <v>43627</v>
      </c>
      <c r="C1302">
        <v>1342</v>
      </c>
      <c r="D1302">
        <v>2019</v>
      </c>
      <c r="E1302">
        <v>25</v>
      </c>
      <c r="F1302">
        <v>574</v>
      </c>
      <c r="G1302">
        <v>1</v>
      </c>
      <c r="H1302">
        <v>209</v>
      </c>
      <c r="I1302">
        <v>3</v>
      </c>
      <c r="J1302">
        <v>4631.6499999999996</v>
      </c>
      <c r="K1302">
        <v>8642.92</v>
      </c>
      <c r="L1302">
        <v>4631.8500000000004</v>
      </c>
      <c r="M1302">
        <v>8643.41</v>
      </c>
      <c r="N1302">
        <v>46.527500000000003</v>
      </c>
      <c r="O1302">
        <v>-86.715299999999999</v>
      </c>
      <c r="P1302">
        <v>46.530799999999999</v>
      </c>
      <c r="Q1302">
        <v>-86.723500000000001</v>
      </c>
      <c r="R1302">
        <v>508.61472559999999</v>
      </c>
      <c r="S1302">
        <v>52.3</v>
      </c>
      <c r="T1302">
        <v>87.3</v>
      </c>
      <c r="U1302">
        <v>0.5</v>
      </c>
      <c r="V1302">
        <v>2</v>
      </c>
      <c r="W1302">
        <v>6.3</v>
      </c>
      <c r="X1302">
        <v>7.3519500000000004</v>
      </c>
      <c r="Y1302">
        <v>0.12945000000000001</v>
      </c>
      <c r="Z1302">
        <v>91.217200000000005</v>
      </c>
      <c r="AA1302">
        <v>10</v>
      </c>
      <c r="AB1302">
        <v>0.42</v>
      </c>
      <c r="AC1302">
        <v>217</v>
      </c>
      <c r="AD1302">
        <v>0</v>
      </c>
    </row>
    <row r="1303" spans="1:30" x14ac:dyDescent="0.55000000000000004">
      <c r="A1303">
        <v>110623</v>
      </c>
      <c r="B1303" s="19">
        <v>43627</v>
      </c>
      <c r="C1303">
        <v>1342</v>
      </c>
      <c r="D1303">
        <v>2019</v>
      </c>
      <c r="E1303">
        <v>25</v>
      </c>
      <c r="F1303">
        <v>575</v>
      </c>
      <c r="G1303">
        <v>1</v>
      </c>
      <c r="H1303">
        <v>209</v>
      </c>
      <c r="I1303">
        <v>3</v>
      </c>
      <c r="J1303">
        <v>4631.6499999999996</v>
      </c>
      <c r="K1303">
        <v>8642.92</v>
      </c>
      <c r="L1303">
        <v>4631.8500000000004</v>
      </c>
      <c r="M1303">
        <v>8643.41</v>
      </c>
      <c r="N1303">
        <v>46.527500000000003</v>
      </c>
      <c r="O1303">
        <v>-86.715299999999999</v>
      </c>
      <c r="P1303">
        <v>46.530799999999999</v>
      </c>
      <c r="Q1303">
        <v>-86.723500000000001</v>
      </c>
      <c r="R1303">
        <v>508.61472559999999</v>
      </c>
      <c r="S1303">
        <v>52.3</v>
      </c>
      <c r="T1303">
        <v>87.3</v>
      </c>
      <c r="U1303">
        <v>0.5</v>
      </c>
      <c r="V1303">
        <v>2</v>
      </c>
      <c r="W1303">
        <v>6.3</v>
      </c>
      <c r="X1303">
        <v>7.3519500000000004</v>
      </c>
      <c r="Y1303">
        <v>0.12945000000000001</v>
      </c>
      <c r="Z1303">
        <v>91.217200000000005</v>
      </c>
      <c r="AA1303">
        <v>10</v>
      </c>
      <c r="AB1303">
        <v>0.42</v>
      </c>
      <c r="AC1303">
        <v>217</v>
      </c>
      <c r="AD1303">
        <v>1</v>
      </c>
    </row>
    <row r="1304" spans="1:30" x14ac:dyDescent="0.55000000000000004">
      <c r="A1304">
        <v>110624</v>
      </c>
      <c r="B1304" s="19">
        <v>43627</v>
      </c>
      <c r="C1304">
        <v>1649</v>
      </c>
      <c r="D1304">
        <v>2019</v>
      </c>
      <c r="E1304">
        <v>25</v>
      </c>
      <c r="F1304">
        <v>576</v>
      </c>
      <c r="G1304">
        <v>1</v>
      </c>
      <c r="H1304">
        <v>178</v>
      </c>
      <c r="I1304">
        <v>3</v>
      </c>
      <c r="J1304">
        <v>4639.42</v>
      </c>
      <c r="K1304">
        <v>8618.51</v>
      </c>
      <c r="L1304">
        <v>4639.68</v>
      </c>
      <c r="M1304">
        <v>8619.02</v>
      </c>
      <c r="N1304">
        <v>46.656999999999996</v>
      </c>
      <c r="O1304">
        <v>-86.308499999999995</v>
      </c>
      <c r="P1304">
        <v>46.661299999999997</v>
      </c>
      <c r="Q1304">
        <v>-86.316999999999993</v>
      </c>
      <c r="R1304">
        <v>5623.3878450000002</v>
      </c>
      <c r="S1304">
        <v>30</v>
      </c>
      <c r="T1304">
        <v>38.700000000000003</v>
      </c>
      <c r="U1304">
        <v>0.5</v>
      </c>
      <c r="V1304">
        <v>2</v>
      </c>
      <c r="W1304">
        <v>6.1</v>
      </c>
      <c r="X1304">
        <v>4.7134999999999998</v>
      </c>
      <c r="Y1304">
        <v>0.10929999999999999</v>
      </c>
      <c r="Z1304">
        <v>74.660899999999998</v>
      </c>
      <c r="AA1304">
        <v>10</v>
      </c>
      <c r="AB1304">
        <v>0.44</v>
      </c>
      <c r="AC1304">
        <v>217</v>
      </c>
      <c r="AD1304">
        <v>3</v>
      </c>
    </row>
    <row r="1305" spans="1:30" x14ac:dyDescent="0.55000000000000004">
      <c r="A1305">
        <v>110625</v>
      </c>
      <c r="B1305" s="19">
        <v>43627</v>
      </c>
      <c r="C1305">
        <v>1649</v>
      </c>
      <c r="D1305">
        <v>2019</v>
      </c>
      <c r="E1305">
        <v>25</v>
      </c>
      <c r="F1305">
        <v>577</v>
      </c>
      <c r="G1305">
        <v>1</v>
      </c>
      <c r="H1305">
        <v>178</v>
      </c>
      <c r="I1305">
        <v>3</v>
      </c>
      <c r="J1305">
        <v>4639.42</v>
      </c>
      <c r="K1305">
        <v>8618.51</v>
      </c>
      <c r="L1305">
        <v>4639.68</v>
      </c>
      <c r="M1305">
        <v>8619.02</v>
      </c>
      <c r="N1305">
        <v>46.656999999999996</v>
      </c>
      <c r="O1305">
        <v>-86.308499999999995</v>
      </c>
      <c r="P1305">
        <v>46.661299999999997</v>
      </c>
      <c r="Q1305">
        <v>-86.316999999999993</v>
      </c>
      <c r="R1305">
        <v>5623.3878450000002</v>
      </c>
      <c r="S1305">
        <v>30</v>
      </c>
      <c r="T1305">
        <v>38.700000000000003</v>
      </c>
      <c r="U1305">
        <v>0.5</v>
      </c>
      <c r="V1305">
        <v>2</v>
      </c>
      <c r="W1305">
        <v>6.1</v>
      </c>
      <c r="X1305">
        <v>4.7134999999999998</v>
      </c>
      <c r="Y1305">
        <v>0.10929999999999999</v>
      </c>
      <c r="Z1305">
        <v>74.660899999999998</v>
      </c>
      <c r="AA1305">
        <v>10</v>
      </c>
      <c r="AB1305">
        <v>0.44</v>
      </c>
      <c r="AC1305">
        <v>217</v>
      </c>
      <c r="AD1305">
        <v>0</v>
      </c>
    </row>
    <row r="1306" spans="1:30" x14ac:dyDescent="0.55000000000000004">
      <c r="A1306">
        <v>110628</v>
      </c>
      <c r="B1306" s="19">
        <v>43628</v>
      </c>
      <c r="C1306">
        <v>813</v>
      </c>
      <c r="D1306">
        <v>2019</v>
      </c>
      <c r="E1306">
        <v>25</v>
      </c>
      <c r="F1306">
        <v>578</v>
      </c>
      <c r="G1306">
        <v>1</v>
      </c>
      <c r="H1306">
        <v>177</v>
      </c>
      <c r="I1306">
        <v>3</v>
      </c>
      <c r="J1306">
        <v>4643.4399999999996</v>
      </c>
      <c r="K1306">
        <v>8546.0499999999993</v>
      </c>
      <c r="L1306">
        <v>4643.82</v>
      </c>
      <c r="M1306">
        <v>8546.09</v>
      </c>
      <c r="N1306">
        <v>46.723999999999997</v>
      </c>
      <c r="O1306">
        <v>-85.767499999999998</v>
      </c>
      <c r="P1306">
        <v>46.7303</v>
      </c>
      <c r="Q1306">
        <v>-85.768199999999993</v>
      </c>
      <c r="R1306">
        <v>4893.4349730000004</v>
      </c>
      <c r="S1306">
        <v>19.899999999999999</v>
      </c>
      <c r="T1306">
        <v>21.7</v>
      </c>
      <c r="U1306">
        <v>0.5</v>
      </c>
      <c r="V1306">
        <v>2</v>
      </c>
      <c r="W1306">
        <v>7</v>
      </c>
      <c r="X1306">
        <v>4.8407</v>
      </c>
      <c r="Y1306">
        <v>0.12864999999999999</v>
      </c>
      <c r="Z1306">
        <v>86.278199999999998</v>
      </c>
      <c r="AA1306">
        <v>10</v>
      </c>
      <c r="AB1306">
        <v>0.42</v>
      </c>
      <c r="AC1306">
        <v>217</v>
      </c>
      <c r="AD1306">
        <v>99</v>
      </c>
    </row>
    <row r="1307" spans="1:30" x14ac:dyDescent="0.55000000000000004">
      <c r="A1307">
        <v>110629</v>
      </c>
      <c r="B1307" s="19">
        <v>43628</v>
      </c>
      <c r="C1307">
        <v>813</v>
      </c>
      <c r="D1307">
        <v>2019</v>
      </c>
      <c r="E1307">
        <v>25</v>
      </c>
      <c r="F1307">
        <v>579</v>
      </c>
      <c r="G1307">
        <v>1</v>
      </c>
      <c r="H1307">
        <v>177</v>
      </c>
      <c r="I1307">
        <v>3</v>
      </c>
      <c r="J1307">
        <v>4643.4399999999996</v>
      </c>
      <c r="K1307">
        <v>8546.0499999999993</v>
      </c>
      <c r="L1307">
        <v>4643.82</v>
      </c>
      <c r="M1307">
        <v>8546.09</v>
      </c>
      <c r="N1307">
        <v>46.723999999999997</v>
      </c>
      <c r="O1307">
        <v>-85.767499999999998</v>
      </c>
      <c r="P1307">
        <v>46.7303</v>
      </c>
      <c r="Q1307">
        <v>-85.768199999999993</v>
      </c>
      <c r="R1307">
        <v>4893.4349730000004</v>
      </c>
      <c r="S1307">
        <v>19.899999999999999</v>
      </c>
      <c r="T1307">
        <v>21.7</v>
      </c>
      <c r="U1307">
        <v>0.5</v>
      </c>
      <c r="V1307">
        <v>2</v>
      </c>
      <c r="W1307">
        <v>7</v>
      </c>
      <c r="X1307">
        <v>4.8407</v>
      </c>
      <c r="Y1307">
        <v>0.12864999999999999</v>
      </c>
      <c r="Z1307">
        <v>86.278199999999998</v>
      </c>
      <c r="AA1307">
        <v>10</v>
      </c>
      <c r="AB1307">
        <v>0.42</v>
      </c>
      <c r="AC1307">
        <v>217</v>
      </c>
      <c r="AD1307">
        <v>87</v>
      </c>
    </row>
    <row r="1308" spans="1:30" x14ac:dyDescent="0.55000000000000004">
      <c r="A1308">
        <v>110632</v>
      </c>
      <c r="B1308" s="19">
        <v>43628</v>
      </c>
      <c r="C1308">
        <v>1121</v>
      </c>
      <c r="D1308">
        <v>2019</v>
      </c>
      <c r="E1308">
        <v>25</v>
      </c>
      <c r="F1308">
        <v>580</v>
      </c>
      <c r="G1308">
        <v>1</v>
      </c>
      <c r="H1308">
        <v>176</v>
      </c>
      <c r="I1308">
        <v>3</v>
      </c>
      <c r="J1308">
        <v>4646.46</v>
      </c>
      <c r="K1308">
        <v>8519.0300000000007</v>
      </c>
      <c r="L1308">
        <v>4646.8900000000003</v>
      </c>
      <c r="M1308">
        <v>8519.2999999999993</v>
      </c>
      <c r="N1308">
        <v>46.774299999999997</v>
      </c>
      <c r="O1308">
        <v>-85.3172</v>
      </c>
      <c r="P1308">
        <v>46.781500000000001</v>
      </c>
      <c r="Q1308">
        <v>-85.321700000000007</v>
      </c>
      <c r="R1308">
        <v>5180.0277290000004</v>
      </c>
      <c r="S1308">
        <v>20.9</v>
      </c>
      <c r="T1308">
        <v>35</v>
      </c>
      <c r="U1308">
        <v>0.5</v>
      </c>
      <c r="V1308">
        <v>2</v>
      </c>
      <c r="W1308">
        <v>6.6</v>
      </c>
      <c r="X1308">
        <v>4.8455500000000002</v>
      </c>
      <c r="Y1308">
        <v>0.1341</v>
      </c>
      <c r="Z1308">
        <v>86.574600000000004</v>
      </c>
      <c r="AA1308">
        <v>10</v>
      </c>
      <c r="AB1308">
        <v>0.45</v>
      </c>
      <c r="AC1308">
        <v>217</v>
      </c>
      <c r="AD1308">
        <v>6</v>
      </c>
    </row>
    <row r="1309" spans="1:30" x14ac:dyDescent="0.55000000000000004">
      <c r="A1309">
        <v>110633</v>
      </c>
      <c r="B1309" s="19">
        <v>43628</v>
      </c>
      <c r="C1309">
        <v>1121</v>
      </c>
      <c r="D1309">
        <v>2019</v>
      </c>
      <c r="E1309">
        <v>25</v>
      </c>
      <c r="F1309">
        <v>581</v>
      </c>
      <c r="G1309">
        <v>1</v>
      </c>
      <c r="H1309">
        <v>176</v>
      </c>
      <c r="I1309">
        <v>3</v>
      </c>
      <c r="J1309">
        <v>4646.46</v>
      </c>
      <c r="K1309">
        <v>8519.0300000000007</v>
      </c>
      <c r="L1309">
        <v>4646.8900000000003</v>
      </c>
      <c r="M1309">
        <v>8519.2999999999993</v>
      </c>
      <c r="N1309">
        <v>46.774299999999997</v>
      </c>
      <c r="O1309">
        <v>-85.3172</v>
      </c>
      <c r="P1309">
        <v>46.781500000000001</v>
      </c>
      <c r="Q1309">
        <v>-85.321700000000007</v>
      </c>
      <c r="R1309">
        <v>5180.0277290000004</v>
      </c>
      <c r="S1309">
        <v>20.9</v>
      </c>
      <c r="T1309">
        <v>35</v>
      </c>
      <c r="U1309">
        <v>0.5</v>
      </c>
      <c r="V1309">
        <v>2</v>
      </c>
      <c r="W1309">
        <v>6.6</v>
      </c>
      <c r="X1309">
        <v>4.8455500000000002</v>
      </c>
      <c r="Y1309">
        <v>0.1341</v>
      </c>
      <c r="Z1309">
        <v>86.574600000000004</v>
      </c>
      <c r="AA1309">
        <v>10</v>
      </c>
      <c r="AB1309">
        <v>0.45</v>
      </c>
      <c r="AC1309">
        <v>217</v>
      </c>
      <c r="AD1309">
        <v>1</v>
      </c>
    </row>
    <row r="1310" spans="1:30" x14ac:dyDescent="0.55000000000000004">
      <c r="A1310">
        <v>110634</v>
      </c>
      <c r="B1310" s="19">
        <v>43628</v>
      </c>
      <c r="C1310">
        <v>1351</v>
      </c>
      <c r="D1310">
        <v>2019</v>
      </c>
      <c r="E1310">
        <v>25</v>
      </c>
      <c r="F1310">
        <v>582</v>
      </c>
      <c r="G1310">
        <v>1</v>
      </c>
      <c r="H1310">
        <v>195</v>
      </c>
      <c r="I1310">
        <v>3</v>
      </c>
      <c r="J1310">
        <v>4647.8900000000003</v>
      </c>
      <c r="K1310">
        <v>8459.2800000000007</v>
      </c>
      <c r="L1310">
        <v>4648.2700000000004</v>
      </c>
      <c r="M1310">
        <v>8458.9699999999993</v>
      </c>
      <c r="N1310">
        <v>46.798200000000001</v>
      </c>
      <c r="O1310">
        <v>-84.988</v>
      </c>
      <c r="P1310">
        <v>46.804499999999997</v>
      </c>
      <c r="Q1310">
        <v>-84.982799999999997</v>
      </c>
      <c r="R1310">
        <v>2765.9801950000001</v>
      </c>
      <c r="S1310">
        <v>35.6</v>
      </c>
      <c r="T1310">
        <v>63.3</v>
      </c>
      <c r="U1310">
        <v>0.5</v>
      </c>
      <c r="V1310">
        <v>2</v>
      </c>
      <c r="W1310">
        <v>7.1</v>
      </c>
      <c r="X1310">
        <v>6.2866499999999998</v>
      </c>
      <c r="Y1310">
        <v>0.14319999999999999</v>
      </c>
      <c r="Z1310">
        <v>70.732500000000002</v>
      </c>
      <c r="AA1310">
        <v>10</v>
      </c>
      <c r="AB1310">
        <v>0.45</v>
      </c>
      <c r="AC1310">
        <v>217</v>
      </c>
      <c r="AD1310">
        <v>12</v>
      </c>
    </row>
    <row r="1311" spans="1:30" x14ac:dyDescent="0.55000000000000004">
      <c r="A1311">
        <v>110635</v>
      </c>
      <c r="B1311" s="19">
        <v>43628</v>
      </c>
      <c r="C1311">
        <v>1351</v>
      </c>
      <c r="D1311">
        <v>2019</v>
      </c>
      <c r="E1311">
        <v>25</v>
      </c>
      <c r="F1311">
        <v>583</v>
      </c>
      <c r="G1311">
        <v>1</v>
      </c>
      <c r="H1311">
        <v>195</v>
      </c>
      <c r="I1311">
        <v>3</v>
      </c>
      <c r="J1311">
        <v>4647.8900000000003</v>
      </c>
      <c r="K1311">
        <v>8459.2800000000007</v>
      </c>
      <c r="L1311">
        <v>4648.2700000000004</v>
      </c>
      <c r="M1311">
        <v>8458.9699999999993</v>
      </c>
      <c r="N1311">
        <v>46.798200000000001</v>
      </c>
      <c r="O1311">
        <v>-84.988</v>
      </c>
      <c r="P1311">
        <v>46.804499999999997</v>
      </c>
      <c r="Q1311">
        <v>-84.982799999999997</v>
      </c>
      <c r="R1311">
        <v>2765.9801950000001</v>
      </c>
      <c r="S1311">
        <v>35.6</v>
      </c>
      <c r="T1311">
        <v>63.3</v>
      </c>
      <c r="U1311">
        <v>0.5</v>
      </c>
      <c r="V1311">
        <v>2</v>
      </c>
      <c r="W1311">
        <v>7.1</v>
      </c>
      <c r="X1311">
        <v>6.2866499999999998</v>
      </c>
      <c r="Y1311">
        <v>0.14319999999999999</v>
      </c>
      <c r="Z1311">
        <v>70.732500000000002</v>
      </c>
      <c r="AA1311">
        <v>10</v>
      </c>
      <c r="AB1311">
        <v>0.45</v>
      </c>
      <c r="AC1311">
        <v>217</v>
      </c>
      <c r="AD1311">
        <v>5</v>
      </c>
    </row>
    <row r="1312" spans="1:30" x14ac:dyDescent="0.55000000000000004">
      <c r="A1312">
        <v>110638</v>
      </c>
      <c r="B1312" s="19">
        <v>43629</v>
      </c>
      <c r="C1312">
        <v>1054</v>
      </c>
      <c r="D1312">
        <v>2019</v>
      </c>
      <c r="E1312">
        <v>25</v>
      </c>
      <c r="F1312">
        <v>584</v>
      </c>
      <c r="G1312">
        <v>1</v>
      </c>
      <c r="H1312">
        <v>194</v>
      </c>
      <c r="I1312">
        <v>3</v>
      </c>
      <c r="J1312">
        <v>4637.24</v>
      </c>
      <c r="K1312">
        <v>8453.94</v>
      </c>
      <c r="L1312">
        <v>4637.37</v>
      </c>
      <c r="M1312">
        <v>8453.3799999999992</v>
      </c>
      <c r="N1312">
        <v>46.620699999999999</v>
      </c>
      <c r="O1312">
        <v>-84.899000000000001</v>
      </c>
      <c r="P1312">
        <v>46.622799999999998</v>
      </c>
      <c r="Q1312">
        <v>-84.889700000000005</v>
      </c>
      <c r="R1312">
        <v>10597.364310000001</v>
      </c>
      <c r="S1312">
        <v>28</v>
      </c>
      <c r="T1312">
        <v>43.3</v>
      </c>
      <c r="U1312">
        <v>0.5</v>
      </c>
      <c r="V1312">
        <v>2</v>
      </c>
      <c r="W1312">
        <v>6.7</v>
      </c>
      <c r="X1312">
        <v>5.3053999999999997</v>
      </c>
      <c r="Y1312">
        <v>9.9349999999999994E-2</v>
      </c>
      <c r="Z1312">
        <v>76.779200000000003</v>
      </c>
      <c r="AA1312">
        <v>10</v>
      </c>
      <c r="AB1312">
        <v>0.43</v>
      </c>
      <c r="AC1312">
        <v>217</v>
      </c>
      <c r="AD1312">
        <v>0</v>
      </c>
    </row>
    <row r="1313" spans="1:30" x14ac:dyDescent="0.55000000000000004">
      <c r="A1313">
        <v>110639</v>
      </c>
      <c r="B1313" s="19">
        <v>43629</v>
      </c>
      <c r="C1313">
        <v>1054</v>
      </c>
      <c r="D1313">
        <v>2019</v>
      </c>
      <c r="E1313">
        <v>25</v>
      </c>
      <c r="F1313">
        <v>585</v>
      </c>
      <c r="G1313">
        <v>1</v>
      </c>
      <c r="H1313">
        <v>194</v>
      </c>
      <c r="I1313">
        <v>3</v>
      </c>
      <c r="J1313">
        <v>4637.24</v>
      </c>
      <c r="K1313">
        <v>8453.94</v>
      </c>
      <c r="L1313">
        <v>4637.37</v>
      </c>
      <c r="M1313">
        <v>8453.3799999999992</v>
      </c>
      <c r="N1313">
        <v>46.620699999999999</v>
      </c>
      <c r="O1313">
        <v>-84.899000000000001</v>
      </c>
      <c r="P1313">
        <v>46.622799999999998</v>
      </c>
      <c r="Q1313">
        <v>-84.889700000000005</v>
      </c>
      <c r="R1313">
        <v>10597.364310000001</v>
      </c>
      <c r="S1313">
        <v>28</v>
      </c>
      <c r="T1313">
        <v>43.3</v>
      </c>
      <c r="U1313">
        <v>0.5</v>
      </c>
      <c r="V1313">
        <v>2</v>
      </c>
      <c r="W1313">
        <v>6.7</v>
      </c>
      <c r="X1313">
        <v>5.3053999999999997</v>
      </c>
      <c r="Y1313">
        <v>9.9349999999999994E-2</v>
      </c>
      <c r="Z1313">
        <v>76.779200000000003</v>
      </c>
      <c r="AA1313">
        <v>10</v>
      </c>
      <c r="AB1313">
        <v>0.43</v>
      </c>
      <c r="AC1313">
        <v>217</v>
      </c>
      <c r="AD1313">
        <v>1</v>
      </c>
    </row>
    <row r="1314" spans="1:30" x14ac:dyDescent="0.55000000000000004">
      <c r="A1314">
        <v>110640</v>
      </c>
      <c r="B1314" s="19">
        <v>43629</v>
      </c>
      <c r="C1314">
        <v>1239</v>
      </c>
      <c r="D1314">
        <v>2019</v>
      </c>
      <c r="E1314">
        <v>25</v>
      </c>
      <c r="F1314">
        <v>586</v>
      </c>
      <c r="G1314">
        <v>1</v>
      </c>
      <c r="H1314">
        <v>79</v>
      </c>
      <c r="I1314">
        <v>3</v>
      </c>
      <c r="J1314">
        <v>4633.82</v>
      </c>
      <c r="K1314">
        <v>8453.17</v>
      </c>
      <c r="L1314">
        <v>4633.92</v>
      </c>
      <c r="M1314">
        <v>8452.58</v>
      </c>
      <c r="N1314">
        <v>46.563699999999997</v>
      </c>
      <c r="O1314">
        <v>-84.886200000000002</v>
      </c>
      <c r="P1314">
        <v>46.565300000000001</v>
      </c>
      <c r="Q1314">
        <v>-84.876300000000001</v>
      </c>
      <c r="R1314">
        <v>9346.6455089999999</v>
      </c>
      <c r="S1314">
        <v>20.3</v>
      </c>
      <c r="T1314">
        <v>42.5</v>
      </c>
      <c r="U1314">
        <v>0.5</v>
      </c>
      <c r="V1314">
        <v>2</v>
      </c>
      <c r="W1314">
        <v>6.7</v>
      </c>
      <c r="X1314">
        <v>5.2636500000000002</v>
      </c>
      <c r="Y1314">
        <v>0.14665</v>
      </c>
      <c r="Z1314">
        <v>73.338650000000001</v>
      </c>
      <c r="AA1314">
        <v>10</v>
      </c>
      <c r="AB1314">
        <v>0.42</v>
      </c>
      <c r="AC1314">
        <v>217</v>
      </c>
      <c r="AD1314">
        <v>0</v>
      </c>
    </row>
    <row r="1315" spans="1:30" x14ac:dyDescent="0.55000000000000004">
      <c r="A1315">
        <v>110641</v>
      </c>
      <c r="B1315" s="19">
        <v>43629</v>
      </c>
      <c r="C1315">
        <v>1239</v>
      </c>
      <c r="D1315">
        <v>2019</v>
      </c>
      <c r="E1315">
        <v>25</v>
      </c>
      <c r="F1315">
        <v>587</v>
      </c>
      <c r="G1315">
        <v>1</v>
      </c>
      <c r="H1315">
        <v>79</v>
      </c>
      <c r="I1315">
        <v>3</v>
      </c>
      <c r="J1315">
        <v>4633.82</v>
      </c>
      <c r="K1315">
        <v>8453.17</v>
      </c>
      <c r="L1315">
        <v>4633.92</v>
      </c>
      <c r="M1315">
        <v>8452.58</v>
      </c>
      <c r="N1315">
        <v>46.563699999999997</v>
      </c>
      <c r="O1315">
        <v>-84.886200000000002</v>
      </c>
      <c r="P1315">
        <v>46.565300000000001</v>
      </c>
      <c r="Q1315">
        <v>-84.876300000000001</v>
      </c>
      <c r="R1315">
        <v>9346.6455089999999</v>
      </c>
      <c r="S1315">
        <v>20.3</v>
      </c>
      <c r="T1315">
        <v>42.5</v>
      </c>
      <c r="U1315">
        <v>0.5</v>
      </c>
      <c r="V1315">
        <v>2</v>
      </c>
      <c r="W1315">
        <v>6.7</v>
      </c>
      <c r="X1315">
        <v>5.2636500000000002</v>
      </c>
      <c r="Y1315">
        <v>0.14665</v>
      </c>
      <c r="Z1315">
        <v>73.338650000000001</v>
      </c>
      <c r="AA1315">
        <v>10</v>
      </c>
      <c r="AB1315">
        <v>0.42</v>
      </c>
      <c r="AC1315">
        <v>217</v>
      </c>
      <c r="AD1315">
        <v>0</v>
      </c>
    </row>
    <row r="1316" spans="1:30" x14ac:dyDescent="0.55000000000000004">
      <c r="A1316">
        <v>110642</v>
      </c>
      <c r="B1316" s="19">
        <v>43629</v>
      </c>
      <c r="C1316">
        <v>1423</v>
      </c>
      <c r="D1316">
        <v>2019</v>
      </c>
      <c r="E1316">
        <v>25</v>
      </c>
      <c r="F1316">
        <v>588</v>
      </c>
      <c r="G1316">
        <v>1</v>
      </c>
      <c r="H1316">
        <v>193</v>
      </c>
      <c r="I1316">
        <v>3</v>
      </c>
      <c r="J1316">
        <v>4630.4799999999996</v>
      </c>
      <c r="K1316">
        <v>8452.52</v>
      </c>
      <c r="L1316">
        <v>4630.83</v>
      </c>
      <c r="M1316">
        <v>8452.14</v>
      </c>
      <c r="N1316">
        <v>46.508000000000003</v>
      </c>
      <c r="O1316">
        <v>-84.875299999999996</v>
      </c>
      <c r="P1316">
        <v>46.513800000000003</v>
      </c>
      <c r="Q1316">
        <v>-84.869</v>
      </c>
      <c r="R1316">
        <v>4531.7732919999999</v>
      </c>
      <c r="S1316">
        <v>20.8</v>
      </c>
      <c r="T1316">
        <v>32.6</v>
      </c>
      <c r="U1316">
        <v>0.5</v>
      </c>
      <c r="V1316">
        <v>2</v>
      </c>
      <c r="W1316">
        <v>7.5</v>
      </c>
      <c r="X1316">
        <v>5.9964500000000003</v>
      </c>
      <c r="Y1316">
        <v>7.9100000000000004E-2</v>
      </c>
      <c r="Z1316">
        <v>67.417450000000002</v>
      </c>
      <c r="AA1316">
        <v>10</v>
      </c>
      <c r="AB1316">
        <v>0.42</v>
      </c>
      <c r="AC1316">
        <v>217</v>
      </c>
      <c r="AD1316">
        <v>1</v>
      </c>
    </row>
    <row r="1317" spans="1:30" x14ac:dyDescent="0.55000000000000004">
      <c r="A1317">
        <v>110643</v>
      </c>
      <c r="B1317" s="19">
        <v>43629</v>
      </c>
      <c r="C1317">
        <v>1423</v>
      </c>
      <c r="D1317">
        <v>2019</v>
      </c>
      <c r="E1317">
        <v>25</v>
      </c>
      <c r="F1317">
        <v>589</v>
      </c>
      <c r="G1317">
        <v>1</v>
      </c>
      <c r="H1317">
        <v>193</v>
      </c>
      <c r="I1317">
        <v>3</v>
      </c>
      <c r="J1317">
        <v>4630.4799999999996</v>
      </c>
      <c r="K1317">
        <v>8452.52</v>
      </c>
      <c r="L1317">
        <v>4630.83</v>
      </c>
      <c r="M1317">
        <v>8452.14</v>
      </c>
      <c r="N1317">
        <v>46.508000000000003</v>
      </c>
      <c r="O1317">
        <v>-84.875299999999996</v>
      </c>
      <c r="P1317">
        <v>46.513800000000003</v>
      </c>
      <c r="Q1317">
        <v>-84.869</v>
      </c>
      <c r="R1317">
        <v>4531.7732919999999</v>
      </c>
      <c r="S1317">
        <v>20.8</v>
      </c>
      <c r="T1317">
        <v>32.6</v>
      </c>
      <c r="U1317">
        <v>0.5</v>
      </c>
      <c r="V1317">
        <v>2</v>
      </c>
      <c r="W1317">
        <v>7.5</v>
      </c>
      <c r="X1317">
        <v>5.9964500000000003</v>
      </c>
      <c r="Y1317">
        <v>7.9100000000000004E-2</v>
      </c>
      <c r="Z1317">
        <v>67.417450000000002</v>
      </c>
      <c r="AA1317">
        <v>10</v>
      </c>
      <c r="AB1317">
        <v>0.42</v>
      </c>
      <c r="AC1317">
        <v>217</v>
      </c>
      <c r="AD1317">
        <v>0</v>
      </c>
    </row>
    <row r="1318" spans="1:30" x14ac:dyDescent="0.55000000000000004">
      <c r="A1318">
        <v>110645</v>
      </c>
      <c r="B1318" s="19">
        <v>43629</v>
      </c>
      <c r="C1318">
        <v>1640</v>
      </c>
      <c r="D1318">
        <v>2019</v>
      </c>
      <c r="E1318">
        <v>25</v>
      </c>
      <c r="F1318">
        <v>590</v>
      </c>
      <c r="G1318">
        <v>1</v>
      </c>
      <c r="H1318">
        <v>174</v>
      </c>
      <c r="I1318">
        <v>3</v>
      </c>
      <c r="J1318">
        <v>4631.5200000000004</v>
      </c>
      <c r="K1318">
        <v>8443.06</v>
      </c>
      <c r="L1318">
        <v>4631.75</v>
      </c>
      <c r="M1318">
        <v>8442.67</v>
      </c>
      <c r="N1318">
        <v>46.525300000000001</v>
      </c>
      <c r="O1318">
        <v>-84.717699999999994</v>
      </c>
      <c r="P1318">
        <v>46.529200000000003</v>
      </c>
      <c r="Q1318">
        <v>-84.711200000000005</v>
      </c>
      <c r="R1318">
        <v>5117.9945829999997</v>
      </c>
      <c r="S1318">
        <v>45.6</v>
      </c>
      <c r="T1318">
        <v>43.6</v>
      </c>
      <c r="U1318">
        <v>0.5</v>
      </c>
      <c r="V1318">
        <v>2</v>
      </c>
      <c r="W1318">
        <v>6.4</v>
      </c>
      <c r="X1318">
        <v>5.9851000000000001</v>
      </c>
      <c r="Y1318">
        <v>0.15855</v>
      </c>
      <c r="Z1318">
        <v>55.465350000000001</v>
      </c>
      <c r="AA1318">
        <v>10</v>
      </c>
      <c r="AB1318">
        <v>0.47</v>
      </c>
      <c r="AC1318">
        <v>217</v>
      </c>
      <c r="AD1318">
        <v>0</v>
      </c>
    </row>
    <row r="1319" spans="1:30" x14ac:dyDescent="0.55000000000000004">
      <c r="A1319">
        <v>110646</v>
      </c>
      <c r="B1319" s="19">
        <v>43629</v>
      </c>
      <c r="C1319">
        <v>1640</v>
      </c>
      <c r="D1319">
        <v>2019</v>
      </c>
      <c r="E1319">
        <v>25</v>
      </c>
      <c r="F1319">
        <v>591</v>
      </c>
      <c r="G1319">
        <v>1</v>
      </c>
      <c r="H1319">
        <v>174</v>
      </c>
      <c r="I1319">
        <v>3</v>
      </c>
      <c r="J1319">
        <v>4631.5200000000004</v>
      </c>
      <c r="K1319">
        <v>8443.06</v>
      </c>
      <c r="L1319">
        <v>4631.75</v>
      </c>
      <c r="M1319">
        <v>8442.67</v>
      </c>
      <c r="N1319">
        <v>46.525300000000001</v>
      </c>
      <c r="O1319">
        <v>-84.717699999999994</v>
      </c>
      <c r="P1319">
        <v>46.529200000000003</v>
      </c>
      <c r="Q1319">
        <v>-84.711200000000005</v>
      </c>
      <c r="R1319">
        <v>5117.9945829999997</v>
      </c>
      <c r="S1319">
        <v>45.6</v>
      </c>
      <c r="T1319">
        <v>43.6</v>
      </c>
      <c r="U1319">
        <v>0.5</v>
      </c>
      <c r="V1319">
        <v>2</v>
      </c>
      <c r="W1319">
        <v>6.4</v>
      </c>
      <c r="X1319">
        <v>5.9851000000000001</v>
      </c>
      <c r="Y1319">
        <v>0.15855</v>
      </c>
      <c r="Z1319">
        <v>55.465350000000001</v>
      </c>
      <c r="AA1319">
        <v>10</v>
      </c>
      <c r="AB1319">
        <v>0.47</v>
      </c>
      <c r="AC1319">
        <v>217</v>
      </c>
      <c r="AD1319">
        <v>4</v>
      </c>
    </row>
    <row r="1320" spans="1:30" x14ac:dyDescent="0.55000000000000004">
      <c r="A1320">
        <v>110649</v>
      </c>
      <c r="B1320" s="19">
        <v>43631</v>
      </c>
      <c r="C1320">
        <v>1012</v>
      </c>
      <c r="D1320">
        <v>2019</v>
      </c>
      <c r="E1320">
        <v>25</v>
      </c>
      <c r="F1320">
        <v>592</v>
      </c>
      <c r="G1320">
        <v>1</v>
      </c>
      <c r="H1320">
        <v>460</v>
      </c>
      <c r="I1320">
        <v>3</v>
      </c>
      <c r="J1320">
        <v>4639.96</v>
      </c>
      <c r="K1320">
        <v>8434.4699999999993</v>
      </c>
      <c r="L1320">
        <v>4640.24</v>
      </c>
      <c r="M1320">
        <v>8434.2000000000007</v>
      </c>
      <c r="N1320">
        <v>46.665999999999997</v>
      </c>
      <c r="O1320">
        <v>-84.5745</v>
      </c>
      <c r="P1320">
        <v>46.670699999999997</v>
      </c>
      <c r="Q1320">
        <v>-84.57</v>
      </c>
      <c r="R1320">
        <v>632.35152389999996</v>
      </c>
      <c r="S1320">
        <v>50.3</v>
      </c>
      <c r="T1320">
        <v>35.700000000000003</v>
      </c>
      <c r="U1320">
        <v>0.5</v>
      </c>
      <c r="V1320">
        <v>2</v>
      </c>
      <c r="W1320">
        <v>9</v>
      </c>
      <c r="X1320">
        <v>8.1213999999999995</v>
      </c>
      <c r="Y1320">
        <v>0.44750000000000001</v>
      </c>
      <c r="Z1320">
        <v>82.637600000000006</v>
      </c>
      <c r="AA1320">
        <v>10</v>
      </c>
      <c r="AB1320">
        <v>0.44</v>
      </c>
      <c r="AC1320">
        <v>217</v>
      </c>
      <c r="AD1320">
        <v>7</v>
      </c>
    </row>
    <row r="1321" spans="1:30" x14ac:dyDescent="0.55000000000000004">
      <c r="A1321">
        <v>110650</v>
      </c>
      <c r="B1321" s="19">
        <v>43631</v>
      </c>
      <c r="C1321">
        <v>1012</v>
      </c>
      <c r="D1321">
        <v>2019</v>
      </c>
      <c r="E1321">
        <v>25</v>
      </c>
      <c r="F1321">
        <v>593</v>
      </c>
      <c r="G1321">
        <v>1</v>
      </c>
      <c r="H1321">
        <v>460</v>
      </c>
      <c r="I1321">
        <v>3</v>
      </c>
      <c r="J1321">
        <v>4639.96</v>
      </c>
      <c r="K1321">
        <v>8434.4699999999993</v>
      </c>
      <c r="L1321">
        <v>4640.24</v>
      </c>
      <c r="M1321">
        <v>8434.2000000000007</v>
      </c>
      <c r="N1321">
        <v>46.665999999999997</v>
      </c>
      <c r="O1321">
        <v>-84.5745</v>
      </c>
      <c r="P1321">
        <v>46.670699999999997</v>
      </c>
      <c r="Q1321">
        <v>-84.57</v>
      </c>
      <c r="R1321">
        <v>632.35152389999996</v>
      </c>
      <c r="S1321">
        <v>50.3</v>
      </c>
      <c r="T1321">
        <v>35.700000000000003</v>
      </c>
      <c r="U1321">
        <v>0.5</v>
      </c>
      <c r="V1321">
        <v>2</v>
      </c>
      <c r="W1321">
        <v>9</v>
      </c>
      <c r="X1321">
        <v>8.1213999999999995</v>
      </c>
      <c r="Y1321">
        <v>0.44750000000000001</v>
      </c>
      <c r="Z1321">
        <v>82.637600000000006</v>
      </c>
      <c r="AA1321">
        <v>10</v>
      </c>
      <c r="AB1321">
        <v>0.44</v>
      </c>
      <c r="AC1321">
        <v>217</v>
      </c>
      <c r="AD1321">
        <v>8</v>
      </c>
    </row>
    <row r="1322" spans="1:30" x14ac:dyDescent="0.55000000000000004">
      <c r="A1322">
        <v>110651</v>
      </c>
      <c r="B1322" s="19">
        <v>43631</v>
      </c>
      <c r="C1322">
        <v>1231</v>
      </c>
      <c r="D1322">
        <v>2019</v>
      </c>
      <c r="E1322">
        <v>25</v>
      </c>
      <c r="F1322">
        <v>594</v>
      </c>
      <c r="G1322">
        <v>1</v>
      </c>
      <c r="H1322">
        <v>459</v>
      </c>
      <c r="I1322">
        <v>3</v>
      </c>
      <c r="J1322">
        <v>4646.32</v>
      </c>
      <c r="K1322">
        <v>8435.6200000000008</v>
      </c>
      <c r="L1322">
        <v>4646.18</v>
      </c>
      <c r="M1322">
        <v>8436.18</v>
      </c>
      <c r="N1322">
        <v>46.771999999999998</v>
      </c>
      <c r="O1322">
        <v>-84.593699999999998</v>
      </c>
      <c r="P1322">
        <v>46.7697</v>
      </c>
      <c r="Q1322">
        <v>-84.602999999999994</v>
      </c>
      <c r="R1322">
        <v>2748.0519340000001</v>
      </c>
      <c r="S1322">
        <v>18.3</v>
      </c>
      <c r="T1322">
        <v>29.8</v>
      </c>
      <c r="U1322">
        <v>0.5</v>
      </c>
      <c r="V1322">
        <v>2</v>
      </c>
      <c r="W1322">
        <v>9.5</v>
      </c>
      <c r="X1322">
        <v>8.8745999999999992</v>
      </c>
      <c r="Y1322">
        <v>0.11119999999999999</v>
      </c>
      <c r="Z1322">
        <v>50.396599999999999</v>
      </c>
      <c r="AA1322">
        <v>10</v>
      </c>
      <c r="AB1322">
        <v>0.43</v>
      </c>
      <c r="AC1322">
        <v>217</v>
      </c>
      <c r="AD1322">
        <v>6</v>
      </c>
    </row>
    <row r="1323" spans="1:30" x14ac:dyDescent="0.55000000000000004">
      <c r="A1323">
        <v>110652</v>
      </c>
      <c r="B1323" s="19">
        <v>43631</v>
      </c>
      <c r="C1323">
        <v>1231</v>
      </c>
      <c r="D1323">
        <v>2019</v>
      </c>
      <c r="E1323">
        <v>25</v>
      </c>
      <c r="F1323">
        <v>595</v>
      </c>
      <c r="G1323">
        <v>1</v>
      </c>
      <c r="H1323">
        <v>459</v>
      </c>
      <c r="I1323">
        <v>3</v>
      </c>
      <c r="J1323">
        <v>4646.32</v>
      </c>
      <c r="K1323">
        <v>8435.6200000000008</v>
      </c>
      <c r="L1323">
        <v>4646.18</v>
      </c>
      <c r="M1323">
        <v>8436.18</v>
      </c>
      <c r="N1323">
        <v>46.771999999999998</v>
      </c>
      <c r="O1323">
        <v>-84.593699999999998</v>
      </c>
      <c r="P1323">
        <v>46.7697</v>
      </c>
      <c r="Q1323">
        <v>-84.602999999999994</v>
      </c>
      <c r="R1323">
        <v>2748.0519340000001</v>
      </c>
      <c r="S1323">
        <v>18.3</v>
      </c>
      <c r="T1323">
        <v>29.8</v>
      </c>
      <c r="U1323">
        <v>0.5</v>
      </c>
      <c r="V1323">
        <v>2</v>
      </c>
      <c r="W1323">
        <v>9.5</v>
      </c>
      <c r="X1323">
        <v>8.8745999999999992</v>
      </c>
      <c r="Y1323">
        <v>0.11119999999999999</v>
      </c>
      <c r="Z1323">
        <v>50.396599999999999</v>
      </c>
      <c r="AA1323">
        <v>10</v>
      </c>
      <c r="AB1323">
        <v>0.43</v>
      </c>
      <c r="AC1323">
        <v>217</v>
      </c>
      <c r="AD1323">
        <v>0</v>
      </c>
    </row>
    <row r="1324" spans="1:30" x14ac:dyDescent="0.55000000000000004">
      <c r="A1324">
        <v>110653</v>
      </c>
      <c r="B1324" s="19">
        <v>43631</v>
      </c>
      <c r="C1324">
        <v>1509</v>
      </c>
      <c r="D1324">
        <v>2019</v>
      </c>
      <c r="E1324">
        <v>25</v>
      </c>
      <c r="F1324">
        <v>596</v>
      </c>
      <c r="G1324">
        <v>1</v>
      </c>
      <c r="H1324">
        <v>461</v>
      </c>
      <c r="I1324">
        <v>3</v>
      </c>
      <c r="J1324">
        <v>4656.71</v>
      </c>
      <c r="K1324">
        <v>8443.64</v>
      </c>
      <c r="L1324">
        <v>4656.26</v>
      </c>
      <c r="M1324">
        <v>8443.65</v>
      </c>
      <c r="N1324">
        <v>46.9452</v>
      </c>
      <c r="O1324">
        <v>-84.7273</v>
      </c>
      <c r="P1324">
        <v>46.9377</v>
      </c>
      <c r="Q1324">
        <v>-84.727500000000006</v>
      </c>
      <c r="R1324">
        <v>740.19289609999998</v>
      </c>
      <c r="S1324">
        <v>39</v>
      </c>
      <c r="T1324">
        <v>68.5</v>
      </c>
      <c r="U1324">
        <v>0.5</v>
      </c>
      <c r="V1324">
        <v>2</v>
      </c>
      <c r="W1324">
        <v>6.6</v>
      </c>
      <c r="X1324">
        <v>5.9480500000000003</v>
      </c>
      <c r="Y1324">
        <v>0.13905000000000001</v>
      </c>
      <c r="Z1324">
        <v>65.441800000000001</v>
      </c>
      <c r="AA1324">
        <v>10</v>
      </c>
      <c r="AB1324">
        <v>0.43</v>
      </c>
      <c r="AC1324">
        <v>217</v>
      </c>
      <c r="AD1324">
        <v>11</v>
      </c>
    </row>
    <row r="1325" spans="1:30" x14ac:dyDescent="0.55000000000000004">
      <c r="A1325">
        <v>110654</v>
      </c>
      <c r="B1325" s="19">
        <v>43631</v>
      </c>
      <c r="C1325">
        <v>1509</v>
      </c>
      <c r="D1325">
        <v>2019</v>
      </c>
      <c r="E1325">
        <v>25</v>
      </c>
      <c r="F1325">
        <v>597</v>
      </c>
      <c r="G1325">
        <v>1</v>
      </c>
      <c r="H1325">
        <v>461</v>
      </c>
      <c r="I1325">
        <v>3</v>
      </c>
      <c r="J1325">
        <v>4656.71</v>
      </c>
      <c r="K1325">
        <v>8443.64</v>
      </c>
      <c r="L1325">
        <v>4656.26</v>
      </c>
      <c r="M1325">
        <v>8443.65</v>
      </c>
      <c r="N1325">
        <v>46.9452</v>
      </c>
      <c r="O1325">
        <v>-84.7273</v>
      </c>
      <c r="P1325">
        <v>46.9377</v>
      </c>
      <c r="Q1325">
        <v>-84.727500000000006</v>
      </c>
      <c r="R1325">
        <v>740.19289609999998</v>
      </c>
      <c r="S1325">
        <v>39</v>
      </c>
      <c r="T1325">
        <v>68.5</v>
      </c>
      <c r="U1325">
        <v>0.5</v>
      </c>
      <c r="V1325">
        <v>2</v>
      </c>
      <c r="W1325">
        <v>6.6</v>
      </c>
      <c r="X1325">
        <v>5.9480500000000003</v>
      </c>
      <c r="Y1325">
        <v>0.13905000000000001</v>
      </c>
      <c r="Z1325">
        <v>65.441800000000001</v>
      </c>
      <c r="AA1325">
        <v>10</v>
      </c>
      <c r="AB1325">
        <v>0.43</v>
      </c>
      <c r="AC1325">
        <v>217</v>
      </c>
      <c r="AD1325">
        <v>6</v>
      </c>
    </row>
    <row r="1326" spans="1:30" x14ac:dyDescent="0.55000000000000004">
      <c r="A1326">
        <v>110656</v>
      </c>
      <c r="B1326" s="19">
        <v>43631</v>
      </c>
      <c r="C1326">
        <v>1735</v>
      </c>
      <c r="D1326">
        <v>2019</v>
      </c>
      <c r="E1326">
        <v>25</v>
      </c>
      <c r="F1326">
        <v>598</v>
      </c>
      <c r="G1326">
        <v>1</v>
      </c>
      <c r="H1326">
        <v>457</v>
      </c>
      <c r="I1326">
        <v>3</v>
      </c>
      <c r="J1326">
        <v>4709.46</v>
      </c>
      <c r="K1326">
        <v>8443.11</v>
      </c>
      <c r="L1326">
        <v>4709.67</v>
      </c>
      <c r="M1326">
        <v>8442.61</v>
      </c>
      <c r="N1326">
        <v>47.157699999999998</v>
      </c>
      <c r="O1326">
        <v>-84.718500000000006</v>
      </c>
      <c r="P1326">
        <v>47.161200000000001</v>
      </c>
      <c r="Q1326">
        <v>-84.7102</v>
      </c>
      <c r="R1326">
        <v>404.23685260000002</v>
      </c>
      <c r="S1326">
        <v>97.5</v>
      </c>
      <c r="T1326">
        <v>55.1</v>
      </c>
      <c r="U1326">
        <v>0.5</v>
      </c>
      <c r="V1326">
        <v>2</v>
      </c>
      <c r="W1326">
        <v>4.3</v>
      </c>
      <c r="X1326">
        <v>3.4695</v>
      </c>
      <c r="Y1326">
        <v>0.21104999999999999</v>
      </c>
      <c r="Z1326">
        <v>92.156949999999995</v>
      </c>
      <c r="AA1326">
        <v>10</v>
      </c>
      <c r="AB1326">
        <v>0.42</v>
      </c>
      <c r="AC1326">
        <v>217</v>
      </c>
      <c r="AD1326">
        <v>6</v>
      </c>
    </row>
    <row r="1327" spans="1:30" x14ac:dyDescent="0.55000000000000004">
      <c r="A1327">
        <v>110657</v>
      </c>
      <c r="B1327" s="19">
        <v>43631</v>
      </c>
      <c r="C1327">
        <v>1735</v>
      </c>
      <c r="D1327">
        <v>2019</v>
      </c>
      <c r="E1327">
        <v>25</v>
      </c>
      <c r="F1327">
        <v>599</v>
      </c>
      <c r="G1327">
        <v>1</v>
      </c>
      <c r="H1327">
        <v>457</v>
      </c>
      <c r="I1327">
        <v>3</v>
      </c>
      <c r="J1327">
        <v>4709.46</v>
      </c>
      <c r="K1327">
        <v>8443.11</v>
      </c>
      <c r="L1327">
        <v>4709.67</v>
      </c>
      <c r="M1327">
        <v>8442.61</v>
      </c>
      <c r="N1327">
        <v>47.157699999999998</v>
      </c>
      <c r="O1327">
        <v>-84.718500000000006</v>
      </c>
      <c r="P1327">
        <v>47.161200000000001</v>
      </c>
      <c r="Q1327">
        <v>-84.7102</v>
      </c>
      <c r="R1327">
        <v>404.23685260000002</v>
      </c>
      <c r="S1327">
        <v>97.5</v>
      </c>
      <c r="T1327">
        <v>55.1</v>
      </c>
      <c r="U1327">
        <v>0.5</v>
      </c>
      <c r="V1327">
        <v>2</v>
      </c>
      <c r="W1327">
        <v>4.3</v>
      </c>
      <c r="X1327">
        <v>3.4695</v>
      </c>
      <c r="Y1327">
        <v>0.21104999999999999</v>
      </c>
      <c r="Z1327">
        <v>92.156949999999995</v>
      </c>
      <c r="AA1327">
        <v>10</v>
      </c>
      <c r="AB1327">
        <v>0.42</v>
      </c>
      <c r="AC1327">
        <v>217</v>
      </c>
      <c r="AD1327">
        <v>2</v>
      </c>
    </row>
    <row r="1328" spans="1:30" x14ac:dyDescent="0.55000000000000004">
      <c r="A1328">
        <v>110658</v>
      </c>
      <c r="B1328" s="19">
        <v>43632</v>
      </c>
      <c r="C1328">
        <v>743</v>
      </c>
      <c r="D1328">
        <v>2019</v>
      </c>
      <c r="E1328">
        <v>25</v>
      </c>
      <c r="F1328">
        <v>600</v>
      </c>
      <c r="G1328">
        <v>1</v>
      </c>
      <c r="H1328">
        <v>456</v>
      </c>
      <c r="I1328">
        <v>3</v>
      </c>
      <c r="J1328">
        <v>4719.04</v>
      </c>
      <c r="K1328">
        <v>8438.69</v>
      </c>
      <c r="L1328">
        <v>4718.8599999999997</v>
      </c>
      <c r="M1328">
        <v>8439.25</v>
      </c>
      <c r="N1328">
        <v>47.317300000000003</v>
      </c>
      <c r="O1328">
        <v>-84.644800000000004</v>
      </c>
      <c r="P1328">
        <v>47.314300000000003</v>
      </c>
      <c r="Q1328">
        <v>-84.654200000000003</v>
      </c>
      <c r="R1328">
        <v>2445.814742</v>
      </c>
      <c r="S1328">
        <v>24.5</v>
      </c>
      <c r="T1328">
        <v>48.2</v>
      </c>
      <c r="U1328">
        <v>0.5</v>
      </c>
      <c r="V1328">
        <v>2</v>
      </c>
      <c r="W1328">
        <v>4.8</v>
      </c>
      <c r="X1328">
        <v>4.0374999999999996</v>
      </c>
      <c r="Y1328">
        <v>0.25719999999999998</v>
      </c>
      <c r="Z1328">
        <v>92.135800000000003</v>
      </c>
      <c r="AA1328">
        <v>10</v>
      </c>
      <c r="AB1328">
        <v>0.43</v>
      </c>
      <c r="AC1328">
        <v>217</v>
      </c>
      <c r="AD1328">
        <v>27</v>
      </c>
    </row>
    <row r="1329" spans="1:30" x14ac:dyDescent="0.55000000000000004">
      <c r="A1329">
        <v>110659</v>
      </c>
      <c r="B1329" s="19">
        <v>43632</v>
      </c>
      <c r="C1329">
        <v>743</v>
      </c>
      <c r="D1329">
        <v>2019</v>
      </c>
      <c r="E1329">
        <v>25</v>
      </c>
      <c r="F1329">
        <v>601</v>
      </c>
      <c r="G1329">
        <v>1</v>
      </c>
      <c r="H1329">
        <v>456</v>
      </c>
      <c r="I1329">
        <v>3</v>
      </c>
      <c r="J1329">
        <v>4719.04</v>
      </c>
      <c r="K1329">
        <v>8438.69</v>
      </c>
      <c r="L1329">
        <v>4718.8599999999997</v>
      </c>
      <c r="M1329">
        <v>8439.25</v>
      </c>
      <c r="N1329">
        <v>47.317300000000003</v>
      </c>
      <c r="O1329">
        <v>-84.644800000000004</v>
      </c>
      <c r="P1329">
        <v>47.314300000000003</v>
      </c>
      <c r="Q1329">
        <v>-84.654200000000003</v>
      </c>
      <c r="R1329">
        <v>2445.814742</v>
      </c>
      <c r="S1329">
        <v>24.5</v>
      </c>
      <c r="T1329">
        <v>48.2</v>
      </c>
      <c r="U1329">
        <v>0.5</v>
      </c>
      <c r="V1329">
        <v>2</v>
      </c>
      <c r="W1329">
        <v>4.8</v>
      </c>
      <c r="X1329">
        <v>4.0374999999999996</v>
      </c>
      <c r="Y1329">
        <v>0.25719999999999998</v>
      </c>
      <c r="Z1329">
        <v>92.135800000000003</v>
      </c>
      <c r="AA1329">
        <v>10</v>
      </c>
      <c r="AB1329">
        <v>0.43</v>
      </c>
      <c r="AC1329">
        <v>217</v>
      </c>
      <c r="AD1329">
        <v>22</v>
      </c>
    </row>
    <row r="1330" spans="1:30" x14ac:dyDescent="0.55000000000000004">
      <c r="A1330">
        <v>110662</v>
      </c>
      <c r="B1330" s="19">
        <v>43632</v>
      </c>
      <c r="C1330">
        <v>1048</v>
      </c>
      <c r="D1330">
        <v>2019</v>
      </c>
      <c r="E1330">
        <v>25</v>
      </c>
      <c r="F1330">
        <v>602</v>
      </c>
      <c r="G1330">
        <v>1</v>
      </c>
      <c r="H1330">
        <v>455</v>
      </c>
      <c r="I1330">
        <v>3</v>
      </c>
      <c r="J1330">
        <v>4733.21</v>
      </c>
      <c r="K1330">
        <v>8457.48</v>
      </c>
      <c r="L1330">
        <v>4733.0200000000004</v>
      </c>
      <c r="M1330">
        <v>8458.0400000000009</v>
      </c>
      <c r="N1330">
        <v>47.5535</v>
      </c>
      <c r="O1330">
        <v>-84.957999999999998</v>
      </c>
      <c r="P1330">
        <v>47.5503</v>
      </c>
      <c r="Q1330">
        <v>-84.967299999999994</v>
      </c>
      <c r="R1330">
        <v>505.07846460000002</v>
      </c>
      <c r="S1330">
        <v>23.5</v>
      </c>
      <c r="T1330">
        <v>78.7</v>
      </c>
      <c r="U1330">
        <v>0.5</v>
      </c>
      <c r="V1330">
        <v>2</v>
      </c>
      <c r="W1330">
        <v>4</v>
      </c>
      <c r="X1330">
        <v>2.9315000000000002</v>
      </c>
      <c r="Y1330">
        <v>0.15865000000000001</v>
      </c>
      <c r="Z1330">
        <v>89.377899999999997</v>
      </c>
      <c r="AA1330">
        <v>10</v>
      </c>
      <c r="AB1330">
        <v>0.43</v>
      </c>
      <c r="AC1330">
        <v>217</v>
      </c>
      <c r="AD1330">
        <v>0</v>
      </c>
    </row>
    <row r="1331" spans="1:30" x14ac:dyDescent="0.55000000000000004">
      <c r="A1331">
        <v>110663</v>
      </c>
      <c r="B1331" s="19">
        <v>43632</v>
      </c>
      <c r="C1331">
        <v>1048</v>
      </c>
      <c r="D1331">
        <v>2019</v>
      </c>
      <c r="E1331">
        <v>25</v>
      </c>
      <c r="F1331">
        <v>603</v>
      </c>
      <c r="G1331">
        <v>1</v>
      </c>
      <c r="H1331">
        <v>455</v>
      </c>
      <c r="I1331">
        <v>3</v>
      </c>
      <c r="J1331">
        <v>4733.21</v>
      </c>
      <c r="K1331">
        <v>8457.48</v>
      </c>
      <c r="L1331">
        <v>4733.0200000000004</v>
      </c>
      <c r="M1331">
        <v>8458.0400000000009</v>
      </c>
      <c r="N1331">
        <v>47.5535</v>
      </c>
      <c r="O1331">
        <v>-84.957999999999998</v>
      </c>
      <c r="P1331">
        <v>47.5503</v>
      </c>
      <c r="Q1331">
        <v>-84.967299999999994</v>
      </c>
      <c r="R1331">
        <v>505.07846460000002</v>
      </c>
      <c r="S1331">
        <v>23.5</v>
      </c>
      <c r="T1331">
        <v>78.7</v>
      </c>
      <c r="U1331">
        <v>0.5</v>
      </c>
      <c r="V1331">
        <v>2</v>
      </c>
      <c r="W1331">
        <v>4</v>
      </c>
      <c r="X1331">
        <v>2.9315000000000002</v>
      </c>
      <c r="Y1331">
        <v>0.15865000000000001</v>
      </c>
      <c r="Z1331">
        <v>89.377899999999997</v>
      </c>
      <c r="AA1331">
        <v>10</v>
      </c>
      <c r="AB1331">
        <v>0.43</v>
      </c>
      <c r="AC1331">
        <v>217</v>
      </c>
      <c r="AD1331">
        <v>0</v>
      </c>
    </row>
    <row r="1332" spans="1:30" x14ac:dyDescent="0.55000000000000004">
      <c r="A1332">
        <v>110664</v>
      </c>
      <c r="B1332" s="19">
        <v>43632</v>
      </c>
      <c r="C1332">
        <v>1240</v>
      </c>
      <c r="D1332">
        <v>2019</v>
      </c>
      <c r="E1332">
        <v>25</v>
      </c>
      <c r="F1332">
        <v>604</v>
      </c>
      <c r="G1332">
        <v>1</v>
      </c>
      <c r="H1332">
        <v>454</v>
      </c>
      <c r="I1332">
        <v>3</v>
      </c>
      <c r="J1332">
        <v>4740.12</v>
      </c>
      <c r="K1332">
        <v>8459.75</v>
      </c>
      <c r="L1332">
        <v>4740.37</v>
      </c>
      <c r="M1332">
        <v>8459.3700000000008</v>
      </c>
      <c r="N1332">
        <v>47.668700000000001</v>
      </c>
      <c r="O1332">
        <v>-84.995800000000003</v>
      </c>
      <c r="P1332">
        <v>47.672800000000002</v>
      </c>
      <c r="Q1332">
        <v>-84.989500000000007</v>
      </c>
      <c r="R1332">
        <v>392.59048360000003</v>
      </c>
      <c r="S1332">
        <v>58.7</v>
      </c>
      <c r="T1332">
        <v>65.8</v>
      </c>
      <c r="U1332">
        <v>0.5</v>
      </c>
      <c r="V1332">
        <v>2</v>
      </c>
      <c r="W1332">
        <v>4.9000000000000004</v>
      </c>
      <c r="X1332">
        <v>3.5667499999999999</v>
      </c>
      <c r="Y1332">
        <v>0.1424</v>
      </c>
      <c r="Z1332">
        <v>66.969549999999998</v>
      </c>
      <c r="AA1332">
        <v>10</v>
      </c>
      <c r="AB1332">
        <v>0.42</v>
      </c>
      <c r="AC1332">
        <v>217</v>
      </c>
      <c r="AD1332">
        <v>0</v>
      </c>
    </row>
    <row r="1333" spans="1:30" x14ac:dyDescent="0.55000000000000004">
      <c r="A1333">
        <v>110665</v>
      </c>
      <c r="B1333" s="19">
        <v>43632</v>
      </c>
      <c r="C1333">
        <v>1240</v>
      </c>
      <c r="D1333">
        <v>2019</v>
      </c>
      <c r="E1333">
        <v>25</v>
      </c>
      <c r="F1333">
        <v>605</v>
      </c>
      <c r="G1333">
        <v>1</v>
      </c>
      <c r="H1333">
        <v>454</v>
      </c>
      <c r="I1333">
        <v>3</v>
      </c>
      <c r="J1333">
        <v>4740.12</v>
      </c>
      <c r="K1333">
        <v>8459.75</v>
      </c>
      <c r="L1333">
        <v>4740.37</v>
      </c>
      <c r="M1333">
        <v>8459.3700000000008</v>
      </c>
      <c r="N1333">
        <v>47.668700000000001</v>
      </c>
      <c r="O1333">
        <v>-84.995800000000003</v>
      </c>
      <c r="P1333">
        <v>47.672800000000002</v>
      </c>
      <c r="Q1333">
        <v>-84.989500000000007</v>
      </c>
      <c r="R1333">
        <v>392.59048360000003</v>
      </c>
      <c r="S1333">
        <v>58.7</v>
      </c>
      <c r="T1333">
        <v>65.8</v>
      </c>
      <c r="U1333">
        <v>0.5</v>
      </c>
      <c r="V1333">
        <v>2</v>
      </c>
      <c r="W1333">
        <v>4.9000000000000004</v>
      </c>
      <c r="X1333">
        <v>3.5667499999999999</v>
      </c>
      <c r="Y1333">
        <v>0.1424</v>
      </c>
      <c r="Z1333">
        <v>66.969549999999998</v>
      </c>
      <c r="AA1333">
        <v>10</v>
      </c>
      <c r="AB1333">
        <v>0.42</v>
      </c>
      <c r="AC1333">
        <v>217</v>
      </c>
      <c r="AD1333">
        <v>0</v>
      </c>
    </row>
    <row r="1334" spans="1:30" x14ac:dyDescent="0.55000000000000004">
      <c r="A1334">
        <v>110669</v>
      </c>
      <c r="B1334" s="19">
        <v>43632</v>
      </c>
      <c r="C1334">
        <v>1544</v>
      </c>
      <c r="D1334">
        <v>2019</v>
      </c>
      <c r="E1334">
        <v>25</v>
      </c>
      <c r="F1334">
        <v>606</v>
      </c>
      <c r="G1334">
        <v>1</v>
      </c>
      <c r="H1334">
        <v>451</v>
      </c>
      <c r="I1334">
        <v>3</v>
      </c>
      <c r="J1334">
        <v>4756.83</v>
      </c>
      <c r="K1334">
        <v>8511.1200000000008</v>
      </c>
      <c r="L1334">
        <v>4756.46</v>
      </c>
      <c r="M1334">
        <v>8510.9699999999993</v>
      </c>
      <c r="N1334">
        <v>47.947200000000002</v>
      </c>
      <c r="O1334">
        <v>-85.185299999999998</v>
      </c>
      <c r="P1334">
        <v>47.941000000000003</v>
      </c>
      <c r="Q1334">
        <v>-85.1828</v>
      </c>
      <c r="R1334">
        <v>1060.3185840000001</v>
      </c>
      <c r="S1334">
        <v>17.2</v>
      </c>
      <c r="T1334">
        <v>35.9</v>
      </c>
      <c r="U1334">
        <v>0.5</v>
      </c>
      <c r="V1334">
        <v>2</v>
      </c>
      <c r="W1334">
        <v>6.1</v>
      </c>
      <c r="X1334">
        <v>4.4661499999999998</v>
      </c>
      <c r="Y1334">
        <v>0.24279999999999999</v>
      </c>
      <c r="Z1334">
        <v>91.844300000000004</v>
      </c>
      <c r="AA1334">
        <v>10</v>
      </c>
      <c r="AB1334">
        <v>0.42</v>
      </c>
      <c r="AC1334">
        <v>217</v>
      </c>
      <c r="AD1334">
        <v>4</v>
      </c>
    </row>
    <row r="1335" spans="1:30" x14ac:dyDescent="0.55000000000000004">
      <c r="A1335">
        <v>110670</v>
      </c>
      <c r="B1335" s="19">
        <v>43632</v>
      </c>
      <c r="C1335">
        <v>1544</v>
      </c>
      <c r="D1335">
        <v>2019</v>
      </c>
      <c r="E1335">
        <v>25</v>
      </c>
      <c r="F1335">
        <v>607</v>
      </c>
      <c r="G1335">
        <v>1</v>
      </c>
      <c r="H1335">
        <v>451</v>
      </c>
      <c r="I1335">
        <v>3</v>
      </c>
      <c r="J1335">
        <v>4756.83</v>
      </c>
      <c r="K1335">
        <v>8511.1200000000008</v>
      </c>
      <c r="L1335">
        <v>4756.46</v>
      </c>
      <c r="M1335">
        <v>8510.9699999999993</v>
      </c>
      <c r="N1335">
        <v>47.947200000000002</v>
      </c>
      <c r="O1335">
        <v>-85.185299999999998</v>
      </c>
      <c r="P1335">
        <v>47.941000000000003</v>
      </c>
      <c r="Q1335">
        <v>-85.1828</v>
      </c>
      <c r="R1335">
        <v>1060.3185840000001</v>
      </c>
      <c r="S1335">
        <v>17.2</v>
      </c>
      <c r="T1335">
        <v>35.9</v>
      </c>
      <c r="U1335">
        <v>0.5</v>
      </c>
      <c r="V1335">
        <v>2</v>
      </c>
      <c r="W1335">
        <v>6.1</v>
      </c>
      <c r="X1335">
        <v>4.4661499999999998</v>
      </c>
      <c r="Y1335">
        <v>0.24279999999999999</v>
      </c>
      <c r="Z1335">
        <v>91.844300000000004</v>
      </c>
      <c r="AA1335">
        <v>10</v>
      </c>
      <c r="AB1335">
        <v>0.42</v>
      </c>
      <c r="AC1335">
        <v>217</v>
      </c>
      <c r="AD1335">
        <v>5</v>
      </c>
    </row>
    <row r="1336" spans="1:30" x14ac:dyDescent="0.55000000000000004">
      <c r="A1336">
        <v>110671</v>
      </c>
      <c r="B1336" s="19">
        <v>43632</v>
      </c>
      <c r="C1336">
        <v>1758</v>
      </c>
      <c r="D1336">
        <v>2019</v>
      </c>
      <c r="E1336">
        <v>25</v>
      </c>
      <c r="F1336">
        <v>608</v>
      </c>
      <c r="G1336">
        <v>1</v>
      </c>
      <c r="H1336">
        <v>462</v>
      </c>
      <c r="I1336">
        <v>3</v>
      </c>
      <c r="J1336">
        <v>4757.1899999999996</v>
      </c>
      <c r="K1336">
        <v>8456.86</v>
      </c>
      <c r="L1336">
        <v>4756.78</v>
      </c>
      <c r="M1336">
        <v>8456.75</v>
      </c>
      <c r="N1336">
        <v>47.953200000000002</v>
      </c>
      <c r="O1336">
        <v>-84.947699999999998</v>
      </c>
      <c r="P1336">
        <v>47.946300000000001</v>
      </c>
      <c r="Q1336">
        <v>-84.945800000000006</v>
      </c>
      <c r="R1336">
        <v>898.44834530000003</v>
      </c>
      <c r="S1336">
        <v>21.9</v>
      </c>
      <c r="T1336">
        <v>107</v>
      </c>
      <c r="U1336">
        <v>0.5</v>
      </c>
      <c r="V1336">
        <v>2</v>
      </c>
      <c r="W1336">
        <v>4.5999999999999996</v>
      </c>
      <c r="X1336">
        <v>3.2372000000000001</v>
      </c>
      <c r="Y1336">
        <v>0.23655000000000001</v>
      </c>
      <c r="Z1336">
        <v>82.499849999999995</v>
      </c>
      <c r="AA1336">
        <v>10</v>
      </c>
      <c r="AB1336">
        <v>0.45</v>
      </c>
      <c r="AC1336">
        <v>217</v>
      </c>
      <c r="AD1336">
        <v>0</v>
      </c>
    </row>
    <row r="1337" spans="1:30" x14ac:dyDescent="0.55000000000000004">
      <c r="A1337">
        <v>110672</v>
      </c>
      <c r="B1337" s="19">
        <v>43632</v>
      </c>
      <c r="C1337">
        <v>1758</v>
      </c>
      <c r="D1337">
        <v>2019</v>
      </c>
      <c r="E1337">
        <v>25</v>
      </c>
      <c r="F1337">
        <v>609</v>
      </c>
      <c r="G1337">
        <v>1</v>
      </c>
      <c r="H1337">
        <v>462</v>
      </c>
      <c r="I1337">
        <v>3</v>
      </c>
      <c r="J1337">
        <v>4757.1899999999996</v>
      </c>
      <c r="K1337">
        <v>8456.86</v>
      </c>
      <c r="L1337">
        <v>4756.78</v>
      </c>
      <c r="M1337">
        <v>8456.75</v>
      </c>
      <c r="N1337">
        <v>47.953200000000002</v>
      </c>
      <c r="O1337">
        <v>-84.947699999999998</v>
      </c>
      <c r="P1337">
        <v>47.946300000000001</v>
      </c>
      <c r="Q1337">
        <v>-84.945800000000006</v>
      </c>
      <c r="R1337">
        <v>898.44834530000003</v>
      </c>
      <c r="S1337">
        <v>21.9</v>
      </c>
      <c r="T1337">
        <v>107</v>
      </c>
      <c r="U1337">
        <v>0.5</v>
      </c>
      <c r="V1337">
        <v>2</v>
      </c>
      <c r="W1337">
        <v>4.5999999999999996</v>
      </c>
      <c r="X1337">
        <v>3.2372000000000001</v>
      </c>
      <c r="Y1337">
        <v>0.23655000000000001</v>
      </c>
      <c r="Z1337">
        <v>82.499849999999995</v>
      </c>
      <c r="AA1337">
        <v>10</v>
      </c>
      <c r="AB1337">
        <v>0.45</v>
      </c>
      <c r="AC1337">
        <v>217</v>
      </c>
      <c r="AD1337">
        <v>0</v>
      </c>
    </row>
    <row r="1338" spans="1:30" x14ac:dyDescent="0.55000000000000004">
      <c r="A1338">
        <v>110673</v>
      </c>
      <c r="B1338" s="19">
        <v>43633</v>
      </c>
      <c r="C1338">
        <v>934</v>
      </c>
      <c r="D1338">
        <v>2019</v>
      </c>
      <c r="E1338">
        <v>25</v>
      </c>
      <c r="F1338">
        <v>610</v>
      </c>
      <c r="G1338">
        <v>1</v>
      </c>
      <c r="H1338">
        <v>463</v>
      </c>
      <c r="I1338">
        <v>3</v>
      </c>
      <c r="J1338">
        <v>4755.08</v>
      </c>
      <c r="K1338">
        <v>8525.65</v>
      </c>
      <c r="L1338">
        <v>4754.68</v>
      </c>
      <c r="M1338">
        <v>8525.8700000000008</v>
      </c>
      <c r="N1338">
        <v>47.917999999999999</v>
      </c>
      <c r="O1338">
        <v>-85.427499999999995</v>
      </c>
      <c r="P1338">
        <v>47.911299999999997</v>
      </c>
      <c r="Q1338">
        <v>-85.431200000000004</v>
      </c>
      <c r="R1338">
        <v>487.48221030000002</v>
      </c>
      <c r="S1338">
        <v>22.6</v>
      </c>
      <c r="T1338">
        <v>62</v>
      </c>
      <c r="U1338">
        <v>0.5</v>
      </c>
      <c r="V1338">
        <v>2</v>
      </c>
      <c r="W1338">
        <v>4.2</v>
      </c>
      <c r="X1338">
        <v>3.4387500000000002</v>
      </c>
      <c r="Y1338">
        <v>0.156</v>
      </c>
      <c r="Z1338">
        <v>89.588099999999997</v>
      </c>
      <c r="AA1338">
        <v>10</v>
      </c>
      <c r="AB1338">
        <v>0.43</v>
      </c>
      <c r="AC1338">
        <v>217</v>
      </c>
      <c r="AD1338">
        <v>2</v>
      </c>
    </row>
    <row r="1339" spans="1:30" x14ac:dyDescent="0.55000000000000004">
      <c r="A1339">
        <v>110674</v>
      </c>
      <c r="B1339" s="19">
        <v>43633</v>
      </c>
      <c r="C1339">
        <v>934</v>
      </c>
      <c r="D1339">
        <v>2019</v>
      </c>
      <c r="E1339">
        <v>25</v>
      </c>
      <c r="F1339">
        <v>611</v>
      </c>
      <c r="G1339">
        <v>1</v>
      </c>
      <c r="H1339">
        <v>463</v>
      </c>
      <c r="I1339">
        <v>3</v>
      </c>
      <c r="J1339">
        <v>4755.08</v>
      </c>
      <c r="K1339">
        <v>8525.65</v>
      </c>
      <c r="L1339">
        <v>4754.68</v>
      </c>
      <c r="M1339">
        <v>8525.8700000000008</v>
      </c>
      <c r="N1339">
        <v>47.917999999999999</v>
      </c>
      <c r="O1339">
        <v>-85.427499999999995</v>
      </c>
      <c r="P1339">
        <v>47.911299999999997</v>
      </c>
      <c r="Q1339">
        <v>-85.431200000000004</v>
      </c>
      <c r="R1339">
        <v>487.48221030000002</v>
      </c>
      <c r="S1339">
        <v>22.6</v>
      </c>
      <c r="T1339">
        <v>62</v>
      </c>
      <c r="U1339">
        <v>0.5</v>
      </c>
      <c r="V1339">
        <v>2</v>
      </c>
      <c r="W1339">
        <v>4.2</v>
      </c>
      <c r="X1339">
        <v>3.4387500000000002</v>
      </c>
      <c r="Y1339">
        <v>0.156</v>
      </c>
      <c r="Z1339">
        <v>89.588099999999997</v>
      </c>
      <c r="AA1339">
        <v>10</v>
      </c>
      <c r="AB1339">
        <v>0.43</v>
      </c>
      <c r="AC1339">
        <v>217</v>
      </c>
      <c r="AD1339">
        <v>1</v>
      </c>
    </row>
    <row r="1340" spans="1:30" x14ac:dyDescent="0.55000000000000004">
      <c r="A1340">
        <v>110677</v>
      </c>
      <c r="B1340" s="19">
        <v>43633</v>
      </c>
      <c r="C1340">
        <v>1210</v>
      </c>
      <c r="D1340">
        <v>2019</v>
      </c>
      <c r="E1340">
        <v>25</v>
      </c>
      <c r="F1340">
        <v>612</v>
      </c>
      <c r="G1340">
        <v>1</v>
      </c>
      <c r="H1340">
        <v>464</v>
      </c>
      <c r="I1340">
        <v>3</v>
      </c>
      <c r="J1340">
        <v>4757.2700000000004</v>
      </c>
      <c r="K1340">
        <v>8549.25</v>
      </c>
      <c r="L1340">
        <v>4756.83</v>
      </c>
      <c r="M1340">
        <v>8549.15</v>
      </c>
      <c r="N1340">
        <v>47.954500000000003</v>
      </c>
      <c r="O1340">
        <v>-85.820800000000006</v>
      </c>
      <c r="P1340">
        <v>47.947200000000002</v>
      </c>
      <c r="Q1340">
        <v>-85.819199999999995</v>
      </c>
      <c r="R1340">
        <v>368.7667161</v>
      </c>
      <c r="S1340">
        <v>19.2</v>
      </c>
      <c r="T1340">
        <v>77</v>
      </c>
      <c r="U1340">
        <v>0.5</v>
      </c>
      <c r="V1340">
        <v>2</v>
      </c>
      <c r="W1340">
        <v>6.9</v>
      </c>
      <c r="X1340">
        <v>4.7594000000000003</v>
      </c>
      <c r="Y1340">
        <v>0.1336</v>
      </c>
      <c r="Z1340">
        <v>74.465299999999999</v>
      </c>
      <c r="AA1340">
        <v>10</v>
      </c>
      <c r="AB1340">
        <v>0.46</v>
      </c>
      <c r="AC1340">
        <v>217</v>
      </c>
      <c r="AD1340">
        <v>1</v>
      </c>
    </row>
    <row r="1341" spans="1:30" x14ac:dyDescent="0.55000000000000004">
      <c r="A1341">
        <v>110678</v>
      </c>
      <c r="B1341" s="19">
        <v>43633</v>
      </c>
      <c r="C1341">
        <v>1210</v>
      </c>
      <c r="D1341">
        <v>2019</v>
      </c>
      <c r="E1341">
        <v>25</v>
      </c>
      <c r="F1341">
        <v>613</v>
      </c>
      <c r="G1341">
        <v>1</v>
      </c>
      <c r="H1341">
        <v>464</v>
      </c>
      <c r="I1341">
        <v>3</v>
      </c>
      <c r="J1341">
        <v>4757.2700000000004</v>
      </c>
      <c r="K1341">
        <v>8549.25</v>
      </c>
      <c r="L1341">
        <v>4756.83</v>
      </c>
      <c r="M1341">
        <v>8549.15</v>
      </c>
      <c r="N1341">
        <v>47.954500000000003</v>
      </c>
      <c r="O1341">
        <v>-85.820800000000006</v>
      </c>
      <c r="P1341">
        <v>47.947200000000002</v>
      </c>
      <c r="Q1341">
        <v>-85.819199999999995</v>
      </c>
      <c r="R1341">
        <v>368.7667161</v>
      </c>
      <c r="S1341">
        <v>19.2</v>
      </c>
      <c r="T1341">
        <v>77</v>
      </c>
      <c r="U1341">
        <v>0.5</v>
      </c>
      <c r="V1341">
        <v>2</v>
      </c>
      <c r="W1341">
        <v>6.9</v>
      </c>
      <c r="X1341">
        <v>4.7594000000000003</v>
      </c>
      <c r="Y1341">
        <v>0.1336</v>
      </c>
      <c r="Z1341">
        <v>74.465299999999999</v>
      </c>
      <c r="AA1341">
        <v>10</v>
      </c>
      <c r="AB1341">
        <v>0.46</v>
      </c>
      <c r="AC1341">
        <v>217</v>
      </c>
      <c r="AD1341">
        <v>1</v>
      </c>
    </row>
    <row r="1342" spans="1:30" x14ac:dyDescent="0.55000000000000004">
      <c r="A1342">
        <v>110679</v>
      </c>
      <c r="B1342" s="19">
        <v>43633</v>
      </c>
      <c r="C1342">
        <v>1429</v>
      </c>
      <c r="D1342">
        <v>2019</v>
      </c>
      <c r="E1342">
        <v>25</v>
      </c>
      <c r="F1342">
        <v>614</v>
      </c>
      <c r="G1342">
        <v>1</v>
      </c>
      <c r="H1342">
        <v>465</v>
      </c>
      <c r="I1342">
        <v>3</v>
      </c>
      <c r="J1342">
        <v>4807.42</v>
      </c>
      <c r="K1342">
        <v>8603.81</v>
      </c>
      <c r="L1342">
        <v>4807.3100000000004</v>
      </c>
      <c r="M1342">
        <v>8603.24</v>
      </c>
      <c r="N1342">
        <v>48.123699999999999</v>
      </c>
      <c r="O1342">
        <v>-86.063500000000005</v>
      </c>
      <c r="P1342">
        <v>48.1218</v>
      </c>
      <c r="Q1342">
        <v>-86.054000000000002</v>
      </c>
      <c r="R1342">
        <v>428.47106969999999</v>
      </c>
      <c r="S1342">
        <v>94</v>
      </c>
      <c r="T1342">
        <v>58.1</v>
      </c>
      <c r="U1342">
        <v>0.5</v>
      </c>
      <c r="V1342">
        <v>2</v>
      </c>
      <c r="W1342">
        <v>6.1</v>
      </c>
      <c r="X1342">
        <v>3.4976500000000001</v>
      </c>
      <c r="Y1342">
        <v>0.18145</v>
      </c>
      <c r="Z1342">
        <v>88.305000000000007</v>
      </c>
      <c r="AA1342">
        <v>10</v>
      </c>
      <c r="AB1342">
        <v>0.43</v>
      </c>
      <c r="AC1342">
        <v>217</v>
      </c>
      <c r="AD1342">
        <v>6</v>
      </c>
    </row>
    <row r="1343" spans="1:30" x14ac:dyDescent="0.55000000000000004">
      <c r="A1343">
        <v>110680</v>
      </c>
      <c r="B1343" s="19">
        <v>43633</v>
      </c>
      <c r="C1343">
        <v>1429</v>
      </c>
      <c r="D1343">
        <v>2019</v>
      </c>
      <c r="E1343">
        <v>25</v>
      </c>
      <c r="F1343">
        <v>615</v>
      </c>
      <c r="G1343">
        <v>1</v>
      </c>
      <c r="H1343">
        <v>465</v>
      </c>
      <c r="I1343">
        <v>3</v>
      </c>
      <c r="J1343">
        <v>4807.42</v>
      </c>
      <c r="K1343">
        <v>8603.81</v>
      </c>
      <c r="L1343">
        <v>4807.3100000000004</v>
      </c>
      <c r="M1343">
        <v>8603.24</v>
      </c>
      <c r="N1343">
        <v>48.123699999999999</v>
      </c>
      <c r="O1343">
        <v>-86.063500000000005</v>
      </c>
      <c r="P1343">
        <v>48.1218</v>
      </c>
      <c r="Q1343">
        <v>-86.054000000000002</v>
      </c>
      <c r="R1343">
        <v>428.47106969999999</v>
      </c>
      <c r="S1343">
        <v>94</v>
      </c>
      <c r="T1343">
        <v>58.1</v>
      </c>
      <c r="U1343">
        <v>0.5</v>
      </c>
      <c r="V1343">
        <v>2</v>
      </c>
      <c r="W1343">
        <v>6.1</v>
      </c>
      <c r="X1343">
        <v>3.4976500000000001</v>
      </c>
      <c r="Y1343">
        <v>0.18145</v>
      </c>
      <c r="Z1343">
        <v>88.305000000000007</v>
      </c>
      <c r="AA1343">
        <v>10</v>
      </c>
      <c r="AB1343">
        <v>0.43</v>
      </c>
      <c r="AC1343">
        <v>217</v>
      </c>
      <c r="AD1343">
        <v>2</v>
      </c>
    </row>
    <row r="1344" spans="1:30" x14ac:dyDescent="0.55000000000000004">
      <c r="A1344">
        <v>110687</v>
      </c>
      <c r="B1344" s="19">
        <v>43634</v>
      </c>
      <c r="C1344">
        <v>740</v>
      </c>
      <c r="D1344">
        <v>2019</v>
      </c>
      <c r="E1344">
        <v>25</v>
      </c>
      <c r="F1344">
        <v>616</v>
      </c>
      <c r="G1344">
        <v>1</v>
      </c>
      <c r="H1344">
        <v>422</v>
      </c>
      <c r="I1344">
        <v>3</v>
      </c>
      <c r="J1344">
        <v>4838.4799999999996</v>
      </c>
      <c r="K1344">
        <v>8621.25</v>
      </c>
      <c r="L1344">
        <v>4838.47</v>
      </c>
      <c r="M1344">
        <v>8620.61</v>
      </c>
      <c r="N1344">
        <v>48.641300000000001</v>
      </c>
      <c r="O1344">
        <v>-86.354200000000006</v>
      </c>
      <c r="P1344">
        <v>48.641199999999998</v>
      </c>
      <c r="Q1344">
        <v>-86.343500000000006</v>
      </c>
      <c r="R1344">
        <v>443.99107350000003</v>
      </c>
      <c r="S1344">
        <v>32.200000000000003</v>
      </c>
      <c r="T1344">
        <v>27.1</v>
      </c>
      <c r="U1344">
        <v>0.5</v>
      </c>
      <c r="V1344">
        <v>2</v>
      </c>
      <c r="W1344">
        <v>8.6999999999999993</v>
      </c>
      <c r="X1344">
        <v>8.2318999999999996</v>
      </c>
      <c r="Y1344">
        <v>0.55074999999999996</v>
      </c>
      <c r="Z1344">
        <v>75.468299999999999</v>
      </c>
      <c r="AA1344">
        <v>10</v>
      </c>
      <c r="AB1344">
        <v>0.43</v>
      </c>
      <c r="AC1344">
        <v>217</v>
      </c>
      <c r="AD1344">
        <v>173</v>
      </c>
    </row>
    <row r="1345" spans="1:30" x14ac:dyDescent="0.55000000000000004">
      <c r="A1345">
        <v>110688</v>
      </c>
      <c r="B1345" s="19">
        <v>43634</v>
      </c>
      <c r="C1345">
        <v>740</v>
      </c>
      <c r="D1345">
        <v>2019</v>
      </c>
      <c r="E1345">
        <v>25</v>
      </c>
      <c r="F1345">
        <v>617</v>
      </c>
      <c r="G1345">
        <v>1</v>
      </c>
      <c r="H1345">
        <v>422</v>
      </c>
      <c r="I1345">
        <v>3</v>
      </c>
      <c r="J1345">
        <v>4838.4799999999996</v>
      </c>
      <c r="K1345">
        <v>8621.25</v>
      </c>
      <c r="L1345">
        <v>4838.47</v>
      </c>
      <c r="M1345">
        <v>8620.61</v>
      </c>
      <c r="N1345">
        <v>48.641300000000001</v>
      </c>
      <c r="O1345">
        <v>-86.354200000000006</v>
      </c>
      <c r="P1345">
        <v>48.641199999999998</v>
      </c>
      <c r="Q1345">
        <v>-86.343500000000006</v>
      </c>
      <c r="R1345">
        <v>443.99107350000003</v>
      </c>
      <c r="S1345">
        <v>32.200000000000003</v>
      </c>
      <c r="T1345">
        <v>27.1</v>
      </c>
      <c r="U1345">
        <v>0.5</v>
      </c>
      <c r="V1345">
        <v>2</v>
      </c>
      <c r="W1345">
        <v>8.6999999999999993</v>
      </c>
      <c r="X1345">
        <v>8.2318999999999996</v>
      </c>
      <c r="Y1345">
        <v>0.55074999999999996</v>
      </c>
      <c r="Z1345">
        <v>75.468299999999999</v>
      </c>
      <c r="AA1345">
        <v>10</v>
      </c>
      <c r="AB1345">
        <v>0.43</v>
      </c>
      <c r="AC1345">
        <v>217</v>
      </c>
      <c r="AD1345">
        <v>112</v>
      </c>
    </row>
    <row r="1346" spans="1:30" x14ac:dyDescent="0.55000000000000004">
      <c r="A1346">
        <v>110692</v>
      </c>
      <c r="B1346" s="19">
        <v>43634</v>
      </c>
      <c r="C1346">
        <v>1014</v>
      </c>
      <c r="D1346">
        <v>2019</v>
      </c>
      <c r="E1346">
        <v>25</v>
      </c>
      <c r="F1346">
        <v>618</v>
      </c>
      <c r="G1346">
        <v>1</v>
      </c>
      <c r="H1346">
        <v>420</v>
      </c>
      <c r="I1346">
        <v>3</v>
      </c>
      <c r="J1346">
        <v>4846.12</v>
      </c>
      <c r="K1346">
        <v>8637.92</v>
      </c>
      <c r="L1346">
        <v>4845.95</v>
      </c>
      <c r="M1346">
        <v>8638.51</v>
      </c>
      <c r="N1346">
        <v>48.768700000000003</v>
      </c>
      <c r="O1346">
        <v>-86.632000000000005</v>
      </c>
      <c r="P1346">
        <v>48.765799999999999</v>
      </c>
      <c r="Q1346">
        <v>-86.641800000000003</v>
      </c>
      <c r="R1346">
        <v>947.66548560000001</v>
      </c>
      <c r="S1346">
        <v>17.399999999999999</v>
      </c>
      <c r="T1346">
        <v>32.200000000000003</v>
      </c>
      <c r="U1346">
        <v>0.5</v>
      </c>
      <c r="V1346">
        <v>2</v>
      </c>
      <c r="W1346">
        <v>8</v>
      </c>
      <c r="X1346">
        <v>5.0810000000000004</v>
      </c>
      <c r="Y1346">
        <v>0.23945</v>
      </c>
      <c r="Z1346">
        <v>87.235299999999995</v>
      </c>
      <c r="AA1346">
        <v>10</v>
      </c>
      <c r="AB1346">
        <v>0.44</v>
      </c>
      <c r="AC1346">
        <v>217</v>
      </c>
      <c r="AD1346">
        <v>58</v>
      </c>
    </row>
    <row r="1347" spans="1:30" x14ac:dyDescent="0.55000000000000004">
      <c r="A1347">
        <v>110693</v>
      </c>
      <c r="B1347" s="19">
        <v>43634</v>
      </c>
      <c r="C1347">
        <v>1014</v>
      </c>
      <c r="D1347">
        <v>2019</v>
      </c>
      <c r="E1347">
        <v>25</v>
      </c>
      <c r="F1347">
        <v>619</v>
      </c>
      <c r="G1347">
        <v>1</v>
      </c>
      <c r="H1347">
        <v>420</v>
      </c>
      <c r="I1347">
        <v>3</v>
      </c>
      <c r="J1347">
        <v>4846.12</v>
      </c>
      <c r="K1347">
        <v>8637.92</v>
      </c>
      <c r="L1347">
        <v>4845.95</v>
      </c>
      <c r="M1347">
        <v>8638.51</v>
      </c>
      <c r="N1347">
        <v>48.768700000000003</v>
      </c>
      <c r="O1347">
        <v>-86.632000000000005</v>
      </c>
      <c r="P1347">
        <v>48.765799999999999</v>
      </c>
      <c r="Q1347">
        <v>-86.641800000000003</v>
      </c>
      <c r="R1347">
        <v>947.66548560000001</v>
      </c>
      <c r="S1347">
        <v>17.399999999999999</v>
      </c>
      <c r="T1347">
        <v>32.200000000000003</v>
      </c>
      <c r="U1347">
        <v>0.5</v>
      </c>
      <c r="V1347">
        <v>2</v>
      </c>
      <c r="W1347">
        <v>8</v>
      </c>
      <c r="X1347">
        <v>5.0810000000000004</v>
      </c>
      <c r="Y1347">
        <v>0.23945</v>
      </c>
      <c r="Z1347">
        <v>87.235299999999995</v>
      </c>
      <c r="AA1347">
        <v>10</v>
      </c>
      <c r="AB1347">
        <v>0.44</v>
      </c>
      <c r="AC1347">
        <v>217</v>
      </c>
      <c r="AD1347">
        <v>30</v>
      </c>
    </row>
    <row r="1348" spans="1:30" x14ac:dyDescent="0.55000000000000004">
      <c r="A1348">
        <v>110694</v>
      </c>
      <c r="B1348" s="19">
        <v>43634</v>
      </c>
      <c r="C1348">
        <v>1213</v>
      </c>
      <c r="D1348">
        <v>2019</v>
      </c>
      <c r="E1348">
        <v>25</v>
      </c>
      <c r="F1348">
        <v>620</v>
      </c>
      <c r="G1348">
        <v>1</v>
      </c>
      <c r="H1348">
        <v>419</v>
      </c>
      <c r="I1348">
        <v>3</v>
      </c>
      <c r="J1348">
        <v>4847.42</v>
      </c>
      <c r="K1348">
        <v>8659.14</v>
      </c>
      <c r="L1348">
        <v>4847.68</v>
      </c>
      <c r="M1348">
        <v>8658.7199999999993</v>
      </c>
      <c r="N1348">
        <v>48.790300000000002</v>
      </c>
      <c r="O1348">
        <v>-86.985699999999994</v>
      </c>
      <c r="P1348">
        <v>48.794699999999999</v>
      </c>
      <c r="Q1348">
        <v>-86.978700000000003</v>
      </c>
      <c r="R1348">
        <v>305.36636490000001</v>
      </c>
      <c r="S1348">
        <v>46.2</v>
      </c>
      <c r="T1348">
        <v>39.9</v>
      </c>
      <c r="U1348">
        <v>0.5</v>
      </c>
      <c r="V1348">
        <v>2</v>
      </c>
      <c r="W1348">
        <v>8.1</v>
      </c>
      <c r="X1348">
        <v>6.9463999999999997</v>
      </c>
      <c r="Y1348">
        <v>0.58545000000000003</v>
      </c>
      <c r="Z1348">
        <v>78.551249999999996</v>
      </c>
      <c r="AA1348">
        <v>10</v>
      </c>
      <c r="AB1348">
        <v>0.42</v>
      </c>
      <c r="AC1348">
        <v>217</v>
      </c>
      <c r="AD1348">
        <v>27</v>
      </c>
    </row>
    <row r="1349" spans="1:30" x14ac:dyDescent="0.55000000000000004">
      <c r="A1349">
        <v>110695</v>
      </c>
      <c r="B1349" s="19">
        <v>43634</v>
      </c>
      <c r="C1349">
        <v>1213</v>
      </c>
      <c r="D1349">
        <v>2019</v>
      </c>
      <c r="E1349">
        <v>25</v>
      </c>
      <c r="F1349">
        <v>621</v>
      </c>
      <c r="G1349">
        <v>1</v>
      </c>
      <c r="H1349">
        <v>419</v>
      </c>
      <c r="I1349">
        <v>3</v>
      </c>
      <c r="J1349">
        <v>4847.42</v>
      </c>
      <c r="K1349">
        <v>8659.14</v>
      </c>
      <c r="L1349">
        <v>4847.68</v>
      </c>
      <c r="M1349">
        <v>8658.7199999999993</v>
      </c>
      <c r="N1349">
        <v>48.790300000000002</v>
      </c>
      <c r="O1349">
        <v>-86.985699999999994</v>
      </c>
      <c r="P1349">
        <v>48.794699999999999</v>
      </c>
      <c r="Q1349">
        <v>-86.978700000000003</v>
      </c>
      <c r="R1349">
        <v>305.36636490000001</v>
      </c>
      <c r="S1349">
        <v>46.2</v>
      </c>
      <c r="T1349">
        <v>39.9</v>
      </c>
      <c r="U1349">
        <v>0.5</v>
      </c>
      <c r="V1349">
        <v>2</v>
      </c>
      <c r="W1349">
        <v>8.1</v>
      </c>
      <c r="X1349">
        <v>6.9463999999999997</v>
      </c>
      <c r="Y1349">
        <v>0.58545000000000003</v>
      </c>
      <c r="Z1349">
        <v>78.551249999999996</v>
      </c>
      <c r="AA1349">
        <v>10</v>
      </c>
      <c r="AB1349">
        <v>0.42</v>
      </c>
      <c r="AC1349">
        <v>217</v>
      </c>
      <c r="AD1349">
        <v>16</v>
      </c>
    </row>
    <row r="1350" spans="1:30" x14ac:dyDescent="0.55000000000000004">
      <c r="A1350">
        <v>110696</v>
      </c>
      <c r="B1350" s="19">
        <v>43634</v>
      </c>
      <c r="C1350">
        <v>1357</v>
      </c>
      <c r="D1350">
        <v>2019</v>
      </c>
      <c r="E1350">
        <v>25</v>
      </c>
      <c r="F1350">
        <v>622</v>
      </c>
      <c r="G1350">
        <v>1</v>
      </c>
      <c r="H1350">
        <v>418</v>
      </c>
      <c r="I1350">
        <v>3</v>
      </c>
      <c r="J1350">
        <v>4846.32</v>
      </c>
      <c r="K1350">
        <v>8709.99</v>
      </c>
      <c r="L1350">
        <v>4846.6899999999996</v>
      </c>
      <c r="M1350">
        <v>8710.18</v>
      </c>
      <c r="N1350">
        <v>48.771999999999998</v>
      </c>
      <c r="O1350">
        <v>-87.166499999999999</v>
      </c>
      <c r="P1350">
        <v>48.778199999999998</v>
      </c>
      <c r="Q1350">
        <v>-87.169700000000006</v>
      </c>
      <c r="R1350">
        <v>670.05564040000002</v>
      </c>
      <c r="S1350">
        <v>42.3</v>
      </c>
      <c r="T1350">
        <v>32.299999999999997</v>
      </c>
      <c r="U1350">
        <v>0.5</v>
      </c>
      <c r="V1350">
        <v>2</v>
      </c>
      <c r="W1350">
        <v>9.6</v>
      </c>
      <c r="X1350">
        <v>8.2012</v>
      </c>
      <c r="Y1350">
        <v>-1.585E-2</v>
      </c>
      <c r="Z1350">
        <v>82.86815</v>
      </c>
      <c r="AA1350">
        <v>10</v>
      </c>
      <c r="AB1350">
        <v>0.42</v>
      </c>
      <c r="AC1350">
        <v>217</v>
      </c>
      <c r="AD1350">
        <v>97</v>
      </c>
    </row>
    <row r="1351" spans="1:30" x14ac:dyDescent="0.55000000000000004">
      <c r="A1351">
        <v>110697</v>
      </c>
      <c r="B1351" s="19">
        <v>43634</v>
      </c>
      <c r="C1351">
        <v>1357</v>
      </c>
      <c r="D1351">
        <v>2019</v>
      </c>
      <c r="E1351">
        <v>25</v>
      </c>
      <c r="F1351">
        <v>623</v>
      </c>
      <c r="G1351">
        <v>1</v>
      </c>
      <c r="H1351">
        <v>418</v>
      </c>
      <c r="I1351">
        <v>3</v>
      </c>
      <c r="J1351">
        <v>4846.32</v>
      </c>
      <c r="K1351">
        <v>8709.99</v>
      </c>
      <c r="L1351">
        <v>4846.6899999999996</v>
      </c>
      <c r="M1351">
        <v>8710.18</v>
      </c>
      <c r="N1351">
        <v>48.771999999999998</v>
      </c>
      <c r="O1351">
        <v>-87.166499999999999</v>
      </c>
      <c r="P1351">
        <v>48.778199999999998</v>
      </c>
      <c r="Q1351">
        <v>-87.169700000000006</v>
      </c>
      <c r="R1351">
        <v>670.05564040000002</v>
      </c>
      <c r="S1351">
        <v>42.3</v>
      </c>
      <c r="T1351">
        <v>32.299999999999997</v>
      </c>
      <c r="U1351">
        <v>0.5</v>
      </c>
      <c r="V1351">
        <v>2</v>
      </c>
      <c r="W1351">
        <v>9.6</v>
      </c>
      <c r="X1351">
        <v>8.2012</v>
      </c>
      <c r="Y1351">
        <v>-1.585E-2</v>
      </c>
      <c r="Z1351">
        <v>82.86815</v>
      </c>
      <c r="AA1351">
        <v>10</v>
      </c>
      <c r="AB1351">
        <v>0.42</v>
      </c>
      <c r="AC1351">
        <v>217</v>
      </c>
      <c r="AD1351">
        <v>85</v>
      </c>
    </row>
    <row r="1352" spans="1:30" x14ac:dyDescent="0.55000000000000004">
      <c r="A1352">
        <v>110698</v>
      </c>
      <c r="B1352" s="19">
        <v>43634</v>
      </c>
      <c r="C1352">
        <v>1616</v>
      </c>
      <c r="D1352">
        <v>2019</v>
      </c>
      <c r="E1352">
        <v>25</v>
      </c>
      <c r="F1352">
        <v>624</v>
      </c>
      <c r="G1352">
        <v>1</v>
      </c>
      <c r="H1352">
        <v>417</v>
      </c>
      <c r="I1352">
        <v>3</v>
      </c>
      <c r="J1352">
        <v>4849.8900000000003</v>
      </c>
      <c r="K1352">
        <v>8728.31</v>
      </c>
      <c r="L1352">
        <v>4850.1400000000003</v>
      </c>
      <c r="M1352">
        <v>8728.83</v>
      </c>
      <c r="N1352">
        <v>48.831499999999998</v>
      </c>
      <c r="O1352">
        <v>-87.471800000000002</v>
      </c>
      <c r="P1352">
        <v>48.835700000000003</v>
      </c>
      <c r="Q1352">
        <v>-87.480500000000006</v>
      </c>
      <c r="R1352">
        <v>436.81210759999999</v>
      </c>
      <c r="S1352">
        <v>68.400000000000006</v>
      </c>
      <c r="T1352">
        <v>29</v>
      </c>
      <c r="U1352">
        <v>0.5</v>
      </c>
      <c r="V1352">
        <v>2</v>
      </c>
      <c r="W1352">
        <v>11.1</v>
      </c>
      <c r="X1352">
        <v>8.5693000000000001</v>
      </c>
      <c r="Y1352">
        <v>0.15004999999999999</v>
      </c>
      <c r="Z1352">
        <v>88.45205</v>
      </c>
      <c r="AA1352">
        <v>10</v>
      </c>
      <c r="AB1352">
        <v>0.43</v>
      </c>
      <c r="AC1352">
        <v>217</v>
      </c>
      <c r="AD1352">
        <v>11</v>
      </c>
    </row>
    <row r="1353" spans="1:30" x14ac:dyDescent="0.55000000000000004">
      <c r="A1353">
        <v>110699</v>
      </c>
      <c r="B1353" s="19">
        <v>43634</v>
      </c>
      <c r="C1353">
        <v>1616</v>
      </c>
      <c r="D1353">
        <v>2019</v>
      </c>
      <c r="E1353">
        <v>25</v>
      </c>
      <c r="F1353">
        <v>625</v>
      </c>
      <c r="G1353">
        <v>1</v>
      </c>
      <c r="H1353">
        <v>417</v>
      </c>
      <c r="I1353">
        <v>3</v>
      </c>
      <c r="J1353">
        <v>4849.8900000000003</v>
      </c>
      <c r="K1353">
        <v>8728.31</v>
      </c>
      <c r="L1353">
        <v>4850.1400000000003</v>
      </c>
      <c r="M1353">
        <v>8728.83</v>
      </c>
      <c r="N1353">
        <v>48.831499999999998</v>
      </c>
      <c r="O1353">
        <v>-87.471800000000002</v>
      </c>
      <c r="P1353">
        <v>48.835700000000003</v>
      </c>
      <c r="Q1353">
        <v>-87.480500000000006</v>
      </c>
      <c r="R1353">
        <v>436.81210759999999</v>
      </c>
      <c r="S1353">
        <v>68.400000000000006</v>
      </c>
      <c r="T1353">
        <v>29</v>
      </c>
      <c r="U1353">
        <v>0.5</v>
      </c>
      <c r="V1353">
        <v>2</v>
      </c>
      <c r="W1353">
        <v>11.1</v>
      </c>
      <c r="X1353">
        <v>8.5693000000000001</v>
      </c>
      <c r="Y1353">
        <v>0.15004999999999999</v>
      </c>
      <c r="Z1353">
        <v>88.45205</v>
      </c>
      <c r="AA1353">
        <v>10</v>
      </c>
      <c r="AB1353">
        <v>0.43</v>
      </c>
      <c r="AC1353">
        <v>217</v>
      </c>
      <c r="AD1353">
        <v>10</v>
      </c>
    </row>
    <row r="1354" spans="1:30" x14ac:dyDescent="0.55000000000000004">
      <c r="A1354">
        <v>110700</v>
      </c>
      <c r="B1354" s="19">
        <v>43635</v>
      </c>
      <c r="C1354">
        <v>809</v>
      </c>
      <c r="D1354">
        <v>2019</v>
      </c>
      <c r="E1354">
        <v>25</v>
      </c>
      <c r="F1354">
        <v>626</v>
      </c>
      <c r="G1354">
        <v>1</v>
      </c>
      <c r="H1354">
        <v>415</v>
      </c>
      <c r="I1354">
        <v>3</v>
      </c>
      <c r="J1354">
        <v>4853.25</v>
      </c>
      <c r="K1354">
        <v>8745.16</v>
      </c>
      <c r="L1354">
        <v>4853.47</v>
      </c>
      <c r="M1354">
        <v>8758.64</v>
      </c>
      <c r="N1354">
        <v>48.887500000000003</v>
      </c>
      <c r="O1354">
        <v>-87.752700000000004</v>
      </c>
      <c r="P1354">
        <v>48.891199999999998</v>
      </c>
      <c r="Q1354">
        <v>-87.9773</v>
      </c>
      <c r="R1354">
        <v>368.87364580000002</v>
      </c>
      <c r="S1354">
        <v>47.9</v>
      </c>
      <c r="T1354">
        <v>41.8</v>
      </c>
      <c r="U1354">
        <v>0.5</v>
      </c>
      <c r="V1354">
        <v>2</v>
      </c>
      <c r="W1354">
        <v>12.4</v>
      </c>
      <c r="X1354">
        <v>12.2577</v>
      </c>
      <c r="Y1354">
        <v>0.45989999999999998</v>
      </c>
      <c r="Z1354">
        <v>77.736350000000002</v>
      </c>
      <c r="AA1354">
        <v>10</v>
      </c>
      <c r="AB1354">
        <v>0.42</v>
      </c>
      <c r="AC1354">
        <v>217</v>
      </c>
      <c r="AD1354">
        <v>116</v>
      </c>
    </row>
    <row r="1355" spans="1:30" x14ac:dyDescent="0.55000000000000004">
      <c r="A1355">
        <v>110701</v>
      </c>
      <c r="B1355" s="19">
        <v>43635</v>
      </c>
      <c r="C1355">
        <v>809</v>
      </c>
      <c r="D1355">
        <v>2019</v>
      </c>
      <c r="E1355">
        <v>25</v>
      </c>
      <c r="F1355">
        <v>627</v>
      </c>
      <c r="G1355">
        <v>1</v>
      </c>
      <c r="H1355">
        <v>415</v>
      </c>
      <c r="I1355">
        <v>3</v>
      </c>
      <c r="J1355">
        <v>4853.25</v>
      </c>
      <c r="K1355">
        <v>8745.16</v>
      </c>
      <c r="L1355">
        <v>4853.47</v>
      </c>
      <c r="M1355">
        <v>8758.64</v>
      </c>
      <c r="N1355">
        <v>48.887500000000003</v>
      </c>
      <c r="O1355">
        <v>-87.752700000000004</v>
      </c>
      <c r="P1355">
        <v>48.891199999999998</v>
      </c>
      <c r="Q1355">
        <v>-87.9773</v>
      </c>
      <c r="R1355">
        <v>368.87364580000002</v>
      </c>
      <c r="S1355">
        <v>47.9</v>
      </c>
      <c r="T1355">
        <v>41.8</v>
      </c>
      <c r="U1355">
        <v>0.5</v>
      </c>
      <c r="V1355">
        <v>2</v>
      </c>
      <c r="W1355">
        <v>12.4</v>
      </c>
      <c r="X1355">
        <v>12.2577</v>
      </c>
      <c r="Y1355">
        <v>0.45989999999999998</v>
      </c>
      <c r="Z1355">
        <v>77.736350000000002</v>
      </c>
      <c r="AA1355">
        <v>10</v>
      </c>
      <c r="AB1355">
        <v>0.42</v>
      </c>
      <c r="AC1355">
        <v>217</v>
      </c>
      <c r="AD1355">
        <v>186</v>
      </c>
    </row>
    <row r="1356" spans="1:30" x14ac:dyDescent="0.55000000000000004">
      <c r="A1356">
        <v>110702</v>
      </c>
      <c r="B1356" s="19">
        <v>43635</v>
      </c>
      <c r="C1356">
        <v>1003</v>
      </c>
      <c r="D1356">
        <v>2019</v>
      </c>
      <c r="E1356">
        <v>25</v>
      </c>
      <c r="F1356">
        <v>628</v>
      </c>
      <c r="G1356">
        <v>1</v>
      </c>
      <c r="H1356">
        <v>414</v>
      </c>
      <c r="I1356">
        <v>3</v>
      </c>
      <c r="J1356">
        <v>4856.5600000000004</v>
      </c>
      <c r="K1356">
        <v>8758.27</v>
      </c>
      <c r="L1356">
        <v>4856.95</v>
      </c>
      <c r="M1356">
        <v>8758.42</v>
      </c>
      <c r="N1356">
        <v>48.942700000000002</v>
      </c>
      <c r="O1356">
        <v>-87.971199999999996</v>
      </c>
      <c r="P1356">
        <v>48.949199999999998</v>
      </c>
      <c r="Q1356">
        <v>-87.973699999999994</v>
      </c>
      <c r="R1356">
        <v>120.4588639</v>
      </c>
      <c r="S1356">
        <v>19</v>
      </c>
      <c r="T1356">
        <v>16.2</v>
      </c>
      <c r="U1356">
        <v>0.5</v>
      </c>
      <c r="V1356">
        <v>2</v>
      </c>
      <c r="W1356">
        <v>13.5</v>
      </c>
      <c r="X1356">
        <v>12.880050000000001</v>
      </c>
      <c r="Y1356">
        <v>0.1232</v>
      </c>
      <c r="Z1356">
        <v>78.165549999999996</v>
      </c>
      <c r="AA1356">
        <v>10</v>
      </c>
      <c r="AB1356">
        <v>0.42</v>
      </c>
      <c r="AC1356">
        <v>217</v>
      </c>
      <c r="AD1356">
        <v>6</v>
      </c>
    </row>
    <row r="1357" spans="1:30" x14ac:dyDescent="0.55000000000000004">
      <c r="A1357">
        <v>110703</v>
      </c>
      <c r="B1357" s="19">
        <v>43635</v>
      </c>
      <c r="C1357">
        <v>1003</v>
      </c>
      <c r="D1357">
        <v>2019</v>
      </c>
      <c r="E1357">
        <v>25</v>
      </c>
      <c r="F1357">
        <v>629</v>
      </c>
      <c r="G1357">
        <v>1</v>
      </c>
      <c r="H1357">
        <v>414</v>
      </c>
      <c r="I1357">
        <v>3</v>
      </c>
      <c r="J1357">
        <v>4856.5600000000004</v>
      </c>
      <c r="K1357">
        <v>8758.27</v>
      </c>
      <c r="L1357">
        <v>4856.95</v>
      </c>
      <c r="M1357">
        <v>8758.42</v>
      </c>
      <c r="N1357">
        <v>48.942700000000002</v>
      </c>
      <c r="O1357">
        <v>-87.971199999999996</v>
      </c>
      <c r="P1357">
        <v>48.949199999999998</v>
      </c>
      <c r="Q1357">
        <v>-87.973699999999994</v>
      </c>
      <c r="R1357">
        <v>120.4588639</v>
      </c>
      <c r="S1357">
        <v>19</v>
      </c>
      <c r="T1357">
        <v>16.2</v>
      </c>
      <c r="U1357">
        <v>0.5</v>
      </c>
      <c r="V1357">
        <v>2</v>
      </c>
      <c r="W1357">
        <v>13.5</v>
      </c>
      <c r="X1357">
        <v>12.880050000000001</v>
      </c>
      <c r="Y1357">
        <v>0.1232</v>
      </c>
      <c r="Z1357">
        <v>78.165549999999996</v>
      </c>
      <c r="AA1357">
        <v>10</v>
      </c>
      <c r="AB1357">
        <v>0.42</v>
      </c>
      <c r="AC1357">
        <v>217</v>
      </c>
      <c r="AD1357">
        <v>23</v>
      </c>
    </row>
    <row r="1358" spans="1:30" x14ac:dyDescent="0.55000000000000004">
      <c r="A1358">
        <v>110705</v>
      </c>
      <c r="B1358" s="19">
        <v>43635</v>
      </c>
      <c r="C1358">
        <v>1204</v>
      </c>
      <c r="D1358">
        <v>2019</v>
      </c>
      <c r="E1358">
        <v>25</v>
      </c>
      <c r="F1358">
        <v>630</v>
      </c>
      <c r="G1358">
        <v>1</v>
      </c>
      <c r="H1358">
        <v>413</v>
      </c>
      <c r="I1358">
        <v>3</v>
      </c>
      <c r="J1358">
        <v>4856.25</v>
      </c>
      <c r="K1358">
        <v>8813.36</v>
      </c>
      <c r="L1358">
        <v>4856.21</v>
      </c>
      <c r="M1358">
        <v>8813.9500000000007</v>
      </c>
      <c r="N1358">
        <v>48.9375</v>
      </c>
      <c r="O1358">
        <v>-88.222700000000003</v>
      </c>
      <c r="P1358">
        <v>48.936799999999998</v>
      </c>
      <c r="Q1358">
        <v>-88.232500000000002</v>
      </c>
      <c r="R1358">
        <v>548.07993610000005</v>
      </c>
      <c r="S1358">
        <v>19.8</v>
      </c>
      <c r="T1358">
        <v>19.2</v>
      </c>
      <c r="U1358">
        <v>0.5</v>
      </c>
      <c r="V1358">
        <v>2</v>
      </c>
      <c r="W1358">
        <v>16.7</v>
      </c>
      <c r="X1358">
        <v>14.3072</v>
      </c>
      <c r="Y1358">
        <v>0.47789999999999999</v>
      </c>
      <c r="Z1358">
        <v>75.370400000000004</v>
      </c>
      <c r="AA1358">
        <v>10</v>
      </c>
      <c r="AB1358">
        <v>0.42</v>
      </c>
      <c r="AC1358">
        <v>217</v>
      </c>
      <c r="AD1358">
        <v>0</v>
      </c>
    </row>
    <row r="1359" spans="1:30" x14ac:dyDescent="0.55000000000000004">
      <c r="A1359">
        <v>110706</v>
      </c>
      <c r="B1359" s="19">
        <v>43635</v>
      </c>
      <c r="C1359">
        <v>1204</v>
      </c>
      <c r="D1359">
        <v>2019</v>
      </c>
      <c r="E1359">
        <v>25</v>
      </c>
      <c r="F1359">
        <v>631</v>
      </c>
      <c r="G1359">
        <v>1</v>
      </c>
      <c r="H1359">
        <v>413</v>
      </c>
      <c r="I1359">
        <v>3</v>
      </c>
      <c r="J1359">
        <v>4856.25</v>
      </c>
      <c r="K1359">
        <v>8813.36</v>
      </c>
      <c r="L1359">
        <v>4856.21</v>
      </c>
      <c r="M1359">
        <v>8813.9500000000007</v>
      </c>
      <c r="N1359">
        <v>48.9375</v>
      </c>
      <c r="O1359">
        <v>-88.222700000000003</v>
      </c>
      <c r="P1359">
        <v>48.936799999999998</v>
      </c>
      <c r="Q1359">
        <v>-88.232500000000002</v>
      </c>
      <c r="R1359">
        <v>548.07993610000005</v>
      </c>
      <c r="S1359">
        <v>19.8</v>
      </c>
      <c r="T1359">
        <v>19.2</v>
      </c>
      <c r="U1359">
        <v>0.5</v>
      </c>
      <c r="V1359">
        <v>2</v>
      </c>
      <c r="W1359">
        <v>16.7</v>
      </c>
      <c r="X1359">
        <v>14.3072</v>
      </c>
      <c r="Y1359">
        <v>0.47789999999999999</v>
      </c>
      <c r="Z1359">
        <v>75.370400000000004</v>
      </c>
      <c r="AA1359">
        <v>10</v>
      </c>
      <c r="AB1359">
        <v>0.42</v>
      </c>
      <c r="AC1359">
        <v>217</v>
      </c>
      <c r="AD1359">
        <v>0</v>
      </c>
    </row>
    <row r="1360" spans="1:30" x14ac:dyDescent="0.55000000000000004">
      <c r="A1360">
        <v>110707</v>
      </c>
      <c r="B1360" s="19">
        <v>43635</v>
      </c>
      <c r="C1360">
        <v>1347</v>
      </c>
      <c r="D1360">
        <v>2019</v>
      </c>
      <c r="E1360">
        <v>25</v>
      </c>
      <c r="F1360">
        <v>632</v>
      </c>
      <c r="G1360">
        <v>1</v>
      </c>
      <c r="H1360">
        <v>412</v>
      </c>
      <c r="I1360">
        <v>3</v>
      </c>
      <c r="J1360">
        <v>4849.91</v>
      </c>
      <c r="K1360">
        <v>8806.23</v>
      </c>
      <c r="L1360">
        <v>4849.7</v>
      </c>
      <c r="M1360">
        <v>8805.75</v>
      </c>
      <c r="N1360">
        <v>48.831800000000001</v>
      </c>
      <c r="O1360">
        <v>-88.103800000000007</v>
      </c>
      <c r="P1360">
        <v>48.828299999999999</v>
      </c>
      <c r="Q1360">
        <v>-88.095799999999997</v>
      </c>
      <c r="R1360">
        <v>2048.9014940000002</v>
      </c>
      <c r="S1360">
        <v>38.299999999999997</v>
      </c>
      <c r="T1360">
        <v>23.7</v>
      </c>
      <c r="U1360">
        <v>0.5</v>
      </c>
      <c r="V1360">
        <v>2</v>
      </c>
      <c r="W1360">
        <v>18.7</v>
      </c>
      <c r="X1360">
        <v>15.9137</v>
      </c>
      <c r="Y1360">
        <v>0.29499999999999998</v>
      </c>
      <c r="Z1360">
        <v>64.309950000000001</v>
      </c>
      <c r="AA1360">
        <v>10</v>
      </c>
      <c r="AB1360">
        <v>0.42</v>
      </c>
      <c r="AC1360">
        <v>217</v>
      </c>
      <c r="AD1360">
        <v>0</v>
      </c>
    </row>
    <row r="1361" spans="1:30" x14ac:dyDescent="0.55000000000000004">
      <c r="A1361">
        <v>110708</v>
      </c>
      <c r="B1361" s="19">
        <v>43635</v>
      </c>
      <c r="C1361">
        <v>1347</v>
      </c>
      <c r="D1361">
        <v>2019</v>
      </c>
      <c r="E1361">
        <v>25</v>
      </c>
      <c r="F1361">
        <v>633</v>
      </c>
      <c r="G1361">
        <v>1</v>
      </c>
      <c r="H1361">
        <v>412</v>
      </c>
      <c r="I1361">
        <v>3</v>
      </c>
      <c r="J1361">
        <v>4849.91</v>
      </c>
      <c r="K1361">
        <v>8806.23</v>
      </c>
      <c r="L1361">
        <v>4849.7</v>
      </c>
      <c r="M1361">
        <v>8805.75</v>
      </c>
      <c r="N1361">
        <v>48.831800000000001</v>
      </c>
      <c r="O1361">
        <v>-88.103800000000007</v>
      </c>
      <c r="P1361">
        <v>48.828299999999999</v>
      </c>
      <c r="Q1361">
        <v>-88.095799999999997</v>
      </c>
      <c r="R1361">
        <v>2048.9014940000002</v>
      </c>
      <c r="S1361">
        <v>38.299999999999997</v>
      </c>
      <c r="T1361">
        <v>23.7</v>
      </c>
      <c r="U1361">
        <v>0.5</v>
      </c>
      <c r="V1361">
        <v>2</v>
      </c>
      <c r="W1361">
        <v>18.7</v>
      </c>
      <c r="X1361">
        <v>15.9137</v>
      </c>
      <c r="Y1361">
        <v>0.29499999999999998</v>
      </c>
      <c r="Z1361">
        <v>64.309950000000001</v>
      </c>
      <c r="AA1361">
        <v>10</v>
      </c>
      <c r="AB1361">
        <v>0.42</v>
      </c>
      <c r="AC1361">
        <v>217</v>
      </c>
      <c r="AD1361">
        <v>0</v>
      </c>
    </row>
    <row r="1362" spans="1:30" x14ac:dyDescent="0.55000000000000004">
      <c r="A1362">
        <v>110709</v>
      </c>
      <c r="B1362" s="19">
        <v>43636</v>
      </c>
      <c r="C1362">
        <v>908</v>
      </c>
      <c r="D1362">
        <v>2019</v>
      </c>
      <c r="E1362">
        <v>25</v>
      </c>
      <c r="F1362">
        <v>634</v>
      </c>
      <c r="G1362">
        <v>1</v>
      </c>
      <c r="H1362">
        <v>406</v>
      </c>
      <c r="I1362">
        <v>3</v>
      </c>
      <c r="J1362">
        <v>4828.8</v>
      </c>
      <c r="K1362">
        <v>8836.57</v>
      </c>
      <c r="L1362">
        <v>4829.16</v>
      </c>
      <c r="M1362">
        <v>8836.32</v>
      </c>
      <c r="N1362">
        <v>48.48</v>
      </c>
      <c r="O1362">
        <v>-88.609499999999997</v>
      </c>
      <c r="P1362">
        <v>48.485999999999997</v>
      </c>
      <c r="Q1362">
        <v>-88.6053</v>
      </c>
      <c r="R1362">
        <v>990.25055569999995</v>
      </c>
      <c r="S1362">
        <v>66.900000000000006</v>
      </c>
      <c r="T1362">
        <v>18.7</v>
      </c>
      <c r="U1362">
        <v>0.5</v>
      </c>
      <c r="V1362">
        <v>2</v>
      </c>
      <c r="W1362">
        <v>15.7</v>
      </c>
      <c r="X1362">
        <v>14.372</v>
      </c>
      <c r="Y1362">
        <v>0.70425000000000004</v>
      </c>
      <c r="Z1362">
        <v>75.113950000000003</v>
      </c>
      <c r="AA1362">
        <v>10</v>
      </c>
      <c r="AB1362">
        <v>0.42</v>
      </c>
      <c r="AC1362">
        <v>217</v>
      </c>
      <c r="AD1362">
        <v>1</v>
      </c>
    </row>
    <row r="1363" spans="1:30" x14ac:dyDescent="0.55000000000000004">
      <c r="A1363">
        <v>110710</v>
      </c>
      <c r="B1363" s="19">
        <v>43636</v>
      </c>
      <c r="C1363">
        <v>908</v>
      </c>
      <c r="D1363">
        <v>2019</v>
      </c>
      <c r="E1363">
        <v>25</v>
      </c>
      <c r="F1363">
        <v>635</v>
      </c>
      <c r="G1363">
        <v>1</v>
      </c>
      <c r="H1363">
        <v>406</v>
      </c>
      <c r="I1363">
        <v>3</v>
      </c>
      <c r="J1363">
        <v>4828.8</v>
      </c>
      <c r="K1363">
        <v>8836.57</v>
      </c>
      <c r="L1363">
        <v>4829.16</v>
      </c>
      <c r="M1363">
        <v>8836.32</v>
      </c>
      <c r="N1363">
        <v>48.48</v>
      </c>
      <c r="O1363">
        <v>-88.609499999999997</v>
      </c>
      <c r="P1363">
        <v>48.485999999999997</v>
      </c>
      <c r="Q1363">
        <v>-88.6053</v>
      </c>
      <c r="R1363">
        <v>990.25055569999995</v>
      </c>
      <c r="S1363">
        <v>66.900000000000006</v>
      </c>
      <c r="T1363">
        <v>18.7</v>
      </c>
      <c r="U1363">
        <v>0.5</v>
      </c>
      <c r="V1363">
        <v>2</v>
      </c>
      <c r="W1363">
        <v>15.7</v>
      </c>
      <c r="X1363">
        <v>14.372</v>
      </c>
      <c r="Y1363">
        <v>0.70425000000000004</v>
      </c>
      <c r="Z1363">
        <v>75.113950000000003</v>
      </c>
      <c r="AA1363">
        <v>10</v>
      </c>
      <c r="AB1363">
        <v>0.42</v>
      </c>
      <c r="AC1363">
        <v>217</v>
      </c>
      <c r="AD1363">
        <v>0</v>
      </c>
    </row>
    <row r="1364" spans="1:30" x14ac:dyDescent="0.55000000000000004">
      <c r="A1364">
        <v>110714</v>
      </c>
      <c r="B1364" s="19">
        <v>43636</v>
      </c>
      <c r="C1364">
        <v>1032</v>
      </c>
      <c r="D1364">
        <v>2019</v>
      </c>
      <c r="E1364">
        <v>25</v>
      </c>
      <c r="F1364">
        <v>636</v>
      </c>
      <c r="G1364">
        <v>1</v>
      </c>
      <c r="H1364">
        <v>407</v>
      </c>
      <c r="I1364">
        <v>3</v>
      </c>
      <c r="J1364">
        <v>4833.32</v>
      </c>
      <c r="K1364">
        <v>8835.68</v>
      </c>
      <c r="L1364">
        <v>4833.68</v>
      </c>
      <c r="M1364">
        <v>8835.48</v>
      </c>
      <c r="N1364">
        <v>48.555300000000003</v>
      </c>
      <c r="O1364">
        <v>-88.594700000000003</v>
      </c>
      <c r="P1364">
        <v>48.561300000000003</v>
      </c>
      <c r="Q1364">
        <v>-88.591300000000004</v>
      </c>
      <c r="R1364">
        <v>3435.6861610000001</v>
      </c>
      <c r="S1364">
        <v>21.1</v>
      </c>
      <c r="T1364">
        <v>17.5</v>
      </c>
      <c r="U1364">
        <v>0.5</v>
      </c>
      <c r="V1364">
        <v>2</v>
      </c>
      <c r="W1364">
        <v>16.600000000000001</v>
      </c>
      <c r="X1364">
        <v>15.402749999999999</v>
      </c>
      <c r="Y1364">
        <v>0.13869999999999999</v>
      </c>
      <c r="Z1364">
        <v>70.288899999999998</v>
      </c>
      <c r="AA1364">
        <v>10</v>
      </c>
      <c r="AB1364">
        <v>0.43</v>
      </c>
      <c r="AC1364">
        <v>217</v>
      </c>
      <c r="AD1364">
        <v>0</v>
      </c>
    </row>
    <row r="1365" spans="1:30" x14ac:dyDescent="0.55000000000000004">
      <c r="A1365">
        <v>110715</v>
      </c>
      <c r="B1365" s="19">
        <v>43636</v>
      </c>
      <c r="C1365">
        <v>1032</v>
      </c>
      <c r="D1365">
        <v>2019</v>
      </c>
      <c r="E1365">
        <v>25</v>
      </c>
      <c r="F1365">
        <v>637</v>
      </c>
      <c r="G1365">
        <v>1</v>
      </c>
      <c r="H1365">
        <v>407</v>
      </c>
      <c r="I1365">
        <v>3</v>
      </c>
      <c r="J1365">
        <v>4833.32</v>
      </c>
      <c r="K1365">
        <v>8835.68</v>
      </c>
      <c r="L1365">
        <v>4833.68</v>
      </c>
      <c r="M1365">
        <v>8835.48</v>
      </c>
      <c r="N1365">
        <v>48.555300000000003</v>
      </c>
      <c r="O1365">
        <v>-88.594700000000003</v>
      </c>
      <c r="P1365">
        <v>48.561300000000003</v>
      </c>
      <c r="Q1365">
        <v>-88.591300000000004</v>
      </c>
      <c r="R1365">
        <v>3435.6861610000001</v>
      </c>
      <c r="S1365">
        <v>21.1</v>
      </c>
      <c r="T1365">
        <v>17.5</v>
      </c>
      <c r="U1365">
        <v>0.5</v>
      </c>
      <c r="V1365">
        <v>2</v>
      </c>
      <c r="W1365">
        <v>16.600000000000001</v>
      </c>
      <c r="X1365">
        <v>15.402749999999999</v>
      </c>
      <c r="Y1365">
        <v>0.13869999999999999</v>
      </c>
      <c r="Z1365">
        <v>70.288899999999998</v>
      </c>
      <c r="AA1365">
        <v>10</v>
      </c>
      <c r="AB1365">
        <v>0.43</v>
      </c>
      <c r="AC1365">
        <v>217</v>
      </c>
      <c r="AD1365">
        <v>0</v>
      </c>
    </row>
    <row r="1366" spans="1:30" x14ac:dyDescent="0.55000000000000004">
      <c r="A1366">
        <v>110717</v>
      </c>
      <c r="B1366" s="19">
        <v>43636</v>
      </c>
      <c r="C1366">
        <v>1157</v>
      </c>
      <c r="D1366">
        <v>2019</v>
      </c>
      <c r="E1366">
        <v>25</v>
      </c>
      <c r="F1366">
        <v>638</v>
      </c>
      <c r="G1366">
        <v>1</v>
      </c>
      <c r="H1366">
        <v>408</v>
      </c>
      <c r="I1366">
        <v>3</v>
      </c>
      <c r="J1366">
        <v>4835.6899999999996</v>
      </c>
      <c r="K1366">
        <v>8830.15</v>
      </c>
      <c r="L1366">
        <v>4835.9399999999996</v>
      </c>
      <c r="M1366">
        <v>8829.67</v>
      </c>
      <c r="N1366">
        <v>48.594799999999999</v>
      </c>
      <c r="O1366">
        <v>-88.502499999999998</v>
      </c>
      <c r="P1366">
        <v>48.598999999999997</v>
      </c>
      <c r="Q1366">
        <v>-88.494500000000002</v>
      </c>
      <c r="R1366">
        <v>2578.7394789999998</v>
      </c>
      <c r="S1366">
        <v>17.899999999999999</v>
      </c>
      <c r="T1366">
        <v>17.8</v>
      </c>
      <c r="U1366">
        <v>0.5</v>
      </c>
      <c r="V1366">
        <v>2</v>
      </c>
      <c r="W1366">
        <v>18.2</v>
      </c>
      <c r="X1366">
        <v>16.2179</v>
      </c>
      <c r="Y1366">
        <v>6.0850000000000001E-2</v>
      </c>
      <c r="Z1366">
        <v>62.648200000000003</v>
      </c>
      <c r="AA1366">
        <v>10</v>
      </c>
      <c r="AB1366">
        <v>0.42</v>
      </c>
      <c r="AC1366">
        <v>217</v>
      </c>
      <c r="AD1366">
        <v>0</v>
      </c>
    </row>
    <row r="1367" spans="1:30" x14ac:dyDescent="0.55000000000000004">
      <c r="A1367">
        <v>110718</v>
      </c>
      <c r="B1367" s="19">
        <v>43636</v>
      </c>
      <c r="C1367">
        <v>1157</v>
      </c>
      <c r="D1367">
        <v>2019</v>
      </c>
      <c r="E1367">
        <v>25</v>
      </c>
      <c r="F1367">
        <v>639</v>
      </c>
      <c r="G1367">
        <v>1</v>
      </c>
      <c r="H1367">
        <v>408</v>
      </c>
      <c r="I1367">
        <v>3</v>
      </c>
      <c r="J1367">
        <v>4835.6899999999996</v>
      </c>
      <c r="K1367">
        <v>8830.15</v>
      </c>
      <c r="L1367">
        <v>4835.9399999999996</v>
      </c>
      <c r="M1367">
        <v>8829.67</v>
      </c>
      <c r="N1367">
        <v>48.594799999999999</v>
      </c>
      <c r="O1367">
        <v>-88.502499999999998</v>
      </c>
      <c r="P1367">
        <v>48.598999999999997</v>
      </c>
      <c r="Q1367">
        <v>-88.494500000000002</v>
      </c>
      <c r="R1367">
        <v>2578.7394789999998</v>
      </c>
      <c r="S1367">
        <v>17.899999999999999</v>
      </c>
      <c r="T1367">
        <v>17.8</v>
      </c>
      <c r="U1367">
        <v>0.5</v>
      </c>
      <c r="V1367">
        <v>2</v>
      </c>
      <c r="W1367">
        <v>18.2</v>
      </c>
      <c r="X1367">
        <v>16.2179</v>
      </c>
      <c r="Y1367">
        <v>6.0850000000000001E-2</v>
      </c>
      <c r="Z1367">
        <v>62.648200000000003</v>
      </c>
      <c r="AA1367">
        <v>10</v>
      </c>
      <c r="AB1367">
        <v>0.42</v>
      </c>
      <c r="AC1367">
        <v>217</v>
      </c>
      <c r="AD1367">
        <v>0</v>
      </c>
    </row>
    <row r="1368" spans="1:30" x14ac:dyDescent="0.55000000000000004">
      <c r="A1368">
        <v>110719</v>
      </c>
      <c r="B1368" s="19">
        <v>43636</v>
      </c>
      <c r="C1368">
        <v>1406</v>
      </c>
      <c r="D1368">
        <v>2019</v>
      </c>
      <c r="E1368">
        <v>25</v>
      </c>
      <c r="F1368">
        <v>640</v>
      </c>
      <c r="G1368">
        <v>1</v>
      </c>
      <c r="H1368">
        <v>405</v>
      </c>
      <c r="I1368">
        <v>3</v>
      </c>
      <c r="J1368">
        <v>4825.07</v>
      </c>
      <c r="K1368">
        <v>8841.42</v>
      </c>
      <c r="L1368">
        <v>4824.76</v>
      </c>
      <c r="M1368">
        <v>8841.85</v>
      </c>
      <c r="N1368">
        <v>48.4178</v>
      </c>
      <c r="O1368">
        <v>-88.690299999999993</v>
      </c>
      <c r="P1368">
        <v>48.412700000000001</v>
      </c>
      <c r="Q1368">
        <v>-88.697500000000005</v>
      </c>
      <c r="R1368">
        <v>793.36209940000003</v>
      </c>
      <c r="S1368">
        <v>30.9</v>
      </c>
      <c r="T1368">
        <v>18.399999999999999</v>
      </c>
      <c r="U1368">
        <v>0.5</v>
      </c>
      <c r="V1368">
        <v>2</v>
      </c>
      <c r="W1368">
        <v>13.7</v>
      </c>
      <c r="X1368">
        <v>13.765750000000001</v>
      </c>
      <c r="Y1368">
        <v>0.40039999999999998</v>
      </c>
      <c r="Z1368">
        <v>78.055549999999997</v>
      </c>
      <c r="AA1368">
        <v>10</v>
      </c>
      <c r="AB1368">
        <v>0.42</v>
      </c>
      <c r="AC1368">
        <v>217</v>
      </c>
      <c r="AD1368">
        <v>2</v>
      </c>
    </row>
    <row r="1369" spans="1:30" x14ac:dyDescent="0.55000000000000004">
      <c r="A1369">
        <v>110720</v>
      </c>
      <c r="B1369" s="19">
        <v>43636</v>
      </c>
      <c r="C1369">
        <v>1406</v>
      </c>
      <c r="D1369">
        <v>2019</v>
      </c>
      <c r="E1369">
        <v>25</v>
      </c>
      <c r="F1369">
        <v>641</v>
      </c>
      <c r="G1369">
        <v>1</v>
      </c>
      <c r="H1369">
        <v>405</v>
      </c>
      <c r="I1369">
        <v>3</v>
      </c>
      <c r="J1369">
        <v>4825.07</v>
      </c>
      <c r="K1369">
        <v>8841.42</v>
      </c>
      <c r="L1369">
        <v>4824.76</v>
      </c>
      <c r="M1369">
        <v>8841.85</v>
      </c>
      <c r="N1369">
        <v>48.4178</v>
      </c>
      <c r="O1369">
        <v>-88.690299999999993</v>
      </c>
      <c r="P1369">
        <v>48.412700000000001</v>
      </c>
      <c r="Q1369">
        <v>-88.697500000000005</v>
      </c>
      <c r="R1369">
        <v>793.36209940000003</v>
      </c>
      <c r="S1369">
        <v>30.9</v>
      </c>
      <c r="T1369">
        <v>18.399999999999999</v>
      </c>
      <c r="U1369">
        <v>0.5</v>
      </c>
      <c r="V1369">
        <v>2</v>
      </c>
      <c r="W1369">
        <v>13.7</v>
      </c>
      <c r="X1369">
        <v>13.765750000000001</v>
      </c>
      <c r="Y1369">
        <v>0.40039999999999998</v>
      </c>
      <c r="Z1369">
        <v>78.055549999999997</v>
      </c>
      <c r="AA1369">
        <v>10</v>
      </c>
      <c r="AB1369">
        <v>0.42</v>
      </c>
      <c r="AC1369">
        <v>217</v>
      </c>
      <c r="AD1369">
        <v>2</v>
      </c>
    </row>
    <row r="1370" spans="1:30" x14ac:dyDescent="0.55000000000000004">
      <c r="A1370">
        <v>110721</v>
      </c>
      <c r="B1370" s="19">
        <v>43637</v>
      </c>
      <c r="C1370">
        <v>818</v>
      </c>
      <c r="D1370">
        <v>2019</v>
      </c>
      <c r="E1370">
        <v>25</v>
      </c>
      <c r="F1370">
        <v>642</v>
      </c>
      <c r="G1370">
        <v>1</v>
      </c>
      <c r="H1370">
        <v>401</v>
      </c>
      <c r="I1370">
        <v>3</v>
      </c>
      <c r="J1370">
        <v>4830.3</v>
      </c>
      <c r="K1370">
        <v>8856.6299999999992</v>
      </c>
      <c r="L1370">
        <v>4830.68</v>
      </c>
      <c r="M1370">
        <v>8856.4599999999991</v>
      </c>
      <c r="N1370">
        <v>48.505000000000003</v>
      </c>
      <c r="O1370">
        <v>-88.943799999999996</v>
      </c>
      <c r="P1370">
        <v>48.511299999999999</v>
      </c>
      <c r="Q1370">
        <v>-88.941000000000003</v>
      </c>
      <c r="R1370">
        <v>855.87547559999996</v>
      </c>
      <c r="S1370">
        <v>45.7</v>
      </c>
      <c r="T1370">
        <v>28.2</v>
      </c>
      <c r="U1370">
        <v>0.5</v>
      </c>
      <c r="V1370">
        <v>2</v>
      </c>
      <c r="W1370">
        <v>11.8</v>
      </c>
      <c r="X1370">
        <v>11.08745</v>
      </c>
      <c r="Y1370">
        <v>0.48375000000000001</v>
      </c>
      <c r="Z1370">
        <v>82.140950000000004</v>
      </c>
      <c r="AA1370">
        <v>10</v>
      </c>
      <c r="AB1370">
        <v>0.42</v>
      </c>
      <c r="AC1370">
        <v>217</v>
      </c>
      <c r="AD1370">
        <v>38</v>
      </c>
    </row>
    <row r="1371" spans="1:30" x14ac:dyDescent="0.55000000000000004">
      <c r="A1371">
        <v>110722</v>
      </c>
      <c r="B1371" s="19">
        <v>43637</v>
      </c>
      <c r="C1371">
        <v>818</v>
      </c>
      <c r="D1371">
        <v>2019</v>
      </c>
      <c r="E1371">
        <v>25</v>
      </c>
      <c r="F1371">
        <v>643</v>
      </c>
      <c r="G1371">
        <v>1</v>
      </c>
      <c r="H1371">
        <v>401</v>
      </c>
      <c r="I1371">
        <v>3</v>
      </c>
      <c r="J1371">
        <v>4830.3</v>
      </c>
      <c r="K1371">
        <v>8856.6299999999992</v>
      </c>
      <c r="L1371">
        <v>4830.68</v>
      </c>
      <c r="M1371">
        <v>8856.4599999999991</v>
      </c>
      <c r="N1371">
        <v>48.505000000000003</v>
      </c>
      <c r="O1371">
        <v>-88.943799999999996</v>
      </c>
      <c r="P1371">
        <v>48.511299999999999</v>
      </c>
      <c r="Q1371">
        <v>-88.941000000000003</v>
      </c>
      <c r="R1371">
        <v>855.87547559999996</v>
      </c>
      <c r="S1371">
        <v>45.7</v>
      </c>
      <c r="T1371">
        <v>28.2</v>
      </c>
      <c r="U1371">
        <v>0.5</v>
      </c>
      <c r="V1371">
        <v>2</v>
      </c>
      <c r="W1371">
        <v>11.8</v>
      </c>
      <c r="X1371">
        <v>11.08745</v>
      </c>
      <c r="Y1371">
        <v>0.48375000000000001</v>
      </c>
      <c r="Z1371">
        <v>82.140950000000004</v>
      </c>
      <c r="AA1371">
        <v>10</v>
      </c>
      <c r="AB1371">
        <v>0.42</v>
      </c>
      <c r="AC1371">
        <v>217</v>
      </c>
      <c r="AD1371">
        <v>39</v>
      </c>
    </row>
    <row r="1372" spans="1:30" x14ac:dyDescent="0.55000000000000004">
      <c r="A1372">
        <v>110726</v>
      </c>
      <c r="B1372" s="19">
        <v>43637</v>
      </c>
      <c r="C1372">
        <v>1020</v>
      </c>
      <c r="D1372">
        <v>2019</v>
      </c>
      <c r="E1372">
        <v>25</v>
      </c>
      <c r="F1372">
        <v>644</v>
      </c>
      <c r="G1372">
        <v>1</v>
      </c>
      <c r="H1372">
        <v>402</v>
      </c>
      <c r="I1372">
        <v>3</v>
      </c>
      <c r="J1372">
        <v>4822.12</v>
      </c>
      <c r="K1372">
        <v>8852.61</v>
      </c>
      <c r="L1372">
        <v>4822.3599999999997</v>
      </c>
      <c r="M1372">
        <v>8853.17</v>
      </c>
      <c r="N1372">
        <v>48.368699999999997</v>
      </c>
      <c r="O1372">
        <v>-88.876800000000003</v>
      </c>
      <c r="P1372">
        <v>48.372700000000002</v>
      </c>
      <c r="Q1372">
        <v>-88.886200000000002</v>
      </c>
      <c r="R1372">
        <v>458.0191294</v>
      </c>
      <c r="S1372">
        <v>21.3</v>
      </c>
      <c r="T1372">
        <v>36.299999999999997</v>
      </c>
      <c r="U1372">
        <v>0.5</v>
      </c>
      <c r="V1372">
        <v>2</v>
      </c>
      <c r="W1372">
        <v>9.6999999999999993</v>
      </c>
      <c r="X1372">
        <v>8.9184999999999999</v>
      </c>
      <c r="Y1372">
        <v>0.21029999999999999</v>
      </c>
      <c r="Z1372">
        <v>82.3874</v>
      </c>
      <c r="AA1372">
        <v>10</v>
      </c>
      <c r="AB1372">
        <v>0.47</v>
      </c>
      <c r="AC1372">
        <v>217</v>
      </c>
      <c r="AD1372">
        <v>171</v>
      </c>
    </row>
    <row r="1373" spans="1:30" x14ac:dyDescent="0.55000000000000004">
      <c r="A1373">
        <v>110727</v>
      </c>
      <c r="B1373" s="19">
        <v>43637</v>
      </c>
      <c r="C1373">
        <v>1020</v>
      </c>
      <c r="D1373">
        <v>2019</v>
      </c>
      <c r="E1373">
        <v>25</v>
      </c>
      <c r="F1373">
        <v>645</v>
      </c>
      <c r="G1373">
        <v>1</v>
      </c>
      <c r="H1373">
        <v>402</v>
      </c>
      <c r="I1373">
        <v>3</v>
      </c>
      <c r="J1373">
        <v>4822.12</v>
      </c>
      <c r="K1373">
        <v>8852.61</v>
      </c>
      <c r="L1373">
        <v>4822.3599999999997</v>
      </c>
      <c r="M1373">
        <v>8853.17</v>
      </c>
      <c r="N1373">
        <v>48.368699999999997</v>
      </c>
      <c r="O1373">
        <v>-88.876800000000003</v>
      </c>
      <c r="P1373">
        <v>48.372700000000002</v>
      </c>
      <c r="Q1373">
        <v>-88.886200000000002</v>
      </c>
      <c r="R1373">
        <v>458.0191294</v>
      </c>
      <c r="S1373">
        <v>21.3</v>
      </c>
      <c r="T1373">
        <v>36.299999999999997</v>
      </c>
      <c r="U1373">
        <v>0.5</v>
      </c>
      <c r="V1373">
        <v>2</v>
      </c>
      <c r="W1373">
        <v>9.6999999999999993</v>
      </c>
      <c r="X1373">
        <v>8.9184999999999999</v>
      </c>
      <c r="Y1373">
        <v>0.21029999999999999</v>
      </c>
      <c r="Z1373">
        <v>82.3874</v>
      </c>
      <c r="AA1373">
        <v>10</v>
      </c>
      <c r="AB1373">
        <v>0.47</v>
      </c>
      <c r="AC1373">
        <v>217</v>
      </c>
      <c r="AD1373">
        <v>84</v>
      </c>
    </row>
    <row r="1374" spans="1:30" x14ac:dyDescent="0.55000000000000004">
      <c r="A1374">
        <v>110728</v>
      </c>
      <c r="B1374" s="19">
        <v>43637</v>
      </c>
      <c r="C1374">
        <v>1144</v>
      </c>
      <c r="D1374">
        <v>2019</v>
      </c>
      <c r="E1374">
        <v>25</v>
      </c>
      <c r="F1374">
        <v>646</v>
      </c>
      <c r="G1374">
        <v>1</v>
      </c>
      <c r="H1374">
        <v>404</v>
      </c>
      <c r="I1374">
        <v>3</v>
      </c>
      <c r="J1374">
        <v>4818.59</v>
      </c>
      <c r="K1374">
        <v>8854.68</v>
      </c>
      <c r="L1374">
        <v>4818.8999999999996</v>
      </c>
      <c r="M1374">
        <v>8854.33</v>
      </c>
      <c r="N1374">
        <v>48.309800000000003</v>
      </c>
      <c r="O1374">
        <v>-88.911299999999997</v>
      </c>
      <c r="P1374">
        <v>48.314999999999998</v>
      </c>
      <c r="Q1374">
        <v>-88.905500000000004</v>
      </c>
      <c r="R1374">
        <v>463.59602719999998</v>
      </c>
      <c r="S1374">
        <v>50.5</v>
      </c>
      <c r="T1374">
        <v>26.9</v>
      </c>
      <c r="U1374">
        <v>0.5</v>
      </c>
      <c r="V1374">
        <v>2</v>
      </c>
      <c r="W1374">
        <v>9.1</v>
      </c>
      <c r="X1374">
        <v>7.4617500000000003</v>
      </c>
      <c r="Y1374">
        <v>0.18934999999999999</v>
      </c>
      <c r="Z1374">
        <v>81.260549999999995</v>
      </c>
      <c r="AA1374">
        <v>10</v>
      </c>
      <c r="AB1374">
        <v>0.42</v>
      </c>
      <c r="AC1374">
        <v>217</v>
      </c>
      <c r="AD1374">
        <v>108</v>
      </c>
    </row>
    <row r="1375" spans="1:30" x14ac:dyDescent="0.55000000000000004">
      <c r="A1375">
        <v>110729</v>
      </c>
      <c r="B1375" s="19">
        <v>43637</v>
      </c>
      <c r="C1375">
        <v>1144</v>
      </c>
      <c r="D1375">
        <v>2019</v>
      </c>
      <c r="E1375">
        <v>25</v>
      </c>
      <c r="F1375">
        <v>647</v>
      </c>
      <c r="G1375">
        <v>1</v>
      </c>
      <c r="H1375">
        <v>404</v>
      </c>
      <c r="I1375">
        <v>3</v>
      </c>
      <c r="J1375">
        <v>4818.59</v>
      </c>
      <c r="K1375">
        <v>8854.68</v>
      </c>
      <c r="L1375">
        <v>4818.8999999999996</v>
      </c>
      <c r="M1375">
        <v>8854.33</v>
      </c>
      <c r="N1375">
        <v>48.309800000000003</v>
      </c>
      <c r="O1375">
        <v>-88.911299999999997</v>
      </c>
      <c r="P1375">
        <v>48.314999999999998</v>
      </c>
      <c r="Q1375">
        <v>-88.905500000000004</v>
      </c>
      <c r="R1375">
        <v>463.59602719999998</v>
      </c>
      <c r="S1375">
        <v>50.5</v>
      </c>
      <c r="T1375">
        <v>26.9</v>
      </c>
      <c r="U1375">
        <v>0.5</v>
      </c>
      <c r="V1375">
        <v>2</v>
      </c>
      <c r="W1375">
        <v>9.1</v>
      </c>
      <c r="X1375">
        <v>7.4617500000000003</v>
      </c>
      <c r="Y1375">
        <v>0.18934999999999999</v>
      </c>
      <c r="Z1375">
        <v>81.260549999999995</v>
      </c>
      <c r="AA1375">
        <v>10</v>
      </c>
      <c r="AB1375">
        <v>0.42</v>
      </c>
      <c r="AC1375">
        <v>217</v>
      </c>
      <c r="AD1375">
        <v>68</v>
      </c>
    </row>
    <row r="1376" spans="1:30" x14ac:dyDescent="0.55000000000000004">
      <c r="A1376">
        <v>110730</v>
      </c>
      <c r="B1376" s="19">
        <v>43638</v>
      </c>
      <c r="C1376">
        <v>806</v>
      </c>
      <c r="D1376">
        <v>2019</v>
      </c>
      <c r="E1376">
        <v>25</v>
      </c>
      <c r="F1376">
        <v>648</v>
      </c>
      <c r="G1376">
        <v>1</v>
      </c>
      <c r="H1376">
        <v>403</v>
      </c>
      <c r="I1376">
        <v>3</v>
      </c>
      <c r="J1376">
        <v>4815.38</v>
      </c>
      <c r="K1376">
        <v>8909.99</v>
      </c>
      <c r="L1376">
        <v>4815</v>
      </c>
      <c r="M1376">
        <v>8909.9699999999993</v>
      </c>
      <c r="N1376">
        <v>48.256300000000003</v>
      </c>
      <c r="O1376">
        <v>-89.166499999999999</v>
      </c>
      <c r="P1376">
        <v>48.25</v>
      </c>
      <c r="Q1376">
        <v>-89.166200000000003</v>
      </c>
      <c r="R1376">
        <v>254.71853870000001</v>
      </c>
      <c r="S1376">
        <v>28</v>
      </c>
      <c r="T1376">
        <v>17.8</v>
      </c>
      <c r="U1376">
        <v>0.5</v>
      </c>
      <c r="V1376">
        <v>2</v>
      </c>
      <c r="W1376">
        <v>13.8</v>
      </c>
      <c r="X1376">
        <v>10.716699999999999</v>
      </c>
      <c r="Y1376">
        <v>0.63100000000000001</v>
      </c>
      <c r="Z1376">
        <v>80.27225</v>
      </c>
      <c r="AA1376">
        <v>10</v>
      </c>
      <c r="AB1376">
        <v>0.41</v>
      </c>
      <c r="AC1376">
        <v>217</v>
      </c>
      <c r="AD1376">
        <v>36</v>
      </c>
    </row>
    <row r="1377" spans="1:30" x14ac:dyDescent="0.55000000000000004">
      <c r="A1377">
        <v>110731</v>
      </c>
      <c r="B1377" s="19">
        <v>43638</v>
      </c>
      <c r="C1377">
        <v>806</v>
      </c>
      <c r="D1377">
        <v>2019</v>
      </c>
      <c r="E1377">
        <v>25</v>
      </c>
      <c r="F1377">
        <v>649</v>
      </c>
      <c r="G1377">
        <v>1</v>
      </c>
      <c r="H1377">
        <v>403</v>
      </c>
      <c r="I1377">
        <v>3</v>
      </c>
      <c r="J1377">
        <v>4815.38</v>
      </c>
      <c r="K1377">
        <v>8909.99</v>
      </c>
      <c r="L1377">
        <v>4815</v>
      </c>
      <c r="M1377">
        <v>8909.9699999999993</v>
      </c>
      <c r="N1377">
        <v>48.256300000000003</v>
      </c>
      <c r="O1377">
        <v>-89.166499999999999</v>
      </c>
      <c r="P1377">
        <v>48.25</v>
      </c>
      <c r="Q1377">
        <v>-89.166200000000003</v>
      </c>
      <c r="R1377">
        <v>254.71853870000001</v>
      </c>
      <c r="S1377">
        <v>28</v>
      </c>
      <c r="T1377">
        <v>17.8</v>
      </c>
      <c r="U1377">
        <v>0.5</v>
      </c>
      <c r="V1377">
        <v>2</v>
      </c>
      <c r="W1377">
        <v>13.8</v>
      </c>
      <c r="X1377">
        <v>10.716699999999999</v>
      </c>
      <c r="Y1377">
        <v>0.63100000000000001</v>
      </c>
      <c r="Z1377">
        <v>80.27225</v>
      </c>
      <c r="AA1377">
        <v>10</v>
      </c>
      <c r="AB1377">
        <v>0.41</v>
      </c>
      <c r="AC1377">
        <v>217</v>
      </c>
      <c r="AD1377">
        <v>11</v>
      </c>
    </row>
    <row r="1378" spans="1:30" x14ac:dyDescent="0.55000000000000004">
      <c r="A1378">
        <v>110736</v>
      </c>
      <c r="B1378" s="19">
        <v>43638</v>
      </c>
      <c r="C1378">
        <v>1047</v>
      </c>
      <c r="D1378">
        <v>2019</v>
      </c>
      <c r="E1378">
        <v>25</v>
      </c>
      <c r="F1378">
        <v>650</v>
      </c>
      <c r="G1378">
        <v>1</v>
      </c>
      <c r="H1378">
        <v>400</v>
      </c>
      <c r="I1378">
        <v>3</v>
      </c>
      <c r="J1378">
        <v>4804.8599999999997</v>
      </c>
      <c r="K1378">
        <v>8925.3799999999992</v>
      </c>
      <c r="L1378">
        <v>4804.66</v>
      </c>
      <c r="M1378">
        <v>8924.7999999999993</v>
      </c>
      <c r="N1378">
        <v>48.081000000000003</v>
      </c>
      <c r="O1378">
        <v>-89.423000000000002</v>
      </c>
      <c r="P1378">
        <v>48.0777</v>
      </c>
      <c r="Q1378">
        <v>-89.413300000000007</v>
      </c>
      <c r="R1378">
        <v>199.16238820000001</v>
      </c>
      <c r="S1378">
        <v>18.8</v>
      </c>
      <c r="T1378">
        <v>41.3</v>
      </c>
      <c r="U1378">
        <v>0.5</v>
      </c>
      <c r="V1378">
        <v>2</v>
      </c>
      <c r="W1378">
        <v>11.2</v>
      </c>
      <c r="X1378">
        <v>8.9158500000000007</v>
      </c>
      <c r="Y1378">
        <v>7.0999999999999994E-2</v>
      </c>
      <c r="Z1378">
        <v>76.473550000000003</v>
      </c>
      <c r="AA1378">
        <v>10</v>
      </c>
      <c r="AB1378">
        <v>0.43</v>
      </c>
      <c r="AC1378">
        <v>217</v>
      </c>
      <c r="AD1378">
        <v>5</v>
      </c>
    </row>
    <row r="1379" spans="1:30" x14ac:dyDescent="0.55000000000000004">
      <c r="A1379">
        <v>110737</v>
      </c>
      <c r="B1379" s="19">
        <v>43638</v>
      </c>
      <c r="C1379">
        <v>1047</v>
      </c>
      <c r="D1379">
        <v>2019</v>
      </c>
      <c r="E1379">
        <v>25</v>
      </c>
      <c r="F1379">
        <v>651</v>
      </c>
      <c r="G1379">
        <v>1</v>
      </c>
      <c r="H1379">
        <v>400</v>
      </c>
      <c r="I1379">
        <v>3</v>
      </c>
      <c r="J1379">
        <v>4804.8599999999997</v>
      </c>
      <c r="K1379">
        <v>8925.3799999999992</v>
      </c>
      <c r="L1379">
        <v>4804.66</v>
      </c>
      <c r="M1379">
        <v>8924.7999999999993</v>
      </c>
      <c r="N1379">
        <v>48.081000000000003</v>
      </c>
      <c r="O1379">
        <v>-89.423000000000002</v>
      </c>
      <c r="P1379">
        <v>48.0777</v>
      </c>
      <c r="Q1379">
        <v>-89.413300000000007</v>
      </c>
      <c r="R1379">
        <v>199.16238820000001</v>
      </c>
      <c r="S1379">
        <v>18.8</v>
      </c>
      <c r="T1379">
        <v>41.3</v>
      </c>
      <c r="U1379">
        <v>0.5</v>
      </c>
      <c r="V1379">
        <v>2</v>
      </c>
      <c r="W1379">
        <v>11.2</v>
      </c>
      <c r="X1379">
        <v>8.9158500000000007</v>
      </c>
      <c r="Y1379">
        <v>7.0999999999999994E-2</v>
      </c>
      <c r="Z1379">
        <v>76.473550000000003</v>
      </c>
      <c r="AA1379">
        <v>10</v>
      </c>
      <c r="AB1379">
        <v>0.43</v>
      </c>
      <c r="AC1379">
        <v>217</v>
      </c>
      <c r="AD1379">
        <v>8</v>
      </c>
    </row>
    <row r="1380" spans="1:30" x14ac:dyDescent="0.55000000000000004">
      <c r="A1380">
        <v>110738</v>
      </c>
      <c r="B1380" s="19">
        <v>43638</v>
      </c>
      <c r="C1380">
        <v>1314</v>
      </c>
      <c r="D1380">
        <v>2019</v>
      </c>
      <c r="E1380">
        <v>25</v>
      </c>
      <c r="F1380">
        <v>652</v>
      </c>
      <c r="G1380">
        <v>1</v>
      </c>
      <c r="H1380">
        <v>191</v>
      </c>
      <c r="I1380">
        <v>3</v>
      </c>
      <c r="J1380">
        <v>4758.74</v>
      </c>
      <c r="K1380">
        <v>8937.74</v>
      </c>
      <c r="L1380">
        <v>4758.38</v>
      </c>
      <c r="M1380">
        <v>8937.5400000000009</v>
      </c>
      <c r="N1380">
        <v>47.978999999999999</v>
      </c>
      <c r="O1380">
        <v>-89.629000000000005</v>
      </c>
      <c r="P1380">
        <v>47.972999999999999</v>
      </c>
      <c r="Q1380">
        <v>-89.625699999999995</v>
      </c>
      <c r="R1380">
        <v>1064.728022</v>
      </c>
      <c r="S1380">
        <v>20.8</v>
      </c>
      <c r="T1380">
        <v>26.6</v>
      </c>
      <c r="U1380">
        <v>0.5</v>
      </c>
      <c r="V1380">
        <v>2</v>
      </c>
      <c r="W1380">
        <v>8.3000000000000007</v>
      </c>
      <c r="X1380">
        <v>6.0156499999999999</v>
      </c>
      <c r="Y1380">
        <v>0.13535</v>
      </c>
      <c r="Z1380">
        <v>70.193250000000006</v>
      </c>
      <c r="AA1380">
        <v>10</v>
      </c>
      <c r="AB1380">
        <v>0.43</v>
      </c>
      <c r="AC1380">
        <v>217</v>
      </c>
      <c r="AD1380">
        <v>10</v>
      </c>
    </row>
    <row r="1381" spans="1:30" x14ac:dyDescent="0.55000000000000004">
      <c r="A1381">
        <v>110739</v>
      </c>
      <c r="B1381" s="19">
        <v>43638</v>
      </c>
      <c r="C1381">
        <v>1314</v>
      </c>
      <c r="D1381">
        <v>2019</v>
      </c>
      <c r="E1381">
        <v>25</v>
      </c>
      <c r="F1381">
        <v>653</v>
      </c>
      <c r="G1381">
        <v>1</v>
      </c>
      <c r="H1381">
        <v>191</v>
      </c>
      <c r="I1381">
        <v>3</v>
      </c>
      <c r="J1381">
        <v>4758.74</v>
      </c>
      <c r="K1381">
        <v>8937.74</v>
      </c>
      <c r="L1381">
        <v>4758.38</v>
      </c>
      <c r="M1381">
        <v>8937.5400000000009</v>
      </c>
      <c r="N1381">
        <v>47.978999999999999</v>
      </c>
      <c r="O1381">
        <v>-89.629000000000005</v>
      </c>
      <c r="P1381">
        <v>47.972999999999999</v>
      </c>
      <c r="Q1381">
        <v>-89.625699999999995</v>
      </c>
      <c r="R1381">
        <v>1064.728022</v>
      </c>
      <c r="S1381">
        <v>20.8</v>
      </c>
      <c r="T1381">
        <v>26.6</v>
      </c>
      <c r="U1381">
        <v>0.5</v>
      </c>
      <c r="V1381">
        <v>2</v>
      </c>
      <c r="W1381">
        <v>8.3000000000000007</v>
      </c>
      <c r="X1381">
        <v>6.0156499999999999</v>
      </c>
      <c r="Y1381">
        <v>0.13535</v>
      </c>
      <c r="Z1381">
        <v>70.193250000000006</v>
      </c>
      <c r="AA1381">
        <v>10</v>
      </c>
      <c r="AB1381">
        <v>0.43</v>
      </c>
      <c r="AC1381">
        <v>217</v>
      </c>
      <c r="AD1381">
        <v>15</v>
      </c>
    </row>
    <row r="1382" spans="1:30" x14ac:dyDescent="0.55000000000000004">
      <c r="A1382">
        <v>110740</v>
      </c>
      <c r="B1382" s="19">
        <v>43638</v>
      </c>
      <c r="C1382">
        <v>1529</v>
      </c>
      <c r="D1382">
        <v>2019</v>
      </c>
      <c r="E1382">
        <v>25</v>
      </c>
      <c r="F1382">
        <v>654</v>
      </c>
      <c r="G1382">
        <v>1</v>
      </c>
      <c r="H1382">
        <v>207</v>
      </c>
      <c r="I1382">
        <v>3</v>
      </c>
      <c r="J1382">
        <v>4750.1499999999996</v>
      </c>
      <c r="K1382">
        <v>8956.9</v>
      </c>
      <c r="L1382">
        <v>4750.25</v>
      </c>
      <c r="M1382">
        <v>8957.5</v>
      </c>
      <c r="N1382">
        <v>47.835799999999999</v>
      </c>
      <c r="O1382">
        <v>-89.948300000000003</v>
      </c>
      <c r="P1382">
        <v>47.837499999999999</v>
      </c>
      <c r="Q1382">
        <v>-89.958299999999994</v>
      </c>
      <c r="R1382">
        <v>448.52821749999998</v>
      </c>
      <c r="S1382">
        <v>50.8</v>
      </c>
      <c r="U1382">
        <v>0.5</v>
      </c>
      <c r="V1382">
        <v>2</v>
      </c>
      <c r="W1382">
        <v>5.2</v>
      </c>
      <c r="X1382">
        <v>3.8855</v>
      </c>
      <c r="Y1382">
        <v>0.15534999999999999</v>
      </c>
      <c r="Z1382">
        <v>90.037549999999996</v>
      </c>
      <c r="AA1382">
        <v>10</v>
      </c>
      <c r="AB1382">
        <v>0.42</v>
      </c>
      <c r="AC1382">
        <v>217</v>
      </c>
      <c r="AD1382">
        <v>18</v>
      </c>
    </row>
    <row r="1383" spans="1:30" x14ac:dyDescent="0.55000000000000004">
      <c r="A1383">
        <v>110741</v>
      </c>
      <c r="B1383" s="19">
        <v>43638</v>
      </c>
      <c r="C1383">
        <v>1529</v>
      </c>
      <c r="D1383">
        <v>2019</v>
      </c>
      <c r="E1383">
        <v>25</v>
      </c>
      <c r="F1383">
        <v>655</v>
      </c>
      <c r="G1383">
        <v>1</v>
      </c>
      <c r="H1383">
        <v>207</v>
      </c>
      <c r="I1383">
        <v>3</v>
      </c>
      <c r="J1383">
        <v>4750.1499999999996</v>
      </c>
      <c r="K1383">
        <v>8956.9</v>
      </c>
      <c r="L1383">
        <v>4750.25</v>
      </c>
      <c r="M1383">
        <v>8957.5</v>
      </c>
      <c r="N1383">
        <v>47.835799999999999</v>
      </c>
      <c r="O1383">
        <v>-89.948300000000003</v>
      </c>
      <c r="P1383">
        <v>47.837499999999999</v>
      </c>
      <c r="Q1383">
        <v>-89.958299999999994</v>
      </c>
      <c r="R1383">
        <v>448.52821749999998</v>
      </c>
      <c r="S1383">
        <v>50.8</v>
      </c>
      <c r="U1383">
        <v>0.5</v>
      </c>
      <c r="V1383">
        <v>2</v>
      </c>
      <c r="W1383">
        <v>5.2</v>
      </c>
      <c r="X1383">
        <v>3.8855</v>
      </c>
      <c r="Y1383">
        <v>0.15534999999999999</v>
      </c>
      <c r="Z1383">
        <v>90.037549999999996</v>
      </c>
      <c r="AA1383">
        <v>10</v>
      </c>
      <c r="AB1383">
        <v>0.42</v>
      </c>
      <c r="AC1383">
        <v>217</v>
      </c>
      <c r="AD1383">
        <v>8</v>
      </c>
    </row>
    <row r="1384" spans="1:30" x14ac:dyDescent="0.55000000000000004">
      <c r="A1384">
        <v>111023</v>
      </c>
      <c r="B1384" s="19">
        <v>43655</v>
      </c>
      <c r="C1384">
        <v>1106</v>
      </c>
      <c r="D1384">
        <v>2019</v>
      </c>
      <c r="E1384">
        <v>25</v>
      </c>
      <c r="F1384">
        <v>656</v>
      </c>
      <c r="G1384">
        <v>2</v>
      </c>
      <c r="H1384">
        <v>139</v>
      </c>
      <c r="I1384">
        <v>3</v>
      </c>
      <c r="J1384">
        <v>4700.79</v>
      </c>
      <c r="K1384">
        <v>9056.75</v>
      </c>
      <c r="L1384">
        <v>4700.75</v>
      </c>
      <c r="M1384">
        <v>9057.2900000000009</v>
      </c>
      <c r="N1384">
        <v>47.013199999999998</v>
      </c>
      <c r="O1384">
        <v>-90.945800000000006</v>
      </c>
      <c r="P1384">
        <v>47.012500000000003</v>
      </c>
      <c r="Q1384">
        <v>-90.954800000000006</v>
      </c>
      <c r="R1384">
        <v>1020.4776900000001</v>
      </c>
      <c r="S1384">
        <v>19.2</v>
      </c>
      <c r="T1384">
        <v>27.8</v>
      </c>
      <c r="U1384">
        <v>0.5</v>
      </c>
      <c r="V1384">
        <v>2</v>
      </c>
      <c r="W1384">
        <v>14.4</v>
      </c>
      <c r="X1384">
        <v>14.193</v>
      </c>
      <c r="Y1384">
        <v>0.1913</v>
      </c>
      <c r="Z1384">
        <v>86.552000000000007</v>
      </c>
      <c r="AA1384">
        <v>10</v>
      </c>
      <c r="AB1384">
        <v>0.42</v>
      </c>
      <c r="AC1384">
        <v>0</v>
      </c>
    </row>
    <row r="1385" spans="1:30" x14ac:dyDescent="0.55000000000000004">
      <c r="A1385">
        <v>111024</v>
      </c>
      <c r="B1385" s="19">
        <v>43655</v>
      </c>
      <c r="C1385">
        <v>1106</v>
      </c>
      <c r="D1385">
        <v>2019</v>
      </c>
      <c r="E1385">
        <v>25</v>
      </c>
      <c r="F1385">
        <v>657</v>
      </c>
      <c r="G1385">
        <v>2</v>
      </c>
      <c r="H1385">
        <v>139</v>
      </c>
      <c r="I1385">
        <v>3</v>
      </c>
      <c r="J1385">
        <v>4700.79</v>
      </c>
      <c r="K1385">
        <v>9056.75</v>
      </c>
      <c r="L1385">
        <v>4700.75</v>
      </c>
      <c r="M1385">
        <v>9057.2900000000009</v>
      </c>
      <c r="N1385">
        <v>47.013199999999998</v>
      </c>
      <c r="O1385">
        <v>-90.945800000000006</v>
      </c>
      <c r="P1385">
        <v>47.012500000000003</v>
      </c>
      <c r="Q1385">
        <v>-90.954800000000006</v>
      </c>
      <c r="R1385">
        <v>1020.4776900000001</v>
      </c>
      <c r="S1385">
        <v>19.2</v>
      </c>
      <c r="T1385">
        <v>27.8</v>
      </c>
      <c r="U1385">
        <v>0.5</v>
      </c>
      <c r="V1385">
        <v>2</v>
      </c>
      <c r="W1385">
        <v>14.4</v>
      </c>
      <c r="X1385">
        <v>14.193</v>
      </c>
      <c r="Y1385">
        <v>0.1913</v>
      </c>
      <c r="Z1385">
        <v>86.552000000000007</v>
      </c>
      <c r="AA1385">
        <v>10</v>
      </c>
      <c r="AB1385">
        <v>0.42</v>
      </c>
      <c r="AC1385">
        <v>0</v>
      </c>
    </row>
    <row r="1386" spans="1:30" x14ac:dyDescent="0.55000000000000004">
      <c r="A1386">
        <v>111025</v>
      </c>
      <c r="B1386" s="19">
        <v>43655</v>
      </c>
      <c r="C1386">
        <v>1139</v>
      </c>
      <c r="D1386">
        <v>2019</v>
      </c>
      <c r="E1386">
        <v>25</v>
      </c>
      <c r="F1386">
        <v>658</v>
      </c>
      <c r="G1386">
        <v>2</v>
      </c>
      <c r="H1386">
        <v>2161</v>
      </c>
      <c r="I1386">
        <v>3</v>
      </c>
      <c r="J1386">
        <v>4659.04</v>
      </c>
      <c r="K1386">
        <v>9114.08</v>
      </c>
      <c r="L1386">
        <v>4658.83</v>
      </c>
      <c r="M1386">
        <v>9114.5300000000007</v>
      </c>
      <c r="N1386">
        <v>46.984000000000002</v>
      </c>
      <c r="O1386">
        <v>-91.234700000000004</v>
      </c>
      <c r="P1386">
        <v>46.980499999999999</v>
      </c>
      <c r="Q1386">
        <v>-91.242199999999997</v>
      </c>
      <c r="R1386">
        <v>11430.927079999999</v>
      </c>
      <c r="S1386">
        <v>136</v>
      </c>
      <c r="T1386">
        <v>137</v>
      </c>
      <c r="U1386">
        <v>0.5</v>
      </c>
      <c r="V1386">
        <v>2</v>
      </c>
      <c r="W1386">
        <v>13.2</v>
      </c>
      <c r="X1386">
        <v>13.36</v>
      </c>
      <c r="Y1386">
        <v>0.22170000000000001</v>
      </c>
      <c r="Z1386">
        <v>82.679699999999997</v>
      </c>
      <c r="AA1386">
        <v>10</v>
      </c>
      <c r="AB1386">
        <v>0.44</v>
      </c>
      <c r="AC1386">
        <v>217</v>
      </c>
      <c r="AD1386">
        <v>2</v>
      </c>
    </row>
    <row r="1387" spans="1:30" x14ac:dyDescent="0.55000000000000004">
      <c r="A1387">
        <v>111026</v>
      </c>
      <c r="B1387" s="19">
        <v>43655</v>
      </c>
      <c r="C1387">
        <v>1139</v>
      </c>
      <c r="D1387">
        <v>2019</v>
      </c>
      <c r="E1387">
        <v>25</v>
      </c>
      <c r="F1387">
        <v>659</v>
      </c>
      <c r="G1387">
        <v>2</v>
      </c>
      <c r="H1387">
        <v>2161</v>
      </c>
      <c r="I1387">
        <v>3</v>
      </c>
      <c r="J1387">
        <v>4659.04</v>
      </c>
      <c r="K1387">
        <v>9114.08</v>
      </c>
      <c r="L1387">
        <v>4658.83</v>
      </c>
      <c r="M1387">
        <v>9114.5300000000007</v>
      </c>
      <c r="N1387">
        <v>46.984000000000002</v>
      </c>
      <c r="O1387">
        <v>-91.234700000000004</v>
      </c>
      <c r="P1387">
        <v>46.980499999999999</v>
      </c>
      <c r="Q1387">
        <v>-91.242199999999997</v>
      </c>
      <c r="R1387">
        <v>11430.927079999999</v>
      </c>
      <c r="S1387">
        <v>136</v>
      </c>
      <c r="T1387">
        <v>137</v>
      </c>
      <c r="U1387">
        <v>0.5</v>
      </c>
      <c r="V1387">
        <v>2</v>
      </c>
      <c r="W1387">
        <v>13.2</v>
      </c>
      <c r="X1387">
        <v>13.36</v>
      </c>
      <c r="Y1387">
        <v>0.22170000000000001</v>
      </c>
      <c r="Z1387">
        <v>82.679699999999997</v>
      </c>
      <c r="AA1387">
        <v>10</v>
      </c>
      <c r="AB1387">
        <v>0.44</v>
      </c>
      <c r="AC1387">
        <v>217</v>
      </c>
      <c r="AD1387">
        <v>5</v>
      </c>
    </row>
    <row r="1388" spans="1:30" x14ac:dyDescent="0.55000000000000004">
      <c r="A1388">
        <v>111027</v>
      </c>
      <c r="B1388" s="19">
        <v>43655</v>
      </c>
      <c r="C1388">
        <v>1652</v>
      </c>
      <c r="D1388">
        <v>2019</v>
      </c>
      <c r="E1388">
        <v>25</v>
      </c>
      <c r="F1388">
        <v>660</v>
      </c>
      <c r="G1388">
        <v>2</v>
      </c>
      <c r="H1388">
        <v>2133</v>
      </c>
      <c r="I1388">
        <v>3</v>
      </c>
      <c r="J1388">
        <v>4731.8900000000003</v>
      </c>
      <c r="K1388">
        <v>9032.93</v>
      </c>
      <c r="L1388">
        <v>4732.09</v>
      </c>
      <c r="M1388">
        <v>9032.4699999999993</v>
      </c>
      <c r="N1388">
        <v>47.531500000000001</v>
      </c>
      <c r="O1388">
        <v>-90.5488</v>
      </c>
      <c r="P1388">
        <v>47.534799999999997</v>
      </c>
      <c r="Q1388">
        <v>-90.541200000000003</v>
      </c>
      <c r="R1388">
        <v>15638.0867</v>
      </c>
      <c r="S1388">
        <v>184</v>
      </c>
      <c r="T1388">
        <v>184</v>
      </c>
      <c r="U1388">
        <v>0.5</v>
      </c>
      <c r="V1388">
        <v>2</v>
      </c>
      <c r="W1388">
        <v>10.4</v>
      </c>
      <c r="X1388">
        <v>10.606299999999999</v>
      </c>
      <c r="Y1388">
        <v>0.37969999999999998</v>
      </c>
      <c r="Z1388">
        <v>89.335099999999997</v>
      </c>
      <c r="AA1388">
        <v>10</v>
      </c>
      <c r="AB1388">
        <v>0.41</v>
      </c>
      <c r="AC1388">
        <v>217</v>
      </c>
      <c r="AD1388">
        <v>54</v>
      </c>
    </row>
    <row r="1389" spans="1:30" x14ac:dyDescent="0.55000000000000004">
      <c r="A1389">
        <v>111028</v>
      </c>
      <c r="B1389" s="19">
        <v>43655</v>
      </c>
      <c r="C1389">
        <v>1652</v>
      </c>
      <c r="D1389">
        <v>2019</v>
      </c>
      <c r="E1389">
        <v>25</v>
      </c>
      <c r="F1389">
        <v>661</v>
      </c>
      <c r="G1389">
        <v>2</v>
      </c>
      <c r="H1389">
        <v>2133</v>
      </c>
      <c r="I1389">
        <v>3</v>
      </c>
      <c r="J1389">
        <v>4731.8900000000003</v>
      </c>
      <c r="K1389">
        <v>9032.93</v>
      </c>
      <c r="L1389">
        <v>4732.09</v>
      </c>
      <c r="M1389">
        <v>9032.4699999999993</v>
      </c>
      <c r="N1389">
        <v>47.531500000000001</v>
      </c>
      <c r="O1389">
        <v>-90.5488</v>
      </c>
      <c r="P1389">
        <v>47.534799999999997</v>
      </c>
      <c r="Q1389">
        <v>-90.541200000000003</v>
      </c>
      <c r="R1389">
        <v>15638.0867</v>
      </c>
      <c r="S1389">
        <v>184</v>
      </c>
      <c r="T1389">
        <v>184</v>
      </c>
      <c r="U1389">
        <v>0.5</v>
      </c>
      <c r="V1389">
        <v>2</v>
      </c>
      <c r="W1389">
        <v>10.4</v>
      </c>
      <c r="X1389">
        <v>10.606299999999999</v>
      </c>
      <c r="Y1389">
        <v>0.37969999999999998</v>
      </c>
      <c r="Z1389">
        <v>89.335099999999997</v>
      </c>
      <c r="AA1389">
        <v>10</v>
      </c>
      <c r="AB1389">
        <v>0.41</v>
      </c>
      <c r="AC1389">
        <v>217</v>
      </c>
      <c r="AD1389">
        <v>61</v>
      </c>
    </row>
    <row r="1390" spans="1:30" x14ac:dyDescent="0.55000000000000004">
      <c r="A1390">
        <v>111029</v>
      </c>
      <c r="B1390" s="19">
        <v>43656</v>
      </c>
      <c r="C1390">
        <v>912</v>
      </c>
      <c r="D1390">
        <v>2019</v>
      </c>
      <c r="E1390">
        <v>25</v>
      </c>
      <c r="F1390">
        <v>662</v>
      </c>
      <c r="G1390">
        <v>2</v>
      </c>
      <c r="H1390">
        <v>2124</v>
      </c>
      <c r="I1390">
        <v>3</v>
      </c>
      <c r="J1390">
        <v>4730.3</v>
      </c>
      <c r="K1390">
        <v>8959.5300000000007</v>
      </c>
      <c r="L1390">
        <v>4729.95</v>
      </c>
      <c r="M1390">
        <v>8959.82</v>
      </c>
      <c r="N1390">
        <v>47.505000000000003</v>
      </c>
      <c r="O1390">
        <v>-89.992199999999997</v>
      </c>
      <c r="P1390">
        <v>47.499200000000002</v>
      </c>
      <c r="Q1390">
        <v>-89.997</v>
      </c>
      <c r="R1390">
        <v>34414.230860000003</v>
      </c>
      <c r="S1390">
        <v>155</v>
      </c>
      <c r="T1390">
        <v>153</v>
      </c>
      <c r="U1390">
        <v>0.5</v>
      </c>
      <c r="V1390">
        <v>2</v>
      </c>
      <c r="W1390">
        <v>8.4</v>
      </c>
      <c r="X1390">
        <v>8.0277999999999992</v>
      </c>
      <c r="Y1390">
        <v>0.16259999999999999</v>
      </c>
      <c r="Z1390">
        <v>91.333600000000004</v>
      </c>
      <c r="AA1390">
        <v>10</v>
      </c>
      <c r="AB1390">
        <v>0.39</v>
      </c>
      <c r="AC1390">
        <v>217</v>
      </c>
      <c r="AD1390">
        <v>7</v>
      </c>
    </row>
    <row r="1391" spans="1:30" x14ac:dyDescent="0.55000000000000004">
      <c r="A1391">
        <v>111030</v>
      </c>
      <c r="B1391" s="19">
        <v>43656</v>
      </c>
      <c r="C1391">
        <v>912</v>
      </c>
      <c r="D1391">
        <v>2019</v>
      </c>
      <c r="E1391">
        <v>25</v>
      </c>
      <c r="F1391">
        <v>663</v>
      </c>
      <c r="G1391">
        <v>2</v>
      </c>
      <c r="H1391">
        <v>2124</v>
      </c>
      <c r="I1391">
        <v>3</v>
      </c>
      <c r="J1391">
        <v>4730.3</v>
      </c>
      <c r="K1391">
        <v>8959.5300000000007</v>
      </c>
      <c r="L1391">
        <v>4729.95</v>
      </c>
      <c r="M1391">
        <v>8959.82</v>
      </c>
      <c r="N1391">
        <v>47.505000000000003</v>
      </c>
      <c r="O1391">
        <v>-89.992199999999997</v>
      </c>
      <c r="P1391">
        <v>47.499200000000002</v>
      </c>
      <c r="Q1391">
        <v>-89.997</v>
      </c>
      <c r="R1391">
        <v>34414.230860000003</v>
      </c>
      <c r="S1391">
        <v>155</v>
      </c>
      <c r="T1391">
        <v>153</v>
      </c>
      <c r="U1391">
        <v>0.5</v>
      </c>
      <c r="V1391">
        <v>2</v>
      </c>
      <c r="W1391">
        <v>8.4</v>
      </c>
      <c r="X1391">
        <v>8.0277999999999992</v>
      </c>
      <c r="Y1391">
        <v>0.16259999999999999</v>
      </c>
      <c r="Z1391">
        <v>91.333600000000004</v>
      </c>
      <c r="AA1391">
        <v>10</v>
      </c>
      <c r="AB1391">
        <v>0.39</v>
      </c>
      <c r="AC1391">
        <v>217</v>
      </c>
      <c r="AD1391">
        <v>17</v>
      </c>
    </row>
    <row r="1392" spans="1:30" x14ac:dyDescent="0.55000000000000004">
      <c r="A1392">
        <v>111031</v>
      </c>
      <c r="B1392" s="19">
        <v>43656</v>
      </c>
      <c r="C1392">
        <v>1254</v>
      </c>
      <c r="D1392">
        <v>2019</v>
      </c>
      <c r="E1392">
        <v>25</v>
      </c>
      <c r="F1392">
        <v>664</v>
      </c>
      <c r="G1392">
        <v>2</v>
      </c>
      <c r="H1392">
        <v>2147</v>
      </c>
      <c r="I1392">
        <v>3</v>
      </c>
      <c r="J1392">
        <v>4709.3999999999996</v>
      </c>
      <c r="K1392">
        <v>8958.18</v>
      </c>
      <c r="L1392">
        <v>4709.13</v>
      </c>
      <c r="M1392">
        <v>8958.59</v>
      </c>
      <c r="N1392">
        <v>47.156700000000001</v>
      </c>
      <c r="O1392">
        <v>-89.969700000000003</v>
      </c>
      <c r="P1392">
        <v>47.152200000000001</v>
      </c>
      <c r="Q1392">
        <v>-89.976500000000001</v>
      </c>
      <c r="R1392">
        <v>33818.304250000001</v>
      </c>
      <c r="S1392">
        <v>172</v>
      </c>
      <c r="T1392">
        <v>170</v>
      </c>
      <c r="U1392">
        <v>0.5</v>
      </c>
      <c r="V1392">
        <v>2</v>
      </c>
      <c r="W1392">
        <v>9.5</v>
      </c>
      <c r="X1392">
        <v>7.5971000000000002</v>
      </c>
      <c r="Y1392">
        <v>8.9800000000000005E-2</v>
      </c>
      <c r="Z1392">
        <v>88.704599999999999</v>
      </c>
      <c r="AA1392">
        <v>10</v>
      </c>
      <c r="AB1392">
        <v>0.43</v>
      </c>
      <c r="AC1392">
        <v>217</v>
      </c>
      <c r="AD1392">
        <v>2</v>
      </c>
    </row>
    <row r="1393" spans="1:30" x14ac:dyDescent="0.55000000000000004">
      <c r="A1393">
        <v>111032</v>
      </c>
      <c r="B1393" s="19">
        <v>43656</v>
      </c>
      <c r="C1393">
        <v>1254</v>
      </c>
      <c r="D1393">
        <v>2019</v>
      </c>
      <c r="E1393">
        <v>25</v>
      </c>
      <c r="F1393">
        <v>665</v>
      </c>
      <c r="G1393">
        <v>2</v>
      </c>
      <c r="H1393">
        <v>2147</v>
      </c>
      <c r="I1393">
        <v>3</v>
      </c>
      <c r="J1393">
        <v>4709.3999999999996</v>
      </c>
      <c r="K1393">
        <v>8958.18</v>
      </c>
      <c r="L1393">
        <v>4709.13</v>
      </c>
      <c r="M1393">
        <v>8958.59</v>
      </c>
      <c r="N1393">
        <v>47.156700000000001</v>
      </c>
      <c r="O1393">
        <v>-89.969700000000003</v>
      </c>
      <c r="P1393">
        <v>47.152200000000001</v>
      </c>
      <c r="Q1393">
        <v>-89.976500000000001</v>
      </c>
      <c r="R1393">
        <v>33818.304250000001</v>
      </c>
      <c r="S1393">
        <v>172</v>
      </c>
      <c r="T1393">
        <v>170</v>
      </c>
      <c r="U1393">
        <v>0.5</v>
      </c>
      <c r="V1393">
        <v>2</v>
      </c>
      <c r="W1393">
        <v>9.5</v>
      </c>
      <c r="X1393">
        <v>7.5971000000000002</v>
      </c>
      <c r="Y1393">
        <v>8.9800000000000005E-2</v>
      </c>
      <c r="Z1393">
        <v>88.704599999999999</v>
      </c>
      <c r="AA1393">
        <v>10</v>
      </c>
      <c r="AB1393">
        <v>0.43</v>
      </c>
      <c r="AC1393">
        <v>217</v>
      </c>
      <c r="AD1393">
        <v>15</v>
      </c>
    </row>
    <row r="1394" spans="1:30" x14ac:dyDescent="0.55000000000000004">
      <c r="A1394">
        <v>111037</v>
      </c>
      <c r="B1394" s="19">
        <v>43656</v>
      </c>
      <c r="C1394">
        <v>1602</v>
      </c>
      <c r="D1394">
        <v>2019</v>
      </c>
      <c r="E1394">
        <v>25</v>
      </c>
      <c r="F1394">
        <v>666</v>
      </c>
      <c r="G1394">
        <v>2</v>
      </c>
      <c r="H1394">
        <v>2120</v>
      </c>
      <c r="I1394">
        <v>3</v>
      </c>
      <c r="J1394">
        <v>4704.2700000000004</v>
      </c>
      <c r="K1394">
        <v>8939.8799999999992</v>
      </c>
      <c r="L1394">
        <v>4703.95</v>
      </c>
      <c r="M1394">
        <v>8940.27</v>
      </c>
      <c r="N1394">
        <v>47.071199999999997</v>
      </c>
      <c r="O1394">
        <v>-89.664699999999996</v>
      </c>
      <c r="P1394">
        <v>47.065800000000003</v>
      </c>
      <c r="Q1394">
        <v>-89.671199999999999</v>
      </c>
      <c r="R1394">
        <v>27139.368109999999</v>
      </c>
      <c r="S1394">
        <v>210</v>
      </c>
      <c r="T1394">
        <v>209</v>
      </c>
      <c r="U1394">
        <v>0.5</v>
      </c>
      <c r="V1394">
        <v>2</v>
      </c>
      <c r="W1394">
        <v>10.9</v>
      </c>
      <c r="X1394">
        <v>12.284700000000001</v>
      </c>
      <c r="Y1394">
        <v>0.1552</v>
      </c>
      <c r="Z1394">
        <v>87.786699999999996</v>
      </c>
      <c r="AA1394">
        <v>10</v>
      </c>
      <c r="AB1394">
        <v>0.42</v>
      </c>
      <c r="AC1394">
        <v>217</v>
      </c>
      <c r="AD1394">
        <v>23</v>
      </c>
    </row>
    <row r="1395" spans="1:30" x14ac:dyDescent="0.55000000000000004">
      <c r="A1395">
        <v>111038</v>
      </c>
      <c r="B1395" s="19">
        <v>43656</v>
      </c>
      <c r="C1395">
        <v>1602</v>
      </c>
      <c r="D1395">
        <v>2019</v>
      </c>
      <c r="E1395">
        <v>25</v>
      </c>
      <c r="F1395">
        <v>667</v>
      </c>
      <c r="G1395">
        <v>2</v>
      </c>
      <c r="H1395">
        <v>2120</v>
      </c>
      <c r="I1395">
        <v>3</v>
      </c>
      <c r="J1395">
        <v>4704.2700000000004</v>
      </c>
      <c r="K1395">
        <v>8939.8799999999992</v>
      </c>
      <c r="L1395">
        <v>4703.95</v>
      </c>
      <c r="M1395">
        <v>8940.27</v>
      </c>
      <c r="N1395">
        <v>47.071199999999997</v>
      </c>
      <c r="O1395">
        <v>-89.664699999999996</v>
      </c>
      <c r="P1395">
        <v>47.065800000000003</v>
      </c>
      <c r="Q1395">
        <v>-89.671199999999999</v>
      </c>
      <c r="R1395">
        <v>27139.368109999999</v>
      </c>
      <c r="S1395">
        <v>210</v>
      </c>
      <c r="T1395">
        <v>209</v>
      </c>
      <c r="U1395">
        <v>0.5</v>
      </c>
      <c r="V1395">
        <v>2</v>
      </c>
      <c r="W1395">
        <v>10.9</v>
      </c>
      <c r="X1395">
        <v>12.284700000000001</v>
      </c>
      <c r="Y1395">
        <v>0.1552</v>
      </c>
      <c r="Z1395">
        <v>87.786699999999996</v>
      </c>
      <c r="AA1395">
        <v>10</v>
      </c>
      <c r="AB1395">
        <v>0.42</v>
      </c>
      <c r="AC1395">
        <v>217</v>
      </c>
      <c r="AD1395">
        <v>15</v>
      </c>
    </row>
    <row r="1396" spans="1:30" x14ac:dyDescent="0.55000000000000004">
      <c r="A1396">
        <v>111039</v>
      </c>
      <c r="B1396" s="19">
        <v>43657</v>
      </c>
      <c r="C1396">
        <v>934</v>
      </c>
      <c r="D1396">
        <v>2019</v>
      </c>
      <c r="E1396">
        <v>25</v>
      </c>
      <c r="F1396">
        <v>668</v>
      </c>
      <c r="G1396">
        <v>2</v>
      </c>
      <c r="H1396">
        <v>2136</v>
      </c>
      <c r="I1396">
        <v>3</v>
      </c>
      <c r="J1396">
        <v>4713.17</v>
      </c>
      <c r="K1396">
        <v>8933.36</v>
      </c>
      <c r="L1396">
        <v>4713.3999999999996</v>
      </c>
      <c r="M1396">
        <v>8932.82</v>
      </c>
      <c r="N1396">
        <v>47.219499999999996</v>
      </c>
      <c r="O1396">
        <v>-89.555999999999997</v>
      </c>
      <c r="P1396">
        <v>47.223300000000002</v>
      </c>
      <c r="Q1396">
        <v>-89.546999999999997</v>
      </c>
      <c r="R1396">
        <v>40355.932849999997</v>
      </c>
      <c r="S1396">
        <v>206</v>
      </c>
      <c r="T1396">
        <v>206</v>
      </c>
      <c r="U1396">
        <v>0.5</v>
      </c>
      <c r="V1396">
        <v>2</v>
      </c>
      <c r="W1396">
        <v>5.9</v>
      </c>
      <c r="X1396">
        <v>12.284700000000001</v>
      </c>
      <c r="Y1396">
        <v>0.13930000000000001</v>
      </c>
      <c r="Z1396">
        <v>75.0214</v>
      </c>
      <c r="AA1396">
        <v>10</v>
      </c>
      <c r="AB1396">
        <v>0.44</v>
      </c>
      <c r="AC1396">
        <v>217</v>
      </c>
      <c r="AD1396">
        <v>27</v>
      </c>
    </row>
    <row r="1397" spans="1:30" x14ac:dyDescent="0.55000000000000004">
      <c r="A1397">
        <v>111040</v>
      </c>
      <c r="B1397" s="19">
        <v>43657</v>
      </c>
      <c r="C1397">
        <v>934</v>
      </c>
      <c r="D1397">
        <v>2019</v>
      </c>
      <c r="E1397">
        <v>25</v>
      </c>
      <c r="F1397">
        <v>669</v>
      </c>
      <c r="G1397">
        <v>2</v>
      </c>
      <c r="H1397">
        <v>2136</v>
      </c>
      <c r="I1397">
        <v>3</v>
      </c>
      <c r="J1397">
        <v>4713.17</v>
      </c>
      <c r="K1397">
        <v>8933.36</v>
      </c>
      <c r="L1397">
        <v>4713.3999999999996</v>
      </c>
      <c r="M1397">
        <v>8932.82</v>
      </c>
      <c r="N1397">
        <v>47.219499999999996</v>
      </c>
      <c r="O1397">
        <v>-89.555999999999997</v>
      </c>
      <c r="P1397">
        <v>47.223300000000002</v>
      </c>
      <c r="Q1397">
        <v>-89.546999999999997</v>
      </c>
      <c r="R1397">
        <v>40355.932849999997</v>
      </c>
      <c r="S1397">
        <v>206</v>
      </c>
      <c r="T1397">
        <v>206</v>
      </c>
      <c r="U1397">
        <v>0.5</v>
      </c>
      <c r="V1397">
        <v>2</v>
      </c>
      <c r="W1397">
        <v>5.9</v>
      </c>
      <c r="X1397">
        <v>12.284700000000001</v>
      </c>
      <c r="Y1397">
        <v>0.13930000000000001</v>
      </c>
      <c r="Z1397">
        <v>75.0214</v>
      </c>
      <c r="AA1397">
        <v>10</v>
      </c>
      <c r="AB1397">
        <v>0.44</v>
      </c>
      <c r="AC1397">
        <v>217</v>
      </c>
      <c r="AD1397">
        <v>13</v>
      </c>
    </row>
    <row r="1398" spans="1:30" x14ac:dyDescent="0.55000000000000004">
      <c r="A1398">
        <v>111041</v>
      </c>
      <c r="B1398" s="19">
        <v>43657</v>
      </c>
      <c r="C1398">
        <v>1253</v>
      </c>
      <c r="D1398">
        <v>2019</v>
      </c>
      <c r="E1398">
        <v>25</v>
      </c>
      <c r="F1398">
        <v>670</v>
      </c>
      <c r="G1398">
        <v>2</v>
      </c>
      <c r="H1398">
        <v>2151</v>
      </c>
      <c r="I1398">
        <v>3</v>
      </c>
      <c r="J1398">
        <v>4709.24</v>
      </c>
      <c r="K1398">
        <v>8918</v>
      </c>
      <c r="L1398">
        <v>4709.21</v>
      </c>
      <c r="M1398">
        <v>8917.41</v>
      </c>
      <c r="N1398">
        <v>47.154000000000003</v>
      </c>
      <c r="O1398">
        <v>-89.3</v>
      </c>
      <c r="P1398">
        <v>47.153500000000001</v>
      </c>
      <c r="Q1398">
        <v>-89.290199999999999</v>
      </c>
      <c r="R1398">
        <v>22253.35642</v>
      </c>
      <c r="S1398">
        <v>143</v>
      </c>
      <c r="T1398">
        <v>142</v>
      </c>
      <c r="U1398">
        <v>0.5</v>
      </c>
      <c r="V1398">
        <v>2</v>
      </c>
      <c r="W1398">
        <v>11.9</v>
      </c>
      <c r="X1398">
        <v>11.7088</v>
      </c>
      <c r="Y1398">
        <v>0.15709999999999999</v>
      </c>
      <c r="Z1398">
        <v>85.223500000000001</v>
      </c>
      <c r="AA1398">
        <v>10</v>
      </c>
      <c r="AB1398">
        <v>0.44</v>
      </c>
      <c r="AC1398">
        <v>217</v>
      </c>
      <c r="AD1398">
        <v>1</v>
      </c>
    </row>
    <row r="1399" spans="1:30" x14ac:dyDescent="0.55000000000000004">
      <c r="A1399">
        <v>111042</v>
      </c>
      <c r="B1399" s="19">
        <v>43657</v>
      </c>
      <c r="C1399">
        <v>1253</v>
      </c>
      <c r="D1399">
        <v>2019</v>
      </c>
      <c r="E1399">
        <v>25</v>
      </c>
      <c r="F1399">
        <v>671</v>
      </c>
      <c r="G1399">
        <v>2</v>
      </c>
      <c r="H1399">
        <v>2151</v>
      </c>
      <c r="I1399">
        <v>3</v>
      </c>
      <c r="J1399">
        <v>4709.24</v>
      </c>
      <c r="K1399">
        <v>8918</v>
      </c>
      <c r="L1399">
        <v>4709.21</v>
      </c>
      <c r="M1399">
        <v>8917.41</v>
      </c>
      <c r="N1399">
        <v>47.154000000000003</v>
      </c>
      <c r="O1399">
        <v>-89.3</v>
      </c>
      <c r="P1399">
        <v>47.153500000000001</v>
      </c>
      <c r="Q1399">
        <v>-89.290199999999999</v>
      </c>
      <c r="R1399">
        <v>22253.35642</v>
      </c>
      <c r="S1399">
        <v>143</v>
      </c>
      <c r="T1399">
        <v>142</v>
      </c>
      <c r="U1399">
        <v>0.5</v>
      </c>
      <c r="V1399">
        <v>2</v>
      </c>
      <c r="W1399">
        <v>11.9</v>
      </c>
      <c r="X1399">
        <v>11.7088</v>
      </c>
      <c r="Y1399">
        <v>0.15709999999999999</v>
      </c>
      <c r="Z1399">
        <v>85.223500000000001</v>
      </c>
      <c r="AA1399">
        <v>10</v>
      </c>
      <c r="AB1399">
        <v>0.44</v>
      </c>
      <c r="AC1399">
        <v>217</v>
      </c>
      <c r="AD1399">
        <v>6</v>
      </c>
    </row>
    <row r="1400" spans="1:30" x14ac:dyDescent="0.55000000000000004">
      <c r="A1400">
        <v>111043</v>
      </c>
      <c r="B1400" s="19">
        <v>43658</v>
      </c>
      <c r="C1400">
        <v>943</v>
      </c>
      <c r="D1400">
        <v>2019</v>
      </c>
      <c r="E1400">
        <v>25</v>
      </c>
      <c r="F1400">
        <v>672</v>
      </c>
      <c r="G1400">
        <v>2</v>
      </c>
      <c r="H1400">
        <v>2115</v>
      </c>
      <c r="I1400">
        <v>3</v>
      </c>
      <c r="J1400">
        <v>4724.95</v>
      </c>
      <c r="K1400">
        <v>8827.93</v>
      </c>
      <c r="L1400">
        <v>4725.22</v>
      </c>
      <c r="M1400">
        <v>8827.34</v>
      </c>
      <c r="N1400">
        <v>47.415799999999997</v>
      </c>
      <c r="O1400">
        <v>-88.465500000000006</v>
      </c>
      <c r="P1400">
        <v>47.420299999999997</v>
      </c>
      <c r="Q1400">
        <v>-88.455699999999993</v>
      </c>
      <c r="R1400">
        <v>6021.3592170000002</v>
      </c>
      <c r="S1400">
        <v>205</v>
      </c>
      <c r="T1400">
        <v>212</v>
      </c>
      <c r="U1400">
        <v>0.5</v>
      </c>
      <c r="V1400">
        <v>2</v>
      </c>
      <c r="W1400">
        <v>7.8</v>
      </c>
      <c r="X1400">
        <v>7.6516000000000002</v>
      </c>
      <c r="Y1400">
        <v>0.27560000000000001</v>
      </c>
      <c r="Z1400">
        <v>90.786299999999997</v>
      </c>
      <c r="AA1400">
        <v>10</v>
      </c>
      <c r="AB1400">
        <v>0.49</v>
      </c>
      <c r="AC1400">
        <v>217</v>
      </c>
      <c r="AD1400">
        <v>28</v>
      </c>
    </row>
    <row r="1401" spans="1:30" x14ac:dyDescent="0.55000000000000004">
      <c r="A1401">
        <v>111044</v>
      </c>
      <c r="B1401" s="19">
        <v>43658</v>
      </c>
      <c r="C1401">
        <v>943</v>
      </c>
      <c r="D1401">
        <v>2019</v>
      </c>
      <c r="E1401">
        <v>25</v>
      </c>
      <c r="F1401">
        <v>673</v>
      </c>
      <c r="G1401">
        <v>2</v>
      </c>
      <c r="H1401">
        <v>2115</v>
      </c>
      <c r="I1401">
        <v>3</v>
      </c>
      <c r="J1401">
        <v>4724.95</v>
      </c>
      <c r="K1401">
        <v>8827.93</v>
      </c>
      <c r="L1401">
        <v>4725.22</v>
      </c>
      <c r="M1401">
        <v>8827.34</v>
      </c>
      <c r="N1401">
        <v>47.415799999999997</v>
      </c>
      <c r="O1401">
        <v>-88.465500000000006</v>
      </c>
      <c r="P1401">
        <v>47.420299999999997</v>
      </c>
      <c r="Q1401">
        <v>-88.455699999999993</v>
      </c>
      <c r="R1401">
        <v>6021.3592170000002</v>
      </c>
      <c r="S1401">
        <v>205</v>
      </c>
      <c r="T1401">
        <v>212</v>
      </c>
      <c r="U1401">
        <v>0.5</v>
      </c>
      <c r="V1401">
        <v>2</v>
      </c>
      <c r="W1401">
        <v>7.8</v>
      </c>
      <c r="X1401">
        <v>7.6516000000000002</v>
      </c>
      <c r="Y1401">
        <v>0.27560000000000001</v>
      </c>
      <c r="Z1401">
        <v>90.786299999999997</v>
      </c>
      <c r="AA1401">
        <v>10</v>
      </c>
      <c r="AB1401">
        <v>0.49</v>
      </c>
      <c r="AC1401">
        <v>217</v>
      </c>
      <c r="AD1401">
        <v>17</v>
      </c>
    </row>
    <row r="1402" spans="1:30" x14ac:dyDescent="0.55000000000000004">
      <c r="A1402">
        <v>111045</v>
      </c>
      <c r="B1402" s="19">
        <v>43658</v>
      </c>
      <c r="C1402">
        <v>1413</v>
      </c>
      <c r="D1402">
        <v>2019</v>
      </c>
      <c r="E1402">
        <v>25</v>
      </c>
      <c r="F1402">
        <v>674</v>
      </c>
      <c r="G1402">
        <v>2</v>
      </c>
      <c r="H1402">
        <v>2128</v>
      </c>
      <c r="I1402">
        <v>3</v>
      </c>
      <c r="J1402">
        <v>4750.29</v>
      </c>
      <c r="K1402">
        <v>8844.68</v>
      </c>
      <c r="L1402">
        <v>4750.5200000000004</v>
      </c>
      <c r="M1402">
        <v>8844.19</v>
      </c>
      <c r="N1402">
        <v>47.838200000000001</v>
      </c>
      <c r="O1402">
        <v>-88.744699999999995</v>
      </c>
      <c r="P1402">
        <v>47.841999999999999</v>
      </c>
      <c r="Q1402">
        <v>-88.736500000000007</v>
      </c>
      <c r="R1402">
        <v>11023.97098</v>
      </c>
      <c r="S1402">
        <v>242</v>
      </c>
      <c r="T1402">
        <v>244</v>
      </c>
      <c r="U1402">
        <v>0.5</v>
      </c>
      <c r="V1402">
        <v>2</v>
      </c>
      <c r="W1402">
        <v>4.2</v>
      </c>
      <c r="X1402">
        <v>3.9748000000000001</v>
      </c>
      <c r="Y1402">
        <v>0.14810000000000001</v>
      </c>
      <c r="Z1402">
        <v>92.016099999999994</v>
      </c>
      <c r="AA1402">
        <v>10</v>
      </c>
      <c r="AB1402">
        <v>0.43</v>
      </c>
      <c r="AC1402">
        <v>217</v>
      </c>
      <c r="AD1402">
        <v>1</v>
      </c>
    </row>
    <row r="1403" spans="1:30" x14ac:dyDescent="0.55000000000000004">
      <c r="A1403">
        <v>111046</v>
      </c>
      <c r="B1403" s="19">
        <v>43658</v>
      </c>
      <c r="C1403">
        <v>1413</v>
      </c>
      <c r="D1403">
        <v>2019</v>
      </c>
      <c r="E1403">
        <v>25</v>
      </c>
      <c r="F1403">
        <v>675</v>
      </c>
      <c r="G1403">
        <v>2</v>
      </c>
      <c r="H1403">
        <v>2128</v>
      </c>
      <c r="I1403">
        <v>3</v>
      </c>
      <c r="J1403">
        <v>4750.29</v>
      </c>
      <c r="K1403">
        <v>8844.68</v>
      </c>
      <c r="L1403">
        <v>4750.5200000000004</v>
      </c>
      <c r="M1403">
        <v>8844.19</v>
      </c>
      <c r="N1403">
        <v>47.838200000000001</v>
      </c>
      <c r="O1403">
        <v>-88.744699999999995</v>
      </c>
      <c r="P1403">
        <v>47.841999999999999</v>
      </c>
      <c r="Q1403">
        <v>-88.736500000000007</v>
      </c>
      <c r="R1403">
        <v>11023.97098</v>
      </c>
      <c r="S1403">
        <v>242</v>
      </c>
      <c r="T1403">
        <v>244</v>
      </c>
      <c r="U1403">
        <v>0.5</v>
      </c>
      <c r="V1403">
        <v>2</v>
      </c>
      <c r="W1403">
        <v>4.2</v>
      </c>
      <c r="X1403">
        <v>3.9748000000000001</v>
      </c>
      <c r="Y1403">
        <v>0.14810000000000001</v>
      </c>
      <c r="Z1403">
        <v>92.016099999999994</v>
      </c>
      <c r="AA1403">
        <v>10</v>
      </c>
      <c r="AB1403">
        <v>0.43</v>
      </c>
      <c r="AC1403">
        <v>0</v>
      </c>
      <c r="AD1403">
        <v>0</v>
      </c>
    </row>
    <row r="1404" spans="1:30" x14ac:dyDescent="0.55000000000000004">
      <c r="A1404">
        <v>111048</v>
      </c>
      <c r="B1404" s="19">
        <v>43658</v>
      </c>
      <c r="C1404">
        <v>1748</v>
      </c>
      <c r="D1404">
        <v>2019</v>
      </c>
      <c r="E1404">
        <v>25</v>
      </c>
      <c r="F1404">
        <v>676</v>
      </c>
      <c r="G1404">
        <v>2</v>
      </c>
      <c r="H1404">
        <v>2134</v>
      </c>
      <c r="I1404">
        <v>3</v>
      </c>
      <c r="J1404">
        <v>4802.83</v>
      </c>
      <c r="K1404">
        <v>8814.7900000000009</v>
      </c>
      <c r="L1404">
        <v>4802.91</v>
      </c>
      <c r="M1404">
        <v>8815.31</v>
      </c>
      <c r="N1404">
        <v>48.047199999999997</v>
      </c>
      <c r="O1404">
        <v>-88.246499999999997</v>
      </c>
      <c r="P1404">
        <v>48.048499999999997</v>
      </c>
      <c r="Q1404">
        <v>-88.255200000000002</v>
      </c>
      <c r="R1404">
        <v>18309.673719999999</v>
      </c>
      <c r="S1404">
        <v>257</v>
      </c>
      <c r="T1404">
        <v>255</v>
      </c>
      <c r="U1404">
        <v>0.5</v>
      </c>
      <c r="V1404">
        <v>2</v>
      </c>
      <c r="W1404">
        <v>7.6</v>
      </c>
      <c r="X1404">
        <v>7.3784000000000001</v>
      </c>
      <c r="Y1404">
        <v>0.14149999999999999</v>
      </c>
      <c r="Z1404">
        <v>89.520099999999999</v>
      </c>
      <c r="AA1404">
        <v>10</v>
      </c>
      <c r="AB1404">
        <v>0.4</v>
      </c>
      <c r="AC1404">
        <v>0</v>
      </c>
      <c r="AD1404">
        <v>0</v>
      </c>
    </row>
    <row r="1405" spans="1:30" x14ac:dyDescent="0.55000000000000004">
      <c r="A1405">
        <v>111049</v>
      </c>
      <c r="B1405" s="19">
        <v>43658</v>
      </c>
      <c r="C1405">
        <v>1748</v>
      </c>
      <c r="D1405">
        <v>2019</v>
      </c>
      <c r="E1405">
        <v>25</v>
      </c>
      <c r="F1405">
        <v>677</v>
      </c>
      <c r="G1405">
        <v>2</v>
      </c>
      <c r="H1405">
        <v>2134</v>
      </c>
      <c r="I1405">
        <v>3</v>
      </c>
      <c r="J1405">
        <v>4802.83</v>
      </c>
      <c r="K1405">
        <v>8814.7900000000009</v>
      </c>
      <c r="L1405">
        <v>4802.91</v>
      </c>
      <c r="M1405">
        <v>8815.31</v>
      </c>
      <c r="N1405">
        <v>48.047199999999997</v>
      </c>
      <c r="O1405">
        <v>-88.246499999999997</v>
      </c>
      <c r="P1405">
        <v>48.048499999999997</v>
      </c>
      <c r="Q1405">
        <v>-88.255200000000002</v>
      </c>
      <c r="R1405">
        <v>18309.673719999999</v>
      </c>
      <c r="S1405">
        <v>257</v>
      </c>
      <c r="T1405">
        <v>255</v>
      </c>
      <c r="U1405">
        <v>0.5</v>
      </c>
      <c r="V1405">
        <v>2</v>
      </c>
      <c r="W1405">
        <v>7.6</v>
      </c>
      <c r="X1405">
        <v>7.3784000000000001</v>
      </c>
      <c r="Y1405">
        <v>0.14149999999999999</v>
      </c>
      <c r="Z1405">
        <v>89.520099999999999</v>
      </c>
      <c r="AA1405">
        <v>10</v>
      </c>
      <c r="AB1405">
        <v>0.4</v>
      </c>
      <c r="AC1405">
        <v>217</v>
      </c>
      <c r="AD1405">
        <v>1</v>
      </c>
    </row>
    <row r="1406" spans="1:30" x14ac:dyDescent="0.55000000000000004">
      <c r="A1406">
        <v>111052</v>
      </c>
      <c r="B1406" s="19">
        <v>43659</v>
      </c>
      <c r="C1406">
        <v>959</v>
      </c>
      <c r="D1406">
        <v>2019</v>
      </c>
      <c r="E1406">
        <v>25</v>
      </c>
      <c r="F1406">
        <v>678</v>
      </c>
      <c r="G1406">
        <v>2</v>
      </c>
      <c r="H1406">
        <v>2118</v>
      </c>
      <c r="I1406">
        <v>3</v>
      </c>
      <c r="J1406">
        <v>4752.4399999999996</v>
      </c>
      <c r="K1406">
        <v>8803.8799999999992</v>
      </c>
      <c r="L1406">
        <v>4752.4399999999996</v>
      </c>
      <c r="M1406">
        <v>8803.2800000000007</v>
      </c>
      <c r="N1406">
        <v>47.874000000000002</v>
      </c>
      <c r="O1406">
        <v>-88.064700000000002</v>
      </c>
      <c r="P1406">
        <v>47.874000000000002</v>
      </c>
      <c r="Q1406">
        <v>-88.054699999999997</v>
      </c>
      <c r="R1406">
        <v>42823.20031</v>
      </c>
      <c r="S1406">
        <v>249</v>
      </c>
      <c r="T1406">
        <v>246</v>
      </c>
      <c r="U1406">
        <v>0.5</v>
      </c>
      <c r="V1406">
        <v>2</v>
      </c>
      <c r="W1406">
        <v>4.5999999999999996</v>
      </c>
      <c r="X1406">
        <v>4.1985999999999999</v>
      </c>
      <c r="Y1406">
        <v>0.15759999999999999</v>
      </c>
      <c r="Z1406">
        <v>91.119399999999999</v>
      </c>
      <c r="AA1406">
        <v>10</v>
      </c>
      <c r="AB1406">
        <v>0.4</v>
      </c>
      <c r="AC1406">
        <v>217</v>
      </c>
      <c r="AD1406">
        <v>11</v>
      </c>
    </row>
    <row r="1407" spans="1:30" x14ac:dyDescent="0.55000000000000004">
      <c r="A1407">
        <v>111053</v>
      </c>
      <c r="B1407" s="19">
        <v>43659</v>
      </c>
      <c r="C1407">
        <v>959</v>
      </c>
      <c r="D1407">
        <v>2019</v>
      </c>
      <c r="E1407">
        <v>25</v>
      </c>
      <c r="F1407">
        <v>679</v>
      </c>
      <c r="G1407">
        <v>2</v>
      </c>
      <c r="H1407">
        <v>2118</v>
      </c>
      <c r="I1407">
        <v>3</v>
      </c>
      <c r="J1407">
        <v>4752.4399999999996</v>
      </c>
      <c r="K1407">
        <v>8803.8799999999992</v>
      </c>
      <c r="L1407">
        <v>4752.4399999999996</v>
      </c>
      <c r="M1407">
        <v>8803.2800000000007</v>
      </c>
      <c r="N1407">
        <v>47.874000000000002</v>
      </c>
      <c r="O1407">
        <v>-88.064700000000002</v>
      </c>
      <c r="P1407">
        <v>47.874000000000002</v>
      </c>
      <c r="Q1407">
        <v>-88.054699999999997</v>
      </c>
      <c r="R1407">
        <v>42823.20031</v>
      </c>
      <c r="S1407">
        <v>249</v>
      </c>
      <c r="T1407">
        <v>246</v>
      </c>
      <c r="U1407">
        <v>0.5</v>
      </c>
      <c r="V1407">
        <v>2</v>
      </c>
      <c r="W1407">
        <v>4.5999999999999996</v>
      </c>
      <c r="X1407">
        <v>4.1985999999999999</v>
      </c>
      <c r="Y1407">
        <v>0.15759999999999999</v>
      </c>
      <c r="Z1407">
        <v>91.119399999999999</v>
      </c>
      <c r="AA1407">
        <v>10</v>
      </c>
      <c r="AB1407">
        <v>0.4</v>
      </c>
      <c r="AC1407">
        <v>217</v>
      </c>
      <c r="AD1407">
        <v>9</v>
      </c>
    </row>
    <row r="1408" spans="1:30" x14ac:dyDescent="0.55000000000000004">
      <c r="A1408">
        <v>111054</v>
      </c>
      <c r="B1408" s="19">
        <v>43659</v>
      </c>
      <c r="C1408">
        <v>1237</v>
      </c>
      <c r="D1408">
        <v>2019</v>
      </c>
      <c r="E1408">
        <v>25</v>
      </c>
      <c r="F1408">
        <v>680</v>
      </c>
      <c r="G1408">
        <v>2</v>
      </c>
      <c r="H1408">
        <v>2122</v>
      </c>
      <c r="I1408">
        <v>3</v>
      </c>
      <c r="J1408">
        <v>4751.22</v>
      </c>
      <c r="K1408">
        <v>8743.44</v>
      </c>
      <c r="L1408">
        <v>4750.8</v>
      </c>
      <c r="M1408">
        <v>8743.44</v>
      </c>
      <c r="N1408">
        <v>47.853700000000003</v>
      </c>
      <c r="O1408">
        <v>-87.724000000000004</v>
      </c>
      <c r="P1408">
        <v>47.846699999999998</v>
      </c>
      <c r="Q1408">
        <v>-87.724000000000004</v>
      </c>
      <c r="R1408">
        <v>42429.281479999998</v>
      </c>
      <c r="S1408">
        <v>226</v>
      </c>
      <c r="T1408">
        <v>237</v>
      </c>
      <c r="U1408">
        <v>0.5</v>
      </c>
      <c r="V1408">
        <v>2</v>
      </c>
      <c r="W1408">
        <v>4.5</v>
      </c>
      <c r="X1408">
        <v>4.1818999999999997</v>
      </c>
      <c r="Y1408">
        <v>0.1444</v>
      </c>
      <c r="Z1408">
        <v>91.416399999999996</v>
      </c>
      <c r="AA1408">
        <v>10</v>
      </c>
      <c r="AB1408">
        <v>0.4</v>
      </c>
      <c r="AC1408">
        <v>217</v>
      </c>
      <c r="AD1408">
        <v>1</v>
      </c>
    </row>
    <row r="1409" spans="1:30" x14ac:dyDescent="0.55000000000000004">
      <c r="A1409">
        <v>111055</v>
      </c>
      <c r="B1409" s="19">
        <v>43659</v>
      </c>
      <c r="C1409">
        <v>1237</v>
      </c>
      <c r="D1409">
        <v>2019</v>
      </c>
      <c r="E1409">
        <v>25</v>
      </c>
      <c r="F1409">
        <v>681</v>
      </c>
      <c r="G1409">
        <v>2</v>
      </c>
      <c r="H1409">
        <v>2122</v>
      </c>
      <c r="I1409">
        <v>3</v>
      </c>
      <c r="J1409">
        <v>4751.22</v>
      </c>
      <c r="K1409">
        <v>8743.44</v>
      </c>
      <c r="L1409">
        <v>4750.8</v>
      </c>
      <c r="M1409">
        <v>8743.44</v>
      </c>
      <c r="N1409">
        <v>47.853700000000003</v>
      </c>
      <c r="O1409">
        <v>-87.724000000000004</v>
      </c>
      <c r="P1409">
        <v>47.846699999999998</v>
      </c>
      <c r="Q1409">
        <v>-87.724000000000004</v>
      </c>
      <c r="R1409">
        <v>42429.281479999998</v>
      </c>
      <c r="S1409">
        <v>226</v>
      </c>
      <c r="T1409">
        <v>237</v>
      </c>
      <c r="U1409">
        <v>0.5</v>
      </c>
      <c r="V1409">
        <v>2</v>
      </c>
      <c r="W1409">
        <v>4.5</v>
      </c>
      <c r="X1409">
        <v>4.1818999999999997</v>
      </c>
      <c r="Y1409">
        <v>0.1444</v>
      </c>
      <c r="Z1409">
        <v>91.416399999999996</v>
      </c>
      <c r="AA1409">
        <v>10</v>
      </c>
      <c r="AB1409">
        <v>0.4</v>
      </c>
      <c r="AC1409">
        <v>217</v>
      </c>
      <c r="AD1409">
        <v>1</v>
      </c>
    </row>
    <row r="1410" spans="1:30" x14ac:dyDescent="0.55000000000000004">
      <c r="A1410">
        <v>111057</v>
      </c>
      <c r="B1410" s="19">
        <v>43659</v>
      </c>
      <c r="C1410">
        <v>1631</v>
      </c>
      <c r="D1410">
        <v>2019</v>
      </c>
      <c r="E1410">
        <v>25</v>
      </c>
      <c r="F1410">
        <v>682</v>
      </c>
      <c r="G1410">
        <v>2</v>
      </c>
      <c r="H1410">
        <v>2138</v>
      </c>
      <c r="I1410">
        <v>3</v>
      </c>
      <c r="J1410">
        <v>4730.59</v>
      </c>
      <c r="K1410">
        <v>8713.4599999999991</v>
      </c>
      <c r="L1410">
        <v>4730.59</v>
      </c>
      <c r="M1410">
        <v>8712.84</v>
      </c>
      <c r="N1410">
        <v>47.509799999999998</v>
      </c>
      <c r="O1410">
        <v>-87.224299999999999</v>
      </c>
      <c r="P1410">
        <v>47.509799999999998</v>
      </c>
      <c r="Q1410">
        <v>-87.213999999999999</v>
      </c>
      <c r="R1410">
        <v>29316.039809999998</v>
      </c>
      <c r="S1410">
        <v>306</v>
      </c>
      <c r="T1410">
        <v>309</v>
      </c>
      <c r="U1410">
        <v>0.5</v>
      </c>
      <c r="V1410">
        <v>2</v>
      </c>
      <c r="W1410">
        <v>5</v>
      </c>
      <c r="X1410">
        <v>4.5594000000000001</v>
      </c>
      <c r="Y1410">
        <v>0.14410000000000001</v>
      </c>
      <c r="Z1410">
        <v>83.016099999999994</v>
      </c>
      <c r="AA1410">
        <v>10</v>
      </c>
      <c r="AB1410">
        <v>0.42</v>
      </c>
      <c r="AC1410">
        <v>217</v>
      </c>
      <c r="AD1410">
        <v>2</v>
      </c>
    </row>
    <row r="1411" spans="1:30" x14ac:dyDescent="0.55000000000000004">
      <c r="A1411">
        <v>111058</v>
      </c>
      <c r="B1411" s="19">
        <v>43659</v>
      </c>
      <c r="C1411">
        <v>1631</v>
      </c>
      <c r="D1411">
        <v>2019</v>
      </c>
      <c r="E1411">
        <v>25</v>
      </c>
      <c r="F1411">
        <v>683</v>
      </c>
      <c r="G1411">
        <v>2</v>
      </c>
      <c r="H1411">
        <v>2138</v>
      </c>
      <c r="I1411">
        <v>3</v>
      </c>
      <c r="J1411">
        <v>4730.59</v>
      </c>
      <c r="K1411">
        <v>8713.4599999999991</v>
      </c>
      <c r="L1411">
        <v>4730.59</v>
      </c>
      <c r="M1411">
        <v>8712.84</v>
      </c>
      <c r="N1411">
        <v>47.509799999999998</v>
      </c>
      <c r="O1411">
        <v>-87.224299999999999</v>
      </c>
      <c r="P1411">
        <v>47.509799999999998</v>
      </c>
      <c r="Q1411">
        <v>-87.213999999999999</v>
      </c>
      <c r="R1411">
        <v>29316.039809999998</v>
      </c>
      <c r="S1411">
        <v>306</v>
      </c>
      <c r="T1411">
        <v>309</v>
      </c>
      <c r="U1411">
        <v>0.5</v>
      </c>
      <c r="V1411">
        <v>2</v>
      </c>
      <c r="W1411">
        <v>5</v>
      </c>
      <c r="X1411">
        <v>4.5594000000000001</v>
      </c>
      <c r="Y1411">
        <v>0.14410000000000001</v>
      </c>
      <c r="Z1411">
        <v>83.016099999999994</v>
      </c>
      <c r="AA1411">
        <v>10</v>
      </c>
      <c r="AB1411">
        <v>0.42</v>
      </c>
      <c r="AC1411">
        <v>0</v>
      </c>
      <c r="AD1411">
        <v>0</v>
      </c>
    </row>
    <row r="1412" spans="1:30" x14ac:dyDescent="0.55000000000000004">
      <c r="A1412">
        <v>111059</v>
      </c>
      <c r="B1412" s="19">
        <v>43660</v>
      </c>
      <c r="C1412">
        <v>1107</v>
      </c>
      <c r="D1412">
        <v>2019</v>
      </c>
      <c r="E1412">
        <v>25</v>
      </c>
      <c r="F1412">
        <v>684</v>
      </c>
      <c r="G1412">
        <v>2</v>
      </c>
      <c r="H1412">
        <v>2150</v>
      </c>
      <c r="I1412">
        <v>3</v>
      </c>
      <c r="J1412">
        <v>4708.45</v>
      </c>
      <c r="K1412">
        <v>8723.2900000000009</v>
      </c>
      <c r="L1412">
        <v>4708.2</v>
      </c>
      <c r="M1412">
        <v>8722.85</v>
      </c>
      <c r="N1412">
        <v>47.140799999999999</v>
      </c>
      <c r="O1412">
        <v>-87.388199999999998</v>
      </c>
      <c r="P1412">
        <v>47.136699999999998</v>
      </c>
      <c r="Q1412">
        <v>-87.380799999999994</v>
      </c>
      <c r="R1412">
        <v>34208.448069999999</v>
      </c>
      <c r="S1412">
        <v>136</v>
      </c>
      <c r="T1412">
        <v>134</v>
      </c>
      <c r="U1412">
        <v>0.5</v>
      </c>
      <c r="V1412">
        <v>2</v>
      </c>
      <c r="W1412">
        <v>10.5</v>
      </c>
      <c r="X1412">
        <v>10.144299999999999</v>
      </c>
      <c r="Y1412">
        <v>0.17330000000000001</v>
      </c>
      <c r="Z1412">
        <v>79.945099999999996</v>
      </c>
      <c r="AA1412">
        <v>10</v>
      </c>
      <c r="AB1412">
        <v>0.42</v>
      </c>
      <c r="AC1412">
        <v>217</v>
      </c>
      <c r="AD1412">
        <v>3</v>
      </c>
    </row>
    <row r="1413" spans="1:30" x14ac:dyDescent="0.55000000000000004">
      <c r="A1413">
        <v>111060</v>
      </c>
      <c r="B1413" s="19">
        <v>43660</v>
      </c>
      <c r="C1413">
        <v>1107</v>
      </c>
      <c r="D1413">
        <v>2019</v>
      </c>
      <c r="E1413">
        <v>25</v>
      </c>
      <c r="F1413">
        <v>685</v>
      </c>
      <c r="G1413">
        <v>2</v>
      </c>
      <c r="H1413">
        <v>2150</v>
      </c>
      <c r="I1413">
        <v>3</v>
      </c>
      <c r="J1413">
        <v>4708.45</v>
      </c>
      <c r="K1413">
        <v>8723.2900000000009</v>
      </c>
      <c r="L1413">
        <v>4708.2</v>
      </c>
      <c r="M1413">
        <v>8722.85</v>
      </c>
      <c r="N1413">
        <v>47.140799999999999</v>
      </c>
      <c r="O1413">
        <v>-87.388199999999998</v>
      </c>
      <c r="P1413">
        <v>47.136699999999998</v>
      </c>
      <c r="Q1413">
        <v>-87.380799999999994</v>
      </c>
      <c r="R1413">
        <v>34208.448069999999</v>
      </c>
      <c r="S1413">
        <v>136</v>
      </c>
      <c r="T1413">
        <v>134</v>
      </c>
      <c r="U1413">
        <v>0.5</v>
      </c>
      <c r="V1413">
        <v>2</v>
      </c>
      <c r="W1413">
        <v>10.5</v>
      </c>
      <c r="X1413">
        <v>10.144299999999999</v>
      </c>
      <c r="Y1413">
        <v>0.17330000000000001</v>
      </c>
      <c r="Z1413">
        <v>79.945099999999996</v>
      </c>
      <c r="AA1413">
        <v>10</v>
      </c>
      <c r="AB1413">
        <v>0.42</v>
      </c>
      <c r="AC1413">
        <v>217</v>
      </c>
      <c r="AD1413">
        <v>3</v>
      </c>
    </row>
    <row r="1414" spans="1:30" x14ac:dyDescent="0.55000000000000004">
      <c r="A1414">
        <v>111061</v>
      </c>
      <c r="B1414" s="19">
        <v>43660</v>
      </c>
      <c r="C1414">
        <v>1334</v>
      </c>
      <c r="D1414">
        <v>2019</v>
      </c>
      <c r="E1414">
        <v>25</v>
      </c>
      <c r="F1414">
        <v>686</v>
      </c>
      <c r="G1414">
        <v>2</v>
      </c>
      <c r="H1414">
        <v>2154</v>
      </c>
      <c r="I1414">
        <v>3</v>
      </c>
      <c r="J1414">
        <v>4704.58</v>
      </c>
      <c r="K1414">
        <v>8709.94</v>
      </c>
      <c r="L1414">
        <v>4704.17</v>
      </c>
      <c r="M1414">
        <v>8709.94</v>
      </c>
      <c r="N1414">
        <v>47.076300000000003</v>
      </c>
      <c r="O1414">
        <v>-87.165700000000001</v>
      </c>
      <c r="P1414">
        <v>47.069499999999998</v>
      </c>
      <c r="Q1414">
        <v>-87.165700000000001</v>
      </c>
      <c r="R1414">
        <v>47021.675719999999</v>
      </c>
      <c r="S1414">
        <v>182</v>
      </c>
      <c r="T1414">
        <v>179</v>
      </c>
      <c r="U1414">
        <v>0.5</v>
      </c>
      <c r="V1414">
        <v>2</v>
      </c>
      <c r="W1414">
        <v>7.5</v>
      </c>
      <c r="X1414">
        <v>7.6483999999999996</v>
      </c>
      <c r="Y1414">
        <v>8.9800000000000005E-2</v>
      </c>
      <c r="Z1414">
        <v>89.325999999999993</v>
      </c>
      <c r="AA1414">
        <v>10</v>
      </c>
      <c r="AB1414">
        <v>0.45</v>
      </c>
      <c r="AC1414">
        <v>217</v>
      </c>
      <c r="AD1414">
        <v>1</v>
      </c>
    </row>
    <row r="1415" spans="1:30" x14ac:dyDescent="0.55000000000000004">
      <c r="A1415">
        <v>111062</v>
      </c>
      <c r="B1415" s="19">
        <v>43660</v>
      </c>
      <c r="C1415">
        <v>1334</v>
      </c>
      <c r="D1415">
        <v>2019</v>
      </c>
      <c r="E1415">
        <v>25</v>
      </c>
      <c r="F1415">
        <v>687</v>
      </c>
      <c r="G1415">
        <v>2</v>
      </c>
      <c r="H1415">
        <v>2154</v>
      </c>
      <c r="I1415">
        <v>3</v>
      </c>
      <c r="J1415">
        <v>4704.58</v>
      </c>
      <c r="K1415">
        <v>8709.94</v>
      </c>
      <c r="L1415">
        <v>4704.17</v>
      </c>
      <c r="M1415">
        <v>8709.94</v>
      </c>
      <c r="N1415">
        <v>47.076300000000003</v>
      </c>
      <c r="O1415">
        <v>-87.165700000000001</v>
      </c>
      <c r="P1415">
        <v>47.069499999999998</v>
      </c>
      <c r="Q1415">
        <v>-87.165700000000001</v>
      </c>
      <c r="R1415">
        <v>47021.675719999999</v>
      </c>
      <c r="S1415">
        <v>182</v>
      </c>
      <c r="T1415">
        <v>179</v>
      </c>
      <c r="U1415">
        <v>0.5</v>
      </c>
      <c r="V1415">
        <v>2</v>
      </c>
      <c r="W1415">
        <v>7.5</v>
      </c>
      <c r="X1415">
        <v>7.6483999999999996</v>
      </c>
      <c r="Y1415">
        <v>8.9800000000000005E-2</v>
      </c>
      <c r="Z1415">
        <v>89.325999999999993</v>
      </c>
      <c r="AA1415">
        <v>10</v>
      </c>
      <c r="AB1415">
        <v>0.45</v>
      </c>
      <c r="AC1415">
        <v>217</v>
      </c>
      <c r="AD1415">
        <v>1</v>
      </c>
    </row>
    <row r="1416" spans="1:30" x14ac:dyDescent="0.55000000000000004">
      <c r="A1416">
        <v>111063</v>
      </c>
      <c r="B1416" s="19">
        <v>43660</v>
      </c>
      <c r="C1416">
        <v>1608</v>
      </c>
      <c r="D1416">
        <v>2019</v>
      </c>
      <c r="E1416">
        <v>25</v>
      </c>
      <c r="F1416">
        <v>688</v>
      </c>
      <c r="G1416">
        <v>2</v>
      </c>
      <c r="H1416">
        <v>2152</v>
      </c>
      <c r="I1416">
        <v>3</v>
      </c>
      <c r="J1416">
        <v>4648.8100000000004</v>
      </c>
      <c r="K1416">
        <v>8702.0300000000007</v>
      </c>
      <c r="L1416">
        <v>4648.45</v>
      </c>
      <c r="M1416">
        <v>8701.7999999999993</v>
      </c>
      <c r="N1416">
        <v>46.813499999999998</v>
      </c>
      <c r="O1416">
        <v>-87.033799999999999</v>
      </c>
      <c r="P1416">
        <v>46.807499999999997</v>
      </c>
      <c r="Q1416">
        <v>-87.03</v>
      </c>
      <c r="R1416">
        <v>30091.805219999998</v>
      </c>
      <c r="S1416">
        <v>148</v>
      </c>
      <c r="T1416">
        <v>146</v>
      </c>
      <c r="U1416">
        <v>0.5</v>
      </c>
      <c r="V1416">
        <v>2</v>
      </c>
      <c r="W1416">
        <v>10</v>
      </c>
      <c r="X1416">
        <v>8.7420000000000009</v>
      </c>
      <c r="Y1416">
        <v>0.15740000000000001</v>
      </c>
      <c r="Z1416">
        <v>79.2149</v>
      </c>
      <c r="AA1416">
        <v>10</v>
      </c>
      <c r="AB1416">
        <v>0.39</v>
      </c>
      <c r="AC1416">
        <v>217</v>
      </c>
      <c r="AD1416">
        <v>2</v>
      </c>
    </row>
    <row r="1417" spans="1:30" x14ac:dyDescent="0.55000000000000004">
      <c r="A1417">
        <v>111064</v>
      </c>
      <c r="B1417" s="19">
        <v>43660</v>
      </c>
      <c r="C1417">
        <v>1608</v>
      </c>
      <c r="D1417">
        <v>2019</v>
      </c>
      <c r="E1417">
        <v>25</v>
      </c>
      <c r="F1417">
        <v>689</v>
      </c>
      <c r="G1417">
        <v>2</v>
      </c>
      <c r="H1417">
        <v>2152</v>
      </c>
      <c r="I1417">
        <v>3</v>
      </c>
      <c r="J1417">
        <v>4648.8100000000004</v>
      </c>
      <c r="K1417">
        <v>8702.0300000000007</v>
      </c>
      <c r="L1417">
        <v>4648.45</v>
      </c>
      <c r="M1417">
        <v>8701.7999999999993</v>
      </c>
      <c r="N1417">
        <v>46.813499999999998</v>
      </c>
      <c r="O1417">
        <v>-87.033799999999999</v>
      </c>
      <c r="P1417">
        <v>46.807499999999997</v>
      </c>
      <c r="Q1417">
        <v>-87.03</v>
      </c>
      <c r="R1417">
        <v>30091.805219999998</v>
      </c>
      <c r="S1417">
        <v>148</v>
      </c>
      <c r="T1417">
        <v>146</v>
      </c>
      <c r="U1417">
        <v>0.5</v>
      </c>
      <c r="V1417">
        <v>2</v>
      </c>
      <c r="W1417">
        <v>10</v>
      </c>
      <c r="X1417">
        <v>8.7420000000000009</v>
      </c>
      <c r="Y1417">
        <v>0.15740000000000001</v>
      </c>
      <c r="Z1417">
        <v>79.2149</v>
      </c>
      <c r="AA1417">
        <v>10</v>
      </c>
      <c r="AB1417">
        <v>0.39</v>
      </c>
      <c r="AC1417">
        <v>217</v>
      </c>
      <c r="AD1417">
        <v>2</v>
      </c>
    </row>
    <row r="1418" spans="1:30" x14ac:dyDescent="0.55000000000000004">
      <c r="A1418">
        <v>111068</v>
      </c>
      <c r="B1418" s="19">
        <v>43661</v>
      </c>
      <c r="C1418">
        <v>916</v>
      </c>
      <c r="D1418">
        <v>2019</v>
      </c>
      <c r="E1418">
        <v>25</v>
      </c>
      <c r="F1418">
        <v>690</v>
      </c>
      <c r="G1418">
        <v>2</v>
      </c>
      <c r="H1418">
        <v>2116</v>
      </c>
      <c r="I1418">
        <v>3</v>
      </c>
      <c r="J1418">
        <v>4644.9399999999996</v>
      </c>
      <c r="K1418">
        <v>8632.65</v>
      </c>
      <c r="L1418">
        <v>4645.04</v>
      </c>
      <c r="M1418">
        <v>8632.1</v>
      </c>
      <c r="N1418">
        <v>46.749000000000002</v>
      </c>
      <c r="O1418">
        <v>-86.544200000000004</v>
      </c>
      <c r="P1418">
        <v>46.750700000000002</v>
      </c>
      <c r="Q1418">
        <v>-86.534999999999997</v>
      </c>
      <c r="R1418">
        <v>22714.790079999999</v>
      </c>
      <c r="S1418">
        <v>177</v>
      </c>
      <c r="T1418">
        <v>183</v>
      </c>
      <c r="U1418">
        <v>0.5</v>
      </c>
      <c r="V1418">
        <v>2</v>
      </c>
      <c r="W1418">
        <v>10.6</v>
      </c>
      <c r="X1418">
        <v>10.0402</v>
      </c>
      <c r="Y1418">
        <v>0.1216</v>
      </c>
      <c r="Z1418">
        <v>76.744900000000001</v>
      </c>
      <c r="AA1418">
        <v>10</v>
      </c>
      <c r="AB1418">
        <v>0.42</v>
      </c>
      <c r="AC1418">
        <v>217</v>
      </c>
      <c r="AD1418">
        <v>55</v>
      </c>
    </row>
    <row r="1419" spans="1:30" x14ac:dyDescent="0.55000000000000004">
      <c r="A1419">
        <v>111069</v>
      </c>
      <c r="B1419" s="19">
        <v>43661</v>
      </c>
      <c r="C1419">
        <v>916</v>
      </c>
      <c r="D1419">
        <v>2019</v>
      </c>
      <c r="E1419">
        <v>25</v>
      </c>
      <c r="F1419">
        <v>691</v>
      </c>
      <c r="G1419">
        <v>2</v>
      </c>
      <c r="H1419">
        <v>2116</v>
      </c>
      <c r="I1419">
        <v>3</v>
      </c>
      <c r="J1419">
        <v>4644.9399999999996</v>
      </c>
      <c r="K1419">
        <v>8632.65</v>
      </c>
      <c r="L1419">
        <v>4645.04</v>
      </c>
      <c r="M1419">
        <v>8632.1</v>
      </c>
      <c r="N1419">
        <v>46.749000000000002</v>
      </c>
      <c r="O1419">
        <v>-86.544200000000004</v>
      </c>
      <c r="P1419">
        <v>46.750700000000002</v>
      </c>
      <c r="Q1419">
        <v>-86.534999999999997</v>
      </c>
      <c r="R1419">
        <v>22714.790079999999</v>
      </c>
      <c r="S1419">
        <v>177</v>
      </c>
      <c r="T1419">
        <v>183</v>
      </c>
      <c r="U1419">
        <v>0.5</v>
      </c>
      <c r="V1419">
        <v>2</v>
      </c>
      <c r="W1419">
        <v>10.6</v>
      </c>
      <c r="X1419">
        <v>10.0402</v>
      </c>
      <c r="Y1419">
        <v>0.1216</v>
      </c>
      <c r="Z1419">
        <v>76.744900000000001</v>
      </c>
      <c r="AA1419">
        <v>10</v>
      </c>
      <c r="AB1419">
        <v>0.42</v>
      </c>
      <c r="AC1419">
        <v>217</v>
      </c>
      <c r="AD1419">
        <v>32</v>
      </c>
    </row>
    <row r="1420" spans="1:30" x14ac:dyDescent="0.55000000000000004">
      <c r="A1420">
        <v>111071</v>
      </c>
      <c r="B1420" s="19">
        <v>43661</v>
      </c>
      <c r="C1420">
        <v>1321</v>
      </c>
      <c r="D1420">
        <v>2019</v>
      </c>
      <c r="E1420">
        <v>25</v>
      </c>
      <c r="F1420">
        <v>692</v>
      </c>
      <c r="G1420">
        <v>2</v>
      </c>
      <c r="H1420">
        <v>2141</v>
      </c>
      <c r="I1420">
        <v>3</v>
      </c>
      <c r="J1420">
        <v>4707.91</v>
      </c>
      <c r="K1420">
        <v>8610.2900000000009</v>
      </c>
      <c r="L1420">
        <v>4707.57</v>
      </c>
      <c r="M1420">
        <v>8610</v>
      </c>
      <c r="N1420">
        <v>47.131799999999998</v>
      </c>
      <c r="O1420">
        <v>-86.171499999999995</v>
      </c>
      <c r="P1420">
        <v>47.126199999999997</v>
      </c>
      <c r="Q1420">
        <v>-86.166700000000006</v>
      </c>
      <c r="R1420">
        <v>35566.606749999999</v>
      </c>
      <c r="S1420">
        <v>148</v>
      </c>
      <c r="T1420">
        <v>145</v>
      </c>
      <c r="U1420">
        <v>0.5</v>
      </c>
      <c r="V1420">
        <v>2</v>
      </c>
      <c r="W1420">
        <v>5.4</v>
      </c>
      <c r="X1420">
        <v>4.6707999999999998</v>
      </c>
      <c r="Y1420">
        <v>0.12379999999999999</v>
      </c>
      <c r="Z1420">
        <v>90.938599999999994</v>
      </c>
      <c r="AA1420">
        <v>10</v>
      </c>
      <c r="AB1420">
        <v>0.43</v>
      </c>
      <c r="AC1420">
        <v>217</v>
      </c>
      <c r="AD1420">
        <v>7</v>
      </c>
    </row>
    <row r="1421" spans="1:30" x14ac:dyDescent="0.55000000000000004">
      <c r="A1421">
        <v>111072</v>
      </c>
      <c r="B1421" s="19">
        <v>43661</v>
      </c>
      <c r="C1421">
        <v>1321</v>
      </c>
      <c r="D1421">
        <v>2019</v>
      </c>
      <c r="E1421">
        <v>25</v>
      </c>
      <c r="F1421">
        <v>693</v>
      </c>
      <c r="G1421">
        <v>2</v>
      </c>
      <c r="H1421">
        <v>2141</v>
      </c>
      <c r="I1421">
        <v>3</v>
      </c>
      <c r="J1421">
        <v>4707.91</v>
      </c>
      <c r="K1421">
        <v>8610.2900000000009</v>
      </c>
      <c r="L1421">
        <v>4707.57</v>
      </c>
      <c r="M1421">
        <v>8610</v>
      </c>
      <c r="N1421">
        <v>47.131799999999998</v>
      </c>
      <c r="O1421">
        <v>-86.171499999999995</v>
      </c>
      <c r="P1421">
        <v>47.126199999999997</v>
      </c>
      <c r="Q1421">
        <v>-86.166700000000006</v>
      </c>
      <c r="R1421">
        <v>35566.606749999999</v>
      </c>
      <c r="S1421">
        <v>148</v>
      </c>
      <c r="T1421">
        <v>145</v>
      </c>
      <c r="U1421">
        <v>0.5</v>
      </c>
      <c r="V1421">
        <v>2</v>
      </c>
      <c r="W1421">
        <v>5.4</v>
      </c>
      <c r="X1421">
        <v>4.6707999999999998</v>
      </c>
      <c r="Y1421">
        <v>0.12379999999999999</v>
      </c>
      <c r="Z1421">
        <v>90.938599999999994</v>
      </c>
      <c r="AA1421">
        <v>10</v>
      </c>
      <c r="AB1421">
        <v>0.43</v>
      </c>
      <c r="AC1421">
        <v>217</v>
      </c>
      <c r="AD1421">
        <v>1</v>
      </c>
    </row>
    <row r="1422" spans="1:30" x14ac:dyDescent="0.55000000000000004">
      <c r="A1422">
        <v>111074</v>
      </c>
      <c r="B1422" s="19">
        <v>43661</v>
      </c>
      <c r="C1422">
        <v>1506</v>
      </c>
      <c r="D1422">
        <v>2019</v>
      </c>
      <c r="E1422">
        <v>25</v>
      </c>
      <c r="F1422">
        <v>694</v>
      </c>
      <c r="G1422">
        <v>2</v>
      </c>
      <c r="H1422">
        <v>2125</v>
      </c>
      <c r="I1422">
        <v>3</v>
      </c>
      <c r="J1422">
        <v>4706.54</v>
      </c>
      <c r="K1422">
        <v>8558.48</v>
      </c>
      <c r="L1422">
        <v>4706.17</v>
      </c>
      <c r="M1422">
        <v>8558.27</v>
      </c>
      <c r="N1422">
        <v>47.109000000000002</v>
      </c>
      <c r="O1422">
        <v>-85.974699999999999</v>
      </c>
      <c r="P1422">
        <v>47.102800000000002</v>
      </c>
      <c r="Q1422">
        <v>-85.971199999999996</v>
      </c>
      <c r="R1422">
        <v>28316.628680000002</v>
      </c>
      <c r="S1422">
        <v>176</v>
      </c>
      <c r="T1422">
        <v>189</v>
      </c>
      <c r="U1422">
        <v>0.5</v>
      </c>
      <c r="V1422">
        <v>2</v>
      </c>
      <c r="W1422">
        <v>5.7</v>
      </c>
      <c r="X1422">
        <v>5.3174999999999999</v>
      </c>
      <c r="Y1422">
        <v>0.14630000000000001</v>
      </c>
      <c r="Z1422">
        <v>88.029399999999995</v>
      </c>
      <c r="AA1422">
        <v>10</v>
      </c>
      <c r="AB1422">
        <v>0.42</v>
      </c>
      <c r="AC1422">
        <v>217</v>
      </c>
      <c r="AD1422">
        <v>1</v>
      </c>
    </row>
    <row r="1423" spans="1:30" x14ac:dyDescent="0.55000000000000004">
      <c r="A1423">
        <v>111075</v>
      </c>
      <c r="B1423" s="19">
        <v>43661</v>
      </c>
      <c r="C1423">
        <v>1506</v>
      </c>
      <c r="D1423">
        <v>2019</v>
      </c>
      <c r="E1423">
        <v>25</v>
      </c>
      <c r="F1423">
        <v>695</v>
      </c>
      <c r="G1423">
        <v>2</v>
      </c>
      <c r="H1423">
        <v>2125</v>
      </c>
      <c r="I1423">
        <v>3</v>
      </c>
      <c r="J1423">
        <v>4706.54</v>
      </c>
      <c r="K1423">
        <v>8558.48</v>
      </c>
      <c r="L1423">
        <v>4706.17</v>
      </c>
      <c r="M1423">
        <v>8558.27</v>
      </c>
      <c r="N1423">
        <v>47.109000000000002</v>
      </c>
      <c r="O1423">
        <v>-85.974699999999999</v>
      </c>
      <c r="P1423">
        <v>47.102800000000002</v>
      </c>
      <c r="Q1423">
        <v>-85.971199999999996</v>
      </c>
      <c r="R1423">
        <v>28316.628680000002</v>
      </c>
      <c r="S1423">
        <v>176</v>
      </c>
      <c r="T1423">
        <v>189</v>
      </c>
      <c r="U1423">
        <v>0.5</v>
      </c>
      <c r="V1423">
        <v>2</v>
      </c>
      <c r="W1423">
        <v>5.7</v>
      </c>
      <c r="X1423">
        <v>5.3174999999999999</v>
      </c>
      <c r="Y1423">
        <v>0.14630000000000001</v>
      </c>
      <c r="Z1423">
        <v>88.029399999999995</v>
      </c>
      <c r="AA1423">
        <v>10</v>
      </c>
      <c r="AB1423">
        <v>0.42</v>
      </c>
      <c r="AC1423">
        <v>217</v>
      </c>
      <c r="AD1423">
        <v>1</v>
      </c>
    </row>
    <row r="1424" spans="1:30" x14ac:dyDescent="0.55000000000000004">
      <c r="A1424">
        <v>111077</v>
      </c>
      <c r="B1424" s="19">
        <v>43662</v>
      </c>
      <c r="C1424">
        <v>925</v>
      </c>
      <c r="D1424">
        <v>2019</v>
      </c>
      <c r="E1424">
        <v>25</v>
      </c>
      <c r="F1424">
        <v>696</v>
      </c>
      <c r="G1424">
        <v>2</v>
      </c>
      <c r="H1424">
        <v>2148</v>
      </c>
      <c r="I1424">
        <v>3</v>
      </c>
      <c r="J1424">
        <v>4653.49</v>
      </c>
      <c r="K1424">
        <v>8531.92</v>
      </c>
      <c r="L1424">
        <v>4653.91</v>
      </c>
      <c r="M1424">
        <v>8531.94</v>
      </c>
      <c r="N1424">
        <v>46.891500000000001</v>
      </c>
      <c r="O1424">
        <v>-85.531999999999996</v>
      </c>
      <c r="P1424">
        <v>46.898499999999999</v>
      </c>
      <c r="Q1424">
        <v>-85.532300000000006</v>
      </c>
      <c r="R1424">
        <v>23830.26771</v>
      </c>
      <c r="S1424">
        <v>160</v>
      </c>
      <c r="T1424">
        <v>159</v>
      </c>
      <c r="U1424">
        <v>0.5</v>
      </c>
      <c r="V1424">
        <v>2</v>
      </c>
      <c r="W1424">
        <v>6.4</v>
      </c>
      <c r="X1424">
        <v>5.6401000000000003</v>
      </c>
      <c r="Y1424">
        <v>0.1208</v>
      </c>
      <c r="Z1424">
        <v>82.562799999999996</v>
      </c>
      <c r="AA1424">
        <v>10</v>
      </c>
      <c r="AB1424">
        <v>0.43</v>
      </c>
      <c r="AC1424">
        <v>217</v>
      </c>
      <c r="AD1424">
        <v>1</v>
      </c>
    </row>
    <row r="1425" spans="1:30" x14ac:dyDescent="0.55000000000000004">
      <c r="A1425">
        <v>111078</v>
      </c>
      <c r="B1425" s="19">
        <v>43662</v>
      </c>
      <c r="C1425">
        <v>925</v>
      </c>
      <c r="D1425">
        <v>2019</v>
      </c>
      <c r="E1425">
        <v>25</v>
      </c>
      <c r="F1425">
        <v>697</v>
      </c>
      <c r="G1425">
        <v>2</v>
      </c>
      <c r="H1425">
        <v>2148</v>
      </c>
      <c r="I1425">
        <v>3</v>
      </c>
      <c r="J1425">
        <v>4653.49</v>
      </c>
      <c r="K1425">
        <v>8531.92</v>
      </c>
      <c r="L1425">
        <v>4653.91</v>
      </c>
      <c r="M1425">
        <v>8531.94</v>
      </c>
      <c r="N1425">
        <v>46.891500000000001</v>
      </c>
      <c r="O1425">
        <v>-85.531999999999996</v>
      </c>
      <c r="P1425">
        <v>46.898499999999999</v>
      </c>
      <c r="Q1425">
        <v>-85.532300000000006</v>
      </c>
      <c r="R1425">
        <v>23830.26771</v>
      </c>
      <c r="S1425">
        <v>160</v>
      </c>
      <c r="T1425">
        <v>159</v>
      </c>
      <c r="U1425">
        <v>0.5</v>
      </c>
      <c r="V1425">
        <v>2</v>
      </c>
      <c r="W1425">
        <v>6.4</v>
      </c>
      <c r="X1425">
        <v>5.6401000000000003</v>
      </c>
      <c r="Y1425">
        <v>0.1208</v>
      </c>
      <c r="Z1425">
        <v>82.562799999999996</v>
      </c>
      <c r="AA1425">
        <v>10</v>
      </c>
      <c r="AB1425">
        <v>0.43</v>
      </c>
      <c r="AC1425">
        <v>217</v>
      </c>
      <c r="AD1425">
        <v>1</v>
      </c>
    </row>
    <row r="1426" spans="1:30" x14ac:dyDescent="0.55000000000000004">
      <c r="A1426">
        <v>111079</v>
      </c>
      <c r="B1426" s="19">
        <v>43662</v>
      </c>
      <c r="C1426">
        <v>1048</v>
      </c>
      <c r="D1426">
        <v>2019</v>
      </c>
      <c r="E1426">
        <v>25</v>
      </c>
      <c r="F1426">
        <v>698</v>
      </c>
      <c r="G1426">
        <v>2</v>
      </c>
      <c r="H1426">
        <v>2039</v>
      </c>
      <c r="I1426">
        <v>3</v>
      </c>
      <c r="J1426">
        <v>4654.83</v>
      </c>
      <c r="K1426">
        <v>8529.44</v>
      </c>
      <c r="L1426">
        <v>4654.6000000000004</v>
      </c>
      <c r="M1426">
        <v>8524.9699999999993</v>
      </c>
      <c r="N1426">
        <v>46.913800000000002</v>
      </c>
      <c r="O1426">
        <v>-85.490700000000004</v>
      </c>
      <c r="P1426">
        <v>46.91</v>
      </c>
      <c r="Q1426">
        <v>-85.416200000000003</v>
      </c>
      <c r="R1426">
        <v>21237.73359</v>
      </c>
      <c r="S1426">
        <v>86</v>
      </c>
      <c r="T1426">
        <v>92</v>
      </c>
      <c r="U1426">
        <v>0.5</v>
      </c>
      <c r="V1426">
        <v>2</v>
      </c>
      <c r="W1426">
        <v>7.6</v>
      </c>
      <c r="X1426">
        <v>7.2892000000000001</v>
      </c>
      <c r="Y1426">
        <v>0.18079999999999999</v>
      </c>
      <c r="Z1426">
        <v>91.773799999999994</v>
      </c>
      <c r="AA1426">
        <v>10</v>
      </c>
      <c r="AB1426">
        <v>0.44</v>
      </c>
      <c r="AC1426">
        <v>217</v>
      </c>
      <c r="AD1426">
        <v>3</v>
      </c>
    </row>
    <row r="1427" spans="1:30" x14ac:dyDescent="0.55000000000000004">
      <c r="A1427">
        <v>111080</v>
      </c>
      <c r="B1427" s="19">
        <v>43662</v>
      </c>
      <c r="C1427">
        <v>1048</v>
      </c>
      <c r="D1427">
        <v>2019</v>
      </c>
      <c r="E1427">
        <v>25</v>
      </c>
      <c r="F1427">
        <v>699</v>
      </c>
      <c r="G1427">
        <v>2</v>
      </c>
      <c r="H1427">
        <v>2039</v>
      </c>
      <c r="I1427">
        <v>3</v>
      </c>
      <c r="J1427">
        <v>4654.83</v>
      </c>
      <c r="K1427">
        <v>8529.44</v>
      </c>
      <c r="L1427">
        <v>4654.6000000000004</v>
      </c>
      <c r="M1427">
        <v>8524.9699999999993</v>
      </c>
      <c r="N1427">
        <v>46.913800000000002</v>
      </c>
      <c r="O1427">
        <v>-85.490700000000004</v>
      </c>
      <c r="P1427">
        <v>46.91</v>
      </c>
      <c r="Q1427">
        <v>-85.416200000000003</v>
      </c>
      <c r="R1427">
        <v>21237.73359</v>
      </c>
      <c r="S1427">
        <v>86</v>
      </c>
      <c r="T1427">
        <v>92</v>
      </c>
      <c r="U1427">
        <v>0.5</v>
      </c>
      <c r="V1427">
        <v>2</v>
      </c>
      <c r="W1427">
        <v>7.6</v>
      </c>
      <c r="X1427">
        <v>7.2892000000000001</v>
      </c>
      <c r="Y1427">
        <v>0.18079999999999999</v>
      </c>
      <c r="Z1427">
        <v>91.773799999999994</v>
      </c>
      <c r="AA1427">
        <v>10</v>
      </c>
      <c r="AB1427">
        <v>0.44</v>
      </c>
      <c r="AC1427">
        <v>217</v>
      </c>
      <c r="AD1427">
        <v>1</v>
      </c>
    </row>
    <row r="1428" spans="1:30" x14ac:dyDescent="0.55000000000000004">
      <c r="A1428">
        <v>111083</v>
      </c>
      <c r="B1428" s="19">
        <v>43664</v>
      </c>
      <c r="C1428">
        <v>1335</v>
      </c>
      <c r="D1428">
        <v>2019</v>
      </c>
      <c r="E1428">
        <v>25</v>
      </c>
      <c r="F1428">
        <v>700</v>
      </c>
      <c r="G1428">
        <v>2</v>
      </c>
      <c r="H1428">
        <v>2137</v>
      </c>
      <c r="I1428">
        <v>3</v>
      </c>
      <c r="J1428">
        <v>4712.6899999999996</v>
      </c>
      <c r="K1428">
        <v>8506.17</v>
      </c>
      <c r="L1428">
        <v>4713.05</v>
      </c>
      <c r="M1428">
        <v>8506.17</v>
      </c>
      <c r="N1428">
        <v>47.211500000000001</v>
      </c>
      <c r="O1428">
        <v>-85.102800000000002</v>
      </c>
      <c r="P1428">
        <v>47.217500000000001</v>
      </c>
      <c r="Q1428">
        <v>-85.102800000000002</v>
      </c>
      <c r="R1428">
        <v>26762.228330000002</v>
      </c>
      <c r="S1428">
        <v>210</v>
      </c>
      <c r="T1428">
        <v>213</v>
      </c>
      <c r="U1428">
        <v>0.5</v>
      </c>
      <c r="V1428">
        <v>2</v>
      </c>
      <c r="W1428">
        <v>4.5999999999999996</v>
      </c>
      <c r="X1428">
        <v>4.3479000000000001</v>
      </c>
      <c r="Y1428">
        <v>0.18609999999999999</v>
      </c>
      <c r="Z1428">
        <v>90.5214</v>
      </c>
      <c r="AA1428">
        <v>10</v>
      </c>
      <c r="AB1428">
        <v>0.41</v>
      </c>
      <c r="AC1428">
        <v>217</v>
      </c>
      <c r="AD1428">
        <v>19</v>
      </c>
    </row>
    <row r="1429" spans="1:30" x14ac:dyDescent="0.55000000000000004">
      <c r="A1429">
        <v>111084</v>
      </c>
      <c r="B1429" s="19">
        <v>43664</v>
      </c>
      <c r="C1429">
        <v>1335</v>
      </c>
      <c r="D1429">
        <v>2019</v>
      </c>
      <c r="E1429">
        <v>25</v>
      </c>
      <c r="F1429">
        <v>701</v>
      </c>
      <c r="G1429">
        <v>2</v>
      </c>
      <c r="H1429">
        <v>2137</v>
      </c>
      <c r="I1429">
        <v>3</v>
      </c>
      <c r="J1429">
        <v>4712.6899999999996</v>
      </c>
      <c r="K1429">
        <v>8506.17</v>
      </c>
      <c r="L1429">
        <v>4713.05</v>
      </c>
      <c r="M1429">
        <v>8506.17</v>
      </c>
      <c r="N1429">
        <v>47.211500000000001</v>
      </c>
      <c r="O1429">
        <v>-85.102800000000002</v>
      </c>
      <c r="P1429">
        <v>47.217500000000001</v>
      </c>
      <c r="Q1429">
        <v>-85.102800000000002</v>
      </c>
      <c r="R1429">
        <v>26762.228330000002</v>
      </c>
      <c r="S1429">
        <v>210</v>
      </c>
      <c r="T1429">
        <v>213</v>
      </c>
      <c r="U1429">
        <v>0.5</v>
      </c>
      <c r="V1429">
        <v>2</v>
      </c>
      <c r="W1429">
        <v>4.5999999999999996</v>
      </c>
      <c r="X1429">
        <v>4.3479000000000001</v>
      </c>
      <c r="Y1429">
        <v>0.18609999999999999</v>
      </c>
      <c r="Z1429">
        <v>90.5214</v>
      </c>
      <c r="AA1429">
        <v>10</v>
      </c>
      <c r="AB1429">
        <v>0.41</v>
      </c>
      <c r="AC1429">
        <v>217</v>
      </c>
      <c r="AD1429">
        <v>8</v>
      </c>
    </row>
    <row r="1430" spans="1:30" x14ac:dyDescent="0.55000000000000004">
      <c r="A1430">
        <v>111086</v>
      </c>
      <c r="B1430" s="19">
        <v>43664</v>
      </c>
      <c r="C1430">
        <v>1614</v>
      </c>
      <c r="D1430">
        <v>2019</v>
      </c>
      <c r="E1430">
        <v>25</v>
      </c>
      <c r="F1430">
        <v>702</v>
      </c>
      <c r="G1430">
        <v>2</v>
      </c>
      <c r="H1430">
        <v>2121</v>
      </c>
      <c r="I1430">
        <v>3</v>
      </c>
      <c r="J1430">
        <v>4727.32</v>
      </c>
      <c r="K1430">
        <v>8515.9699999999993</v>
      </c>
      <c r="L1430">
        <v>4727.66</v>
      </c>
      <c r="M1430">
        <v>8515.8700000000008</v>
      </c>
      <c r="N1430">
        <v>47.455300000000001</v>
      </c>
      <c r="O1430">
        <v>-85.266199999999998</v>
      </c>
      <c r="P1430">
        <v>47.460999999999999</v>
      </c>
      <c r="Q1430">
        <v>-85.264499999999998</v>
      </c>
      <c r="R1430">
        <v>22827.845590000001</v>
      </c>
      <c r="S1430">
        <v>273</v>
      </c>
      <c r="T1430">
        <v>281</v>
      </c>
      <c r="U1430">
        <v>0.5</v>
      </c>
      <c r="V1430">
        <v>2</v>
      </c>
      <c r="W1430">
        <v>4.7</v>
      </c>
      <c r="X1430">
        <v>4.3728999999999996</v>
      </c>
      <c r="Y1430">
        <v>0.22239999999999999</v>
      </c>
      <c r="Z1430">
        <v>90.4953</v>
      </c>
      <c r="AA1430">
        <v>10</v>
      </c>
      <c r="AB1430">
        <v>0.42</v>
      </c>
      <c r="AC1430">
        <v>217</v>
      </c>
      <c r="AD1430">
        <v>16</v>
      </c>
    </row>
    <row r="1431" spans="1:30" x14ac:dyDescent="0.55000000000000004">
      <c r="A1431">
        <v>111087</v>
      </c>
      <c r="B1431" s="19">
        <v>43664</v>
      </c>
      <c r="C1431">
        <v>1614</v>
      </c>
      <c r="D1431">
        <v>2019</v>
      </c>
      <c r="E1431">
        <v>25</v>
      </c>
      <c r="F1431">
        <v>703</v>
      </c>
      <c r="G1431">
        <v>2</v>
      </c>
      <c r="H1431">
        <v>2121</v>
      </c>
      <c r="I1431">
        <v>3</v>
      </c>
      <c r="J1431">
        <v>4727.32</v>
      </c>
      <c r="K1431">
        <v>8515.9699999999993</v>
      </c>
      <c r="L1431">
        <v>4727.66</v>
      </c>
      <c r="M1431">
        <v>8515.8700000000008</v>
      </c>
      <c r="N1431">
        <v>47.455300000000001</v>
      </c>
      <c r="O1431">
        <v>-85.266199999999998</v>
      </c>
      <c r="P1431">
        <v>47.460999999999999</v>
      </c>
      <c r="Q1431">
        <v>-85.264499999999998</v>
      </c>
      <c r="R1431">
        <v>22827.845590000001</v>
      </c>
      <c r="S1431">
        <v>273</v>
      </c>
      <c r="T1431">
        <v>281</v>
      </c>
      <c r="U1431">
        <v>0.5</v>
      </c>
      <c r="V1431">
        <v>2</v>
      </c>
      <c r="W1431">
        <v>4.7</v>
      </c>
      <c r="X1431">
        <v>4.3728999999999996</v>
      </c>
      <c r="Y1431">
        <v>0.22239999999999999</v>
      </c>
      <c r="Z1431">
        <v>90.4953</v>
      </c>
      <c r="AA1431">
        <v>10</v>
      </c>
      <c r="AB1431">
        <v>0.42</v>
      </c>
      <c r="AC1431">
        <v>217</v>
      </c>
      <c r="AD1431">
        <v>5</v>
      </c>
    </row>
    <row r="1432" spans="1:30" x14ac:dyDescent="0.55000000000000004">
      <c r="A1432">
        <v>111089</v>
      </c>
      <c r="B1432" s="19">
        <v>43665</v>
      </c>
      <c r="C1432">
        <v>826</v>
      </c>
      <c r="D1432">
        <v>2019</v>
      </c>
      <c r="E1432">
        <v>25</v>
      </c>
      <c r="F1432">
        <v>704</v>
      </c>
      <c r="G1432">
        <v>2</v>
      </c>
      <c r="H1432">
        <v>2059</v>
      </c>
      <c r="I1432">
        <v>3</v>
      </c>
      <c r="J1432">
        <v>4742.2299999999996</v>
      </c>
      <c r="K1432">
        <v>8558</v>
      </c>
      <c r="L1432">
        <v>4742.1099999999997</v>
      </c>
      <c r="M1432">
        <v>8557.49</v>
      </c>
      <c r="N1432">
        <v>47.703800000000001</v>
      </c>
      <c r="O1432">
        <v>-85.966700000000003</v>
      </c>
      <c r="P1432">
        <v>47.701799999999999</v>
      </c>
      <c r="Q1432">
        <v>-85.958200000000005</v>
      </c>
      <c r="R1432">
        <v>1797.424289</v>
      </c>
      <c r="S1432">
        <v>102</v>
      </c>
      <c r="T1432">
        <v>108</v>
      </c>
      <c r="U1432">
        <v>0.5</v>
      </c>
      <c r="V1432">
        <v>2</v>
      </c>
      <c r="W1432">
        <v>8.6999999999999993</v>
      </c>
      <c r="X1432">
        <v>7.2904</v>
      </c>
      <c r="Y1432">
        <v>0.34810000000000002</v>
      </c>
      <c r="Z1432">
        <v>90.224000000000004</v>
      </c>
      <c r="AA1432">
        <v>10</v>
      </c>
      <c r="AB1432">
        <v>0.42</v>
      </c>
      <c r="AC1432">
        <v>217</v>
      </c>
      <c r="AD1432">
        <v>9</v>
      </c>
    </row>
    <row r="1433" spans="1:30" x14ac:dyDescent="0.55000000000000004">
      <c r="A1433">
        <v>111090</v>
      </c>
      <c r="B1433" s="19">
        <v>43665</v>
      </c>
      <c r="C1433">
        <v>826</v>
      </c>
      <c r="D1433">
        <v>2019</v>
      </c>
      <c r="E1433">
        <v>25</v>
      </c>
      <c r="F1433">
        <v>705</v>
      </c>
      <c r="G1433">
        <v>2</v>
      </c>
      <c r="H1433">
        <v>2059</v>
      </c>
      <c r="I1433">
        <v>3</v>
      </c>
      <c r="J1433">
        <v>4742.2299999999996</v>
      </c>
      <c r="K1433">
        <v>8558</v>
      </c>
      <c r="L1433">
        <v>4742.1099999999997</v>
      </c>
      <c r="M1433">
        <v>8557.49</v>
      </c>
      <c r="N1433">
        <v>47.703800000000001</v>
      </c>
      <c r="O1433">
        <v>-85.966700000000003</v>
      </c>
      <c r="P1433">
        <v>47.701799999999999</v>
      </c>
      <c r="Q1433">
        <v>-85.958200000000005</v>
      </c>
      <c r="R1433">
        <v>1797.424289</v>
      </c>
      <c r="S1433">
        <v>102</v>
      </c>
      <c r="T1433">
        <v>108</v>
      </c>
      <c r="U1433">
        <v>0.5</v>
      </c>
      <c r="V1433">
        <v>2</v>
      </c>
      <c r="W1433">
        <v>8.6999999999999993</v>
      </c>
      <c r="X1433">
        <v>7.2904</v>
      </c>
      <c r="Y1433">
        <v>0.34810000000000002</v>
      </c>
      <c r="Z1433">
        <v>90.224000000000004</v>
      </c>
      <c r="AA1433">
        <v>10</v>
      </c>
      <c r="AB1433">
        <v>0.42</v>
      </c>
      <c r="AC1433">
        <v>217</v>
      </c>
      <c r="AD1433">
        <v>10</v>
      </c>
    </row>
    <row r="1434" spans="1:30" x14ac:dyDescent="0.55000000000000004">
      <c r="A1434">
        <v>111093</v>
      </c>
      <c r="B1434" s="19">
        <v>43665</v>
      </c>
      <c r="C1434">
        <v>1114</v>
      </c>
      <c r="D1434">
        <v>2019</v>
      </c>
      <c r="E1434">
        <v>25</v>
      </c>
      <c r="F1434">
        <v>706</v>
      </c>
      <c r="G1434">
        <v>2</v>
      </c>
      <c r="H1434">
        <v>2153</v>
      </c>
      <c r="I1434">
        <v>3</v>
      </c>
      <c r="J1434">
        <v>4725.16</v>
      </c>
      <c r="K1434">
        <v>8540</v>
      </c>
      <c r="L1434">
        <v>4724.83</v>
      </c>
      <c r="M1434">
        <v>8539.9500000000007</v>
      </c>
      <c r="N1434">
        <v>47.4193</v>
      </c>
      <c r="O1434">
        <v>-85.666700000000006</v>
      </c>
      <c r="P1434">
        <v>47.413800000000002</v>
      </c>
      <c r="Q1434">
        <v>-85.665800000000004</v>
      </c>
      <c r="R1434">
        <v>9802.0663349999995</v>
      </c>
      <c r="S1434">
        <v>152</v>
      </c>
      <c r="T1434">
        <v>151</v>
      </c>
      <c r="U1434">
        <v>0.5</v>
      </c>
      <c r="V1434">
        <v>2</v>
      </c>
      <c r="W1434">
        <v>9.5</v>
      </c>
      <c r="X1434">
        <v>8.6364000000000001</v>
      </c>
      <c r="Y1434">
        <v>0.1255</v>
      </c>
      <c r="Z1434">
        <v>76.218599999999995</v>
      </c>
      <c r="AA1434">
        <v>10</v>
      </c>
      <c r="AB1434">
        <v>0.42</v>
      </c>
      <c r="AC1434">
        <v>217</v>
      </c>
      <c r="AD1434">
        <v>7</v>
      </c>
    </row>
    <row r="1435" spans="1:30" x14ac:dyDescent="0.55000000000000004">
      <c r="A1435">
        <v>111094</v>
      </c>
      <c r="B1435" s="19">
        <v>43665</v>
      </c>
      <c r="C1435">
        <v>1114</v>
      </c>
      <c r="D1435">
        <v>2019</v>
      </c>
      <c r="E1435">
        <v>25</v>
      </c>
      <c r="F1435">
        <v>707</v>
      </c>
      <c r="G1435">
        <v>2</v>
      </c>
      <c r="H1435">
        <v>2153</v>
      </c>
      <c r="I1435">
        <v>3</v>
      </c>
      <c r="J1435">
        <v>4725.16</v>
      </c>
      <c r="K1435">
        <v>8540</v>
      </c>
      <c r="L1435">
        <v>4724.83</v>
      </c>
      <c r="M1435">
        <v>8539.9500000000007</v>
      </c>
      <c r="N1435">
        <v>47.4193</v>
      </c>
      <c r="O1435">
        <v>-85.666700000000006</v>
      </c>
      <c r="P1435">
        <v>47.413800000000002</v>
      </c>
      <c r="Q1435">
        <v>-85.665800000000004</v>
      </c>
      <c r="R1435">
        <v>9802.0663349999995</v>
      </c>
      <c r="S1435">
        <v>152</v>
      </c>
      <c r="T1435">
        <v>151</v>
      </c>
      <c r="U1435">
        <v>0.5</v>
      </c>
      <c r="V1435">
        <v>2</v>
      </c>
      <c r="W1435">
        <v>9.5</v>
      </c>
      <c r="X1435">
        <v>8.6364000000000001</v>
      </c>
      <c r="Y1435">
        <v>0.1255</v>
      </c>
      <c r="Z1435">
        <v>76.218599999999995</v>
      </c>
      <c r="AA1435">
        <v>10</v>
      </c>
      <c r="AB1435">
        <v>0.42</v>
      </c>
      <c r="AC1435">
        <v>217</v>
      </c>
      <c r="AD1435">
        <v>16</v>
      </c>
    </row>
    <row r="1436" spans="1:30" x14ac:dyDescent="0.55000000000000004">
      <c r="A1436">
        <v>111095</v>
      </c>
      <c r="B1436" s="19">
        <v>43665</v>
      </c>
      <c r="C1436">
        <v>1348</v>
      </c>
      <c r="D1436">
        <v>2019</v>
      </c>
      <c r="E1436">
        <v>25</v>
      </c>
      <c r="F1436">
        <v>708</v>
      </c>
      <c r="G1436">
        <v>2</v>
      </c>
      <c r="H1436">
        <v>2129</v>
      </c>
      <c r="I1436">
        <v>3</v>
      </c>
      <c r="J1436">
        <v>4738.78</v>
      </c>
      <c r="K1436">
        <v>8533.68</v>
      </c>
      <c r="L1436">
        <v>4739.22</v>
      </c>
      <c r="M1436">
        <v>8533.4599999999991</v>
      </c>
      <c r="N1436">
        <v>47.646299999999997</v>
      </c>
      <c r="O1436">
        <v>-85.561300000000003</v>
      </c>
      <c r="P1436">
        <v>47.653700000000001</v>
      </c>
      <c r="Q1436">
        <v>-85.557699999999997</v>
      </c>
      <c r="R1436">
        <v>9854.5266200000005</v>
      </c>
      <c r="S1436">
        <v>194</v>
      </c>
      <c r="T1436">
        <v>202</v>
      </c>
      <c r="U1436">
        <v>0.5</v>
      </c>
      <c r="V1436">
        <v>2</v>
      </c>
      <c r="W1436">
        <v>5.7</v>
      </c>
      <c r="X1436">
        <v>4.4469000000000003</v>
      </c>
      <c r="Y1436">
        <v>0.10680000000000001</v>
      </c>
      <c r="Z1436">
        <v>90.292299999999997</v>
      </c>
      <c r="AA1436">
        <v>10</v>
      </c>
      <c r="AB1436">
        <v>0.42</v>
      </c>
      <c r="AC1436">
        <v>217</v>
      </c>
      <c r="AD1436">
        <v>1</v>
      </c>
    </row>
    <row r="1437" spans="1:30" x14ac:dyDescent="0.55000000000000004">
      <c r="A1437">
        <v>111096</v>
      </c>
      <c r="B1437" s="19">
        <v>43665</v>
      </c>
      <c r="C1437">
        <v>1348</v>
      </c>
      <c r="D1437">
        <v>2019</v>
      </c>
      <c r="E1437">
        <v>25</v>
      </c>
      <c r="F1437">
        <v>709</v>
      </c>
      <c r="G1437">
        <v>2</v>
      </c>
      <c r="H1437">
        <v>2129</v>
      </c>
      <c r="I1437">
        <v>3</v>
      </c>
      <c r="J1437">
        <v>4738.78</v>
      </c>
      <c r="K1437">
        <v>8533.68</v>
      </c>
      <c r="L1437">
        <v>4739.22</v>
      </c>
      <c r="M1437">
        <v>8533.4599999999991</v>
      </c>
      <c r="N1437">
        <v>47.646299999999997</v>
      </c>
      <c r="O1437">
        <v>-85.561300000000003</v>
      </c>
      <c r="P1437">
        <v>47.653700000000001</v>
      </c>
      <c r="Q1437">
        <v>-85.557699999999997</v>
      </c>
      <c r="R1437">
        <v>9854.5266200000005</v>
      </c>
      <c r="S1437">
        <v>194</v>
      </c>
      <c r="T1437">
        <v>202</v>
      </c>
      <c r="U1437">
        <v>0.5</v>
      </c>
      <c r="V1437">
        <v>2</v>
      </c>
      <c r="W1437">
        <v>5.7</v>
      </c>
      <c r="X1437">
        <v>4.4469000000000003</v>
      </c>
      <c r="Y1437">
        <v>0.10680000000000001</v>
      </c>
      <c r="Z1437">
        <v>90.292299999999997</v>
      </c>
      <c r="AA1437">
        <v>10</v>
      </c>
      <c r="AB1437">
        <v>0.42</v>
      </c>
      <c r="AC1437">
        <v>217</v>
      </c>
      <c r="AD1437">
        <v>2</v>
      </c>
    </row>
    <row r="1438" spans="1:30" x14ac:dyDescent="0.55000000000000004">
      <c r="A1438">
        <v>111097</v>
      </c>
      <c r="B1438" s="19">
        <v>43666</v>
      </c>
      <c r="C1438">
        <v>850</v>
      </c>
      <c r="D1438">
        <v>2019</v>
      </c>
      <c r="E1438">
        <v>25</v>
      </c>
      <c r="F1438">
        <v>710</v>
      </c>
      <c r="G1438">
        <v>2</v>
      </c>
      <c r="H1438">
        <v>2145</v>
      </c>
      <c r="I1438">
        <v>3</v>
      </c>
      <c r="J1438">
        <v>4738.17</v>
      </c>
      <c r="K1438">
        <v>8606.41</v>
      </c>
      <c r="L1438">
        <v>4737.92</v>
      </c>
      <c r="M1438">
        <v>8606.77</v>
      </c>
      <c r="N1438">
        <v>47.636200000000002</v>
      </c>
      <c r="O1438">
        <v>-86.106800000000007</v>
      </c>
      <c r="P1438">
        <v>47.631999999999998</v>
      </c>
      <c r="Q1438">
        <v>-86.112799999999993</v>
      </c>
      <c r="R1438">
        <v>15028.34283</v>
      </c>
      <c r="S1438">
        <v>151</v>
      </c>
      <c r="T1438">
        <v>142</v>
      </c>
      <c r="U1438">
        <v>0.5</v>
      </c>
      <c r="V1438">
        <v>2</v>
      </c>
      <c r="W1438">
        <v>6.6</v>
      </c>
      <c r="X1438">
        <v>5.6474000000000002</v>
      </c>
      <c r="Y1438">
        <v>0.1517</v>
      </c>
      <c r="Z1438">
        <v>88.163200000000003</v>
      </c>
      <c r="AA1438">
        <v>10</v>
      </c>
      <c r="AB1438">
        <v>0.41</v>
      </c>
      <c r="AC1438">
        <v>217</v>
      </c>
      <c r="AD1438">
        <v>2</v>
      </c>
    </row>
    <row r="1439" spans="1:30" x14ac:dyDescent="0.55000000000000004">
      <c r="A1439">
        <v>111098</v>
      </c>
      <c r="B1439" s="19">
        <v>43666</v>
      </c>
      <c r="C1439">
        <v>850</v>
      </c>
      <c r="D1439">
        <v>2019</v>
      </c>
      <c r="E1439">
        <v>25</v>
      </c>
      <c r="F1439">
        <v>711</v>
      </c>
      <c r="G1439">
        <v>2</v>
      </c>
      <c r="H1439">
        <v>2145</v>
      </c>
      <c r="I1439">
        <v>3</v>
      </c>
      <c r="J1439">
        <v>4738.17</v>
      </c>
      <c r="K1439">
        <v>8606.41</v>
      </c>
      <c r="L1439">
        <v>4737.92</v>
      </c>
      <c r="M1439">
        <v>8606.77</v>
      </c>
      <c r="N1439">
        <v>47.636200000000002</v>
      </c>
      <c r="O1439">
        <v>-86.106800000000007</v>
      </c>
      <c r="P1439">
        <v>47.631999999999998</v>
      </c>
      <c r="Q1439">
        <v>-86.112799999999993</v>
      </c>
      <c r="R1439">
        <v>15028.34283</v>
      </c>
      <c r="S1439">
        <v>151</v>
      </c>
      <c r="T1439">
        <v>142</v>
      </c>
      <c r="U1439">
        <v>0.5</v>
      </c>
      <c r="V1439">
        <v>2</v>
      </c>
      <c r="W1439">
        <v>6.6</v>
      </c>
      <c r="X1439">
        <v>5.6474000000000002</v>
      </c>
      <c r="Y1439">
        <v>0.1517</v>
      </c>
      <c r="Z1439">
        <v>88.163200000000003</v>
      </c>
      <c r="AA1439">
        <v>10</v>
      </c>
      <c r="AB1439">
        <v>0.41</v>
      </c>
      <c r="AC1439">
        <v>217</v>
      </c>
      <c r="AD1439">
        <v>2</v>
      </c>
    </row>
    <row r="1440" spans="1:30" x14ac:dyDescent="0.55000000000000004">
      <c r="A1440">
        <v>111099</v>
      </c>
      <c r="B1440" s="19">
        <v>43666</v>
      </c>
      <c r="C1440">
        <v>1028</v>
      </c>
      <c r="D1440">
        <v>2019</v>
      </c>
      <c r="E1440">
        <v>25</v>
      </c>
      <c r="F1440">
        <v>712</v>
      </c>
      <c r="G1440">
        <v>2</v>
      </c>
      <c r="H1440">
        <v>2165</v>
      </c>
      <c r="I1440">
        <v>3</v>
      </c>
      <c r="J1440">
        <v>4735.95</v>
      </c>
      <c r="K1440">
        <v>8613.49</v>
      </c>
      <c r="L1440">
        <v>4735.33</v>
      </c>
      <c r="M1440">
        <v>8613.49</v>
      </c>
      <c r="N1440">
        <v>47.599200000000003</v>
      </c>
      <c r="O1440">
        <v>-86.224800000000002</v>
      </c>
      <c r="P1440">
        <v>47.588799999999999</v>
      </c>
      <c r="Q1440">
        <v>-86.224800000000002</v>
      </c>
      <c r="R1440">
        <v>24345.13019</v>
      </c>
      <c r="S1440">
        <v>131</v>
      </c>
      <c r="T1440">
        <v>132</v>
      </c>
      <c r="U1440">
        <v>0.5</v>
      </c>
      <c r="V1440">
        <v>2</v>
      </c>
      <c r="W1440">
        <v>8.8000000000000007</v>
      </c>
      <c r="X1440">
        <v>7.9988000000000001</v>
      </c>
      <c r="Y1440">
        <v>0.1421</v>
      </c>
      <c r="Z1440">
        <v>89.103899999999996</v>
      </c>
      <c r="AA1440">
        <v>10</v>
      </c>
      <c r="AB1440">
        <v>0.42</v>
      </c>
      <c r="AC1440">
        <v>217</v>
      </c>
      <c r="AD1440">
        <v>3</v>
      </c>
    </row>
    <row r="1441" spans="1:30" x14ac:dyDescent="0.55000000000000004">
      <c r="A1441">
        <v>111100</v>
      </c>
      <c r="B1441" s="19">
        <v>43666</v>
      </c>
      <c r="C1441">
        <v>1028</v>
      </c>
      <c r="D1441">
        <v>2019</v>
      </c>
      <c r="E1441">
        <v>25</v>
      </c>
      <c r="F1441">
        <v>713</v>
      </c>
      <c r="G1441">
        <v>2</v>
      </c>
      <c r="H1441">
        <v>2165</v>
      </c>
      <c r="I1441">
        <v>3</v>
      </c>
      <c r="J1441">
        <v>4735.95</v>
      </c>
      <c r="K1441">
        <v>8613.49</v>
      </c>
      <c r="L1441">
        <v>4735.33</v>
      </c>
      <c r="M1441">
        <v>8613.49</v>
      </c>
      <c r="N1441">
        <v>47.599200000000003</v>
      </c>
      <c r="O1441">
        <v>-86.224800000000002</v>
      </c>
      <c r="P1441">
        <v>47.588799999999999</v>
      </c>
      <c r="Q1441">
        <v>-86.224800000000002</v>
      </c>
      <c r="R1441">
        <v>24345.13019</v>
      </c>
      <c r="S1441">
        <v>131</v>
      </c>
      <c r="T1441">
        <v>132</v>
      </c>
      <c r="U1441">
        <v>0.5</v>
      </c>
      <c r="V1441">
        <v>2</v>
      </c>
      <c r="W1441">
        <v>8.8000000000000007</v>
      </c>
      <c r="X1441">
        <v>7.9988000000000001</v>
      </c>
      <c r="Y1441">
        <v>0.1421</v>
      </c>
      <c r="Z1441">
        <v>89.103899999999996</v>
      </c>
      <c r="AA1441">
        <v>10</v>
      </c>
      <c r="AB1441">
        <v>0.42</v>
      </c>
      <c r="AC1441">
        <v>217</v>
      </c>
      <c r="AD1441">
        <v>1</v>
      </c>
    </row>
    <row r="1442" spans="1:30" x14ac:dyDescent="0.55000000000000004">
      <c r="A1442">
        <v>111103</v>
      </c>
      <c r="B1442" s="19">
        <v>43666</v>
      </c>
      <c r="C1442">
        <v>1320</v>
      </c>
      <c r="D1442">
        <v>2019</v>
      </c>
      <c r="E1442">
        <v>25</v>
      </c>
      <c r="F1442">
        <v>714</v>
      </c>
      <c r="G1442">
        <v>2</v>
      </c>
      <c r="H1442">
        <v>2126</v>
      </c>
      <c r="I1442">
        <v>3</v>
      </c>
      <c r="J1442">
        <v>4723.58</v>
      </c>
      <c r="K1442">
        <v>8628.06</v>
      </c>
      <c r="L1442">
        <v>4723.92</v>
      </c>
      <c r="M1442">
        <v>8628.19</v>
      </c>
      <c r="N1442">
        <v>47.393000000000001</v>
      </c>
      <c r="O1442">
        <v>-86.467699999999994</v>
      </c>
      <c r="P1442">
        <v>47.398699999999998</v>
      </c>
      <c r="Q1442">
        <v>-86.469800000000006</v>
      </c>
      <c r="R1442">
        <v>48597.18664</v>
      </c>
      <c r="S1442">
        <v>303</v>
      </c>
      <c r="T1442">
        <v>321</v>
      </c>
      <c r="U1442">
        <v>0.5</v>
      </c>
      <c r="V1442">
        <v>2</v>
      </c>
      <c r="W1442">
        <v>5.2</v>
      </c>
      <c r="X1442">
        <v>4.3452999999999999</v>
      </c>
      <c r="Y1442">
        <v>0.1343</v>
      </c>
      <c r="Z1442">
        <v>66.196799999999996</v>
      </c>
      <c r="AA1442">
        <v>10</v>
      </c>
      <c r="AB1442">
        <v>0.41</v>
      </c>
      <c r="AC1442">
        <v>0</v>
      </c>
      <c r="AD1442">
        <v>0</v>
      </c>
    </row>
    <row r="1443" spans="1:30" x14ac:dyDescent="0.55000000000000004">
      <c r="A1443">
        <v>111104</v>
      </c>
      <c r="B1443" s="19">
        <v>43666</v>
      </c>
      <c r="C1443">
        <v>1320</v>
      </c>
      <c r="D1443">
        <v>2019</v>
      </c>
      <c r="E1443">
        <v>25</v>
      </c>
      <c r="F1443">
        <v>715</v>
      </c>
      <c r="G1443">
        <v>2</v>
      </c>
      <c r="H1443">
        <v>2126</v>
      </c>
      <c r="I1443">
        <v>3</v>
      </c>
      <c r="J1443">
        <v>4723.58</v>
      </c>
      <c r="K1443">
        <v>8628.06</v>
      </c>
      <c r="L1443">
        <v>4723.92</v>
      </c>
      <c r="M1443">
        <v>8628.19</v>
      </c>
      <c r="N1443">
        <v>47.393000000000001</v>
      </c>
      <c r="O1443">
        <v>-86.467699999999994</v>
      </c>
      <c r="P1443">
        <v>47.398699999999998</v>
      </c>
      <c r="Q1443">
        <v>-86.469800000000006</v>
      </c>
      <c r="R1443">
        <v>48597.18664</v>
      </c>
      <c r="S1443">
        <v>303</v>
      </c>
      <c r="T1443">
        <v>321</v>
      </c>
      <c r="U1443">
        <v>0.5</v>
      </c>
      <c r="V1443">
        <v>2</v>
      </c>
      <c r="W1443">
        <v>5.2</v>
      </c>
      <c r="X1443">
        <v>4.3452999999999999</v>
      </c>
      <c r="Y1443">
        <v>0.1343</v>
      </c>
      <c r="Z1443">
        <v>66.196799999999996</v>
      </c>
      <c r="AA1443">
        <v>10</v>
      </c>
      <c r="AB1443">
        <v>0.41</v>
      </c>
      <c r="AC1443">
        <v>217</v>
      </c>
      <c r="AD1443">
        <v>2</v>
      </c>
    </row>
    <row r="1444" spans="1:30" x14ac:dyDescent="0.55000000000000004">
      <c r="A1444">
        <v>111106</v>
      </c>
      <c r="B1444" s="19">
        <v>43667</v>
      </c>
      <c r="C1444">
        <v>1223</v>
      </c>
      <c r="D1444">
        <v>2019</v>
      </c>
      <c r="E1444">
        <v>25</v>
      </c>
      <c r="F1444">
        <v>716</v>
      </c>
      <c r="G1444">
        <v>2</v>
      </c>
      <c r="H1444">
        <v>2119</v>
      </c>
      <c r="I1444">
        <v>3</v>
      </c>
      <c r="J1444">
        <v>4749.2299999999996</v>
      </c>
      <c r="K1444">
        <v>8641.69</v>
      </c>
      <c r="L1444">
        <v>4749.58</v>
      </c>
      <c r="M1444">
        <v>8641.85</v>
      </c>
      <c r="N1444">
        <v>47.820500000000003</v>
      </c>
      <c r="O1444">
        <v>-86.694800000000001</v>
      </c>
      <c r="P1444">
        <v>47.826300000000003</v>
      </c>
      <c r="Q1444">
        <v>-86.697500000000005</v>
      </c>
      <c r="R1444">
        <v>56390.372300000003</v>
      </c>
      <c r="S1444">
        <v>269</v>
      </c>
      <c r="T1444">
        <v>269</v>
      </c>
      <c r="U1444">
        <v>0.5</v>
      </c>
      <c r="V1444">
        <v>2</v>
      </c>
      <c r="W1444">
        <v>5.9</v>
      </c>
      <c r="X1444">
        <v>5.6981999999999999</v>
      </c>
      <c r="Y1444">
        <v>0.13150000000000001</v>
      </c>
      <c r="Z1444">
        <v>62.335700000000003</v>
      </c>
      <c r="AA1444">
        <v>10</v>
      </c>
      <c r="AB1444">
        <v>0.42</v>
      </c>
      <c r="AC1444">
        <v>217</v>
      </c>
      <c r="AD1444">
        <v>3</v>
      </c>
    </row>
    <row r="1445" spans="1:30" x14ac:dyDescent="0.55000000000000004">
      <c r="A1445">
        <v>111107</v>
      </c>
      <c r="B1445" s="19">
        <v>43667</v>
      </c>
      <c r="C1445">
        <v>1223</v>
      </c>
      <c r="D1445">
        <v>2019</v>
      </c>
      <c r="E1445">
        <v>25</v>
      </c>
      <c r="F1445">
        <v>717</v>
      </c>
      <c r="G1445">
        <v>2</v>
      </c>
      <c r="H1445">
        <v>2119</v>
      </c>
      <c r="I1445">
        <v>3</v>
      </c>
      <c r="J1445">
        <v>4749.2299999999996</v>
      </c>
      <c r="K1445">
        <v>8641.69</v>
      </c>
      <c r="L1445">
        <v>4749.58</v>
      </c>
      <c r="M1445">
        <v>8641.85</v>
      </c>
      <c r="N1445">
        <v>47.820500000000003</v>
      </c>
      <c r="O1445">
        <v>-86.694800000000001</v>
      </c>
      <c r="P1445">
        <v>47.826300000000003</v>
      </c>
      <c r="Q1445">
        <v>-86.697500000000005</v>
      </c>
      <c r="R1445">
        <v>56390.372300000003</v>
      </c>
      <c r="S1445">
        <v>269</v>
      </c>
      <c r="T1445">
        <v>269</v>
      </c>
      <c r="U1445">
        <v>0.5</v>
      </c>
      <c r="V1445">
        <v>2</v>
      </c>
      <c r="W1445">
        <v>5.9</v>
      </c>
      <c r="X1445">
        <v>5.6981999999999999</v>
      </c>
      <c r="Y1445">
        <v>0.13150000000000001</v>
      </c>
      <c r="Z1445">
        <v>62.335700000000003</v>
      </c>
      <c r="AA1445">
        <v>10</v>
      </c>
      <c r="AB1445">
        <v>0.42</v>
      </c>
      <c r="AC1445">
        <v>217</v>
      </c>
      <c r="AD1445">
        <v>1</v>
      </c>
    </row>
    <row r="1446" spans="1:30" x14ac:dyDescent="0.55000000000000004">
      <c r="A1446">
        <v>111110</v>
      </c>
      <c r="B1446" s="19">
        <v>43667</v>
      </c>
      <c r="C1446">
        <v>1442</v>
      </c>
      <c r="D1446">
        <v>2019</v>
      </c>
      <c r="E1446">
        <v>25</v>
      </c>
      <c r="F1446">
        <v>718</v>
      </c>
      <c r="G1446">
        <v>2</v>
      </c>
      <c r="H1446">
        <v>2135</v>
      </c>
      <c r="I1446">
        <v>3</v>
      </c>
      <c r="J1446">
        <v>4801.38</v>
      </c>
      <c r="K1446">
        <v>8638.65</v>
      </c>
      <c r="L1446">
        <v>4801.37</v>
      </c>
      <c r="M1446">
        <v>8638.11</v>
      </c>
      <c r="N1446">
        <v>48.023000000000003</v>
      </c>
      <c r="O1446">
        <v>-86.644199999999998</v>
      </c>
      <c r="P1446">
        <v>48.022799999999997</v>
      </c>
      <c r="Q1446">
        <v>-86.635199999999998</v>
      </c>
      <c r="R1446">
        <v>43796.03703</v>
      </c>
      <c r="S1446">
        <v>141</v>
      </c>
      <c r="T1446">
        <v>142</v>
      </c>
      <c r="U1446">
        <v>0.5</v>
      </c>
      <c r="V1446">
        <v>2</v>
      </c>
      <c r="W1446">
        <v>6.7</v>
      </c>
      <c r="X1446">
        <v>6.0984999999999996</v>
      </c>
      <c r="Y1446">
        <v>0.1285</v>
      </c>
      <c r="Z1446">
        <v>79.003799999999998</v>
      </c>
      <c r="AA1446">
        <v>10</v>
      </c>
      <c r="AB1446">
        <v>0.42</v>
      </c>
      <c r="AC1446">
        <v>217</v>
      </c>
      <c r="AD1446">
        <v>1</v>
      </c>
    </row>
    <row r="1447" spans="1:30" x14ac:dyDescent="0.55000000000000004">
      <c r="A1447">
        <v>111111</v>
      </c>
      <c r="B1447" s="19">
        <v>43667</v>
      </c>
      <c r="C1447">
        <v>1442</v>
      </c>
      <c r="D1447">
        <v>2019</v>
      </c>
      <c r="E1447">
        <v>25</v>
      </c>
      <c r="F1447">
        <v>719</v>
      </c>
      <c r="G1447">
        <v>2</v>
      </c>
      <c r="H1447">
        <v>2135</v>
      </c>
      <c r="I1447">
        <v>3</v>
      </c>
      <c r="J1447">
        <v>4801.38</v>
      </c>
      <c r="K1447">
        <v>8638.65</v>
      </c>
      <c r="L1447">
        <v>4801.37</v>
      </c>
      <c r="M1447">
        <v>8638.11</v>
      </c>
      <c r="N1447">
        <v>48.023000000000003</v>
      </c>
      <c r="O1447">
        <v>-86.644199999999998</v>
      </c>
      <c r="P1447">
        <v>48.022799999999997</v>
      </c>
      <c r="Q1447">
        <v>-86.635199999999998</v>
      </c>
      <c r="R1447">
        <v>43796.03703</v>
      </c>
      <c r="S1447">
        <v>141</v>
      </c>
      <c r="T1447">
        <v>142</v>
      </c>
      <c r="U1447">
        <v>0.5</v>
      </c>
      <c r="V1447">
        <v>2</v>
      </c>
      <c r="W1447">
        <v>6.7</v>
      </c>
      <c r="X1447">
        <v>6.0984999999999996</v>
      </c>
      <c r="Y1447">
        <v>0.1285</v>
      </c>
      <c r="Z1447">
        <v>79.003799999999998</v>
      </c>
      <c r="AA1447">
        <v>10</v>
      </c>
      <c r="AB1447">
        <v>0.42</v>
      </c>
      <c r="AC1447">
        <v>217</v>
      </c>
      <c r="AD1447">
        <v>1</v>
      </c>
    </row>
    <row r="1448" spans="1:30" x14ac:dyDescent="0.55000000000000004">
      <c r="A1448">
        <v>111113</v>
      </c>
      <c r="B1448" s="19">
        <v>43668</v>
      </c>
      <c r="C1448">
        <v>912</v>
      </c>
      <c r="D1448">
        <v>2019</v>
      </c>
      <c r="E1448">
        <v>25</v>
      </c>
      <c r="F1448">
        <v>720</v>
      </c>
      <c r="G1448">
        <v>2</v>
      </c>
      <c r="H1448">
        <v>2139</v>
      </c>
      <c r="I1448">
        <v>3</v>
      </c>
      <c r="J1448">
        <v>4821.12</v>
      </c>
      <c r="K1448">
        <v>8659.1200000000008</v>
      </c>
      <c r="L1448">
        <v>4821.45</v>
      </c>
      <c r="M1448">
        <v>8658.48</v>
      </c>
      <c r="N1448">
        <v>48.351999999999997</v>
      </c>
      <c r="O1448">
        <v>-86.985299999999995</v>
      </c>
      <c r="P1448">
        <v>48.357500000000002</v>
      </c>
      <c r="Q1448">
        <v>-86.974699999999999</v>
      </c>
      <c r="R1448">
        <v>29798.95262</v>
      </c>
      <c r="S1448">
        <v>187</v>
      </c>
      <c r="T1448">
        <v>190</v>
      </c>
      <c r="U1448">
        <v>0.5</v>
      </c>
      <c r="V1448">
        <v>2</v>
      </c>
      <c r="W1448">
        <v>7.4</v>
      </c>
      <c r="X1448">
        <v>7.3728999999999996</v>
      </c>
      <c r="Y1448">
        <v>0.1396</v>
      </c>
      <c r="Z1448">
        <v>56.385899999999999</v>
      </c>
      <c r="AA1448">
        <v>10</v>
      </c>
      <c r="AB1448">
        <v>0.41</v>
      </c>
      <c r="AC1448">
        <v>217</v>
      </c>
      <c r="AD1448">
        <v>3</v>
      </c>
    </row>
    <row r="1449" spans="1:30" x14ac:dyDescent="0.55000000000000004">
      <c r="A1449">
        <v>111114</v>
      </c>
      <c r="B1449" s="19">
        <v>43668</v>
      </c>
      <c r="C1449">
        <v>912</v>
      </c>
      <c r="D1449">
        <v>2019</v>
      </c>
      <c r="E1449">
        <v>25</v>
      </c>
      <c r="F1449">
        <v>721</v>
      </c>
      <c r="G1449">
        <v>2</v>
      </c>
      <c r="H1449">
        <v>2139</v>
      </c>
      <c r="I1449">
        <v>3</v>
      </c>
      <c r="J1449">
        <v>4821.12</v>
      </c>
      <c r="K1449">
        <v>8659.1200000000008</v>
      </c>
      <c r="L1449">
        <v>4821.45</v>
      </c>
      <c r="M1449">
        <v>8658.48</v>
      </c>
      <c r="N1449">
        <v>48.351999999999997</v>
      </c>
      <c r="O1449">
        <v>-86.985299999999995</v>
      </c>
      <c r="P1449">
        <v>48.357500000000002</v>
      </c>
      <c r="Q1449">
        <v>-86.974699999999999</v>
      </c>
      <c r="R1449">
        <v>29798.95262</v>
      </c>
      <c r="S1449">
        <v>187</v>
      </c>
      <c r="T1449">
        <v>190</v>
      </c>
      <c r="U1449">
        <v>0.5</v>
      </c>
      <c r="V1449">
        <v>2</v>
      </c>
      <c r="W1449">
        <v>7.4</v>
      </c>
      <c r="X1449">
        <v>7.3728999999999996</v>
      </c>
      <c r="Y1449">
        <v>0.1396</v>
      </c>
      <c r="Z1449">
        <v>56.385899999999999</v>
      </c>
      <c r="AA1449">
        <v>10</v>
      </c>
      <c r="AB1449">
        <v>0.41</v>
      </c>
      <c r="AC1449">
        <v>217</v>
      </c>
      <c r="AD1449">
        <v>3</v>
      </c>
    </row>
    <row r="1450" spans="1:30" x14ac:dyDescent="0.55000000000000004">
      <c r="A1450">
        <v>111117</v>
      </c>
      <c r="B1450" s="19">
        <v>43668</v>
      </c>
      <c r="C1450">
        <v>1239</v>
      </c>
      <c r="D1450">
        <v>2019</v>
      </c>
      <c r="E1450">
        <v>25</v>
      </c>
      <c r="F1450">
        <v>722</v>
      </c>
      <c r="G1450">
        <v>2</v>
      </c>
      <c r="H1450">
        <v>753</v>
      </c>
      <c r="I1450">
        <v>3</v>
      </c>
      <c r="J1450">
        <v>4842.7299999999996</v>
      </c>
      <c r="K1450">
        <v>8717.61</v>
      </c>
      <c r="L1450">
        <v>4842.9399999999996</v>
      </c>
      <c r="M1450">
        <v>8718.01</v>
      </c>
      <c r="N1450">
        <v>48.712200000000003</v>
      </c>
      <c r="O1450">
        <v>-87.293499999999995</v>
      </c>
      <c r="P1450">
        <v>48.715699999999998</v>
      </c>
      <c r="Q1450">
        <v>-87.300200000000004</v>
      </c>
      <c r="R1450">
        <v>4431.155127</v>
      </c>
      <c r="S1450">
        <v>164</v>
      </c>
      <c r="T1450">
        <v>167</v>
      </c>
      <c r="U1450">
        <v>0.5</v>
      </c>
      <c r="V1450">
        <v>2</v>
      </c>
      <c r="W1450">
        <v>12.8</v>
      </c>
      <c r="X1450">
        <v>13.0464</v>
      </c>
      <c r="Y1450">
        <v>0.10780000000000001</v>
      </c>
      <c r="Z1450">
        <v>73.376999999999995</v>
      </c>
      <c r="AA1450">
        <v>10</v>
      </c>
      <c r="AB1450">
        <v>0.4</v>
      </c>
      <c r="AC1450">
        <v>217</v>
      </c>
      <c r="AD1450">
        <v>1</v>
      </c>
    </row>
    <row r="1451" spans="1:30" x14ac:dyDescent="0.55000000000000004">
      <c r="A1451">
        <v>111118</v>
      </c>
      <c r="B1451" s="19">
        <v>43668</v>
      </c>
      <c r="C1451">
        <v>1239</v>
      </c>
      <c r="D1451">
        <v>2019</v>
      </c>
      <c r="E1451">
        <v>25</v>
      </c>
      <c r="F1451">
        <v>723</v>
      </c>
      <c r="G1451">
        <v>2</v>
      </c>
      <c r="H1451">
        <v>753</v>
      </c>
      <c r="I1451">
        <v>3</v>
      </c>
      <c r="J1451">
        <v>4842.7299999999996</v>
      </c>
      <c r="K1451">
        <v>8717.61</v>
      </c>
      <c r="L1451">
        <v>4842.9399999999996</v>
      </c>
      <c r="M1451">
        <v>8718.01</v>
      </c>
      <c r="N1451">
        <v>48.712200000000003</v>
      </c>
      <c r="O1451">
        <v>-87.293499999999995</v>
      </c>
      <c r="P1451">
        <v>48.715699999999998</v>
      </c>
      <c r="Q1451">
        <v>-87.300200000000004</v>
      </c>
      <c r="R1451">
        <v>4431.155127</v>
      </c>
      <c r="S1451">
        <v>164</v>
      </c>
      <c r="T1451">
        <v>167</v>
      </c>
      <c r="U1451">
        <v>0.5</v>
      </c>
      <c r="V1451">
        <v>2</v>
      </c>
      <c r="W1451">
        <v>12.8</v>
      </c>
      <c r="X1451">
        <v>13.0464</v>
      </c>
      <c r="Y1451">
        <v>0.10780000000000001</v>
      </c>
      <c r="Z1451">
        <v>73.376999999999995</v>
      </c>
      <c r="AA1451">
        <v>10</v>
      </c>
      <c r="AB1451">
        <v>0.4</v>
      </c>
      <c r="AC1451">
        <v>0</v>
      </c>
      <c r="AD1451">
        <v>0</v>
      </c>
    </row>
    <row r="1452" spans="1:30" x14ac:dyDescent="0.55000000000000004">
      <c r="A1452">
        <v>111119</v>
      </c>
      <c r="B1452" s="19">
        <v>43669</v>
      </c>
      <c r="C1452">
        <v>902</v>
      </c>
      <c r="D1452">
        <v>2019</v>
      </c>
      <c r="E1452">
        <v>25</v>
      </c>
      <c r="F1452">
        <v>724</v>
      </c>
      <c r="G1452">
        <v>2</v>
      </c>
      <c r="H1452">
        <v>2155</v>
      </c>
      <c r="I1452">
        <v>3</v>
      </c>
      <c r="J1452">
        <v>4833.7700000000004</v>
      </c>
      <c r="K1452">
        <v>8745.5400000000009</v>
      </c>
      <c r="L1452">
        <v>4833.49</v>
      </c>
      <c r="M1452">
        <v>8745.94</v>
      </c>
      <c r="N1452">
        <v>48.562800000000003</v>
      </c>
      <c r="O1452">
        <v>-87.759</v>
      </c>
      <c r="P1452">
        <v>48.558199999999999</v>
      </c>
      <c r="Q1452">
        <v>-87.765699999999995</v>
      </c>
      <c r="R1452">
        <v>19095.496640000001</v>
      </c>
      <c r="S1452">
        <v>152</v>
      </c>
      <c r="T1452">
        <v>149</v>
      </c>
      <c r="U1452">
        <v>0.5</v>
      </c>
      <c r="V1452">
        <v>2</v>
      </c>
      <c r="W1452">
        <v>10.8</v>
      </c>
      <c r="X1452">
        <v>10.9899</v>
      </c>
      <c r="Y1452">
        <v>0.1799</v>
      </c>
      <c r="Z1452">
        <v>88.104100000000003</v>
      </c>
      <c r="AA1452">
        <v>10</v>
      </c>
      <c r="AB1452">
        <v>0.4</v>
      </c>
      <c r="AC1452">
        <v>217</v>
      </c>
      <c r="AD1452">
        <v>5</v>
      </c>
    </row>
    <row r="1453" spans="1:30" x14ac:dyDescent="0.55000000000000004">
      <c r="A1453">
        <v>111120</v>
      </c>
      <c r="B1453" s="19">
        <v>43669</v>
      </c>
      <c r="C1453">
        <v>902</v>
      </c>
      <c r="D1453">
        <v>2019</v>
      </c>
      <c r="E1453">
        <v>25</v>
      </c>
      <c r="F1453">
        <v>725</v>
      </c>
      <c r="G1453">
        <v>2</v>
      </c>
      <c r="H1453">
        <v>2155</v>
      </c>
      <c r="I1453">
        <v>3</v>
      </c>
      <c r="J1453">
        <v>4833.7700000000004</v>
      </c>
      <c r="K1453">
        <v>8745.5400000000009</v>
      </c>
      <c r="L1453">
        <v>4833.49</v>
      </c>
      <c r="M1453">
        <v>8745.94</v>
      </c>
      <c r="N1453">
        <v>48.562800000000003</v>
      </c>
      <c r="O1453">
        <v>-87.759</v>
      </c>
      <c r="P1453">
        <v>48.558199999999999</v>
      </c>
      <c r="Q1453">
        <v>-87.765699999999995</v>
      </c>
      <c r="R1453">
        <v>19095.496640000001</v>
      </c>
      <c r="S1453">
        <v>152</v>
      </c>
      <c r="T1453">
        <v>149</v>
      </c>
      <c r="U1453">
        <v>0.5</v>
      </c>
      <c r="V1453">
        <v>2</v>
      </c>
      <c r="W1453">
        <v>10.8</v>
      </c>
      <c r="X1453">
        <v>10.9899</v>
      </c>
      <c r="Y1453">
        <v>0.1799</v>
      </c>
      <c r="Z1453">
        <v>88.104100000000003</v>
      </c>
      <c r="AA1453">
        <v>10</v>
      </c>
      <c r="AB1453">
        <v>0.4</v>
      </c>
      <c r="AC1453">
        <v>217</v>
      </c>
      <c r="AD1453">
        <v>1</v>
      </c>
    </row>
    <row r="1454" spans="1:30" x14ac:dyDescent="0.55000000000000004">
      <c r="A1454">
        <v>111121</v>
      </c>
      <c r="B1454" s="19">
        <v>43669</v>
      </c>
      <c r="C1454">
        <v>1136</v>
      </c>
      <c r="D1454">
        <v>2019</v>
      </c>
      <c r="E1454">
        <v>25</v>
      </c>
      <c r="F1454">
        <v>726</v>
      </c>
      <c r="G1454">
        <v>2</v>
      </c>
      <c r="H1454">
        <v>2127</v>
      </c>
      <c r="I1454">
        <v>3</v>
      </c>
      <c r="J1454">
        <v>4817.8</v>
      </c>
      <c r="K1454">
        <v>8739.5300000000007</v>
      </c>
      <c r="L1454">
        <v>4817.4399999999996</v>
      </c>
      <c r="M1454">
        <v>8739.6200000000008</v>
      </c>
      <c r="N1454">
        <v>48.296700000000001</v>
      </c>
      <c r="O1454">
        <v>-87.658799999999999</v>
      </c>
      <c r="P1454">
        <v>48.290700000000001</v>
      </c>
      <c r="Q1454">
        <v>-87.660300000000007</v>
      </c>
      <c r="R1454">
        <v>48653.205670000003</v>
      </c>
      <c r="S1454">
        <v>230</v>
      </c>
      <c r="T1454">
        <v>235</v>
      </c>
      <c r="U1454">
        <v>0.5</v>
      </c>
      <c r="V1454">
        <v>2</v>
      </c>
      <c r="W1454">
        <v>8.9</v>
      </c>
      <c r="X1454">
        <v>8.0013000000000005</v>
      </c>
      <c r="Y1454">
        <v>0.1201</v>
      </c>
      <c r="Z1454">
        <v>89.514200000000002</v>
      </c>
      <c r="AA1454">
        <v>10</v>
      </c>
      <c r="AB1454">
        <v>0.42</v>
      </c>
      <c r="AC1454">
        <v>217</v>
      </c>
      <c r="AD1454">
        <v>7</v>
      </c>
    </row>
    <row r="1455" spans="1:30" x14ac:dyDescent="0.55000000000000004">
      <c r="A1455">
        <v>111122</v>
      </c>
      <c r="B1455" s="19">
        <v>43669</v>
      </c>
      <c r="C1455">
        <v>1136</v>
      </c>
      <c r="D1455">
        <v>2019</v>
      </c>
      <c r="E1455">
        <v>25</v>
      </c>
      <c r="F1455">
        <v>727</v>
      </c>
      <c r="G1455">
        <v>2</v>
      </c>
      <c r="H1455">
        <v>2127</v>
      </c>
      <c r="I1455">
        <v>3</v>
      </c>
      <c r="J1455">
        <v>4817.8</v>
      </c>
      <c r="K1455">
        <v>8739.5300000000007</v>
      </c>
      <c r="L1455">
        <v>4817.4399999999996</v>
      </c>
      <c r="M1455">
        <v>8739.6200000000008</v>
      </c>
      <c r="N1455">
        <v>48.296700000000001</v>
      </c>
      <c r="O1455">
        <v>-87.658799999999999</v>
      </c>
      <c r="P1455">
        <v>48.290700000000001</v>
      </c>
      <c r="Q1455">
        <v>-87.660300000000007</v>
      </c>
      <c r="R1455">
        <v>48653.205670000003</v>
      </c>
      <c r="S1455">
        <v>230</v>
      </c>
      <c r="T1455">
        <v>235</v>
      </c>
      <c r="U1455">
        <v>0.5</v>
      </c>
      <c r="V1455">
        <v>2</v>
      </c>
      <c r="W1455">
        <v>8.9</v>
      </c>
      <c r="X1455">
        <v>8.0013000000000005</v>
      </c>
      <c r="Y1455">
        <v>0.1201</v>
      </c>
      <c r="Z1455">
        <v>89.514200000000002</v>
      </c>
      <c r="AA1455">
        <v>10</v>
      </c>
      <c r="AB1455">
        <v>0.42</v>
      </c>
      <c r="AC1455">
        <v>217</v>
      </c>
      <c r="AD145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4F3-5832-4E37-98EE-2BC48032695E}">
  <dimension ref="A1:B16384"/>
  <sheetViews>
    <sheetView workbookViewId="0">
      <pane ySplit="1" topLeftCell="A2" activePane="bottomLeft" state="frozen"/>
      <selection pane="bottomLeft" activeCell="B12" sqref="B12"/>
    </sheetView>
  </sheetViews>
  <sheetFormatPr defaultRowHeight="14.4" x14ac:dyDescent="0.55000000000000004"/>
  <cols>
    <col min="1" max="1" width="13.734375" style="18" bestFit="1" customWidth="1"/>
    <col min="2" max="2" width="52.26171875" customWidth="1"/>
  </cols>
  <sheetData>
    <row r="1" spans="1:2" x14ac:dyDescent="0.55000000000000004">
      <c r="A1" s="18" t="s">
        <v>3302</v>
      </c>
    </row>
    <row r="2" spans="1:2" x14ac:dyDescent="0.55000000000000004">
      <c r="A2" s="13" t="s">
        <v>3307</v>
      </c>
    </row>
    <row r="3" spans="1:2" x14ac:dyDescent="0.55000000000000004">
      <c r="A3" s="14" t="s">
        <v>1</v>
      </c>
      <c r="B3" t="s">
        <v>3308</v>
      </c>
    </row>
    <row r="4" spans="1:2" x14ac:dyDescent="0.55000000000000004">
      <c r="A4" s="14" t="s">
        <v>110</v>
      </c>
      <c r="B4" t="s">
        <v>3303</v>
      </c>
    </row>
    <row r="5" spans="1:2" x14ac:dyDescent="0.55000000000000004">
      <c r="A5" s="14" t="s">
        <v>3306</v>
      </c>
      <c r="B5" t="s">
        <v>3309</v>
      </c>
    </row>
    <row r="6" spans="1:2" x14ac:dyDescent="0.55000000000000004">
      <c r="A6" s="14" t="s">
        <v>112</v>
      </c>
      <c r="B6" t="s">
        <v>3310</v>
      </c>
    </row>
    <row r="7" spans="1:2" x14ac:dyDescent="0.55000000000000004">
      <c r="A7" s="15" t="s">
        <v>3300</v>
      </c>
      <c r="B7" t="s">
        <v>3311</v>
      </c>
    </row>
    <row r="8" spans="1:2" x14ac:dyDescent="0.55000000000000004">
      <c r="A8" s="16" t="s">
        <v>3301</v>
      </c>
      <c r="B8" t="s">
        <v>3312</v>
      </c>
    </row>
    <row r="9" spans="1:2" x14ac:dyDescent="0.55000000000000004">
      <c r="A9" s="14" t="s">
        <v>3304</v>
      </c>
      <c r="B9" t="s">
        <v>3313</v>
      </c>
    </row>
    <row r="10" spans="1:2" x14ac:dyDescent="0.55000000000000004">
      <c r="A10" s="14" t="s">
        <v>3305</v>
      </c>
      <c r="B10" t="s">
        <v>3314</v>
      </c>
    </row>
    <row r="11" spans="1:2" x14ac:dyDescent="0.55000000000000004">
      <c r="A11" s="14" t="s">
        <v>113</v>
      </c>
      <c r="B11" t="s">
        <v>3315</v>
      </c>
    </row>
    <row r="12" spans="1:2" x14ac:dyDescent="0.55000000000000004">
      <c r="A12" s="12" t="s">
        <v>1890</v>
      </c>
    </row>
    <row r="13" spans="1:2" x14ac:dyDescent="0.55000000000000004">
      <c r="A13" s="17"/>
    </row>
    <row r="14" spans="1:2" x14ac:dyDescent="0.55000000000000004">
      <c r="A14" s="17"/>
    </row>
    <row r="15" spans="1:2" x14ac:dyDescent="0.55000000000000004">
      <c r="A15" s="17"/>
    </row>
    <row r="16" spans="1:2" x14ac:dyDescent="0.55000000000000004">
      <c r="A16" s="17"/>
    </row>
    <row r="17" spans="1:1" x14ac:dyDescent="0.55000000000000004">
      <c r="A17" s="17"/>
    </row>
    <row r="18" spans="1:1" x14ac:dyDescent="0.55000000000000004">
      <c r="A18" s="17"/>
    </row>
    <row r="19" spans="1:1" x14ac:dyDescent="0.55000000000000004">
      <c r="A19" s="17"/>
    </row>
    <row r="20" spans="1:1" x14ac:dyDescent="0.55000000000000004">
      <c r="A20" s="17"/>
    </row>
    <row r="21" spans="1:1" x14ac:dyDescent="0.55000000000000004">
      <c r="A21" s="17"/>
    </row>
    <row r="22" spans="1:1" x14ac:dyDescent="0.55000000000000004">
      <c r="A22" s="17"/>
    </row>
    <row r="23" spans="1:1" x14ac:dyDescent="0.55000000000000004">
      <c r="A23" s="17"/>
    </row>
    <row r="24" spans="1:1" x14ac:dyDescent="0.55000000000000004">
      <c r="A24" s="17"/>
    </row>
    <row r="25" spans="1:1" x14ac:dyDescent="0.55000000000000004">
      <c r="A25" s="17"/>
    </row>
    <row r="26" spans="1:1" x14ac:dyDescent="0.55000000000000004">
      <c r="A26" s="17"/>
    </row>
    <row r="27" spans="1:1" x14ac:dyDescent="0.55000000000000004">
      <c r="A27" s="17"/>
    </row>
    <row r="28" spans="1:1" x14ac:dyDescent="0.55000000000000004">
      <c r="A28" s="17"/>
    </row>
    <row r="29" spans="1:1" x14ac:dyDescent="0.55000000000000004">
      <c r="A29" s="17"/>
    </row>
    <row r="30" spans="1:1" x14ac:dyDescent="0.55000000000000004">
      <c r="A30" s="17"/>
    </row>
    <row r="31" spans="1:1" x14ac:dyDescent="0.55000000000000004">
      <c r="A31" s="17"/>
    </row>
    <row r="32" spans="1:1" x14ac:dyDescent="0.55000000000000004">
      <c r="A32" s="17"/>
    </row>
    <row r="33" spans="1:1" x14ac:dyDescent="0.55000000000000004">
      <c r="A33" s="17"/>
    </row>
    <row r="34" spans="1:1" x14ac:dyDescent="0.55000000000000004">
      <c r="A34" s="17"/>
    </row>
    <row r="35" spans="1:1" x14ac:dyDescent="0.55000000000000004">
      <c r="A35" s="17"/>
    </row>
    <row r="36" spans="1:1" x14ac:dyDescent="0.55000000000000004">
      <c r="A36" s="17"/>
    </row>
    <row r="37" spans="1:1" x14ac:dyDescent="0.55000000000000004">
      <c r="A37" s="17"/>
    </row>
    <row r="38" spans="1:1" x14ac:dyDescent="0.55000000000000004">
      <c r="A38" s="17"/>
    </row>
    <row r="39" spans="1:1" x14ac:dyDescent="0.55000000000000004">
      <c r="A39" s="17"/>
    </row>
    <row r="40" spans="1:1" x14ac:dyDescent="0.55000000000000004">
      <c r="A40" s="17"/>
    </row>
    <row r="41" spans="1:1" x14ac:dyDescent="0.55000000000000004">
      <c r="A41" s="17"/>
    </row>
    <row r="42" spans="1:1" x14ac:dyDescent="0.55000000000000004">
      <c r="A42" s="17"/>
    </row>
    <row r="43" spans="1:1" x14ac:dyDescent="0.55000000000000004">
      <c r="A43" s="17"/>
    </row>
    <row r="44" spans="1:1" x14ac:dyDescent="0.55000000000000004">
      <c r="A44" s="17"/>
    </row>
    <row r="45" spans="1:1" x14ac:dyDescent="0.55000000000000004">
      <c r="A45" s="17"/>
    </row>
    <row r="46" spans="1:1" x14ac:dyDescent="0.55000000000000004">
      <c r="A46" s="17"/>
    </row>
    <row r="47" spans="1:1" x14ac:dyDescent="0.55000000000000004">
      <c r="A47" s="17"/>
    </row>
    <row r="48" spans="1:1" x14ac:dyDescent="0.55000000000000004">
      <c r="A48" s="17"/>
    </row>
    <row r="49" spans="1:1" x14ac:dyDescent="0.55000000000000004">
      <c r="A49" s="17"/>
    </row>
    <row r="50" spans="1:1" x14ac:dyDescent="0.55000000000000004">
      <c r="A50" s="17"/>
    </row>
    <row r="51" spans="1:1" x14ac:dyDescent="0.55000000000000004">
      <c r="A51" s="17"/>
    </row>
    <row r="52" spans="1:1" x14ac:dyDescent="0.55000000000000004">
      <c r="A52" s="17"/>
    </row>
    <row r="53" spans="1:1" x14ac:dyDescent="0.55000000000000004">
      <c r="A53" s="17"/>
    </row>
    <row r="54" spans="1:1" x14ac:dyDescent="0.55000000000000004">
      <c r="A54" s="17"/>
    </row>
    <row r="55" spans="1:1" x14ac:dyDescent="0.55000000000000004">
      <c r="A55" s="17"/>
    </row>
    <row r="56" spans="1:1" x14ac:dyDescent="0.55000000000000004">
      <c r="A56" s="17"/>
    </row>
    <row r="57" spans="1:1" x14ac:dyDescent="0.55000000000000004">
      <c r="A57" s="17"/>
    </row>
    <row r="58" spans="1:1" x14ac:dyDescent="0.55000000000000004">
      <c r="A58" s="17"/>
    </row>
    <row r="59" spans="1:1" x14ac:dyDescent="0.55000000000000004">
      <c r="A59" s="17"/>
    </row>
    <row r="60" spans="1:1" x14ac:dyDescent="0.55000000000000004">
      <c r="A60" s="17"/>
    </row>
    <row r="61" spans="1:1" x14ac:dyDescent="0.55000000000000004">
      <c r="A61" s="17"/>
    </row>
    <row r="62" spans="1:1" x14ac:dyDescent="0.55000000000000004">
      <c r="A62" s="17"/>
    </row>
    <row r="63" spans="1:1" x14ac:dyDescent="0.55000000000000004">
      <c r="A63" s="17"/>
    </row>
    <row r="64" spans="1:1" x14ac:dyDescent="0.55000000000000004">
      <c r="A64" s="17"/>
    </row>
    <row r="65" spans="1:1" x14ac:dyDescent="0.55000000000000004">
      <c r="A65" s="17"/>
    </row>
    <row r="66" spans="1:1" x14ac:dyDescent="0.55000000000000004">
      <c r="A66" s="17"/>
    </row>
    <row r="67" spans="1:1" x14ac:dyDescent="0.55000000000000004">
      <c r="A67" s="17"/>
    </row>
    <row r="68" spans="1:1" x14ac:dyDescent="0.55000000000000004">
      <c r="A68" s="17"/>
    </row>
    <row r="69" spans="1:1" x14ac:dyDescent="0.55000000000000004">
      <c r="A69" s="17"/>
    </row>
    <row r="70" spans="1:1" x14ac:dyDescent="0.55000000000000004">
      <c r="A70" s="17"/>
    </row>
    <row r="71" spans="1:1" x14ac:dyDescent="0.55000000000000004">
      <c r="A71" s="17"/>
    </row>
    <row r="72" spans="1:1" x14ac:dyDescent="0.55000000000000004">
      <c r="A72" s="17"/>
    </row>
    <row r="73" spans="1:1" x14ac:dyDescent="0.55000000000000004">
      <c r="A73" s="17"/>
    </row>
    <row r="74" spans="1:1" x14ac:dyDescent="0.55000000000000004">
      <c r="A74" s="17"/>
    </row>
    <row r="75" spans="1:1" x14ac:dyDescent="0.55000000000000004">
      <c r="A75" s="17"/>
    </row>
    <row r="76" spans="1:1" x14ac:dyDescent="0.55000000000000004">
      <c r="A76" s="17"/>
    </row>
    <row r="77" spans="1:1" x14ac:dyDescent="0.55000000000000004">
      <c r="A77" s="17"/>
    </row>
    <row r="78" spans="1:1" x14ac:dyDescent="0.55000000000000004">
      <c r="A78" s="17"/>
    </row>
    <row r="79" spans="1:1" x14ac:dyDescent="0.55000000000000004">
      <c r="A79" s="17"/>
    </row>
    <row r="80" spans="1:1" x14ac:dyDescent="0.55000000000000004">
      <c r="A80" s="17"/>
    </row>
    <row r="81" spans="1:1" x14ac:dyDescent="0.55000000000000004">
      <c r="A81" s="17"/>
    </row>
    <row r="82" spans="1:1" x14ac:dyDescent="0.55000000000000004">
      <c r="A82" s="17"/>
    </row>
    <row r="83" spans="1:1" x14ac:dyDescent="0.55000000000000004">
      <c r="A83" s="17"/>
    </row>
    <row r="84" spans="1:1" x14ac:dyDescent="0.55000000000000004">
      <c r="A84" s="17"/>
    </row>
    <row r="85" spans="1:1" x14ac:dyDescent="0.55000000000000004">
      <c r="A85" s="17"/>
    </row>
    <row r="86" spans="1:1" x14ac:dyDescent="0.55000000000000004">
      <c r="A86" s="17"/>
    </row>
    <row r="87" spans="1:1" x14ac:dyDescent="0.55000000000000004">
      <c r="A87" s="17"/>
    </row>
    <row r="88" spans="1:1" x14ac:dyDescent="0.55000000000000004">
      <c r="A88" s="17"/>
    </row>
    <row r="89" spans="1:1" x14ac:dyDescent="0.55000000000000004">
      <c r="A89" s="17"/>
    </row>
    <row r="90" spans="1:1" x14ac:dyDescent="0.55000000000000004">
      <c r="A90" s="17"/>
    </row>
    <row r="91" spans="1:1" x14ac:dyDescent="0.55000000000000004">
      <c r="A91" s="17"/>
    </row>
    <row r="92" spans="1:1" x14ac:dyDescent="0.55000000000000004">
      <c r="A92" s="17"/>
    </row>
    <row r="93" spans="1:1" x14ac:dyDescent="0.55000000000000004">
      <c r="A93" s="17"/>
    </row>
    <row r="94" spans="1:1" x14ac:dyDescent="0.55000000000000004">
      <c r="A94" s="17"/>
    </row>
    <row r="95" spans="1:1" x14ac:dyDescent="0.55000000000000004">
      <c r="A95" s="17"/>
    </row>
    <row r="96" spans="1:1" x14ac:dyDescent="0.55000000000000004">
      <c r="A96" s="17"/>
    </row>
    <row r="97" spans="1:1" x14ac:dyDescent="0.55000000000000004">
      <c r="A97" s="17"/>
    </row>
    <row r="98" spans="1:1" x14ac:dyDescent="0.55000000000000004">
      <c r="A98" s="17"/>
    </row>
    <row r="99" spans="1:1" x14ac:dyDescent="0.55000000000000004">
      <c r="A99" s="17"/>
    </row>
    <row r="100" spans="1:1" x14ac:dyDescent="0.55000000000000004">
      <c r="A100" s="17"/>
    </row>
    <row r="101" spans="1:1" x14ac:dyDescent="0.55000000000000004">
      <c r="A101" s="17"/>
    </row>
    <row r="102" spans="1:1" x14ac:dyDescent="0.55000000000000004">
      <c r="A102" s="17"/>
    </row>
    <row r="103" spans="1:1" x14ac:dyDescent="0.55000000000000004">
      <c r="A103" s="17"/>
    </row>
    <row r="104" spans="1:1" x14ac:dyDescent="0.55000000000000004">
      <c r="A104" s="17"/>
    </row>
    <row r="105" spans="1:1" x14ac:dyDescent="0.55000000000000004">
      <c r="A105" s="17"/>
    </row>
    <row r="106" spans="1:1" x14ac:dyDescent="0.55000000000000004">
      <c r="A106" s="17"/>
    </row>
    <row r="107" spans="1:1" x14ac:dyDescent="0.55000000000000004">
      <c r="A107" s="17"/>
    </row>
    <row r="108" spans="1:1" x14ac:dyDescent="0.55000000000000004">
      <c r="A108" s="17"/>
    </row>
    <row r="109" spans="1:1" x14ac:dyDescent="0.55000000000000004">
      <c r="A109" s="17"/>
    </row>
    <row r="110" spans="1:1" x14ac:dyDescent="0.55000000000000004">
      <c r="A110" s="17"/>
    </row>
    <row r="111" spans="1:1" x14ac:dyDescent="0.55000000000000004">
      <c r="A111" s="17"/>
    </row>
    <row r="112" spans="1:1" x14ac:dyDescent="0.55000000000000004">
      <c r="A112" s="17"/>
    </row>
    <row r="113" spans="1:1" x14ac:dyDescent="0.55000000000000004">
      <c r="A113" s="17"/>
    </row>
    <row r="114" spans="1:1" x14ac:dyDescent="0.55000000000000004">
      <c r="A114" s="17"/>
    </row>
    <row r="115" spans="1:1" x14ac:dyDescent="0.55000000000000004">
      <c r="A115" s="17"/>
    </row>
    <row r="116" spans="1:1" x14ac:dyDescent="0.55000000000000004">
      <c r="A116" s="17"/>
    </row>
    <row r="117" spans="1:1" x14ac:dyDescent="0.55000000000000004">
      <c r="A117" s="17"/>
    </row>
    <row r="118" spans="1:1" x14ac:dyDescent="0.55000000000000004">
      <c r="A118" s="17"/>
    </row>
    <row r="119" spans="1:1" x14ac:dyDescent="0.55000000000000004">
      <c r="A119" s="17"/>
    </row>
    <row r="120" spans="1:1" x14ac:dyDescent="0.55000000000000004">
      <c r="A120" s="17"/>
    </row>
    <row r="121" spans="1:1" x14ac:dyDescent="0.55000000000000004">
      <c r="A121" s="17"/>
    </row>
    <row r="122" spans="1:1" x14ac:dyDescent="0.55000000000000004">
      <c r="A122" s="17"/>
    </row>
    <row r="123" spans="1:1" x14ac:dyDescent="0.55000000000000004">
      <c r="A123" s="17"/>
    </row>
    <row r="124" spans="1:1" x14ac:dyDescent="0.55000000000000004">
      <c r="A124" s="17"/>
    </row>
    <row r="125" spans="1:1" x14ac:dyDescent="0.55000000000000004">
      <c r="A125" s="17"/>
    </row>
    <row r="126" spans="1:1" x14ac:dyDescent="0.55000000000000004">
      <c r="A126" s="17"/>
    </row>
    <row r="127" spans="1:1" x14ac:dyDescent="0.55000000000000004">
      <c r="A127" s="17"/>
    </row>
    <row r="128" spans="1:1" x14ac:dyDescent="0.55000000000000004">
      <c r="A128" s="17"/>
    </row>
    <row r="129" spans="1:1" x14ac:dyDescent="0.55000000000000004">
      <c r="A129" s="17"/>
    </row>
    <row r="130" spans="1:1" x14ac:dyDescent="0.55000000000000004">
      <c r="A130" s="17"/>
    </row>
    <row r="131" spans="1:1" x14ac:dyDescent="0.55000000000000004">
      <c r="A131" s="17"/>
    </row>
    <row r="132" spans="1:1" x14ac:dyDescent="0.55000000000000004">
      <c r="A132" s="17"/>
    </row>
    <row r="133" spans="1:1" x14ac:dyDescent="0.55000000000000004">
      <c r="A133" s="17"/>
    </row>
    <row r="134" spans="1:1" x14ac:dyDescent="0.55000000000000004">
      <c r="A134" s="17"/>
    </row>
    <row r="135" spans="1:1" x14ac:dyDescent="0.55000000000000004">
      <c r="A135" s="17"/>
    </row>
    <row r="136" spans="1:1" x14ac:dyDescent="0.55000000000000004">
      <c r="A136" s="17"/>
    </row>
    <row r="137" spans="1:1" x14ac:dyDescent="0.55000000000000004">
      <c r="A137" s="17"/>
    </row>
    <row r="138" spans="1:1" x14ac:dyDescent="0.55000000000000004">
      <c r="A138" s="17"/>
    </row>
    <row r="139" spans="1:1" x14ac:dyDescent="0.55000000000000004">
      <c r="A139" s="17"/>
    </row>
    <row r="140" spans="1:1" x14ac:dyDescent="0.55000000000000004">
      <c r="A140" s="17"/>
    </row>
    <row r="141" spans="1:1" x14ac:dyDescent="0.55000000000000004">
      <c r="A141" s="17"/>
    </row>
    <row r="142" spans="1:1" x14ac:dyDescent="0.55000000000000004">
      <c r="A142" s="17"/>
    </row>
    <row r="143" spans="1:1" x14ac:dyDescent="0.55000000000000004">
      <c r="A143" s="17"/>
    </row>
    <row r="144" spans="1:1" x14ac:dyDescent="0.55000000000000004">
      <c r="A144" s="17"/>
    </row>
    <row r="145" spans="1:1" x14ac:dyDescent="0.55000000000000004">
      <c r="A145" s="17"/>
    </row>
    <row r="146" spans="1:1" x14ac:dyDescent="0.55000000000000004">
      <c r="A146" s="17"/>
    </row>
    <row r="147" spans="1:1" x14ac:dyDescent="0.55000000000000004">
      <c r="A147" s="17"/>
    </row>
    <row r="148" spans="1:1" x14ac:dyDescent="0.55000000000000004">
      <c r="A148" s="17"/>
    </row>
    <row r="149" spans="1:1" x14ac:dyDescent="0.55000000000000004">
      <c r="A149" s="17"/>
    </row>
    <row r="150" spans="1:1" x14ac:dyDescent="0.55000000000000004">
      <c r="A150" s="17"/>
    </row>
    <row r="151" spans="1:1" x14ac:dyDescent="0.55000000000000004">
      <c r="A151" s="17"/>
    </row>
    <row r="152" spans="1:1" x14ac:dyDescent="0.55000000000000004">
      <c r="A152" s="17"/>
    </row>
    <row r="153" spans="1:1" x14ac:dyDescent="0.55000000000000004">
      <c r="A153" s="17"/>
    </row>
    <row r="154" spans="1:1" x14ac:dyDescent="0.55000000000000004">
      <c r="A154" s="17"/>
    </row>
    <row r="155" spans="1:1" x14ac:dyDescent="0.55000000000000004">
      <c r="A155" s="17"/>
    </row>
    <row r="156" spans="1:1" x14ac:dyDescent="0.55000000000000004">
      <c r="A156" s="17"/>
    </row>
    <row r="157" spans="1:1" x14ac:dyDescent="0.55000000000000004">
      <c r="A157" s="17"/>
    </row>
    <row r="158" spans="1:1" x14ac:dyDescent="0.55000000000000004">
      <c r="A158" s="17"/>
    </row>
    <row r="159" spans="1:1" x14ac:dyDescent="0.55000000000000004">
      <c r="A159" s="17"/>
    </row>
    <row r="160" spans="1:1" x14ac:dyDescent="0.55000000000000004">
      <c r="A160" s="17"/>
    </row>
    <row r="161" spans="1:1" x14ac:dyDescent="0.55000000000000004">
      <c r="A161" s="17"/>
    </row>
    <row r="162" spans="1:1" x14ac:dyDescent="0.55000000000000004">
      <c r="A162" s="17"/>
    </row>
    <row r="163" spans="1:1" x14ac:dyDescent="0.55000000000000004">
      <c r="A163" s="17"/>
    </row>
    <row r="164" spans="1:1" x14ac:dyDescent="0.55000000000000004">
      <c r="A164" s="17"/>
    </row>
    <row r="165" spans="1:1" x14ac:dyDescent="0.55000000000000004">
      <c r="A165" s="17"/>
    </row>
    <row r="166" spans="1:1" x14ac:dyDescent="0.55000000000000004">
      <c r="A166" s="17"/>
    </row>
    <row r="167" spans="1:1" x14ac:dyDescent="0.55000000000000004">
      <c r="A167" s="17"/>
    </row>
    <row r="168" spans="1:1" x14ac:dyDescent="0.55000000000000004">
      <c r="A168" s="17"/>
    </row>
    <row r="169" spans="1:1" x14ac:dyDescent="0.55000000000000004">
      <c r="A169" s="17"/>
    </row>
    <row r="170" spans="1:1" x14ac:dyDescent="0.55000000000000004">
      <c r="A170" s="17"/>
    </row>
    <row r="171" spans="1:1" x14ac:dyDescent="0.55000000000000004">
      <c r="A171" s="17"/>
    </row>
    <row r="172" spans="1:1" x14ac:dyDescent="0.55000000000000004">
      <c r="A172" s="17"/>
    </row>
    <row r="173" spans="1:1" x14ac:dyDescent="0.55000000000000004">
      <c r="A173" s="17"/>
    </row>
    <row r="174" spans="1:1" x14ac:dyDescent="0.55000000000000004">
      <c r="A174" s="17"/>
    </row>
    <row r="175" spans="1:1" x14ac:dyDescent="0.55000000000000004">
      <c r="A175" s="17"/>
    </row>
    <row r="176" spans="1:1" x14ac:dyDescent="0.55000000000000004">
      <c r="A176" s="17"/>
    </row>
    <row r="177" spans="1:1" x14ac:dyDescent="0.55000000000000004">
      <c r="A177" s="17"/>
    </row>
    <row r="178" spans="1:1" x14ac:dyDescent="0.55000000000000004">
      <c r="A178" s="17"/>
    </row>
    <row r="179" spans="1:1" x14ac:dyDescent="0.55000000000000004">
      <c r="A179" s="17"/>
    </row>
    <row r="180" spans="1:1" x14ac:dyDescent="0.55000000000000004">
      <c r="A180" s="17"/>
    </row>
    <row r="181" spans="1:1" x14ac:dyDescent="0.55000000000000004">
      <c r="A181" s="17"/>
    </row>
    <row r="182" spans="1:1" x14ac:dyDescent="0.55000000000000004">
      <c r="A182" s="17"/>
    </row>
    <row r="183" spans="1:1" x14ac:dyDescent="0.55000000000000004">
      <c r="A183" s="17"/>
    </row>
    <row r="184" spans="1:1" x14ac:dyDescent="0.55000000000000004">
      <c r="A184" s="17"/>
    </row>
    <row r="185" spans="1:1" x14ac:dyDescent="0.55000000000000004">
      <c r="A185" s="17"/>
    </row>
    <row r="186" spans="1:1" x14ac:dyDescent="0.55000000000000004">
      <c r="A186" s="17"/>
    </row>
    <row r="187" spans="1:1" x14ac:dyDescent="0.55000000000000004">
      <c r="A187" s="17"/>
    </row>
    <row r="188" spans="1:1" x14ac:dyDescent="0.55000000000000004">
      <c r="A188" s="17"/>
    </row>
    <row r="189" spans="1:1" x14ac:dyDescent="0.55000000000000004">
      <c r="A189" s="17"/>
    </row>
    <row r="190" spans="1:1" x14ac:dyDescent="0.55000000000000004">
      <c r="A190" s="17"/>
    </row>
    <row r="191" spans="1:1" x14ac:dyDescent="0.55000000000000004">
      <c r="A191" s="17"/>
    </row>
    <row r="192" spans="1:1" x14ac:dyDescent="0.55000000000000004">
      <c r="A192" s="17"/>
    </row>
    <row r="193" spans="1:1" x14ac:dyDescent="0.55000000000000004">
      <c r="A193" s="17"/>
    </row>
    <row r="194" spans="1:1" x14ac:dyDescent="0.55000000000000004">
      <c r="A194" s="17"/>
    </row>
    <row r="195" spans="1:1" x14ac:dyDescent="0.55000000000000004">
      <c r="A195" s="17"/>
    </row>
    <row r="196" spans="1:1" x14ac:dyDescent="0.55000000000000004">
      <c r="A196" s="17"/>
    </row>
    <row r="197" spans="1:1" x14ac:dyDescent="0.55000000000000004">
      <c r="A197" s="17"/>
    </row>
    <row r="198" spans="1:1" x14ac:dyDescent="0.55000000000000004">
      <c r="A198" s="17"/>
    </row>
    <row r="199" spans="1:1" x14ac:dyDescent="0.55000000000000004">
      <c r="A199" s="17"/>
    </row>
    <row r="200" spans="1:1" x14ac:dyDescent="0.55000000000000004">
      <c r="A200" s="17"/>
    </row>
    <row r="201" spans="1:1" x14ac:dyDescent="0.55000000000000004">
      <c r="A201" s="17"/>
    </row>
    <row r="202" spans="1:1" x14ac:dyDescent="0.55000000000000004">
      <c r="A202" s="17"/>
    </row>
    <row r="203" spans="1:1" x14ac:dyDescent="0.55000000000000004">
      <c r="A203" s="17"/>
    </row>
    <row r="204" spans="1:1" x14ac:dyDescent="0.55000000000000004">
      <c r="A204" s="17"/>
    </row>
    <row r="205" spans="1:1" x14ac:dyDescent="0.55000000000000004">
      <c r="A205" s="17"/>
    </row>
    <row r="206" spans="1:1" x14ac:dyDescent="0.55000000000000004">
      <c r="A206" s="17"/>
    </row>
    <row r="207" spans="1:1" x14ac:dyDescent="0.55000000000000004">
      <c r="A207" s="17"/>
    </row>
    <row r="208" spans="1:1" x14ac:dyDescent="0.55000000000000004">
      <c r="A208" s="17"/>
    </row>
    <row r="209" spans="1:1" x14ac:dyDescent="0.55000000000000004">
      <c r="A209" s="17"/>
    </row>
    <row r="210" spans="1:1" x14ac:dyDescent="0.55000000000000004">
      <c r="A210" s="17"/>
    </row>
    <row r="211" spans="1:1" x14ac:dyDescent="0.55000000000000004">
      <c r="A211" s="17"/>
    </row>
    <row r="212" spans="1:1" x14ac:dyDescent="0.55000000000000004">
      <c r="A212" s="17"/>
    </row>
    <row r="213" spans="1:1" x14ac:dyDescent="0.55000000000000004">
      <c r="A213" s="17"/>
    </row>
    <row r="214" spans="1:1" x14ac:dyDescent="0.55000000000000004">
      <c r="A214" s="17"/>
    </row>
    <row r="215" spans="1:1" x14ac:dyDescent="0.55000000000000004">
      <c r="A215" s="17"/>
    </row>
    <row r="216" spans="1:1" x14ac:dyDescent="0.55000000000000004">
      <c r="A216" s="17"/>
    </row>
    <row r="217" spans="1:1" x14ac:dyDescent="0.55000000000000004">
      <c r="A217" s="17"/>
    </row>
    <row r="218" spans="1:1" x14ac:dyDescent="0.55000000000000004">
      <c r="A218" s="17"/>
    </row>
    <row r="219" spans="1:1" x14ac:dyDescent="0.55000000000000004">
      <c r="A219" s="17"/>
    </row>
    <row r="220" spans="1:1" x14ac:dyDescent="0.55000000000000004">
      <c r="A220" s="17"/>
    </row>
    <row r="221" spans="1:1" x14ac:dyDescent="0.55000000000000004">
      <c r="A221" s="17"/>
    </row>
    <row r="222" spans="1:1" x14ac:dyDescent="0.55000000000000004">
      <c r="A222" s="17"/>
    </row>
    <row r="223" spans="1:1" x14ac:dyDescent="0.55000000000000004">
      <c r="A223" s="17"/>
    </row>
    <row r="224" spans="1:1" x14ac:dyDescent="0.55000000000000004">
      <c r="A224" s="17"/>
    </row>
    <row r="225" spans="1:1" x14ac:dyDescent="0.55000000000000004">
      <c r="A225" s="17"/>
    </row>
    <row r="226" spans="1:1" x14ac:dyDescent="0.55000000000000004">
      <c r="A226" s="17"/>
    </row>
    <row r="227" spans="1:1" x14ac:dyDescent="0.55000000000000004">
      <c r="A227" s="17"/>
    </row>
    <row r="228" spans="1:1" x14ac:dyDescent="0.55000000000000004">
      <c r="A228" s="17"/>
    </row>
    <row r="229" spans="1:1" x14ac:dyDescent="0.55000000000000004">
      <c r="A229" s="17"/>
    </row>
    <row r="230" spans="1:1" x14ac:dyDescent="0.55000000000000004">
      <c r="A230" s="17"/>
    </row>
    <row r="231" spans="1:1" x14ac:dyDescent="0.55000000000000004">
      <c r="A231" s="17"/>
    </row>
    <row r="232" spans="1:1" x14ac:dyDescent="0.55000000000000004">
      <c r="A232" s="17"/>
    </row>
    <row r="233" spans="1:1" x14ac:dyDescent="0.55000000000000004">
      <c r="A233" s="17"/>
    </row>
    <row r="234" spans="1:1" x14ac:dyDescent="0.55000000000000004">
      <c r="A234" s="17"/>
    </row>
    <row r="235" spans="1:1" x14ac:dyDescent="0.55000000000000004">
      <c r="A235" s="17"/>
    </row>
    <row r="236" spans="1:1" x14ac:dyDescent="0.55000000000000004">
      <c r="A236" s="17"/>
    </row>
    <row r="237" spans="1:1" x14ac:dyDescent="0.55000000000000004">
      <c r="A237" s="17"/>
    </row>
    <row r="238" spans="1:1" x14ac:dyDescent="0.55000000000000004">
      <c r="A238" s="17"/>
    </row>
    <row r="239" spans="1:1" x14ac:dyDescent="0.55000000000000004">
      <c r="A239" s="17"/>
    </row>
    <row r="240" spans="1:1" x14ac:dyDescent="0.55000000000000004">
      <c r="A240" s="17"/>
    </row>
    <row r="241" spans="1:1" x14ac:dyDescent="0.55000000000000004">
      <c r="A241" s="17"/>
    </row>
    <row r="242" spans="1:1" x14ac:dyDescent="0.55000000000000004">
      <c r="A242" s="17"/>
    </row>
    <row r="243" spans="1:1" x14ac:dyDescent="0.55000000000000004">
      <c r="A243" s="17"/>
    </row>
    <row r="244" spans="1:1" x14ac:dyDescent="0.55000000000000004">
      <c r="A244" s="17"/>
    </row>
    <row r="245" spans="1:1" x14ac:dyDescent="0.55000000000000004">
      <c r="A245" s="17"/>
    </row>
    <row r="246" spans="1:1" x14ac:dyDescent="0.55000000000000004">
      <c r="A246" s="17"/>
    </row>
    <row r="247" spans="1:1" x14ac:dyDescent="0.55000000000000004">
      <c r="A247" s="17"/>
    </row>
    <row r="248" spans="1:1" x14ac:dyDescent="0.55000000000000004">
      <c r="A248" s="17"/>
    </row>
    <row r="249" spans="1:1" x14ac:dyDescent="0.55000000000000004">
      <c r="A249" s="17"/>
    </row>
    <row r="250" spans="1:1" x14ac:dyDescent="0.55000000000000004">
      <c r="A250" s="17"/>
    </row>
    <row r="251" spans="1:1" x14ac:dyDescent="0.55000000000000004">
      <c r="A251" s="17"/>
    </row>
    <row r="252" spans="1:1" x14ac:dyDescent="0.55000000000000004">
      <c r="A252" s="17"/>
    </row>
    <row r="253" spans="1:1" x14ac:dyDescent="0.55000000000000004">
      <c r="A253" s="17"/>
    </row>
    <row r="254" spans="1:1" x14ac:dyDescent="0.55000000000000004">
      <c r="A254" s="17"/>
    </row>
    <row r="255" spans="1:1" x14ac:dyDescent="0.55000000000000004">
      <c r="A255" s="17"/>
    </row>
    <row r="256" spans="1:1" x14ac:dyDescent="0.55000000000000004">
      <c r="A256" s="17"/>
    </row>
    <row r="257" spans="1:1" x14ac:dyDescent="0.55000000000000004">
      <c r="A257" s="17"/>
    </row>
    <row r="258" spans="1:1" x14ac:dyDescent="0.55000000000000004">
      <c r="A258" s="17"/>
    </row>
    <row r="259" spans="1:1" x14ac:dyDescent="0.55000000000000004">
      <c r="A259" s="17"/>
    </row>
    <row r="260" spans="1:1" x14ac:dyDescent="0.55000000000000004">
      <c r="A260" s="17"/>
    </row>
    <row r="261" spans="1:1" x14ac:dyDescent="0.55000000000000004">
      <c r="A261" s="17"/>
    </row>
    <row r="262" spans="1:1" x14ac:dyDescent="0.55000000000000004">
      <c r="A262" s="17"/>
    </row>
    <row r="263" spans="1:1" x14ac:dyDescent="0.55000000000000004">
      <c r="A263" s="17"/>
    </row>
    <row r="264" spans="1:1" x14ac:dyDescent="0.55000000000000004">
      <c r="A264" s="17"/>
    </row>
    <row r="265" spans="1:1" x14ac:dyDescent="0.55000000000000004">
      <c r="A265" s="17"/>
    </row>
    <row r="266" spans="1:1" x14ac:dyDescent="0.55000000000000004">
      <c r="A266" s="17"/>
    </row>
    <row r="267" spans="1:1" x14ac:dyDescent="0.55000000000000004">
      <c r="A267" s="17"/>
    </row>
    <row r="268" spans="1:1" x14ac:dyDescent="0.55000000000000004">
      <c r="A268" s="17"/>
    </row>
    <row r="269" spans="1:1" x14ac:dyDescent="0.55000000000000004">
      <c r="A269" s="17"/>
    </row>
    <row r="270" spans="1:1" x14ac:dyDescent="0.55000000000000004">
      <c r="A270" s="17"/>
    </row>
    <row r="271" spans="1:1" x14ac:dyDescent="0.55000000000000004">
      <c r="A271" s="17"/>
    </row>
    <row r="272" spans="1:1" x14ac:dyDescent="0.55000000000000004">
      <c r="A272" s="17"/>
    </row>
    <row r="273" spans="1:1" x14ac:dyDescent="0.55000000000000004">
      <c r="A273" s="17"/>
    </row>
    <row r="274" spans="1:1" x14ac:dyDescent="0.55000000000000004">
      <c r="A274" s="17"/>
    </row>
    <row r="275" spans="1:1" x14ac:dyDescent="0.55000000000000004">
      <c r="A275" s="17"/>
    </row>
    <row r="276" spans="1:1" x14ac:dyDescent="0.55000000000000004">
      <c r="A276" s="17"/>
    </row>
    <row r="277" spans="1:1" x14ac:dyDescent="0.55000000000000004">
      <c r="A277" s="17"/>
    </row>
    <row r="278" spans="1:1" x14ac:dyDescent="0.55000000000000004">
      <c r="A278" s="17"/>
    </row>
    <row r="279" spans="1:1" x14ac:dyDescent="0.55000000000000004">
      <c r="A279" s="17"/>
    </row>
    <row r="280" spans="1:1" x14ac:dyDescent="0.55000000000000004">
      <c r="A280" s="17"/>
    </row>
    <row r="281" spans="1:1" x14ac:dyDescent="0.55000000000000004">
      <c r="A281" s="17"/>
    </row>
    <row r="282" spans="1:1" x14ac:dyDescent="0.55000000000000004">
      <c r="A282" s="17"/>
    </row>
    <row r="283" spans="1:1" x14ac:dyDescent="0.55000000000000004">
      <c r="A283" s="17"/>
    </row>
    <row r="284" spans="1:1" x14ac:dyDescent="0.55000000000000004">
      <c r="A284" s="17"/>
    </row>
    <row r="285" spans="1:1" x14ac:dyDescent="0.55000000000000004">
      <c r="A285" s="17"/>
    </row>
    <row r="286" spans="1:1" x14ac:dyDescent="0.55000000000000004">
      <c r="A286" s="17"/>
    </row>
    <row r="287" spans="1:1" x14ac:dyDescent="0.55000000000000004">
      <c r="A287" s="17"/>
    </row>
    <row r="288" spans="1:1" x14ac:dyDescent="0.55000000000000004">
      <c r="A288" s="17"/>
    </row>
    <row r="289" spans="1:1" x14ac:dyDescent="0.55000000000000004">
      <c r="A289" s="17"/>
    </row>
    <row r="290" spans="1:1" x14ac:dyDescent="0.55000000000000004">
      <c r="A290" s="17"/>
    </row>
    <row r="291" spans="1:1" x14ac:dyDescent="0.55000000000000004">
      <c r="A291" s="17"/>
    </row>
    <row r="292" spans="1:1" x14ac:dyDescent="0.55000000000000004">
      <c r="A292" s="17"/>
    </row>
    <row r="293" spans="1:1" x14ac:dyDescent="0.55000000000000004">
      <c r="A293" s="17"/>
    </row>
    <row r="294" spans="1:1" x14ac:dyDescent="0.55000000000000004">
      <c r="A294" s="17"/>
    </row>
    <row r="295" spans="1:1" x14ac:dyDescent="0.55000000000000004">
      <c r="A295" s="17"/>
    </row>
    <row r="296" spans="1:1" x14ac:dyDescent="0.55000000000000004">
      <c r="A296" s="17"/>
    </row>
    <row r="297" spans="1:1" x14ac:dyDescent="0.55000000000000004">
      <c r="A297" s="17"/>
    </row>
    <row r="298" spans="1:1" x14ac:dyDescent="0.55000000000000004">
      <c r="A298" s="17"/>
    </row>
    <row r="299" spans="1:1" x14ac:dyDescent="0.55000000000000004">
      <c r="A299" s="17"/>
    </row>
    <row r="300" spans="1:1" x14ac:dyDescent="0.55000000000000004">
      <c r="A300" s="17"/>
    </row>
    <row r="301" spans="1:1" x14ac:dyDescent="0.55000000000000004">
      <c r="A301" s="17"/>
    </row>
    <row r="302" spans="1:1" x14ac:dyDescent="0.55000000000000004">
      <c r="A302" s="17"/>
    </row>
    <row r="303" spans="1:1" x14ac:dyDescent="0.55000000000000004">
      <c r="A303" s="17"/>
    </row>
    <row r="304" spans="1:1" x14ac:dyDescent="0.55000000000000004">
      <c r="A304" s="17"/>
    </row>
    <row r="305" spans="1:1" x14ac:dyDescent="0.55000000000000004">
      <c r="A305" s="17"/>
    </row>
    <row r="306" spans="1:1" x14ac:dyDescent="0.55000000000000004">
      <c r="A306" s="17"/>
    </row>
    <row r="307" spans="1:1" x14ac:dyDescent="0.55000000000000004">
      <c r="A307" s="17"/>
    </row>
    <row r="308" spans="1:1" x14ac:dyDescent="0.55000000000000004">
      <c r="A308" s="17"/>
    </row>
    <row r="309" spans="1:1" x14ac:dyDescent="0.55000000000000004">
      <c r="A309" s="17"/>
    </row>
    <row r="310" spans="1:1" x14ac:dyDescent="0.55000000000000004">
      <c r="A310" s="17"/>
    </row>
    <row r="311" spans="1:1" x14ac:dyDescent="0.55000000000000004">
      <c r="A311" s="17"/>
    </row>
    <row r="312" spans="1:1" x14ac:dyDescent="0.55000000000000004">
      <c r="A312" s="17"/>
    </row>
    <row r="313" spans="1:1" x14ac:dyDescent="0.55000000000000004">
      <c r="A313" s="17"/>
    </row>
    <row r="314" spans="1:1" x14ac:dyDescent="0.55000000000000004">
      <c r="A314" s="17"/>
    </row>
    <row r="315" spans="1:1" x14ac:dyDescent="0.55000000000000004">
      <c r="A315" s="17"/>
    </row>
    <row r="316" spans="1:1" x14ac:dyDescent="0.55000000000000004">
      <c r="A316" s="17"/>
    </row>
    <row r="317" spans="1:1" x14ac:dyDescent="0.55000000000000004">
      <c r="A317" s="17"/>
    </row>
    <row r="318" spans="1:1" x14ac:dyDescent="0.55000000000000004">
      <c r="A318" s="17"/>
    </row>
    <row r="319" spans="1:1" x14ac:dyDescent="0.55000000000000004">
      <c r="A319" s="17"/>
    </row>
    <row r="320" spans="1:1" x14ac:dyDescent="0.55000000000000004">
      <c r="A320" s="17"/>
    </row>
    <row r="321" spans="1:1" x14ac:dyDescent="0.55000000000000004">
      <c r="A321" s="17"/>
    </row>
    <row r="322" spans="1:1" x14ac:dyDescent="0.55000000000000004">
      <c r="A322" s="17"/>
    </row>
    <row r="323" spans="1:1" x14ac:dyDescent="0.55000000000000004">
      <c r="A323" s="17"/>
    </row>
    <row r="324" spans="1:1" x14ac:dyDescent="0.55000000000000004">
      <c r="A324" s="17"/>
    </row>
    <row r="325" spans="1:1" x14ac:dyDescent="0.55000000000000004">
      <c r="A325" s="17"/>
    </row>
    <row r="326" spans="1:1" x14ac:dyDescent="0.55000000000000004">
      <c r="A326" s="17"/>
    </row>
    <row r="327" spans="1:1" x14ac:dyDescent="0.55000000000000004">
      <c r="A327" s="17"/>
    </row>
    <row r="328" spans="1:1" x14ac:dyDescent="0.55000000000000004">
      <c r="A328" s="17"/>
    </row>
    <row r="329" spans="1:1" x14ac:dyDescent="0.55000000000000004">
      <c r="A329" s="17"/>
    </row>
    <row r="330" spans="1:1" x14ac:dyDescent="0.55000000000000004">
      <c r="A330" s="17"/>
    </row>
    <row r="331" spans="1:1" x14ac:dyDescent="0.55000000000000004">
      <c r="A331" s="17"/>
    </row>
    <row r="332" spans="1:1" x14ac:dyDescent="0.55000000000000004">
      <c r="A332" s="17"/>
    </row>
    <row r="333" spans="1:1" x14ac:dyDescent="0.55000000000000004">
      <c r="A333" s="17"/>
    </row>
    <row r="334" spans="1:1" x14ac:dyDescent="0.55000000000000004">
      <c r="A334" s="17"/>
    </row>
    <row r="335" spans="1:1" x14ac:dyDescent="0.55000000000000004">
      <c r="A335" s="17"/>
    </row>
    <row r="336" spans="1:1" x14ac:dyDescent="0.55000000000000004">
      <c r="A336" s="17"/>
    </row>
    <row r="337" spans="1:1" x14ac:dyDescent="0.55000000000000004">
      <c r="A337" s="17"/>
    </row>
    <row r="338" spans="1:1" x14ac:dyDescent="0.55000000000000004">
      <c r="A338" s="17"/>
    </row>
    <row r="339" spans="1:1" x14ac:dyDescent="0.55000000000000004">
      <c r="A339" s="17"/>
    </row>
    <row r="340" spans="1:1" x14ac:dyDescent="0.55000000000000004">
      <c r="A340" s="17"/>
    </row>
    <row r="341" spans="1:1" x14ac:dyDescent="0.55000000000000004">
      <c r="A341" s="17"/>
    </row>
    <row r="342" spans="1:1" x14ac:dyDescent="0.55000000000000004">
      <c r="A342" s="17"/>
    </row>
    <row r="343" spans="1:1" x14ac:dyDescent="0.55000000000000004">
      <c r="A343" s="17"/>
    </row>
    <row r="344" spans="1:1" x14ac:dyDescent="0.55000000000000004">
      <c r="A344" s="17"/>
    </row>
    <row r="345" spans="1:1" x14ac:dyDescent="0.55000000000000004">
      <c r="A345" s="17"/>
    </row>
    <row r="346" spans="1:1" x14ac:dyDescent="0.55000000000000004">
      <c r="A346" s="17"/>
    </row>
    <row r="347" spans="1:1" x14ac:dyDescent="0.55000000000000004">
      <c r="A347" s="17"/>
    </row>
    <row r="348" spans="1:1" x14ac:dyDescent="0.55000000000000004">
      <c r="A348" s="17"/>
    </row>
    <row r="349" spans="1:1" x14ac:dyDescent="0.55000000000000004">
      <c r="A349" s="17"/>
    </row>
    <row r="350" spans="1:1" x14ac:dyDescent="0.55000000000000004">
      <c r="A350" s="17"/>
    </row>
    <row r="351" spans="1:1" x14ac:dyDescent="0.55000000000000004">
      <c r="A351" s="17"/>
    </row>
    <row r="352" spans="1:1" x14ac:dyDescent="0.55000000000000004">
      <c r="A352" s="17"/>
    </row>
    <row r="353" spans="1:1" x14ac:dyDescent="0.55000000000000004">
      <c r="A353" s="17"/>
    </row>
    <row r="354" spans="1:1" x14ac:dyDescent="0.55000000000000004">
      <c r="A354" s="17"/>
    </row>
    <row r="355" spans="1:1" x14ac:dyDescent="0.55000000000000004">
      <c r="A355" s="17"/>
    </row>
    <row r="356" spans="1:1" x14ac:dyDescent="0.55000000000000004">
      <c r="A356" s="17"/>
    </row>
    <row r="357" spans="1:1" x14ac:dyDescent="0.55000000000000004">
      <c r="A357" s="17"/>
    </row>
    <row r="358" spans="1:1" x14ac:dyDescent="0.55000000000000004">
      <c r="A358" s="17"/>
    </row>
    <row r="359" spans="1:1" x14ac:dyDescent="0.55000000000000004">
      <c r="A359" s="17"/>
    </row>
    <row r="360" spans="1:1" x14ac:dyDescent="0.55000000000000004">
      <c r="A360" s="17"/>
    </row>
    <row r="361" spans="1:1" x14ac:dyDescent="0.55000000000000004">
      <c r="A361" s="17"/>
    </row>
    <row r="362" spans="1:1" x14ac:dyDescent="0.55000000000000004">
      <c r="A362" s="17"/>
    </row>
    <row r="363" spans="1:1" x14ac:dyDescent="0.55000000000000004">
      <c r="A363" s="17"/>
    </row>
    <row r="364" spans="1:1" x14ac:dyDescent="0.55000000000000004">
      <c r="A364" s="17"/>
    </row>
    <row r="365" spans="1:1" x14ac:dyDescent="0.55000000000000004">
      <c r="A365" s="17"/>
    </row>
    <row r="366" spans="1:1" x14ac:dyDescent="0.55000000000000004">
      <c r="A366" s="17"/>
    </row>
    <row r="367" spans="1:1" x14ac:dyDescent="0.55000000000000004">
      <c r="A367" s="17"/>
    </row>
    <row r="368" spans="1:1" x14ac:dyDescent="0.55000000000000004">
      <c r="A368" s="17"/>
    </row>
    <row r="369" spans="1:1" x14ac:dyDescent="0.55000000000000004">
      <c r="A369" s="17"/>
    </row>
    <row r="370" spans="1:1" x14ac:dyDescent="0.55000000000000004">
      <c r="A370" s="17"/>
    </row>
    <row r="371" spans="1:1" x14ac:dyDescent="0.55000000000000004">
      <c r="A371" s="17"/>
    </row>
    <row r="372" spans="1:1" x14ac:dyDescent="0.55000000000000004">
      <c r="A372" s="17"/>
    </row>
    <row r="373" spans="1:1" x14ac:dyDescent="0.55000000000000004">
      <c r="A373" s="17"/>
    </row>
    <row r="374" spans="1:1" x14ac:dyDescent="0.55000000000000004">
      <c r="A374" s="17"/>
    </row>
    <row r="375" spans="1:1" x14ac:dyDescent="0.55000000000000004">
      <c r="A375" s="17"/>
    </row>
    <row r="376" spans="1:1" x14ac:dyDescent="0.55000000000000004">
      <c r="A376" s="17"/>
    </row>
    <row r="377" spans="1:1" x14ac:dyDescent="0.55000000000000004">
      <c r="A377" s="17"/>
    </row>
    <row r="378" spans="1:1" x14ac:dyDescent="0.55000000000000004">
      <c r="A378" s="17"/>
    </row>
    <row r="379" spans="1:1" x14ac:dyDescent="0.55000000000000004">
      <c r="A379" s="17"/>
    </row>
    <row r="380" spans="1:1" x14ac:dyDescent="0.55000000000000004">
      <c r="A380" s="17"/>
    </row>
    <row r="381" spans="1:1" x14ac:dyDescent="0.55000000000000004">
      <c r="A381" s="17"/>
    </row>
    <row r="382" spans="1:1" x14ac:dyDescent="0.55000000000000004">
      <c r="A382" s="17"/>
    </row>
    <row r="383" spans="1:1" x14ac:dyDescent="0.55000000000000004">
      <c r="A383" s="17"/>
    </row>
    <row r="384" spans="1:1" x14ac:dyDescent="0.55000000000000004">
      <c r="A384" s="17"/>
    </row>
    <row r="385" spans="1:1" x14ac:dyDescent="0.55000000000000004">
      <c r="A385" s="17"/>
    </row>
    <row r="386" spans="1:1" x14ac:dyDescent="0.55000000000000004">
      <c r="A386" s="17"/>
    </row>
    <row r="387" spans="1:1" x14ac:dyDescent="0.55000000000000004">
      <c r="A387" s="17"/>
    </row>
    <row r="388" spans="1:1" x14ac:dyDescent="0.55000000000000004">
      <c r="A388" s="17"/>
    </row>
    <row r="389" spans="1:1" x14ac:dyDescent="0.55000000000000004">
      <c r="A389" s="17"/>
    </row>
    <row r="390" spans="1:1" x14ac:dyDescent="0.55000000000000004">
      <c r="A390" s="17"/>
    </row>
    <row r="391" spans="1:1" x14ac:dyDescent="0.55000000000000004">
      <c r="A391" s="17"/>
    </row>
    <row r="392" spans="1:1" x14ac:dyDescent="0.55000000000000004">
      <c r="A392" s="17"/>
    </row>
    <row r="393" spans="1:1" x14ac:dyDescent="0.55000000000000004">
      <c r="A393" s="17"/>
    </row>
    <row r="394" spans="1:1" x14ac:dyDescent="0.55000000000000004">
      <c r="A394" s="17"/>
    </row>
    <row r="395" spans="1:1" x14ac:dyDescent="0.55000000000000004">
      <c r="A395" s="17"/>
    </row>
    <row r="396" spans="1:1" x14ac:dyDescent="0.55000000000000004">
      <c r="A396" s="17"/>
    </row>
    <row r="397" spans="1:1" x14ac:dyDescent="0.55000000000000004">
      <c r="A397" s="17"/>
    </row>
    <row r="398" spans="1:1" x14ac:dyDescent="0.55000000000000004">
      <c r="A398" s="17"/>
    </row>
    <row r="399" spans="1:1" x14ac:dyDescent="0.55000000000000004">
      <c r="A399" s="17"/>
    </row>
    <row r="400" spans="1:1" x14ac:dyDescent="0.55000000000000004">
      <c r="A400" s="17"/>
    </row>
    <row r="401" spans="1:1" x14ac:dyDescent="0.55000000000000004">
      <c r="A401" s="17"/>
    </row>
    <row r="402" spans="1:1" x14ac:dyDescent="0.55000000000000004">
      <c r="A402" s="17"/>
    </row>
    <row r="403" spans="1:1" x14ac:dyDescent="0.55000000000000004">
      <c r="A403" s="17"/>
    </row>
    <row r="404" spans="1:1" x14ac:dyDescent="0.55000000000000004">
      <c r="A404" s="17"/>
    </row>
    <row r="405" spans="1:1" x14ac:dyDescent="0.55000000000000004">
      <c r="A405" s="17"/>
    </row>
    <row r="406" spans="1:1" x14ac:dyDescent="0.55000000000000004">
      <c r="A406" s="17"/>
    </row>
    <row r="407" spans="1:1" x14ac:dyDescent="0.55000000000000004">
      <c r="A407" s="17"/>
    </row>
    <row r="408" spans="1:1" x14ac:dyDescent="0.55000000000000004">
      <c r="A408" s="17"/>
    </row>
    <row r="409" spans="1:1" x14ac:dyDescent="0.55000000000000004">
      <c r="A409" s="17"/>
    </row>
    <row r="410" spans="1:1" x14ac:dyDescent="0.55000000000000004">
      <c r="A410" s="17"/>
    </row>
    <row r="411" spans="1:1" x14ac:dyDescent="0.55000000000000004">
      <c r="A411" s="17"/>
    </row>
    <row r="412" spans="1:1" x14ac:dyDescent="0.55000000000000004">
      <c r="A412" s="17"/>
    </row>
    <row r="413" spans="1:1" x14ac:dyDescent="0.55000000000000004">
      <c r="A413" s="17"/>
    </row>
    <row r="414" spans="1:1" x14ac:dyDescent="0.55000000000000004">
      <c r="A414" s="17"/>
    </row>
    <row r="415" spans="1:1" x14ac:dyDescent="0.55000000000000004">
      <c r="A415" s="17"/>
    </row>
    <row r="416" spans="1:1" x14ac:dyDescent="0.55000000000000004">
      <c r="A416" s="17"/>
    </row>
    <row r="417" spans="1:1" x14ac:dyDescent="0.55000000000000004">
      <c r="A417" s="17"/>
    </row>
    <row r="418" spans="1:1" x14ac:dyDescent="0.55000000000000004">
      <c r="A418" s="17"/>
    </row>
    <row r="419" spans="1:1" x14ac:dyDescent="0.55000000000000004">
      <c r="A419" s="17"/>
    </row>
    <row r="420" spans="1:1" x14ac:dyDescent="0.55000000000000004">
      <c r="A420" s="17"/>
    </row>
    <row r="421" spans="1:1" x14ac:dyDescent="0.55000000000000004">
      <c r="A421" s="17"/>
    </row>
    <row r="422" spans="1:1" x14ac:dyDescent="0.55000000000000004">
      <c r="A422" s="17"/>
    </row>
    <row r="423" spans="1:1" x14ac:dyDescent="0.55000000000000004">
      <c r="A423" s="17"/>
    </row>
    <row r="424" spans="1:1" x14ac:dyDescent="0.55000000000000004">
      <c r="A424" s="17"/>
    </row>
    <row r="425" spans="1:1" x14ac:dyDescent="0.55000000000000004">
      <c r="A425" s="17"/>
    </row>
    <row r="426" spans="1:1" x14ac:dyDescent="0.55000000000000004">
      <c r="A426" s="17"/>
    </row>
    <row r="427" spans="1:1" x14ac:dyDescent="0.55000000000000004">
      <c r="A427" s="17"/>
    </row>
    <row r="428" spans="1:1" x14ac:dyDescent="0.55000000000000004">
      <c r="A428" s="17"/>
    </row>
    <row r="429" spans="1:1" x14ac:dyDescent="0.55000000000000004">
      <c r="A429" s="17"/>
    </row>
    <row r="430" spans="1:1" x14ac:dyDescent="0.55000000000000004">
      <c r="A430" s="17"/>
    </row>
    <row r="431" spans="1:1" x14ac:dyDescent="0.55000000000000004">
      <c r="A431" s="17"/>
    </row>
    <row r="432" spans="1:1" x14ac:dyDescent="0.55000000000000004">
      <c r="A432" s="17"/>
    </row>
    <row r="433" spans="1:1" x14ac:dyDescent="0.55000000000000004">
      <c r="A433" s="17"/>
    </row>
    <row r="434" spans="1:1" x14ac:dyDescent="0.55000000000000004">
      <c r="A434" s="17"/>
    </row>
    <row r="435" spans="1:1" x14ac:dyDescent="0.55000000000000004">
      <c r="A435" s="17"/>
    </row>
    <row r="436" spans="1:1" x14ac:dyDescent="0.55000000000000004">
      <c r="A436" s="17"/>
    </row>
    <row r="437" spans="1:1" x14ac:dyDescent="0.55000000000000004">
      <c r="A437" s="17"/>
    </row>
    <row r="438" spans="1:1" x14ac:dyDescent="0.55000000000000004">
      <c r="A438" s="17"/>
    </row>
    <row r="439" spans="1:1" x14ac:dyDescent="0.55000000000000004">
      <c r="A439" s="17"/>
    </row>
    <row r="440" spans="1:1" x14ac:dyDescent="0.55000000000000004">
      <c r="A440" s="17"/>
    </row>
    <row r="441" spans="1:1" x14ac:dyDescent="0.55000000000000004">
      <c r="A441" s="17"/>
    </row>
    <row r="442" spans="1:1" x14ac:dyDescent="0.55000000000000004">
      <c r="A442" s="17"/>
    </row>
    <row r="443" spans="1:1" x14ac:dyDescent="0.55000000000000004">
      <c r="A443" s="17"/>
    </row>
    <row r="444" spans="1:1" x14ac:dyDescent="0.55000000000000004">
      <c r="A444" s="17"/>
    </row>
    <row r="445" spans="1:1" x14ac:dyDescent="0.55000000000000004">
      <c r="A445" s="17"/>
    </row>
    <row r="446" spans="1:1" x14ac:dyDescent="0.55000000000000004">
      <c r="A446" s="17"/>
    </row>
    <row r="447" spans="1:1" x14ac:dyDescent="0.55000000000000004">
      <c r="A447" s="17"/>
    </row>
    <row r="448" spans="1:1" x14ac:dyDescent="0.55000000000000004">
      <c r="A448" s="17"/>
    </row>
    <row r="449" spans="1:1" x14ac:dyDescent="0.55000000000000004">
      <c r="A449" s="17"/>
    </row>
    <row r="450" spans="1:1" x14ac:dyDescent="0.55000000000000004">
      <c r="A450" s="17"/>
    </row>
    <row r="451" spans="1:1" x14ac:dyDescent="0.55000000000000004">
      <c r="A451" s="17"/>
    </row>
    <row r="452" spans="1:1" x14ac:dyDescent="0.55000000000000004">
      <c r="A452" s="17"/>
    </row>
    <row r="453" spans="1:1" x14ac:dyDescent="0.55000000000000004">
      <c r="A453" s="17"/>
    </row>
    <row r="454" spans="1:1" x14ac:dyDescent="0.55000000000000004">
      <c r="A454" s="17"/>
    </row>
    <row r="455" spans="1:1" x14ac:dyDescent="0.55000000000000004">
      <c r="A455" s="17"/>
    </row>
    <row r="456" spans="1:1" x14ac:dyDescent="0.55000000000000004">
      <c r="A456" s="17"/>
    </row>
    <row r="457" spans="1:1" x14ac:dyDescent="0.55000000000000004">
      <c r="A457" s="17"/>
    </row>
    <row r="458" spans="1:1" x14ac:dyDescent="0.55000000000000004">
      <c r="A458" s="17"/>
    </row>
    <row r="459" spans="1:1" x14ac:dyDescent="0.55000000000000004">
      <c r="A459" s="17"/>
    </row>
    <row r="460" spans="1:1" x14ac:dyDescent="0.55000000000000004">
      <c r="A460" s="17"/>
    </row>
    <row r="461" spans="1:1" x14ac:dyDescent="0.55000000000000004">
      <c r="A461" s="17"/>
    </row>
    <row r="462" spans="1:1" x14ac:dyDescent="0.55000000000000004">
      <c r="A462" s="17"/>
    </row>
    <row r="463" spans="1:1" x14ac:dyDescent="0.55000000000000004">
      <c r="A463" s="17"/>
    </row>
    <row r="464" spans="1:1" x14ac:dyDescent="0.55000000000000004">
      <c r="A464" s="17"/>
    </row>
    <row r="465" spans="1:1" x14ac:dyDescent="0.55000000000000004">
      <c r="A465" s="17"/>
    </row>
    <row r="466" spans="1:1" x14ac:dyDescent="0.55000000000000004">
      <c r="A466" s="17"/>
    </row>
    <row r="467" spans="1:1" x14ac:dyDescent="0.55000000000000004">
      <c r="A467" s="17"/>
    </row>
    <row r="468" spans="1:1" x14ac:dyDescent="0.55000000000000004">
      <c r="A468" s="17"/>
    </row>
    <row r="469" spans="1:1" x14ac:dyDescent="0.55000000000000004">
      <c r="A469" s="17"/>
    </row>
    <row r="470" spans="1:1" x14ac:dyDescent="0.55000000000000004">
      <c r="A470" s="17"/>
    </row>
    <row r="471" spans="1:1" x14ac:dyDescent="0.55000000000000004">
      <c r="A471" s="17"/>
    </row>
    <row r="472" spans="1:1" x14ac:dyDescent="0.55000000000000004">
      <c r="A472" s="17"/>
    </row>
    <row r="473" spans="1:1" x14ac:dyDescent="0.55000000000000004">
      <c r="A473" s="17"/>
    </row>
    <row r="474" spans="1:1" x14ac:dyDescent="0.55000000000000004">
      <c r="A474" s="17"/>
    </row>
    <row r="475" spans="1:1" x14ac:dyDescent="0.55000000000000004">
      <c r="A475" s="17"/>
    </row>
    <row r="476" spans="1:1" x14ac:dyDescent="0.55000000000000004">
      <c r="A476" s="17"/>
    </row>
    <row r="477" spans="1:1" x14ac:dyDescent="0.55000000000000004">
      <c r="A477" s="17"/>
    </row>
    <row r="478" spans="1:1" x14ac:dyDescent="0.55000000000000004">
      <c r="A478" s="17"/>
    </row>
    <row r="479" spans="1:1" x14ac:dyDescent="0.55000000000000004">
      <c r="A479" s="17"/>
    </row>
    <row r="480" spans="1:1" x14ac:dyDescent="0.55000000000000004">
      <c r="A480" s="17"/>
    </row>
    <row r="481" spans="1:1" x14ac:dyDescent="0.55000000000000004">
      <c r="A481" s="17"/>
    </row>
    <row r="482" spans="1:1" x14ac:dyDescent="0.55000000000000004">
      <c r="A482" s="17"/>
    </row>
    <row r="483" spans="1:1" x14ac:dyDescent="0.55000000000000004">
      <c r="A483" s="17"/>
    </row>
    <row r="484" spans="1:1" x14ac:dyDescent="0.55000000000000004">
      <c r="A484" s="17"/>
    </row>
    <row r="485" spans="1:1" x14ac:dyDescent="0.55000000000000004">
      <c r="A485" s="17"/>
    </row>
    <row r="486" spans="1:1" x14ac:dyDescent="0.55000000000000004">
      <c r="A486" s="17"/>
    </row>
    <row r="487" spans="1:1" x14ac:dyDescent="0.55000000000000004">
      <c r="A487" s="17"/>
    </row>
    <row r="488" spans="1:1" x14ac:dyDescent="0.55000000000000004">
      <c r="A488" s="17"/>
    </row>
    <row r="489" spans="1:1" x14ac:dyDescent="0.55000000000000004">
      <c r="A489" s="17"/>
    </row>
    <row r="490" spans="1:1" x14ac:dyDescent="0.55000000000000004">
      <c r="A490" s="17"/>
    </row>
    <row r="491" spans="1:1" x14ac:dyDescent="0.55000000000000004">
      <c r="A491" s="17"/>
    </row>
    <row r="492" spans="1:1" x14ac:dyDescent="0.55000000000000004">
      <c r="A492" s="17"/>
    </row>
    <row r="493" spans="1:1" x14ac:dyDescent="0.55000000000000004">
      <c r="A493" s="17"/>
    </row>
    <row r="494" spans="1:1" x14ac:dyDescent="0.55000000000000004">
      <c r="A494" s="17"/>
    </row>
    <row r="495" spans="1:1" x14ac:dyDescent="0.55000000000000004">
      <c r="A495" s="17"/>
    </row>
    <row r="496" spans="1:1" x14ac:dyDescent="0.55000000000000004">
      <c r="A496" s="17"/>
    </row>
    <row r="497" spans="1:1" x14ac:dyDescent="0.55000000000000004">
      <c r="A497" s="17"/>
    </row>
    <row r="498" spans="1:1" x14ac:dyDescent="0.55000000000000004">
      <c r="A498" s="17"/>
    </row>
    <row r="499" spans="1:1" x14ac:dyDescent="0.55000000000000004">
      <c r="A499" s="17"/>
    </row>
    <row r="500" spans="1:1" x14ac:dyDescent="0.55000000000000004">
      <c r="A500" s="17"/>
    </row>
    <row r="501" spans="1:1" x14ac:dyDescent="0.55000000000000004">
      <c r="A501" s="17"/>
    </row>
    <row r="502" spans="1:1" x14ac:dyDescent="0.55000000000000004">
      <c r="A502" s="17"/>
    </row>
    <row r="503" spans="1:1" x14ac:dyDescent="0.55000000000000004">
      <c r="A503" s="17"/>
    </row>
    <row r="504" spans="1:1" x14ac:dyDescent="0.55000000000000004">
      <c r="A504" s="17"/>
    </row>
    <row r="505" spans="1:1" x14ac:dyDescent="0.55000000000000004">
      <c r="A505" s="17"/>
    </row>
    <row r="506" spans="1:1" x14ac:dyDescent="0.55000000000000004">
      <c r="A506" s="17"/>
    </row>
    <row r="507" spans="1:1" x14ac:dyDescent="0.55000000000000004">
      <c r="A507" s="17"/>
    </row>
    <row r="508" spans="1:1" x14ac:dyDescent="0.55000000000000004">
      <c r="A508" s="17"/>
    </row>
    <row r="509" spans="1:1" x14ac:dyDescent="0.55000000000000004">
      <c r="A509" s="17"/>
    </row>
    <row r="510" spans="1:1" x14ac:dyDescent="0.55000000000000004">
      <c r="A510" s="17"/>
    </row>
    <row r="511" spans="1:1" x14ac:dyDescent="0.55000000000000004">
      <c r="A511" s="17"/>
    </row>
    <row r="512" spans="1:1" x14ac:dyDescent="0.55000000000000004">
      <c r="A512" s="17"/>
    </row>
    <row r="513" spans="1:1" x14ac:dyDescent="0.55000000000000004">
      <c r="A513" s="17"/>
    </row>
    <row r="514" spans="1:1" x14ac:dyDescent="0.55000000000000004">
      <c r="A514" s="17"/>
    </row>
    <row r="515" spans="1:1" x14ac:dyDescent="0.55000000000000004">
      <c r="A515" s="17"/>
    </row>
    <row r="516" spans="1:1" x14ac:dyDescent="0.55000000000000004">
      <c r="A516" s="17"/>
    </row>
    <row r="517" spans="1:1" x14ac:dyDescent="0.55000000000000004">
      <c r="A517" s="17"/>
    </row>
    <row r="518" spans="1:1" x14ac:dyDescent="0.55000000000000004">
      <c r="A518" s="17"/>
    </row>
    <row r="519" spans="1:1" x14ac:dyDescent="0.55000000000000004">
      <c r="A519" s="17"/>
    </row>
    <row r="520" spans="1:1" x14ac:dyDescent="0.55000000000000004">
      <c r="A520" s="17"/>
    </row>
    <row r="521" spans="1:1" x14ac:dyDescent="0.55000000000000004">
      <c r="A521" s="17"/>
    </row>
    <row r="522" spans="1:1" x14ac:dyDescent="0.55000000000000004">
      <c r="A522" s="17"/>
    </row>
    <row r="523" spans="1:1" x14ac:dyDescent="0.55000000000000004">
      <c r="A523" s="17"/>
    </row>
    <row r="524" spans="1:1" x14ac:dyDescent="0.55000000000000004">
      <c r="A524" s="17"/>
    </row>
    <row r="525" spans="1:1" x14ac:dyDescent="0.55000000000000004">
      <c r="A525" s="17"/>
    </row>
    <row r="526" spans="1:1" x14ac:dyDescent="0.55000000000000004">
      <c r="A526" s="17"/>
    </row>
    <row r="527" spans="1:1" x14ac:dyDescent="0.55000000000000004">
      <c r="A527" s="17"/>
    </row>
    <row r="528" spans="1:1" x14ac:dyDescent="0.55000000000000004">
      <c r="A528" s="17"/>
    </row>
    <row r="529" spans="1:1" x14ac:dyDescent="0.55000000000000004">
      <c r="A529" s="17"/>
    </row>
    <row r="530" spans="1:1" x14ac:dyDescent="0.55000000000000004">
      <c r="A530" s="17"/>
    </row>
    <row r="531" spans="1:1" x14ac:dyDescent="0.55000000000000004">
      <c r="A531" s="17"/>
    </row>
    <row r="532" spans="1:1" x14ac:dyDescent="0.55000000000000004">
      <c r="A532" s="17"/>
    </row>
    <row r="533" spans="1:1" x14ac:dyDescent="0.55000000000000004">
      <c r="A533" s="17"/>
    </row>
    <row r="534" spans="1:1" x14ac:dyDescent="0.55000000000000004">
      <c r="A534" s="17"/>
    </row>
    <row r="535" spans="1:1" x14ac:dyDescent="0.55000000000000004">
      <c r="A535" s="17"/>
    </row>
    <row r="536" spans="1:1" x14ac:dyDescent="0.55000000000000004">
      <c r="A536" s="17"/>
    </row>
    <row r="537" spans="1:1" x14ac:dyDescent="0.55000000000000004">
      <c r="A537" s="17"/>
    </row>
    <row r="538" spans="1:1" x14ac:dyDescent="0.55000000000000004">
      <c r="A538" s="17"/>
    </row>
    <row r="539" spans="1:1" x14ac:dyDescent="0.55000000000000004">
      <c r="A539" s="17"/>
    </row>
    <row r="540" spans="1:1" x14ac:dyDescent="0.55000000000000004">
      <c r="A540" s="17"/>
    </row>
    <row r="541" spans="1:1" x14ac:dyDescent="0.55000000000000004">
      <c r="A541" s="17"/>
    </row>
    <row r="542" spans="1:1" x14ac:dyDescent="0.55000000000000004">
      <c r="A542" s="17"/>
    </row>
    <row r="543" spans="1:1" x14ac:dyDescent="0.55000000000000004">
      <c r="A543" s="17"/>
    </row>
    <row r="544" spans="1:1" x14ac:dyDescent="0.55000000000000004">
      <c r="A544" s="17"/>
    </row>
    <row r="545" spans="1:1" x14ac:dyDescent="0.55000000000000004">
      <c r="A545" s="17"/>
    </row>
    <row r="546" spans="1:1" x14ac:dyDescent="0.55000000000000004">
      <c r="A546" s="17"/>
    </row>
    <row r="547" spans="1:1" x14ac:dyDescent="0.55000000000000004">
      <c r="A547" s="17"/>
    </row>
    <row r="548" spans="1:1" x14ac:dyDescent="0.55000000000000004">
      <c r="A548" s="17"/>
    </row>
    <row r="549" spans="1:1" x14ac:dyDescent="0.55000000000000004">
      <c r="A549" s="17"/>
    </row>
    <row r="550" spans="1:1" x14ac:dyDescent="0.55000000000000004">
      <c r="A550" s="17"/>
    </row>
    <row r="551" spans="1:1" x14ac:dyDescent="0.55000000000000004">
      <c r="A551" s="17"/>
    </row>
    <row r="552" spans="1:1" x14ac:dyDescent="0.55000000000000004">
      <c r="A552" s="17"/>
    </row>
    <row r="553" spans="1:1" x14ac:dyDescent="0.55000000000000004">
      <c r="A553" s="17"/>
    </row>
    <row r="554" spans="1:1" x14ac:dyDescent="0.55000000000000004">
      <c r="A554" s="17"/>
    </row>
    <row r="555" spans="1:1" x14ac:dyDescent="0.55000000000000004">
      <c r="A555" s="17"/>
    </row>
    <row r="556" spans="1:1" x14ac:dyDescent="0.55000000000000004">
      <c r="A556" s="17"/>
    </row>
    <row r="557" spans="1:1" x14ac:dyDescent="0.55000000000000004">
      <c r="A557" s="17"/>
    </row>
    <row r="558" spans="1:1" x14ac:dyDescent="0.55000000000000004">
      <c r="A558" s="17"/>
    </row>
    <row r="559" spans="1:1" x14ac:dyDescent="0.55000000000000004">
      <c r="A559" s="17"/>
    </row>
    <row r="560" spans="1:1" x14ac:dyDescent="0.55000000000000004">
      <c r="A560" s="17"/>
    </row>
    <row r="561" spans="1:1" x14ac:dyDescent="0.55000000000000004">
      <c r="A561" s="17"/>
    </row>
    <row r="562" spans="1:1" x14ac:dyDescent="0.55000000000000004">
      <c r="A562" s="17"/>
    </row>
    <row r="563" spans="1:1" x14ac:dyDescent="0.55000000000000004">
      <c r="A563" s="17"/>
    </row>
    <row r="564" spans="1:1" x14ac:dyDescent="0.55000000000000004">
      <c r="A564" s="17"/>
    </row>
    <row r="565" spans="1:1" x14ac:dyDescent="0.55000000000000004">
      <c r="A565" s="17"/>
    </row>
    <row r="566" spans="1:1" x14ac:dyDescent="0.55000000000000004">
      <c r="A566" s="17"/>
    </row>
    <row r="567" spans="1:1" x14ac:dyDescent="0.55000000000000004">
      <c r="A567" s="17"/>
    </row>
    <row r="568" spans="1:1" x14ac:dyDescent="0.55000000000000004">
      <c r="A568" s="17"/>
    </row>
    <row r="569" spans="1:1" x14ac:dyDescent="0.55000000000000004">
      <c r="A569" s="17"/>
    </row>
    <row r="570" spans="1:1" x14ac:dyDescent="0.55000000000000004">
      <c r="A570" s="17"/>
    </row>
    <row r="571" spans="1:1" x14ac:dyDescent="0.55000000000000004">
      <c r="A571" s="17"/>
    </row>
    <row r="572" spans="1:1" x14ac:dyDescent="0.55000000000000004">
      <c r="A572" s="17"/>
    </row>
    <row r="573" spans="1:1" x14ac:dyDescent="0.55000000000000004">
      <c r="A573" s="17"/>
    </row>
    <row r="574" spans="1:1" x14ac:dyDescent="0.55000000000000004">
      <c r="A574" s="17"/>
    </row>
    <row r="575" spans="1:1" x14ac:dyDescent="0.55000000000000004">
      <c r="A575" s="17"/>
    </row>
    <row r="576" spans="1:1" x14ac:dyDescent="0.55000000000000004">
      <c r="A576" s="17"/>
    </row>
    <row r="577" spans="1:1" x14ac:dyDescent="0.55000000000000004">
      <c r="A577" s="17"/>
    </row>
    <row r="578" spans="1:1" x14ac:dyDescent="0.55000000000000004">
      <c r="A578" s="17"/>
    </row>
    <row r="579" spans="1:1" x14ac:dyDescent="0.55000000000000004">
      <c r="A579" s="17"/>
    </row>
    <row r="580" spans="1:1" x14ac:dyDescent="0.55000000000000004">
      <c r="A580" s="17"/>
    </row>
    <row r="581" spans="1:1" x14ac:dyDescent="0.55000000000000004">
      <c r="A581" s="17"/>
    </row>
    <row r="582" spans="1:1" x14ac:dyDescent="0.55000000000000004">
      <c r="A582" s="17"/>
    </row>
    <row r="583" spans="1:1" x14ac:dyDescent="0.55000000000000004">
      <c r="A583" s="17"/>
    </row>
    <row r="584" spans="1:1" x14ac:dyDescent="0.55000000000000004">
      <c r="A584" s="17"/>
    </row>
    <row r="585" spans="1:1" x14ac:dyDescent="0.55000000000000004">
      <c r="A585" s="17"/>
    </row>
    <row r="586" spans="1:1" x14ac:dyDescent="0.55000000000000004">
      <c r="A586" s="17"/>
    </row>
    <row r="587" spans="1:1" x14ac:dyDescent="0.55000000000000004">
      <c r="A587" s="17"/>
    </row>
    <row r="588" spans="1:1" x14ac:dyDescent="0.55000000000000004">
      <c r="A588" s="17"/>
    </row>
    <row r="589" spans="1:1" x14ac:dyDescent="0.55000000000000004">
      <c r="A589" s="17"/>
    </row>
    <row r="590" spans="1:1" x14ac:dyDescent="0.55000000000000004">
      <c r="A590" s="17"/>
    </row>
    <row r="591" spans="1:1" x14ac:dyDescent="0.55000000000000004">
      <c r="A591" s="17"/>
    </row>
    <row r="592" spans="1:1" x14ac:dyDescent="0.55000000000000004">
      <c r="A592" s="17"/>
    </row>
    <row r="593" spans="1:1" x14ac:dyDescent="0.55000000000000004">
      <c r="A593" s="17"/>
    </row>
    <row r="594" spans="1:1" x14ac:dyDescent="0.55000000000000004">
      <c r="A594" s="17"/>
    </row>
    <row r="595" spans="1:1" x14ac:dyDescent="0.55000000000000004">
      <c r="A595" s="17"/>
    </row>
    <row r="596" spans="1:1" x14ac:dyDescent="0.55000000000000004">
      <c r="A596" s="17"/>
    </row>
    <row r="597" spans="1:1" x14ac:dyDescent="0.55000000000000004">
      <c r="A597" s="17"/>
    </row>
    <row r="598" spans="1:1" x14ac:dyDescent="0.55000000000000004">
      <c r="A598" s="17"/>
    </row>
    <row r="599" spans="1:1" x14ac:dyDescent="0.55000000000000004">
      <c r="A599" s="17"/>
    </row>
    <row r="600" spans="1:1" x14ac:dyDescent="0.55000000000000004">
      <c r="A600" s="17"/>
    </row>
    <row r="601" spans="1:1" x14ac:dyDescent="0.55000000000000004">
      <c r="A601" s="17"/>
    </row>
    <row r="602" spans="1:1" x14ac:dyDescent="0.55000000000000004">
      <c r="A602" s="17"/>
    </row>
    <row r="603" spans="1:1" x14ac:dyDescent="0.55000000000000004">
      <c r="A603" s="17"/>
    </row>
    <row r="604" spans="1:1" x14ac:dyDescent="0.55000000000000004">
      <c r="A604" s="17"/>
    </row>
    <row r="605" spans="1:1" x14ac:dyDescent="0.55000000000000004">
      <c r="A605" s="17"/>
    </row>
    <row r="606" spans="1:1" x14ac:dyDescent="0.55000000000000004">
      <c r="A606" s="17"/>
    </row>
    <row r="607" spans="1:1" x14ac:dyDescent="0.55000000000000004">
      <c r="A607" s="17"/>
    </row>
    <row r="608" spans="1:1" x14ac:dyDescent="0.55000000000000004">
      <c r="A608" s="17"/>
    </row>
    <row r="609" spans="1:1" x14ac:dyDescent="0.55000000000000004">
      <c r="A609" s="17"/>
    </row>
    <row r="610" spans="1:1" x14ac:dyDescent="0.55000000000000004">
      <c r="A610" s="17"/>
    </row>
    <row r="611" spans="1:1" x14ac:dyDescent="0.55000000000000004">
      <c r="A611" s="17"/>
    </row>
    <row r="612" spans="1:1" x14ac:dyDescent="0.55000000000000004">
      <c r="A612" s="17"/>
    </row>
    <row r="613" spans="1:1" x14ac:dyDescent="0.55000000000000004">
      <c r="A613" s="17"/>
    </row>
    <row r="614" spans="1:1" x14ac:dyDescent="0.55000000000000004">
      <c r="A614" s="17"/>
    </row>
    <row r="615" spans="1:1" x14ac:dyDescent="0.55000000000000004">
      <c r="A615" s="17"/>
    </row>
    <row r="616" spans="1:1" x14ac:dyDescent="0.55000000000000004">
      <c r="A616" s="17"/>
    </row>
    <row r="617" spans="1:1" x14ac:dyDescent="0.55000000000000004">
      <c r="A617" s="17"/>
    </row>
    <row r="618" spans="1:1" x14ac:dyDescent="0.55000000000000004">
      <c r="A618" s="17"/>
    </row>
    <row r="619" spans="1:1" x14ac:dyDescent="0.55000000000000004">
      <c r="A619" s="17"/>
    </row>
    <row r="620" spans="1:1" x14ac:dyDescent="0.55000000000000004">
      <c r="A620" s="17"/>
    </row>
    <row r="621" spans="1:1" x14ac:dyDescent="0.55000000000000004">
      <c r="A621" s="17"/>
    </row>
    <row r="622" spans="1:1" x14ac:dyDescent="0.55000000000000004">
      <c r="A622" s="17"/>
    </row>
    <row r="623" spans="1:1" x14ac:dyDescent="0.55000000000000004">
      <c r="A623" s="17"/>
    </row>
    <row r="624" spans="1:1" x14ac:dyDescent="0.55000000000000004">
      <c r="A624" s="17"/>
    </row>
    <row r="625" spans="1:1" x14ac:dyDescent="0.55000000000000004">
      <c r="A625" s="17"/>
    </row>
    <row r="626" spans="1:1" x14ac:dyDescent="0.55000000000000004">
      <c r="A626" s="17"/>
    </row>
    <row r="627" spans="1:1" x14ac:dyDescent="0.55000000000000004">
      <c r="A627" s="17"/>
    </row>
    <row r="628" spans="1:1" x14ac:dyDescent="0.55000000000000004">
      <c r="A628" s="17"/>
    </row>
    <row r="629" spans="1:1" x14ac:dyDescent="0.55000000000000004">
      <c r="A629" s="17"/>
    </row>
    <row r="630" spans="1:1" x14ac:dyDescent="0.55000000000000004">
      <c r="A630" s="17"/>
    </row>
    <row r="631" spans="1:1" x14ac:dyDescent="0.55000000000000004">
      <c r="A631" s="17"/>
    </row>
    <row r="632" spans="1:1" x14ac:dyDescent="0.55000000000000004">
      <c r="A632" s="17"/>
    </row>
    <row r="633" spans="1:1" x14ac:dyDescent="0.55000000000000004">
      <c r="A633" s="17"/>
    </row>
    <row r="634" spans="1:1" x14ac:dyDescent="0.55000000000000004">
      <c r="A634" s="17"/>
    </row>
    <row r="635" spans="1:1" x14ac:dyDescent="0.55000000000000004">
      <c r="A635" s="17"/>
    </row>
    <row r="636" spans="1:1" x14ac:dyDescent="0.55000000000000004">
      <c r="A636" s="17"/>
    </row>
    <row r="637" spans="1:1" x14ac:dyDescent="0.55000000000000004">
      <c r="A637" s="17"/>
    </row>
    <row r="638" spans="1:1" x14ac:dyDescent="0.55000000000000004">
      <c r="A638" s="17"/>
    </row>
    <row r="639" spans="1:1" x14ac:dyDescent="0.55000000000000004">
      <c r="A639" s="17"/>
    </row>
    <row r="640" spans="1:1" x14ac:dyDescent="0.55000000000000004">
      <c r="A640" s="17"/>
    </row>
    <row r="641" spans="1:1" x14ac:dyDescent="0.55000000000000004">
      <c r="A641" s="17"/>
    </row>
    <row r="642" spans="1:1" x14ac:dyDescent="0.55000000000000004">
      <c r="A642" s="17"/>
    </row>
    <row r="643" spans="1:1" x14ac:dyDescent="0.55000000000000004">
      <c r="A643" s="17"/>
    </row>
    <row r="644" spans="1:1" x14ac:dyDescent="0.55000000000000004">
      <c r="A644" s="17"/>
    </row>
    <row r="645" spans="1:1" x14ac:dyDescent="0.55000000000000004">
      <c r="A645" s="17"/>
    </row>
    <row r="646" spans="1:1" x14ac:dyDescent="0.55000000000000004">
      <c r="A646" s="17"/>
    </row>
    <row r="647" spans="1:1" x14ac:dyDescent="0.55000000000000004">
      <c r="A647" s="17"/>
    </row>
    <row r="648" spans="1:1" x14ac:dyDescent="0.55000000000000004">
      <c r="A648" s="17"/>
    </row>
    <row r="649" spans="1:1" x14ac:dyDescent="0.55000000000000004">
      <c r="A649" s="17"/>
    </row>
    <row r="650" spans="1:1" x14ac:dyDescent="0.55000000000000004">
      <c r="A650" s="17"/>
    </row>
    <row r="651" spans="1:1" x14ac:dyDescent="0.55000000000000004">
      <c r="A651" s="17"/>
    </row>
    <row r="652" spans="1:1" x14ac:dyDescent="0.55000000000000004">
      <c r="A652" s="17"/>
    </row>
    <row r="653" spans="1:1" x14ac:dyDescent="0.55000000000000004">
      <c r="A653" s="17"/>
    </row>
    <row r="654" spans="1:1" x14ac:dyDescent="0.55000000000000004">
      <c r="A654" s="17"/>
    </row>
    <row r="655" spans="1:1" x14ac:dyDescent="0.55000000000000004">
      <c r="A655" s="17"/>
    </row>
    <row r="656" spans="1:1" x14ac:dyDescent="0.55000000000000004">
      <c r="A656" s="17"/>
    </row>
    <row r="657" spans="1:1" x14ac:dyDescent="0.55000000000000004">
      <c r="A657" s="17"/>
    </row>
    <row r="658" spans="1:1" x14ac:dyDescent="0.55000000000000004">
      <c r="A658" s="17"/>
    </row>
    <row r="659" spans="1:1" x14ac:dyDescent="0.55000000000000004">
      <c r="A659" s="17"/>
    </row>
    <row r="660" spans="1:1" x14ac:dyDescent="0.55000000000000004">
      <c r="A660" s="17"/>
    </row>
    <row r="661" spans="1:1" x14ac:dyDescent="0.55000000000000004">
      <c r="A661" s="17"/>
    </row>
    <row r="662" spans="1:1" x14ac:dyDescent="0.55000000000000004">
      <c r="A662" s="17"/>
    </row>
    <row r="663" spans="1:1" x14ac:dyDescent="0.55000000000000004">
      <c r="A663" s="17"/>
    </row>
    <row r="664" spans="1:1" x14ac:dyDescent="0.55000000000000004">
      <c r="A664" s="17"/>
    </row>
    <row r="665" spans="1:1" x14ac:dyDescent="0.55000000000000004">
      <c r="A665" s="17"/>
    </row>
    <row r="666" spans="1:1" x14ac:dyDescent="0.55000000000000004">
      <c r="A666" s="17"/>
    </row>
    <row r="667" spans="1:1" x14ac:dyDescent="0.55000000000000004">
      <c r="A667" s="17"/>
    </row>
    <row r="668" spans="1:1" x14ac:dyDescent="0.55000000000000004">
      <c r="A668" s="17"/>
    </row>
    <row r="669" spans="1:1" x14ac:dyDescent="0.55000000000000004">
      <c r="A669" s="17"/>
    </row>
    <row r="670" spans="1:1" x14ac:dyDescent="0.55000000000000004">
      <c r="A670" s="17"/>
    </row>
    <row r="671" spans="1:1" x14ac:dyDescent="0.55000000000000004">
      <c r="A671" s="17"/>
    </row>
    <row r="672" spans="1:1" x14ac:dyDescent="0.55000000000000004">
      <c r="A672" s="17"/>
    </row>
    <row r="673" spans="1:1" x14ac:dyDescent="0.55000000000000004">
      <c r="A673" s="17"/>
    </row>
    <row r="674" spans="1:1" x14ac:dyDescent="0.55000000000000004">
      <c r="A674" s="17"/>
    </row>
    <row r="675" spans="1:1" x14ac:dyDescent="0.55000000000000004">
      <c r="A675" s="17"/>
    </row>
    <row r="676" spans="1:1" x14ac:dyDescent="0.55000000000000004">
      <c r="A676" s="17"/>
    </row>
    <row r="677" spans="1:1" x14ac:dyDescent="0.55000000000000004">
      <c r="A677" s="17"/>
    </row>
    <row r="678" spans="1:1" x14ac:dyDescent="0.55000000000000004">
      <c r="A678" s="17"/>
    </row>
    <row r="679" spans="1:1" x14ac:dyDescent="0.55000000000000004">
      <c r="A679" s="17"/>
    </row>
    <row r="680" spans="1:1" x14ac:dyDescent="0.55000000000000004">
      <c r="A680" s="17"/>
    </row>
    <row r="681" spans="1:1" x14ac:dyDescent="0.55000000000000004">
      <c r="A681" s="17"/>
    </row>
    <row r="682" spans="1:1" x14ac:dyDescent="0.55000000000000004">
      <c r="A682" s="17"/>
    </row>
    <row r="683" spans="1:1" x14ac:dyDescent="0.55000000000000004">
      <c r="A683" s="17"/>
    </row>
    <row r="684" spans="1:1" x14ac:dyDescent="0.55000000000000004">
      <c r="A684" s="17"/>
    </row>
    <row r="685" spans="1:1" x14ac:dyDescent="0.55000000000000004">
      <c r="A685" s="17"/>
    </row>
    <row r="686" spans="1:1" x14ac:dyDescent="0.55000000000000004">
      <c r="A686" s="17"/>
    </row>
    <row r="687" spans="1:1" x14ac:dyDescent="0.55000000000000004">
      <c r="A687" s="17"/>
    </row>
    <row r="688" spans="1:1" x14ac:dyDescent="0.55000000000000004">
      <c r="A688" s="17"/>
    </row>
    <row r="689" spans="1:1" x14ac:dyDescent="0.55000000000000004">
      <c r="A689" s="17"/>
    </row>
    <row r="690" spans="1:1" x14ac:dyDescent="0.55000000000000004">
      <c r="A690" s="17"/>
    </row>
    <row r="691" spans="1:1" x14ac:dyDescent="0.55000000000000004">
      <c r="A691" s="17"/>
    </row>
    <row r="692" spans="1:1" x14ac:dyDescent="0.55000000000000004">
      <c r="A692" s="17"/>
    </row>
    <row r="693" spans="1:1" x14ac:dyDescent="0.55000000000000004">
      <c r="A693" s="17"/>
    </row>
    <row r="694" spans="1:1" x14ac:dyDescent="0.55000000000000004">
      <c r="A694" s="17"/>
    </row>
    <row r="695" spans="1:1" x14ac:dyDescent="0.55000000000000004">
      <c r="A695" s="17"/>
    </row>
    <row r="696" spans="1:1" x14ac:dyDescent="0.55000000000000004">
      <c r="A696" s="17"/>
    </row>
    <row r="697" spans="1:1" x14ac:dyDescent="0.55000000000000004">
      <c r="A697" s="17"/>
    </row>
    <row r="698" spans="1:1" x14ac:dyDescent="0.55000000000000004">
      <c r="A698" s="17"/>
    </row>
    <row r="699" spans="1:1" x14ac:dyDescent="0.55000000000000004">
      <c r="A699" s="17"/>
    </row>
    <row r="700" spans="1:1" x14ac:dyDescent="0.55000000000000004">
      <c r="A700" s="17"/>
    </row>
    <row r="701" spans="1:1" x14ac:dyDescent="0.55000000000000004">
      <c r="A701" s="17"/>
    </row>
    <row r="702" spans="1:1" x14ac:dyDescent="0.55000000000000004">
      <c r="A702" s="17"/>
    </row>
    <row r="703" spans="1:1" x14ac:dyDescent="0.55000000000000004">
      <c r="A703" s="17"/>
    </row>
    <row r="704" spans="1:1" x14ac:dyDescent="0.55000000000000004">
      <c r="A704" s="17"/>
    </row>
    <row r="705" spans="1:1" x14ac:dyDescent="0.55000000000000004">
      <c r="A705" s="17"/>
    </row>
    <row r="706" spans="1:1" x14ac:dyDescent="0.55000000000000004">
      <c r="A706" s="17"/>
    </row>
    <row r="707" spans="1:1" x14ac:dyDescent="0.55000000000000004">
      <c r="A707" s="17"/>
    </row>
    <row r="708" spans="1:1" x14ac:dyDescent="0.55000000000000004">
      <c r="A708" s="17"/>
    </row>
    <row r="709" spans="1:1" x14ac:dyDescent="0.55000000000000004">
      <c r="A709" s="17"/>
    </row>
    <row r="710" spans="1:1" x14ac:dyDescent="0.55000000000000004">
      <c r="A710" s="17"/>
    </row>
    <row r="711" spans="1:1" x14ac:dyDescent="0.55000000000000004">
      <c r="A711" s="17"/>
    </row>
    <row r="712" spans="1:1" x14ac:dyDescent="0.55000000000000004">
      <c r="A712" s="17"/>
    </row>
    <row r="713" spans="1:1" x14ac:dyDescent="0.55000000000000004">
      <c r="A713" s="17"/>
    </row>
    <row r="714" spans="1:1" x14ac:dyDescent="0.55000000000000004">
      <c r="A714" s="17"/>
    </row>
    <row r="715" spans="1:1" x14ac:dyDescent="0.55000000000000004">
      <c r="A715" s="17"/>
    </row>
    <row r="716" spans="1:1" x14ac:dyDescent="0.55000000000000004">
      <c r="A716" s="17"/>
    </row>
    <row r="717" spans="1:1" x14ac:dyDescent="0.55000000000000004">
      <c r="A717" s="17"/>
    </row>
    <row r="718" spans="1:1" x14ac:dyDescent="0.55000000000000004">
      <c r="A718" s="17"/>
    </row>
    <row r="719" spans="1:1" x14ac:dyDescent="0.55000000000000004">
      <c r="A719" s="17"/>
    </row>
    <row r="720" spans="1:1" x14ac:dyDescent="0.55000000000000004">
      <c r="A720" s="17"/>
    </row>
    <row r="721" spans="1:1" x14ac:dyDescent="0.55000000000000004">
      <c r="A721" s="17"/>
    </row>
    <row r="722" spans="1:1" x14ac:dyDescent="0.55000000000000004">
      <c r="A722" s="17"/>
    </row>
    <row r="723" spans="1:1" x14ac:dyDescent="0.55000000000000004">
      <c r="A723" s="17"/>
    </row>
    <row r="724" spans="1:1" x14ac:dyDescent="0.55000000000000004">
      <c r="A724" s="17"/>
    </row>
    <row r="725" spans="1:1" x14ac:dyDescent="0.55000000000000004">
      <c r="A725" s="17"/>
    </row>
    <row r="726" spans="1:1" x14ac:dyDescent="0.55000000000000004">
      <c r="A726" s="17"/>
    </row>
    <row r="727" spans="1:1" x14ac:dyDescent="0.55000000000000004">
      <c r="A727" s="17"/>
    </row>
    <row r="728" spans="1:1" x14ac:dyDescent="0.55000000000000004">
      <c r="A728" s="17"/>
    </row>
    <row r="729" spans="1:1" x14ac:dyDescent="0.55000000000000004">
      <c r="A729" s="17"/>
    </row>
    <row r="730" spans="1:1" x14ac:dyDescent="0.55000000000000004">
      <c r="A730" s="17"/>
    </row>
    <row r="731" spans="1:1" x14ac:dyDescent="0.55000000000000004">
      <c r="A731" s="17"/>
    </row>
    <row r="732" spans="1:1" x14ac:dyDescent="0.55000000000000004">
      <c r="A732" s="17"/>
    </row>
    <row r="733" spans="1:1" x14ac:dyDescent="0.55000000000000004">
      <c r="A733" s="17"/>
    </row>
    <row r="734" spans="1:1" x14ac:dyDescent="0.55000000000000004">
      <c r="A734" s="17"/>
    </row>
    <row r="735" spans="1:1" x14ac:dyDescent="0.55000000000000004">
      <c r="A735" s="17"/>
    </row>
    <row r="736" spans="1:1" x14ac:dyDescent="0.55000000000000004">
      <c r="A736" s="17"/>
    </row>
    <row r="737" spans="1:1" x14ac:dyDescent="0.55000000000000004">
      <c r="A737" s="17"/>
    </row>
    <row r="738" spans="1:1" x14ac:dyDescent="0.55000000000000004">
      <c r="A738" s="17"/>
    </row>
    <row r="739" spans="1:1" x14ac:dyDescent="0.55000000000000004">
      <c r="A739" s="17"/>
    </row>
    <row r="740" spans="1:1" x14ac:dyDescent="0.55000000000000004">
      <c r="A740" s="17"/>
    </row>
    <row r="741" spans="1:1" x14ac:dyDescent="0.55000000000000004">
      <c r="A741" s="17"/>
    </row>
    <row r="742" spans="1:1" x14ac:dyDescent="0.55000000000000004">
      <c r="A742" s="17"/>
    </row>
    <row r="743" spans="1:1" x14ac:dyDescent="0.55000000000000004">
      <c r="A743" s="17"/>
    </row>
    <row r="744" spans="1:1" x14ac:dyDescent="0.55000000000000004">
      <c r="A744" s="17"/>
    </row>
    <row r="745" spans="1:1" x14ac:dyDescent="0.55000000000000004">
      <c r="A745" s="17"/>
    </row>
    <row r="746" spans="1:1" x14ac:dyDescent="0.55000000000000004">
      <c r="A746" s="17"/>
    </row>
    <row r="747" spans="1:1" x14ac:dyDescent="0.55000000000000004">
      <c r="A747" s="17"/>
    </row>
    <row r="748" spans="1:1" x14ac:dyDescent="0.55000000000000004">
      <c r="A748" s="17"/>
    </row>
    <row r="749" spans="1:1" x14ac:dyDescent="0.55000000000000004">
      <c r="A749" s="17"/>
    </row>
    <row r="750" spans="1:1" x14ac:dyDescent="0.55000000000000004">
      <c r="A750" s="17"/>
    </row>
    <row r="751" spans="1:1" x14ac:dyDescent="0.55000000000000004">
      <c r="A751" s="17"/>
    </row>
    <row r="752" spans="1:1" x14ac:dyDescent="0.55000000000000004">
      <c r="A752" s="17"/>
    </row>
    <row r="753" spans="1:1" x14ac:dyDescent="0.55000000000000004">
      <c r="A753" s="17"/>
    </row>
    <row r="754" spans="1:1" x14ac:dyDescent="0.55000000000000004">
      <c r="A754" s="17"/>
    </row>
    <row r="755" spans="1:1" x14ac:dyDescent="0.55000000000000004">
      <c r="A755" s="17"/>
    </row>
    <row r="756" spans="1:1" x14ac:dyDescent="0.55000000000000004">
      <c r="A756" s="17"/>
    </row>
    <row r="757" spans="1:1" x14ac:dyDescent="0.55000000000000004">
      <c r="A757" s="17"/>
    </row>
    <row r="758" spans="1:1" x14ac:dyDescent="0.55000000000000004">
      <c r="A758" s="17"/>
    </row>
    <row r="759" spans="1:1" x14ac:dyDescent="0.55000000000000004">
      <c r="A759" s="17"/>
    </row>
    <row r="760" spans="1:1" x14ac:dyDescent="0.55000000000000004">
      <c r="A760" s="17"/>
    </row>
    <row r="761" spans="1:1" x14ac:dyDescent="0.55000000000000004">
      <c r="A761" s="17"/>
    </row>
    <row r="762" spans="1:1" x14ac:dyDescent="0.55000000000000004">
      <c r="A762" s="17"/>
    </row>
    <row r="763" spans="1:1" x14ac:dyDescent="0.55000000000000004">
      <c r="A763" s="17"/>
    </row>
    <row r="764" spans="1:1" x14ac:dyDescent="0.55000000000000004">
      <c r="A764" s="17"/>
    </row>
    <row r="765" spans="1:1" x14ac:dyDescent="0.55000000000000004">
      <c r="A765" s="17"/>
    </row>
    <row r="766" spans="1:1" x14ac:dyDescent="0.55000000000000004">
      <c r="A766" s="17"/>
    </row>
    <row r="767" spans="1:1" x14ac:dyDescent="0.55000000000000004">
      <c r="A767" s="17"/>
    </row>
    <row r="768" spans="1:1" x14ac:dyDescent="0.55000000000000004">
      <c r="A768" s="17"/>
    </row>
    <row r="769" spans="1:1" x14ac:dyDescent="0.55000000000000004">
      <c r="A769" s="17"/>
    </row>
    <row r="770" spans="1:1" x14ac:dyDescent="0.55000000000000004">
      <c r="A770" s="17"/>
    </row>
    <row r="771" spans="1:1" x14ac:dyDescent="0.55000000000000004">
      <c r="A771" s="17"/>
    </row>
    <row r="772" spans="1:1" x14ac:dyDescent="0.55000000000000004">
      <c r="A772" s="17"/>
    </row>
    <row r="773" spans="1:1" x14ac:dyDescent="0.55000000000000004">
      <c r="A773" s="17"/>
    </row>
    <row r="774" spans="1:1" x14ac:dyDescent="0.55000000000000004">
      <c r="A774" s="17"/>
    </row>
    <row r="775" spans="1:1" x14ac:dyDescent="0.55000000000000004">
      <c r="A775" s="17"/>
    </row>
    <row r="776" spans="1:1" x14ac:dyDescent="0.55000000000000004">
      <c r="A776" s="17"/>
    </row>
    <row r="777" spans="1:1" x14ac:dyDescent="0.55000000000000004">
      <c r="A777" s="17"/>
    </row>
    <row r="778" spans="1:1" x14ac:dyDescent="0.55000000000000004">
      <c r="A778" s="17"/>
    </row>
    <row r="779" spans="1:1" x14ac:dyDescent="0.55000000000000004">
      <c r="A779" s="17"/>
    </row>
    <row r="780" spans="1:1" x14ac:dyDescent="0.55000000000000004">
      <c r="A780" s="17"/>
    </row>
    <row r="781" spans="1:1" x14ac:dyDescent="0.55000000000000004">
      <c r="A781" s="17"/>
    </row>
    <row r="782" spans="1:1" x14ac:dyDescent="0.55000000000000004">
      <c r="A782" s="17"/>
    </row>
    <row r="783" spans="1:1" x14ac:dyDescent="0.55000000000000004">
      <c r="A783" s="17"/>
    </row>
    <row r="784" spans="1:1" x14ac:dyDescent="0.55000000000000004">
      <c r="A784" s="17"/>
    </row>
    <row r="785" spans="1:1" x14ac:dyDescent="0.55000000000000004">
      <c r="A785" s="17"/>
    </row>
    <row r="786" spans="1:1" x14ac:dyDescent="0.55000000000000004">
      <c r="A786" s="17"/>
    </row>
    <row r="787" spans="1:1" x14ac:dyDescent="0.55000000000000004">
      <c r="A787" s="17"/>
    </row>
    <row r="788" spans="1:1" x14ac:dyDescent="0.55000000000000004">
      <c r="A788" s="17"/>
    </row>
    <row r="789" spans="1:1" x14ac:dyDescent="0.55000000000000004">
      <c r="A789" s="17"/>
    </row>
    <row r="790" spans="1:1" x14ac:dyDescent="0.55000000000000004">
      <c r="A790" s="17"/>
    </row>
    <row r="791" spans="1:1" x14ac:dyDescent="0.55000000000000004">
      <c r="A791" s="17"/>
    </row>
    <row r="792" spans="1:1" x14ac:dyDescent="0.55000000000000004">
      <c r="A792" s="17"/>
    </row>
    <row r="793" spans="1:1" x14ac:dyDescent="0.55000000000000004">
      <c r="A793" s="17"/>
    </row>
    <row r="794" spans="1:1" x14ac:dyDescent="0.55000000000000004">
      <c r="A794" s="17"/>
    </row>
    <row r="795" spans="1:1" x14ac:dyDescent="0.55000000000000004">
      <c r="A795" s="17"/>
    </row>
    <row r="796" spans="1:1" x14ac:dyDescent="0.55000000000000004">
      <c r="A796" s="17"/>
    </row>
    <row r="797" spans="1:1" x14ac:dyDescent="0.55000000000000004">
      <c r="A797" s="17"/>
    </row>
    <row r="798" spans="1:1" x14ac:dyDescent="0.55000000000000004">
      <c r="A798" s="17"/>
    </row>
    <row r="799" spans="1:1" x14ac:dyDescent="0.55000000000000004">
      <c r="A799" s="17"/>
    </row>
    <row r="800" spans="1:1" x14ac:dyDescent="0.55000000000000004">
      <c r="A800" s="17"/>
    </row>
    <row r="801" spans="1:1" x14ac:dyDescent="0.55000000000000004">
      <c r="A801" s="17"/>
    </row>
    <row r="802" spans="1:1" x14ac:dyDescent="0.55000000000000004">
      <c r="A802" s="17"/>
    </row>
    <row r="803" spans="1:1" x14ac:dyDescent="0.55000000000000004">
      <c r="A803" s="17"/>
    </row>
    <row r="804" spans="1:1" x14ac:dyDescent="0.55000000000000004">
      <c r="A804" s="17"/>
    </row>
    <row r="805" spans="1:1" x14ac:dyDescent="0.55000000000000004">
      <c r="A805" s="17"/>
    </row>
    <row r="806" spans="1:1" x14ac:dyDescent="0.55000000000000004">
      <c r="A806" s="17"/>
    </row>
    <row r="807" spans="1:1" x14ac:dyDescent="0.55000000000000004">
      <c r="A807" s="17"/>
    </row>
    <row r="808" spans="1:1" x14ac:dyDescent="0.55000000000000004">
      <c r="A808" s="17"/>
    </row>
    <row r="809" spans="1:1" x14ac:dyDescent="0.55000000000000004">
      <c r="A809" s="17"/>
    </row>
    <row r="810" spans="1:1" x14ac:dyDescent="0.55000000000000004">
      <c r="A810" s="17"/>
    </row>
    <row r="811" spans="1:1" x14ac:dyDescent="0.55000000000000004">
      <c r="A811" s="17"/>
    </row>
    <row r="812" spans="1:1" x14ac:dyDescent="0.55000000000000004">
      <c r="A812" s="17"/>
    </row>
    <row r="813" spans="1:1" x14ac:dyDescent="0.55000000000000004">
      <c r="A813" s="17"/>
    </row>
    <row r="814" spans="1:1" x14ac:dyDescent="0.55000000000000004">
      <c r="A814" s="17"/>
    </row>
    <row r="815" spans="1:1" x14ac:dyDescent="0.55000000000000004">
      <c r="A815" s="17"/>
    </row>
    <row r="816" spans="1:1" x14ac:dyDescent="0.55000000000000004">
      <c r="A816" s="17"/>
    </row>
    <row r="817" spans="1:1" x14ac:dyDescent="0.55000000000000004">
      <c r="A817" s="17"/>
    </row>
    <row r="818" spans="1:1" x14ac:dyDescent="0.55000000000000004">
      <c r="A818" s="17"/>
    </row>
    <row r="819" spans="1:1" x14ac:dyDescent="0.55000000000000004">
      <c r="A819" s="17"/>
    </row>
    <row r="820" spans="1:1" x14ac:dyDescent="0.55000000000000004">
      <c r="A820" s="17"/>
    </row>
    <row r="821" spans="1:1" x14ac:dyDescent="0.55000000000000004">
      <c r="A821" s="17"/>
    </row>
    <row r="822" spans="1:1" x14ac:dyDescent="0.55000000000000004">
      <c r="A822" s="17"/>
    </row>
    <row r="823" spans="1:1" x14ac:dyDescent="0.55000000000000004">
      <c r="A823" s="17"/>
    </row>
    <row r="824" spans="1:1" x14ac:dyDescent="0.55000000000000004">
      <c r="A824" s="17"/>
    </row>
    <row r="825" spans="1:1" x14ac:dyDescent="0.55000000000000004">
      <c r="A825" s="17"/>
    </row>
    <row r="826" spans="1:1" x14ac:dyDescent="0.55000000000000004">
      <c r="A826" s="17"/>
    </row>
    <row r="827" spans="1:1" x14ac:dyDescent="0.55000000000000004">
      <c r="A827" s="17"/>
    </row>
    <row r="828" spans="1:1" x14ac:dyDescent="0.55000000000000004">
      <c r="A828" s="17"/>
    </row>
    <row r="829" spans="1:1" x14ac:dyDescent="0.55000000000000004">
      <c r="A829" s="17"/>
    </row>
    <row r="830" spans="1:1" x14ac:dyDescent="0.55000000000000004">
      <c r="A830" s="17"/>
    </row>
    <row r="831" spans="1:1" x14ac:dyDescent="0.55000000000000004">
      <c r="A831" s="17"/>
    </row>
    <row r="832" spans="1:1" x14ac:dyDescent="0.55000000000000004">
      <c r="A832" s="17"/>
    </row>
    <row r="833" spans="1:1" x14ac:dyDescent="0.55000000000000004">
      <c r="A833" s="17"/>
    </row>
    <row r="834" spans="1:1" x14ac:dyDescent="0.55000000000000004">
      <c r="A834" s="17"/>
    </row>
    <row r="835" spans="1:1" x14ac:dyDescent="0.55000000000000004">
      <c r="A835" s="17"/>
    </row>
    <row r="836" spans="1:1" x14ac:dyDescent="0.55000000000000004">
      <c r="A836" s="17"/>
    </row>
    <row r="837" spans="1:1" x14ac:dyDescent="0.55000000000000004">
      <c r="A837" s="17"/>
    </row>
    <row r="838" spans="1:1" x14ac:dyDescent="0.55000000000000004">
      <c r="A838" s="17"/>
    </row>
    <row r="839" spans="1:1" x14ac:dyDescent="0.55000000000000004">
      <c r="A839" s="17"/>
    </row>
    <row r="840" spans="1:1" x14ac:dyDescent="0.55000000000000004">
      <c r="A840" s="17"/>
    </row>
    <row r="841" spans="1:1" x14ac:dyDescent="0.55000000000000004">
      <c r="A841" s="17"/>
    </row>
    <row r="842" spans="1:1" x14ac:dyDescent="0.55000000000000004">
      <c r="A842" s="17"/>
    </row>
    <row r="843" spans="1:1" x14ac:dyDescent="0.55000000000000004">
      <c r="A843" s="17"/>
    </row>
    <row r="844" spans="1:1" x14ac:dyDescent="0.55000000000000004">
      <c r="A844" s="17"/>
    </row>
    <row r="845" spans="1:1" x14ac:dyDescent="0.55000000000000004">
      <c r="A845" s="17"/>
    </row>
    <row r="846" spans="1:1" x14ac:dyDescent="0.55000000000000004">
      <c r="A846" s="17"/>
    </row>
    <row r="847" spans="1:1" x14ac:dyDescent="0.55000000000000004">
      <c r="A847" s="17"/>
    </row>
    <row r="848" spans="1:1" x14ac:dyDescent="0.55000000000000004">
      <c r="A848" s="17"/>
    </row>
    <row r="849" spans="1:1" x14ac:dyDescent="0.55000000000000004">
      <c r="A849" s="17"/>
    </row>
    <row r="850" spans="1:1" x14ac:dyDescent="0.55000000000000004">
      <c r="A850" s="17"/>
    </row>
    <row r="851" spans="1:1" x14ac:dyDescent="0.55000000000000004">
      <c r="A851" s="17"/>
    </row>
    <row r="852" spans="1:1" x14ac:dyDescent="0.55000000000000004">
      <c r="A852" s="17"/>
    </row>
    <row r="853" spans="1:1" x14ac:dyDescent="0.55000000000000004">
      <c r="A853" s="17"/>
    </row>
    <row r="854" spans="1:1" x14ac:dyDescent="0.55000000000000004">
      <c r="A854" s="17"/>
    </row>
    <row r="855" spans="1:1" x14ac:dyDescent="0.55000000000000004">
      <c r="A855" s="17"/>
    </row>
    <row r="856" spans="1:1" x14ac:dyDescent="0.55000000000000004">
      <c r="A856" s="17"/>
    </row>
    <row r="857" spans="1:1" x14ac:dyDescent="0.55000000000000004">
      <c r="A857" s="17"/>
    </row>
    <row r="858" spans="1:1" x14ac:dyDescent="0.55000000000000004">
      <c r="A858" s="17"/>
    </row>
    <row r="859" spans="1:1" x14ac:dyDescent="0.55000000000000004">
      <c r="A859" s="17"/>
    </row>
    <row r="860" spans="1:1" x14ac:dyDescent="0.55000000000000004">
      <c r="A860" s="17"/>
    </row>
    <row r="861" spans="1:1" x14ac:dyDescent="0.55000000000000004">
      <c r="A861" s="17"/>
    </row>
    <row r="862" spans="1:1" x14ac:dyDescent="0.55000000000000004">
      <c r="A862" s="17"/>
    </row>
    <row r="863" spans="1:1" x14ac:dyDescent="0.55000000000000004">
      <c r="A863" s="17"/>
    </row>
    <row r="864" spans="1:1" x14ac:dyDescent="0.55000000000000004">
      <c r="A864" s="17"/>
    </row>
    <row r="865" spans="1:1" x14ac:dyDescent="0.55000000000000004">
      <c r="A865" s="17"/>
    </row>
    <row r="866" spans="1:1" x14ac:dyDescent="0.55000000000000004">
      <c r="A866" s="17"/>
    </row>
    <row r="867" spans="1:1" x14ac:dyDescent="0.55000000000000004">
      <c r="A867" s="17"/>
    </row>
    <row r="868" spans="1:1" x14ac:dyDescent="0.55000000000000004">
      <c r="A868" s="17"/>
    </row>
    <row r="869" spans="1:1" x14ac:dyDescent="0.55000000000000004">
      <c r="A869" s="17"/>
    </row>
    <row r="870" spans="1:1" x14ac:dyDescent="0.55000000000000004">
      <c r="A870" s="17"/>
    </row>
    <row r="871" spans="1:1" x14ac:dyDescent="0.55000000000000004">
      <c r="A871" s="17"/>
    </row>
    <row r="872" spans="1:1" x14ac:dyDescent="0.55000000000000004">
      <c r="A872" s="17"/>
    </row>
    <row r="873" spans="1:1" x14ac:dyDescent="0.55000000000000004">
      <c r="A873" s="17"/>
    </row>
    <row r="874" spans="1:1" x14ac:dyDescent="0.55000000000000004">
      <c r="A874" s="17"/>
    </row>
    <row r="875" spans="1:1" x14ac:dyDescent="0.55000000000000004">
      <c r="A875" s="17"/>
    </row>
    <row r="876" spans="1:1" x14ac:dyDescent="0.55000000000000004">
      <c r="A876" s="17"/>
    </row>
    <row r="877" spans="1:1" x14ac:dyDescent="0.55000000000000004">
      <c r="A877" s="17"/>
    </row>
    <row r="878" spans="1:1" x14ac:dyDescent="0.55000000000000004">
      <c r="A878" s="17"/>
    </row>
    <row r="879" spans="1:1" x14ac:dyDescent="0.55000000000000004">
      <c r="A879" s="17"/>
    </row>
    <row r="880" spans="1:1" x14ac:dyDescent="0.55000000000000004">
      <c r="A880" s="17"/>
    </row>
    <row r="881" spans="1:1" x14ac:dyDescent="0.55000000000000004">
      <c r="A881" s="17"/>
    </row>
    <row r="882" spans="1:1" x14ac:dyDescent="0.55000000000000004">
      <c r="A882" s="17"/>
    </row>
    <row r="883" spans="1:1" x14ac:dyDescent="0.55000000000000004">
      <c r="A883" s="17"/>
    </row>
    <row r="884" spans="1:1" x14ac:dyDescent="0.55000000000000004">
      <c r="A884" s="17"/>
    </row>
    <row r="885" spans="1:1" x14ac:dyDescent="0.55000000000000004">
      <c r="A885" s="17"/>
    </row>
    <row r="886" spans="1:1" x14ac:dyDescent="0.55000000000000004">
      <c r="A886" s="17"/>
    </row>
    <row r="887" spans="1:1" x14ac:dyDescent="0.55000000000000004">
      <c r="A887" s="17"/>
    </row>
    <row r="888" spans="1:1" x14ac:dyDescent="0.55000000000000004">
      <c r="A888" s="17"/>
    </row>
    <row r="889" spans="1:1" x14ac:dyDescent="0.55000000000000004">
      <c r="A889" s="17"/>
    </row>
    <row r="890" spans="1:1" x14ac:dyDescent="0.55000000000000004">
      <c r="A890" s="17"/>
    </row>
    <row r="891" spans="1:1" x14ac:dyDescent="0.55000000000000004">
      <c r="A891" s="17"/>
    </row>
    <row r="892" spans="1:1" x14ac:dyDescent="0.55000000000000004">
      <c r="A892" s="17"/>
    </row>
    <row r="893" spans="1:1" x14ac:dyDescent="0.55000000000000004">
      <c r="A893" s="17"/>
    </row>
    <row r="894" spans="1:1" x14ac:dyDescent="0.55000000000000004">
      <c r="A894" s="17"/>
    </row>
    <row r="895" spans="1:1" x14ac:dyDescent="0.55000000000000004">
      <c r="A895" s="17"/>
    </row>
    <row r="896" spans="1:1" x14ac:dyDescent="0.55000000000000004">
      <c r="A896" s="17"/>
    </row>
    <row r="897" spans="1:1" x14ac:dyDescent="0.55000000000000004">
      <c r="A897" s="17"/>
    </row>
    <row r="898" spans="1:1" x14ac:dyDescent="0.55000000000000004">
      <c r="A898" s="17"/>
    </row>
    <row r="899" spans="1:1" x14ac:dyDescent="0.55000000000000004">
      <c r="A899" s="17"/>
    </row>
    <row r="900" spans="1:1" x14ac:dyDescent="0.55000000000000004">
      <c r="A900" s="17"/>
    </row>
    <row r="901" spans="1:1" x14ac:dyDescent="0.55000000000000004">
      <c r="A901" s="17"/>
    </row>
    <row r="902" spans="1:1" x14ac:dyDescent="0.55000000000000004">
      <c r="A902" s="17"/>
    </row>
    <row r="903" spans="1:1" x14ac:dyDescent="0.55000000000000004">
      <c r="A903" s="17"/>
    </row>
    <row r="904" spans="1:1" x14ac:dyDescent="0.55000000000000004">
      <c r="A904" s="17"/>
    </row>
    <row r="905" spans="1:1" x14ac:dyDescent="0.55000000000000004">
      <c r="A905" s="17"/>
    </row>
    <row r="906" spans="1:1" x14ac:dyDescent="0.55000000000000004">
      <c r="A906" s="17"/>
    </row>
    <row r="907" spans="1:1" x14ac:dyDescent="0.55000000000000004">
      <c r="A907" s="17"/>
    </row>
    <row r="908" spans="1:1" x14ac:dyDescent="0.55000000000000004">
      <c r="A908" s="17"/>
    </row>
    <row r="909" spans="1:1" x14ac:dyDescent="0.55000000000000004">
      <c r="A909" s="17"/>
    </row>
    <row r="910" spans="1:1" x14ac:dyDescent="0.55000000000000004">
      <c r="A910" s="17"/>
    </row>
    <row r="911" spans="1:1" x14ac:dyDescent="0.55000000000000004">
      <c r="A911" s="17"/>
    </row>
    <row r="912" spans="1:1" x14ac:dyDescent="0.55000000000000004">
      <c r="A912" s="17"/>
    </row>
    <row r="913" spans="1:1" x14ac:dyDescent="0.55000000000000004">
      <c r="A913" s="17"/>
    </row>
    <row r="914" spans="1:1" x14ac:dyDescent="0.55000000000000004">
      <c r="A914" s="17"/>
    </row>
    <row r="915" spans="1:1" x14ac:dyDescent="0.55000000000000004">
      <c r="A915" s="17"/>
    </row>
    <row r="916" spans="1:1" x14ac:dyDescent="0.55000000000000004">
      <c r="A916" s="17"/>
    </row>
    <row r="917" spans="1:1" x14ac:dyDescent="0.55000000000000004">
      <c r="A917" s="17"/>
    </row>
    <row r="918" spans="1:1" x14ac:dyDescent="0.55000000000000004">
      <c r="A918" s="17"/>
    </row>
    <row r="919" spans="1:1" x14ac:dyDescent="0.55000000000000004">
      <c r="A919" s="17"/>
    </row>
    <row r="920" spans="1:1" x14ac:dyDescent="0.55000000000000004">
      <c r="A920" s="17"/>
    </row>
    <row r="921" spans="1:1" x14ac:dyDescent="0.55000000000000004">
      <c r="A921" s="17"/>
    </row>
    <row r="922" spans="1:1" x14ac:dyDescent="0.55000000000000004">
      <c r="A922" s="17"/>
    </row>
    <row r="923" spans="1:1" x14ac:dyDescent="0.55000000000000004">
      <c r="A923" s="17"/>
    </row>
    <row r="924" spans="1:1" x14ac:dyDescent="0.55000000000000004">
      <c r="A924" s="17"/>
    </row>
    <row r="925" spans="1:1" x14ac:dyDescent="0.55000000000000004">
      <c r="A925" s="17"/>
    </row>
    <row r="926" spans="1:1" x14ac:dyDescent="0.55000000000000004">
      <c r="A926" s="17"/>
    </row>
    <row r="927" spans="1:1" x14ac:dyDescent="0.55000000000000004">
      <c r="A927" s="17"/>
    </row>
    <row r="928" spans="1:1" x14ac:dyDescent="0.55000000000000004">
      <c r="A928" s="17"/>
    </row>
    <row r="929" spans="1:1" x14ac:dyDescent="0.55000000000000004">
      <c r="A929" s="17"/>
    </row>
    <row r="930" spans="1:1" x14ac:dyDescent="0.55000000000000004">
      <c r="A930" s="17"/>
    </row>
    <row r="931" spans="1:1" x14ac:dyDescent="0.55000000000000004">
      <c r="A931" s="17"/>
    </row>
    <row r="932" spans="1:1" x14ac:dyDescent="0.55000000000000004">
      <c r="A932" s="17"/>
    </row>
    <row r="933" spans="1:1" x14ac:dyDescent="0.55000000000000004">
      <c r="A933" s="17"/>
    </row>
    <row r="934" spans="1:1" x14ac:dyDescent="0.55000000000000004">
      <c r="A934" s="17"/>
    </row>
    <row r="935" spans="1:1" x14ac:dyDescent="0.55000000000000004">
      <c r="A935" s="17"/>
    </row>
    <row r="936" spans="1:1" x14ac:dyDescent="0.55000000000000004">
      <c r="A936" s="17"/>
    </row>
    <row r="937" spans="1:1" x14ac:dyDescent="0.55000000000000004">
      <c r="A937" s="17"/>
    </row>
    <row r="938" spans="1:1" x14ac:dyDescent="0.55000000000000004">
      <c r="A938" s="17"/>
    </row>
    <row r="939" spans="1:1" x14ac:dyDescent="0.55000000000000004">
      <c r="A939" s="17"/>
    </row>
    <row r="940" spans="1:1" x14ac:dyDescent="0.55000000000000004">
      <c r="A940" s="17"/>
    </row>
    <row r="941" spans="1:1" x14ac:dyDescent="0.55000000000000004">
      <c r="A941" s="17"/>
    </row>
    <row r="942" spans="1:1" x14ac:dyDescent="0.55000000000000004">
      <c r="A942" s="17"/>
    </row>
    <row r="943" spans="1:1" x14ac:dyDescent="0.55000000000000004">
      <c r="A943" s="17"/>
    </row>
    <row r="944" spans="1:1" x14ac:dyDescent="0.55000000000000004">
      <c r="A944" s="17"/>
    </row>
    <row r="945" spans="1:1" x14ac:dyDescent="0.55000000000000004">
      <c r="A945" s="17"/>
    </row>
    <row r="946" spans="1:1" x14ac:dyDescent="0.55000000000000004">
      <c r="A946" s="17"/>
    </row>
    <row r="947" spans="1:1" x14ac:dyDescent="0.55000000000000004">
      <c r="A947" s="17"/>
    </row>
    <row r="948" spans="1:1" x14ac:dyDescent="0.55000000000000004">
      <c r="A948" s="17"/>
    </row>
    <row r="949" spans="1:1" x14ac:dyDescent="0.55000000000000004">
      <c r="A949" s="17"/>
    </row>
    <row r="950" spans="1:1" x14ac:dyDescent="0.55000000000000004">
      <c r="A950" s="17"/>
    </row>
    <row r="951" spans="1:1" x14ac:dyDescent="0.55000000000000004">
      <c r="A951" s="17"/>
    </row>
    <row r="952" spans="1:1" x14ac:dyDescent="0.55000000000000004">
      <c r="A952" s="17"/>
    </row>
    <row r="953" spans="1:1" x14ac:dyDescent="0.55000000000000004">
      <c r="A953" s="17"/>
    </row>
    <row r="954" spans="1:1" x14ac:dyDescent="0.55000000000000004">
      <c r="A954" s="17"/>
    </row>
    <row r="955" spans="1:1" x14ac:dyDescent="0.55000000000000004">
      <c r="A955" s="17"/>
    </row>
    <row r="956" spans="1:1" x14ac:dyDescent="0.55000000000000004">
      <c r="A956" s="17"/>
    </row>
    <row r="957" spans="1:1" x14ac:dyDescent="0.55000000000000004">
      <c r="A957" s="17"/>
    </row>
    <row r="958" spans="1:1" x14ac:dyDescent="0.55000000000000004">
      <c r="A958" s="17"/>
    </row>
    <row r="959" spans="1:1" x14ac:dyDescent="0.55000000000000004">
      <c r="A959" s="17"/>
    </row>
    <row r="960" spans="1:1" x14ac:dyDescent="0.55000000000000004">
      <c r="A960" s="17"/>
    </row>
    <row r="961" spans="1:1" x14ac:dyDescent="0.55000000000000004">
      <c r="A961" s="17"/>
    </row>
    <row r="962" spans="1:1" x14ac:dyDescent="0.55000000000000004">
      <c r="A962" s="17"/>
    </row>
    <row r="963" spans="1:1" x14ac:dyDescent="0.55000000000000004">
      <c r="A963" s="17"/>
    </row>
    <row r="964" spans="1:1" x14ac:dyDescent="0.55000000000000004">
      <c r="A964" s="17"/>
    </row>
    <row r="965" spans="1:1" x14ac:dyDescent="0.55000000000000004">
      <c r="A965" s="17"/>
    </row>
    <row r="966" spans="1:1" x14ac:dyDescent="0.55000000000000004">
      <c r="A966" s="17"/>
    </row>
    <row r="967" spans="1:1" x14ac:dyDescent="0.55000000000000004">
      <c r="A967" s="17"/>
    </row>
    <row r="968" spans="1:1" x14ac:dyDescent="0.55000000000000004">
      <c r="A968" s="17"/>
    </row>
    <row r="969" spans="1:1" x14ac:dyDescent="0.55000000000000004">
      <c r="A969" s="17"/>
    </row>
    <row r="970" spans="1:1" x14ac:dyDescent="0.55000000000000004">
      <c r="A970" s="17"/>
    </row>
    <row r="971" spans="1:1" x14ac:dyDescent="0.55000000000000004">
      <c r="A971" s="17"/>
    </row>
    <row r="972" spans="1:1" x14ac:dyDescent="0.55000000000000004">
      <c r="A972" s="17"/>
    </row>
    <row r="973" spans="1:1" x14ac:dyDescent="0.55000000000000004">
      <c r="A973" s="17"/>
    </row>
    <row r="974" spans="1:1" x14ac:dyDescent="0.55000000000000004">
      <c r="A974" s="17"/>
    </row>
    <row r="975" spans="1:1" x14ac:dyDescent="0.55000000000000004">
      <c r="A975" s="17"/>
    </row>
    <row r="976" spans="1:1" x14ac:dyDescent="0.55000000000000004">
      <c r="A976" s="17"/>
    </row>
    <row r="977" spans="1:1" x14ac:dyDescent="0.55000000000000004">
      <c r="A977" s="17"/>
    </row>
    <row r="978" spans="1:1" x14ac:dyDescent="0.55000000000000004">
      <c r="A978" s="17"/>
    </row>
    <row r="979" spans="1:1" x14ac:dyDescent="0.55000000000000004">
      <c r="A979" s="17"/>
    </row>
    <row r="980" spans="1:1" x14ac:dyDescent="0.55000000000000004">
      <c r="A980" s="17"/>
    </row>
    <row r="981" spans="1:1" x14ac:dyDescent="0.55000000000000004">
      <c r="A981" s="17"/>
    </row>
    <row r="982" spans="1:1" x14ac:dyDescent="0.55000000000000004">
      <c r="A982" s="17"/>
    </row>
    <row r="983" spans="1:1" x14ac:dyDescent="0.55000000000000004">
      <c r="A983" s="17"/>
    </row>
    <row r="984" spans="1:1" x14ac:dyDescent="0.55000000000000004">
      <c r="A984" s="17"/>
    </row>
    <row r="985" spans="1:1" x14ac:dyDescent="0.55000000000000004">
      <c r="A985" s="17"/>
    </row>
    <row r="986" spans="1:1" x14ac:dyDescent="0.55000000000000004">
      <c r="A986" s="17"/>
    </row>
    <row r="987" spans="1:1" x14ac:dyDescent="0.55000000000000004">
      <c r="A987" s="17"/>
    </row>
    <row r="988" spans="1:1" x14ac:dyDescent="0.55000000000000004">
      <c r="A988" s="17"/>
    </row>
    <row r="989" spans="1:1" x14ac:dyDescent="0.55000000000000004">
      <c r="A989" s="17"/>
    </row>
    <row r="990" spans="1:1" x14ac:dyDescent="0.55000000000000004">
      <c r="A990" s="17"/>
    </row>
    <row r="991" spans="1:1" x14ac:dyDescent="0.55000000000000004">
      <c r="A991" s="17"/>
    </row>
    <row r="992" spans="1:1" x14ac:dyDescent="0.55000000000000004">
      <c r="A992" s="17"/>
    </row>
    <row r="993" spans="1:1" x14ac:dyDescent="0.55000000000000004">
      <c r="A993" s="17"/>
    </row>
    <row r="994" spans="1:1" x14ac:dyDescent="0.55000000000000004">
      <c r="A994" s="17"/>
    </row>
    <row r="995" spans="1:1" x14ac:dyDescent="0.55000000000000004">
      <c r="A995" s="17"/>
    </row>
    <row r="996" spans="1:1" x14ac:dyDescent="0.55000000000000004">
      <c r="A996" s="17"/>
    </row>
    <row r="997" spans="1:1" x14ac:dyDescent="0.55000000000000004">
      <c r="A997" s="17"/>
    </row>
    <row r="998" spans="1:1" x14ac:dyDescent="0.55000000000000004">
      <c r="A998" s="17"/>
    </row>
    <row r="999" spans="1:1" x14ac:dyDescent="0.55000000000000004">
      <c r="A999" s="17"/>
    </row>
    <row r="1000" spans="1:1" x14ac:dyDescent="0.55000000000000004">
      <c r="A1000" s="17"/>
    </row>
    <row r="1001" spans="1:1" x14ac:dyDescent="0.55000000000000004">
      <c r="A1001" s="17"/>
    </row>
    <row r="1002" spans="1:1" x14ac:dyDescent="0.55000000000000004">
      <c r="A1002" s="17"/>
    </row>
    <row r="1003" spans="1:1" x14ac:dyDescent="0.55000000000000004">
      <c r="A1003" s="17"/>
    </row>
    <row r="1004" spans="1:1" x14ac:dyDescent="0.55000000000000004">
      <c r="A1004" s="17"/>
    </row>
    <row r="1005" spans="1:1" x14ac:dyDescent="0.55000000000000004">
      <c r="A1005" s="17"/>
    </row>
    <row r="1006" spans="1:1" x14ac:dyDescent="0.55000000000000004">
      <c r="A1006" s="17"/>
    </row>
    <row r="1007" spans="1:1" x14ac:dyDescent="0.55000000000000004">
      <c r="A1007" s="17"/>
    </row>
    <row r="1008" spans="1:1" x14ac:dyDescent="0.55000000000000004">
      <c r="A1008" s="17"/>
    </row>
    <row r="1009" spans="1:1" x14ac:dyDescent="0.55000000000000004">
      <c r="A1009" s="17"/>
    </row>
    <row r="1010" spans="1:1" x14ac:dyDescent="0.55000000000000004">
      <c r="A1010" s="17"/>
    </row>
    <row r="1011" spans="1:1" x14ac:dyDescent="0.55000000000000004">
      <c r="A1011" s="17"/>
    </row>
    <row r="1012" spans="1:1" x14ac:dyDescent="0.55000000000000004">
      <c r="A1012" s="17"/>
    </row>
    <row r="1013" spans="1:1" x14ac:dyDescent="0.55000000000000004">
      <c r="A1013" s="17"/>
    </row>
    <row r="1014" spans="1:1" x14ac:dyDescent="0.55000000000000004">
      <c r="A1014" s="17"/>
    </row>
    <row r="1015" spans="1:1" x14ac:dyDescent="0.55000000000000004">
      <c r="A1015" s="17"/>
    </row>
    <row r="1016" spans="1:1" x14ac:dyDescent="0.55000000000000004">
      <c r="A1016" s="17"/>
    </row>
    <row r="1017" spans="1:1" x14ac:dyDescent="0.55000000000000004">
      <c r="A1017" s="17"/>
    </row>
    <row r="1018" spans="1:1" x14ac:dyDescent="0.55000000000000004">
      <c r="A1018" s="17"/>
    </row>
    <row r="1019" spans="1:1" x14ac:dyDescent="0.55000000000000004">
      <c r="A1019" s="17"/>
    </row>
    <row r="1020" spans="1:1" x14ac:dyDescent="0.55000000000000004">
      <c r="A1020" s="17"/>
    </row>
    <row r="1021" spans="1:1" x14ac:dyDescent="0.55000000000000004">
      <c r="A1021" s="17"/>
    </row>
    <row r="1022" spans="1:1" x14ac:dyDescent="0.55000000000000004">
      <c r="A1022" s="17"/>
    </row>
    <row r="1023" spans="1:1" x14ac:dyDescent="0.55000000000000004">
      <c r="A1023" s="17"/>
    </row>
    <row r="1024" spans="1:1" x14ac:dyDescent="0.55000000000000004">
      <c r="A1024" s="17"/>
    </row>
    <row r="1025" spans="1:1" x14ac:dyDescent="0.55000000000000004">
      <c r="A1025" s="17"/>
    </row>
    <row r="1026" spans="1:1" x14ac:dyDescent="0.55000000000000004">
      <c r="A1026" s="17"/>
    </row>
    <row r="1027" spans="1:1" x14ac:dyDescent="0.55000000000000004">
      <c r="A1027" s="17"/>
    </row>
    <row r="1028" spans="1:1" x14ac:dyDescent="0.55000000000000004">
      <c r="A1028" s="17"/>
    </row>
    <row r="1029" spans="1:1" x14ac:dyDescent="0.55000000000000004">
      <c r="A1029" s="17"/>
    </row>
    <row r="1030" spans="1:1" x14ac:dyDescent="0.55000000000000004">
      <c r="A1030" s="17"/>
    </row>
    <row r="1031" spans="1:1" x14ac:dyDescent="0.55000000000000004">
      <c r="A1031" s="17"/>
    </row>
    <row r="1032" spans="1:1" x14ac:dyDescent="0.55000000000000004">
      <c r="A1032" s="17"/>
    </row>
    <row r="1033" spans="1:1" x14ac:dyDescent="0.55000000000000004">
      <c r="A1033" s="17"/>
    </row>
    <row r="1034" spans="1:1" x14ac:dyDescent="0.55000000000000004">
      <c r="A1034" s="17"/>
    </row>
    <row r="1035" spans="1:1" x14ac:dyDescent="0.55000000000000004">
      <c r="A1035" s="17"/>
    </row>
    <row r="1036" spans="1:1" x14ac:dyDescent="0.55000000000000004">
      <c r="A1036" s="17"/>
    </row>
    <row r="1037" spans="1:1" x14ac:dyDescent="0.55000000000000004">
      <c r="A1037" s="17"/>
    </row>
    <row r="1038" spans="1:1" x14ac:dyDescent="0.55000000000000004">
      <c r="A1038" s="17"/>
    </row>
    <row r="1039" spans="1:1" x14ac:dyDescent="0.55000000000000004">
      <c r="A1039" s="17"/>
    </row>
    <row r="1040" spans="1:1" x14ac:dyDescent="0.55000000000000004">
      <c r="A1040" s="17"/>
    </row>
    <row r="1041" spans="1:1" x14ac:dyDescent="0.55000000000000004">
      <c r="A1041" s="17"/>
    </row>
    <row r="1042" spans="1:1" x14ac:dyDescent="0.55000000000000004">
      <c r="A1042" s="17"/>
    </row>
    <row r="1043" spans="1:1" x14ac:dyDescent="0.55000000000000004">
      <c r="A1043" s="17"/>
    </row>
    <row r="1044" spans="1:1" x14ac:dyDescent="0.55000000000000004">
      <c r="A1044" s="17"/>
    </row>
    <row r="1045" spans="1:1" x14ac:dyDescent="0.55000000000000004">
      <c r="A1045" s="17"/>
    </row>
    <row r="1046" spans="1:1" x14ac:dyDescent="0.55000000000000004">
      <c r="A1046" s="17"/>
    </row>
    <row r="1047" spans="1:1" x14ac:dyDescent="0.55000000000000004">
      <c r="A1047" s="17"/>
    </row>
    <row r="1048" spans="1:1" x14ac:dyDescent="0.55000000000000004">
      <c r="A1048" s="17"/>
    </row>
    <row r="1049" spans="1:1" x14ac:dyDescent="0.55000000000000004">
      <c r="A1049" s="17"/>
    </row>
    <row r="1050" spans="1:1" x14ac:dyDescent="0.55000000000000004">
      <c r="A1050" s="17"/>
    </row>
    <row r="1051" spans="1:1" x14ac:dyDescent="0.55000000000000004">
      <c r="A1051" s="17"/>
    </row>
    <row r="1052" spans="1:1" x14ac:dyDescent="0.55000000000000004">
      <c r="A1052" s="17"/>
    </row>
    <row r="1053" spans="1:1" x14ac:dyDescent="0.55000000000000004">
      <c r="A1053" s="17"/>
    </row>
    <row r="1054" spans="1:1" x14ac:dyDescent="0.55000000000000004">
      <c r="A1054" s="17"/>
    </row>
    <row r="1055" spans="1:1" x14ac:dyDescent="0.55000000000000004">
      <c r="A1055" s="17"/>
    </row>
    <row r="1056" spans="1:1" x14ac:dyDescent="0.55000000000000004">
      <c r="A1056" s="17"/>
    </row>
    <row r="1057" spans="1:1" x14ac:dyDescent="0.55000000000000004">
      <c r="A1057" s="17"/>
    </row>
    <row r="1058" spans="1:1" x14ac:dyDescent="0.55000000000000004">
      <c r="A1058" s="17"/>
    </row>
    <row r="1059" spans="1:1" x14ac:dyDescent="0.55000000000000004">
      <c r="A1059" s="17"/>
    </row>
    <row r="1060" spans="1:1" x14ac:dyDescent="0.55000000000000004">
      <c r="A1060" s="17"/>
    </row>
    <row r="1061" spans="1:1" x14ac:dyDescent="0.55000000000000004">
      <c r="A1061" s="17"/>
    </row>
    <row r="1062" spans="1:1" x14ac:dyDescent="0.55000000000000004">
      <c r="A1062" s="17"/>
    </row>
    <row r="1063" spans="1:1" x14ac:dyDescent="0.55000000000000004">
      <c r="A1063" s="17"/>
    </row>
    <row r="1064" spans="1:1" x14ac:dyDescent="0.55000000000000004">
      <c r="A1064" s="17"/>
    </row>
    <row r="1065" spans="1:1" x14ac:dyDescent="0.55000000000000004">
      <c r="A1065" s="17"/>
    </row>
    <row r="1066" spans="1:1" x14ac:dyDescent="0.55000000000000004">
      <c r="A1066" s="17"/>
    </row>
    <row r="1067" spans="1:1" x14ac:dyDescent="0.55000000000000004">
      <c r="A1067" s="17"/>
    </row>
    <row r="1068" spans="1:1" x14ac:dyDescent="0.55000000000000004">
      <c r="A1068" s="17"/>
    </row>
    <row r="1069" spans="1:1" x14ac:dyDescent="0.55000000000000004">
      <c r="A1069" s="17"/>
    </row>
    <row r="1070" spans="1:1" x14ac:dyDescent="0.55000000000000004">
      <c r="A1070" s="17"/>
    </row>
    <row r="1071" spans="1:1" x14ac:dyDescent="0.55000000000000004">
      <c r="A1071" s="17"/>
    </row>
    <row r="1072" spans="1:1" x14ac:dyDescent="0.55000000000000004">
      <c r="A1072" s="17"/>
    </row>
    <row r="1073" spans="1:1" x14ac:dyDescent="0.55000000000000004">
      <c r="A1073" s="17"/>
    </row>
    <row r="1074" spans="1:1" x14ac:dyDescent="0.55000000000000004">
      <c r="A1074" s="17"/>
    </row>
    <row r="1075" spans="1:1" x14ac:dyDescent="0.55000000000000004">
      <c r="A1075" s="17"/>
    </row>
    <row r="1076" spans="1:1" x14ac:dyDescent="0.55000000000000004">
      <c r="A1076" s="17"/>
    </row>
    <row r="1077" spans="1:1" x14ac:dyDescent="0.55000000000000004">
      <c r="A1077" s="17"/>
    </row>
    <row r="1078" spans="1:1" x14ac:dyDescent="0.55000000000000004">
      <c r="A1078" s="17"/>
    </row>
    <row r="1079" spans="1:1" x14ac:dyDescent="0.55000000000000004">
      <c r="A1079" s="17"/>
    </row>
    <row r="1080" spans="1:1" x14ac:dyDescent="0.55000000000000004">
      <c r="A1080" s="17"/>
    </row>
    <row r="1081" spans="1:1" x14ac:dyDescent="0.55000000000000004">
      <c r="A1081" s="17"/>
    </row>
    <row r="1082" spans="1:1" x14ac:dyDescent="0.55000000000000004">
      <c r="A1082" s="17"/>
    </row>
    <row r="1083" spans="1:1" x14ac:dyDescent="0.55000000000000004">
      <c r="A1083" s="17"/>
    </row>
    <row r="1084" spans="1:1" x14ac:dyDescent="0.55000000000000004">
      <c r="A1084" s="17"/>
    </row>
    <row r="1085" spans="1:1" x14ac:dyDescent="0.55000000000000004">
      <c r="A1085" s="17"/>
    </row>
    <row r="1086" spans="1:1" x14ac:dyDescent="0.55000000000000004">
      <c r="A1086" s="17"/>
    </row>
    <row r="1087" spans="1:1" x14ac:dyDescent="0.55000000000000004">
      <c r="A1087" s="17"/>
    </row>
    <row r="1088" spans="1:1" x14ac:dyDescent="0.55000000000000004">
      <c r="A1088" s="17"/>
    </row>
    <row r="1089" spans="1:1" x14ac:dyDescent="0.55000000000000004">
      <c r="A1089" s="17"/>
    </row>
    <row r="1090" spans="1:1" x14ac:dyDescent="0.55000000000000004">
      <c r="A1090" s="17"/>
    </row>
    <row r="1091" spans="1:1" x14ac:dyDescent="0.55000000000000004">
      <c r="A1091" s="17"/>
    </row>
    <row r="1092" spans="1:1" x14ac:dyDescent="0.55000000000000004">
      <c r="A1092" s="17"/>
    </row>
    <row r="1093" spans="1:1" x14ac:dyDescent="0.55000000000000004">
      <c r="A1093" s="17"/>
    </row>
    <row r="1094" spans="1:1" x14ac:dyDescent="0.55000000000000004">
      <c r="A1094" s="17"/>
    </row>
    <row r="1095" spans="1:1" x14ac:dyDescent="0.55000000000000004">
      <c r="A1095" s="17"/>
    </row>
    <row r="1096" spans="1:1" x14ac:dyDescent="0.55000000000000004">
      <c r="A1096" s="17"/>
    </row>
    <row r="1097" spans="1:1" x14ac:dyDescent="0.55000000000000004">
      <c r="A1097" s="17"/>
    </row>
    <row r="1098" spans="1:1" x14ac:dyDescent="0.55000000000000004">
      <c r="A1098" s="17"/>
    </row>
    <row r="1099" spans="1:1" x14ac:dyDescent="0.55000000000000004">
      <c r="A1099" s="17"/>
    </row>
    <row r="1100" spans="1:1" x14ac:dyDescent="0.55000000000000004">
      <c r="A1100" s="17"/>
    </row>
    <row r="1101" spans="1:1" x14ac:dyDescent="0.55000000000000004">
      <c r="A1101" s="17"/>
    </row>
    <row r="1102" spans="1:1" x14ac:dyDescent="0.55000000000000004">
      <c r="A1102" s="17"/>
    </row>
    <row r="1103" spans="1:1" x14ac:dyDescent="0.55000000000000004">
      <c r="A1103" s="17"/>
    </row>
    <row r="1104" spans="1:1" x14ac:dyDescent="0.55000000000000004">
      <c r="A1104" s="17"/>
    </row>
    <row r="1105" spans="1:1" x14ac:dyDescent="0.55000000000000004">
      <c r="A1105" s="17"/>
    </row>
    <row r="1106" spans="1:1" x14ac:dyDescent="0.55000000000000004">
      <c r="A1106" s="17"/>
    </row>
    <row r="1107" spans="1:1" x14ac:dyDescent="0.55000000000000004">
      <c r="A1107" s="17"/>
    </row>
    <row r="1108" spans="1:1" x14ac:dyDescent="0.55000000000000004">
      <c r="A1108" s="17"/>
    </row>
    <row r="1109" spans="1:1" x14ac:dyDescent="0.55000000000000004">
      <c r="A1109" s="17"/>
    </row>
    <row r="1110" spans="1:1" x14ac:dyDescent="0.55000000000000004">
      <c r="A1110" s="17"/>
    </row>
    <row r="1111" spans="1:1" x14ac:dyDescent="0.55000000000000004">
      <c r="A1111" s="17"/>
    </row>
    <row r="1112" spans="1:1" x14ac:dyDescent="0.55000000000000004">
      <c r="A1112" s="17"/>
    </row>
    <row r="1113" spans="1:1" x14ac:dyDescent="0.55000000000000004">
      <c r="A1113" s="17"/>
    </row>
    <row r="1114" spans="1:1" x14ac:dyDescent="0.55000000000000004">
      <c r="A1114" s="17"/>
    </row>
    <row r="1115" spans="1:1" x14ac:dyDescent="0.55000000000000004">
      <c r="A1115" s="17"/>
    </row>
    <row r="1116" spans="1:1" x14ac:dyDescent="0.55000000000000004">
      <c r="A1116" s="17"/>
    </row>
    <row r="1117" spans="1:1" x14ac:dyDescent="0.55000000000000004">
      <c r="A1117" s="17"/>
    </row>
    <row r="1118" spans="1:1" x14ac:dyDescent="0.55000000000000004">
      <c r="A1118" s="17"/>
    </row>
    <row r="1119" spans="1:1" x14ac:dyDescent="0.55000000000000004">
      <c r="A1119" s="17"/>
    </row>
    <row r="1120" spans="1:1" x14ac:dyDescent="0.55000000000000004">
      <c r="A1120" s="17"/>
    </row>
    <row r="1121" spans="1:1" x14ac:dyDescent="0.55000000000000004">
      <c r="A1121" s="17"/>
    </row>
    <row r="1122" spans="1:1" x14ac:dyDescent="0.55000000000000004">
      <c r="A1122" s="17"/>
    </row>
    <row r="1123" spans="1:1" x14ac:dyDescent="0.55000000000000004">
      <c r="A1123" s="17"/>
    </row>
    <row r="1124" spans="1:1" x14ac:dyDescent="0.55000000000000004">
      <c r="A1124" s="17"/>
    </row>
    <row r="1125" spans="1:1" x14ac:dyDescent="0.55000000000000004">
      <c r="A1125" s="17"/>
    </row>
    <row r="1126" spans="1:1" x14ac:dyDescent="0.55000000000000004">
      <c r="A1126" s="17"/>
    </row>
    <row r="1127" spans="1:1" x14ac:dyDescent="0.55000000000000004">
      <c r="A1127" s="17"/>
    </row>
    <row r="1128" spans="1:1" x14ac:dyDescent="0.55000000000000004">
      <c r="A1128" s="17"/>
    </row>
    <row r="1129" spans="1:1" x14ac:dyDescent="0.55000000000000004">
      <c r="A1129" s="17"/>
    </row>
    <row r="1130" spans="1:1" x14ac:dyDescent="0.55000000000000004">
      <c r="A1130" s="17"/>
    </row>
    <row r="1131" spans="1:1" x14ac:dyDescent="0.55000000000000004">
      <c r="A1131" s="17"/>
    </row>
    <row r="1132" spans="1:1" x14ac:dyDescent="0.55000000000000004">
      <c r="A1132" s="17"/>
    </row>
    <row r="1133" spans="1:1" x14ac:dyDescent="0.55000000000000004">
      <c r="A1133" s="17"/>
    </row>
    <row r="1134" spans="1:1" x14ac:dyDescent="0.55000000000000004">
      <c r="A1134" s="17"/>
    </row>
    <row r="1135" spans="1:1" x14ac:dyDescent="0.55000000000000004">
      <c r="A1135" s="17"/>
    </row>
    <row r="1136" spans="1:1" x14ac:dyDescent="0.55000000000000004">
      <c r="A1136" s="17"/>
    </row>
    <row r="1137" spans="1:1" x14ac:dyDescent="0.55000000000000004">
      <c r="A1137" s="17"/>
    </row>
    <row r="1138" spans="1:1" x14ac:dyDescent="0.55000000000000004">
      <c r="A1138" s="17"/>
    </row>
    <row r="1139" spans="1:1" x14ac:dyDescent="0.55000000000000004">
      <c r="A1139" s="17"/>
    </row>
    <row r="1140" spans="1:1" x14ac:dyDescent="0.55000000000000004">
      <c r="A1140" s="17"/>
    </row>
    <row r="1141" spans="1:1" x14ac:dyDescent="0.55000000000000004">
      <c r="A1141" s="17"/>
    </row>
    <row r="1142" spans="1:1" x14ac:dyDescent="0.55000000000000004">
      <c r="A1142" s="17"/>
    </row>
    <row r="1143" spans="1:1" x14ac:dyDescent="0.55000000000000004">
      <c r="A1143" s="17"/>
    </row>
    <row r="1144" spans="1:1" x14ac:dyDescent="0.55000000000000004">
      <c r="A1144" s="17"/>
    </row>
    <row r="1145" spans="1:1" x14ac:dyDescent="0.55000000000000004">
      <c r="A1145" s="17"/>
    </row>
    <row r="1146" spans="1:1" x14ac:dyDescent="0.55000000000000004">
      <c r="A1146" s="17"/>
    </row>
    <row r="1147" spans="1:1" x14ac:dyDescent="0.55000000000000004">
      <c r="A1147" s="17"/>
    </row>
    <row r="1148" spans="1:1" x14ac:dyDescent="0.55000000000000004">
      <c r="A1148" s="17"/>
    </row>
    <row r="1149" spans="1:1" x14ac:dyDescent="0.55000000000000004">
      <c r="A1149" s="17"/>
    </row>
    <row r="1150" spans="1:1" x14ac:dyDescent="0.55000000000000004">
      <c r="A1150" s="17"/>
    </row>
    <row r="1151" spans="1:1" x14ac:dyDescent="0.55000000000000004">
      <c r="A1151" s="17"/>
    </row>
    <row r="1152" spans="1:1" x14ac:dyDescent="0.55000000000000004">
      <c r="A1152" s="17"/>
    </row>
    <row r="1153" spans="1:1" x14ac:dyDescent="0.55000000000000004">
      <c r="A1153" s="17"/>
    </row>
    <row r="1154" spans="1:1" x14ac:dyDescent="0.55000000000000004">
      <c r="A1154" s="17"/>
    </row>
    <row r="1155" spans="1:1" x14ac:dyDescent="0.55000000000000004">
      <c r="A1155" s="17"/>
    </row>
    <row r="1156" spans="1:1" x14ac:dyDescent="0.55000000000000004">
      <c r="A1156" s="17"/>
    </row>
    <row r="1157" spans="1:1" x14ac:dyDescent="0.55000000000000004">
      <c r="A1157" s="17"/>
    </row>
    <row r="1158" spans="1:1" x14ac:dyDescent="0.55000000000000004">
      <c r="A1158" s="17"/>
    </row>
    <row r="1159" spans="1:1" x14ac:dyDescent="0.55000000000000004">
      <c r="A1159" s="17"/>
    </row>
    <row r="1160" spans="1:1" x14ac:dyDescent="0.55000000000000004">
      <c r="A1160" s="17"/>
    </row>
    <row r="1161" spans="1:1" x14ac:dyDescent="0.55000000000000004">
      <c r="A1161" s="17"/>
    </row>
    <row r="1162" spans="1:1" x14ac:dyDescent="0.55000000000000004">
      <c r="A1162" s="17"/>
    </row>
    <row r="1163" spans="1:1" x14ac:dyDescent="0.55000000000000004">
      <c r="A1163" s="17"/>
    </row>
    <row r="1164" spans="1:1" x14ac:dyDescent="0.55000000000000004">
      <c r="A1164" s="17"/>
    </row>
    <row r="1165" spans="1:1" x14ac:dyDescent="0.55000000000000004">
      <c r="A1165" s="17"/>
    </row>
    <row r="1166" spans="1:1" x14ac:dyDescent="0.55000000000000004">
      <c r="A1166" s="17"/>
    </row>
    <row r="1167" spans="1:1" x14ac:dyDescent="0.55000000000000004">
      <c r="A1167" s="17"/>
    </row>
    <row r="1168" spans="1:1" x14ac:dyDescent="0.55000000000000004">
      <c r="A1168" s="17"/>
    </row>
    <row r="1169" spans="1:1" x14ac:dyDescent="0.55000000000000004">
      <c r="A1169" s="17"/>
    </row>
    <row r="1170" spans="1:1" x14ac:dyDescent="0.55000000000000004">
      <c r="A1170" s="17"/>
    </row>
    <row r="1171" spans="1:1" x14ac:dyDescent="0.55000000000000004">
      <c r="A1171" s="17"/>
    </row>
    <row r="1172" spans="1:1" x14ac:dyDescent="0.55000000000000004">
      <c r="A1172" s="17"/>
    </row>
    <row r="1173" spans="1:1" x14ac:dyDescent="0.55000000000000004">
      <c r="A1173" s="17"/>
    </row>
    <row r="1174" spans="1:1" x14ac:dyDescent="0.55000000000000004">
      <c r="A1174" s="17"/>
    </row>
    <row r="1175" spans="1:1" x14ac:dyDescent="0.55000000000000004">
      <c r="A1175" s="17"/>
    </row>
    <row r="1176" spans="1:1" x14ac:dyDescent="0.55000000000000004">
      <c r="A1176" s="17"/>
    </row>
    <row r="1177" spans="1:1" x14ac:dyDescent="0.55000000000000004">
      <c r="A1177" s="17"/>
    </row>
    <row r="1178" spans="1:1" x14ac:dyDescent="0.55000000000000004">
      <c r="A1178" s="17"/>
    </row>
    <row r="1179" spans="1:1" x14ac:dyDescent="0.55000000000000004">
      <c r="A1179" s="17"/>
    </row>
    <row r="1180" spans="1:1" x14ac:dyDescent="0.55000000000000004">
      <c r="A1180" s="17"/>
    </row>
    <row r="1181" spans="1:1" x14ac:dyDescent="0.55000000000000004">
      <c r="A1181" s="17"/>
    </row>
    <row r="1182" spans="1:1" x14ac:dyDescent="0.55000000000000004">
      <c r="A1182" s="17"/>
    </row>
    <row r="1183" spans="1:1" x14ac:dyDescent="0.55000000000000004">
      <c r="A1183" s="17"/>
    </row>
    <row r="1184" spans="1:1" x14ac:dyDescent="0.55000000000000004">
      <c r="A1184" s="17"/>
    </row>
    <row r="1185" spans="1:1" x14ac:dyDescent="0.55000000000000004">
      <c r="A1185" s="17"/>
    </row>
    <row r="1186" spans="1:1" x14ac:dyDescent="0.55000000000000004">
      <c r="A1186" s="17"/>
    </row>
    <row r="1187" spans="1:1" x14ac:dyDescent="0.55000000000000004">
      <c r="A1187" s="17"/>
    </row>
    <row r="1188" spans="1:1" x14ac:dyDescent="0.55000000000000004">
      <c r="A1188" s="17"/>
    </row>
    <row r="1189" spans="1:1" x14ac:dyDescent="0.55000000000000004">
      <c r="A1189" s="17"/>
    </row>
    <row r="1190" spans="1:1" x14ac:dyDescent="0.55000000000000004">
      <c r="A1190" s="17"/>
    </row>
    <row r="1191" spans="1:1" x14ac:dyDescent="0.55000000000000004">
      <c r="A1191" s="17"/>
    </row>
    <row r="1192" spans="1:1" x14ac:dyDescent="0.55000000000000004">
      <c r="A1192" s="17"/>
    </row>
    <row r="1193" spans="1:1" x14ac:dyDescent="0.55000000000000004">
      <c r="A1193" s="17"/>
    </row>
    <row r="1194" spans="1:1" x14ac:dyDescent="0.55000000000000004">
      <c r="A1194" s="17"/>
    </row>
    <row r="1195" spans="1:1" x14ac:dyDescent="0.55000000000000004">
      <c r="A1195" s="17"/>
    </row>
    <row r="1196" spans="1:1" x14ac:dyDescent="0.55000000000000004">
      <c r="A1196" s="17"/>
    </row>
    <row r="1197" spans="1:1" x14ac:dyDescent="0.55000000000000004">
      <c r="A1197" s="17"/>
    </row>
    <row r="1198" spans="1:1" x14ac:dyDescent="0.55000000000000004">
      <c r="A1198" s="17"/>
    </row>
    <row r="1199" spans="1:1" x14ac:dyDescent="0.55000000000000004">
      <c r="A1199" s="17"/>
    </row>
    <row r="1200" spans="1:1" x14ac:dyDescent="0.55000000000000004">
      <c r="A1200" s="17"/>
    </row>
    <row r="1201" spans="1:1" x14ac:dyDescent="0.55000000000000004">
      <c r="A1201" s="17"/>
    </row>
    <row r="1202" spans="1:1" x14ac:dyDescent="0.55000000000000004">
      <c r="A1202" s="17"/>
    </row>
    <row r="1203" spans="1:1" x14ac:dyDescent="0.55000000000000004">
      <c r="A1203" s="17"/>
    </row>
    <row r="1204" spans="1:1" x14ac:dyDescent="0.55000000000000004">
      <c r="A1204" s="17"/>
    </row>
    <row r="1205" spans="1:1" x14ac:dyDescent="0.55000000000000004">
      <c r="A1205" s="17"/>
    </row>
    <row r="1206" spans="1:1" x14ac:dyDescent="0.55000000000000004">
      <c r="A1206" s="17"/>
    </row>
    <row r="1207" spans="1:1" x14ac:dyDescent="0.55000000000000004">
      <c r="A1207" s="17"/>
    </row>
    <row r="1208" spans="1:1" x14ac:dyDescent="0.55000000000000004">
      <c r="A1208" s="17"/>
    </row>
    <row r="1209" spans="1:1" x14ac:dyDescent="0.55000000000000004">
      <c r="A1209" s="17"/>
    </row>
    <row r="1210" spans="1:1" x14ac:dyDescent="0.55000000000000004">
      <c r="A1210" s="17"/>
    </row>
    <row r="1211" spans="1:1" x14ac:dyDescent="0.55000000000000004">
      <c r="A1211" s="17"/>
    </row>
    <row r="1212" spans="1:1" x14ac:dyDescent="0.55000000000000004">
      <c r="A1212" s="17"/>
    </row>
    <row r="1213" spans="1:1" x14ac:dyDescent="0.55000000000000004">
      <c r="A1213" s="17"/>
    </row>
    <row r="1214" spans="1:1" x14ac:dyDescent="0.55000000000000004">
      <c r="A1214" s="17"/>
    </row>
    <row r="1215" spans="1:1" x14ac:dyDescent="0.55000000000000004">
      <c r="A1215" s="17"/>
    </row>
    <row r="1216" spans="1:1" x14ac:dyDescent="0.55000000000000004">
      <c r="A1216" s="17"/>
    </row>
    <row r="1217" spans="1:1" x14ac:dyDescent="0.55000000000000004">
      <c r="A1217" s="17"/>
    </row>
    <row r="1218" spans="1:1" x14ac:dyDescent="0.55000000000000004">
      <c r="A1218" s="17"/>
    </row>
    <row r="1219" spans="1:1" x14ac:dyDescent="0.55000000000000004">
      <c r="A1219" s="17"/>
    </row>
    <row r="1220" spans="1:1" x14ac:dyDescent="0.55000000000000004">
      <c r="A1220" s="17"/>
    </row>
    <row r="1221" spans="1:1" x14ac:dyDescent="0.55000000000000004">
      <c r="A1221" s="17"/>
    </row>
    <row r="1222" spans="1:1" x14ac:dyDescent="0.55000000000000004">
      <c r="A1222" s="17"/>
    </row>
    <row r="1223" spans="1:1" x14ac:dyDescent="0.55000000000000004">
      <c r="A1223" s="17"/>
    </row>
    <row r="1224" spans="1:1" x14ac:dyDescent="0.55000000000000004">
      <c r="A1224" s="17"/>
    </row>
    <row r="1225" spans="1:1" x14ac:dyDescent="0.55000000000000004">
      <c r="A1225" s="17"/>
    </row>
    <row r="1226" spans="1:1" x14ac:dyDescent="0.55000000000000004">
      <c r="A1226" s="17"/>
    </row>
    <row r="1227" spans="1:1" x14ac:dyDescent="0.55000000000000004">
      <c r="A1227" s="17"/>
    </row>
    <row r="1228" spans="1:1" x14ac:dyDescent="0.55000000000000004">
      <c r="A1228" s="17"/>
    </row>
    <row r="1229" spans="1:1" x14ac:dyDescent="0.55000000000000004">
      <c r="A1229" s="17"/>
    </row>
    <row r="1230" spans="1:1" x14ac:dyDescent="0.55000000000000004">
      <c r="A1230" s="17"/>
    </row>
    <row r="1231" spans="1:1" x14ac:dyDescent="0.55000000000000004">
      <c r="A1231" s="17"/>
    </row>
    <row r="1232" spans="1:1" x14ac:dyDescent="0.55000000000000004">
      <c r="A1232" s="17"/>
    </row>
    <row r="1233" spans="1:1" x14ac:dyDescent="0.55000000000000004">
      <c r="A1233" s="17"/>
    </row>
    <row r="1234" spans="1:1" x14ac:dyDescent="0.55000000000000004">
      <c r="A1234" s="17"/>
    </row>
    <row r="1235" spans="1:1" x14ac:dyDescent="0.55000000000000004">
      <c r="A1235" s="17"/>
    </row>
    <row r="1236" spans="1:1" x14ac:dyDescent="0.55000000000000004">
      <c r="A1236" s="17"/>
    </row>
    <row r="1237" spans="1:1" x14ac:dyDescent="0.55000000000000004">
      <c r="A1237" s="17"/>
    </row>
    <row r="1238" spans="1:1" x14ac:dyDescent="0.55000000000000004">
      <c r="A1238" s="17"/>
    </row>
    <row r="1239" spans="1:1" x14ac:dyDescent="0.55000000000000004">
      <c r="A1239" s="17"/>
    </row>
    <row r="1240" spans="1:1" x14ac:dyDescent="0.55000000000000004">
      <c r="A1240" s="17"/>
    </row>
    <row r="1241" spans="1:1" x14ac:dyDescent="0.55000000000000004">
      <c r="A1241" s="17"/>
    </row>
    <row r="1242" spans="1:1" x14ac:dyDescent="0.55000000000000004">
      <c r="A1242" s="17"/>
    </row>
    <row r="1243" spans="1:1" x14ac:dyDescent="0.55000000000000004">
      <c r="A1243" s="17"/>
    </row>
    <row r="1244" spans="1:1" x14ac:dyDescent="0.55000000000000004">
      <c r="A1244" s="17"/>
    </row>
    <row r="1245" spans="1:1" x14ac:dyDescent="0.55000000000000004">
      <c r="A1245" s="17"/>
    </row>
    <row r="1246" spans="1:1" x14ac:dyDescent="0.55000000000000004">
      <c r="A1246" s="17"/>
    </row>
    <row r="1247" spans="1:1" x14ac:dyDescent="0.55000000000000004">
      <c r="A1247" s="17"/>
    </row>
    <row r="1248" spans="1:1" x14ac:dyDescent="0.55000000000000004">
      <c r="A1248" s="17"/>
    </row>
    <row r="1249" spans="1:1" x14ac:dyDescent="0.55000000000000004">
      <c r="A1249" s="17"/>
    </row>
    <row r="1250" spans="1:1" x14ac:dyDescent="0.55000000000000004">
      <c r="A1250" s="17"/>
    </row>
    <row r="1251" spans="1:1" x14ac:dyDescent="0.55000000000000004">
      <c r="A1251" s="17"/>
    </row>
    <row r="1252" spans="1:1" x14ac:dyDescent="0.55000000000000004">
      <c r="A1252" s="17"/>
    </row>
    <row r="1253" spans="1:1" x14ac:dyDescent="0.55000000000000004">
      <c r="A1253" s="17"/>
    </row>
    <row r="1254" spans="1:1" x14ac:dyDescent="0.55000000000000004">
      <c r="A1254" s="17"/>
    </row>
    <row r="1255" spans="1:1" x14ac:dyDescent="0.55000000000000004">
      <c r="A1255" s="17"/>
    </row>
    <row r="1256" spans="1:1" x14ac:dyDescent="0.55000000000000004">
      <c r="A1256" s="17"/>
    </row>
    <row r="1257" spans="1:1" x14ac:dyDescent="0.55000000000000004">
      <c r="A1257" s="17"/>
    </row>
    <row r="1258" spans="1:1" x14ac:dyDescent="0.55000000000000004">
      <c r="A1258" s="17"/>
    </row>
    <row r="1259" spans="1:1" x14ac:dyDescent="0.55000000000000004">
      <c r="A1259" s="17"/>
    </row>
    <row r="1260" spans="1:1" x14ac:dyDescent="0.55000000000000004">
      <c r="A1260" s="17"/>
    </row>
    <row r="1261" spans="1:1" x14ac:dyDescent="0.55000000000000004">
      <c r="A1261" s="17"/>
    </row>
    <row r="1262" spans="1:1" x14ac:dyDescent="0.55000000000000004">
      <c r="A1262" s="17"/>
    </row>
    <row r="1263" spans="1:1" x14ac:dyDescent="0.55000000000000004">
      <c r="A1263" s="17"/>
    </row>
    <row r="1264" spans="1:1" x14ac:dyDescent="0.55000000000000004">
      <c r="A1264" s="17"/>
    </row>
    <row r="1265" spans="1:1" x14ac:dyDescent="0.55000000000000004">
      <c r="A1265" s="17"/>
    </row>
    <row r="1266" spans="1:1" x14ac:dyDescent="0.55000000000000004">
      <c r="A1266" s="17"/>
    </row>
    <row r="1267" spans="1:1" x14ac:dyDescent="0.55000000000000004">
      <c r="A1267" s="17"/>
    </row>
    <row r="1268" spans="1:1" x14ac:dyDescent="0.55000000000000004">
      <c r="A1268" s="17"/>
    </row>
    <row r="1269" spans="1:1" x14ac:dyDescent="0.55000000000000004">
      <c r="A1269" s="17"/>
    </row>
    <row r="1270" spans="1:1" x14ac:dyDescent="0.55000000000000004">
      <c r="A1270" s="17"/>
    </row>
    <row r="1271" spans="1:1" x14ac:dyDescent="0.55000000000000004">
      <c r="A1271" s="17"/>
    </row>
    <row r="1272" spans="1:1" x14ac:dyDescent="0.55000000000000004">
      <c r="A1272" s="17"/>
    </row>
    <row r="1273" spans="1:1" x14ac:dyDescent="0.55000000000000004">
      <c r="A1273" s="17"/>
    </row>
    <row r="1274" spans="1:1" x14ac:dyDescent="0.55000000000000004">
      <c r="A1274" s="17"/>
    </row>
    <row r="1275" spans="1:1" x14ac:dyDescent="0.55000000000000004">
      <c r="A1275" s="17"/>
    </row>
    <row r="1276" spans="1:1" x14ac:dyDescent="0.55000000000000004">
      <c r="A1276" s="17"/>
    </row>
    <row r="1277" spans="1:1" x14ac:dyDescent="0.55000000000000004">
      <c r="A1277" s="17"/>
    </row>
    <row r="1278" spans="1:1" x14ac:dyDescent="0.55000000000000004">
      <c r="A1278" s="17"/>
    </row>
    <row r="1279" spans="1:1" x14ac:dyDescent="0.55000000000000004">
      <c r="A1279" s="17"/>
    </row>
    <row r="1280" spans="1:1" x14ac:dyDescent="0.55000000000000004">
      <c r="A1280" s="17"/>
    </row>
    <row r="1281" spans="1:1" x14ac:dyDescent="0.55000000000000004">
      <c r="A1281" s="17"/>
    </row>
    <row r="1282" spans="1:1" x14ac:dyDescent="0.55000000000000004">
      <c r="A1282" s="17"/>
    </row>
    <row r="1283" spans="1:1" x14ac:dyDescent="0.55000000000000004">
      <c r="A1283" s="17"/>
    </row>
    <row r="1284" spans="1:1" x14ac:dyDescent="0.55000000000000004">
      <c r="A1284" s="17"/>
    </row>
    <row r="1285" spans="1:1" x14ac:dyDescent="0.55000000000000004">
      <c r="A1285" s="17"/>
    </row>
    <row r="1286" spans="1:1" x14ac:dyDescent="0.55000000000000004">
      <c r="A1286" s="17"/>
    </row>
    <row r="1287" spans="1:1" x14ac:dyDescent="0.55000000000000004">
      <c r="A1287" s="17"/>
    </row>
    <row r="1288" spans="1:1" x14ac:dyDescent="0.55000000000000004">
      <c r="A1288" s="17"/>
    </row>
    <row r="1289" spans="1:1" x14ac:dyDescent="0.55000000000000004">
      <c r="A1289" s="17"/>
    </row>
    <row r="1290" spans="1:1" x14ac:dyDescent="0.55000000000000004">
      <c r="A1290" s="17"/>
    </row>
    <row r="1291" spans="1:1" x14ac:dyDescent="0.55000000000000004">
      <c r="A1291" s="17"/>
    </row>
    <row r="1292" spans="1:1" x14ac:dyDescent="0.55000000000000004">
      <c r="A1292" s="17"/>
    </row>
    <row r="1293" spans="1:1" x14ac:dyDescent="0.55000000000000004">
      <c r="A1293" s="17"/>
    </row>
    <row r="1294" spans="1:1" x14ac:dyDescent="0.55000000000000004">
      <c r="A1294" s="17"/>
    </row>
    <row r="1295" spans="1:1" x14ac:dyDescent="0.55000000000000004">
      <c r="A1295" s="17"/>
    </row>
    <row r="1296" spans="1:1" x14ac:dyDescent="0.55000000000000004">
      <c r="A1296" s="17"/>
    </row>
    <row r="1297" spans="1:1" x14ac:dyDescent="0.55000000000000004">
      <c r="A1297" s="17"/>
    </row>
    <row r="1298" spans="1:1" x14ac:dyDescent="0.55000000000000004">
      <c r="A1298" s="17"/>
    </row>
    <row r="1299" spans="1:1" x14ac:dyDescent="0.55000000000000004">
      <c r="A1299" s="17"/>
    </row>
    <row r="1300" spans="1:1" x14ac:dyDescent="0.55000000000000004">
      <c r="A1300" s="17"/>
    </row>
    <row r="1301" spans="1:1" x14ac:dyDescent="0.55000000000000004">
      <c r="A1301" s="17"/>
    </row>
    <row r="1302" spans="1:1" x14ac:dyDescent="0.55000000000000004">
      <c r="A1302" s="17"/>
    </row>
    <row r="1303" spans="1:1" x14ac:dyDescent="0.55000000000000004">
      <c r="A1303" s="17"/>
    </row>
    <row r="1304" spans="1:1" x14ac:dyDescent="0.55000000000000004">
      <c r="A1304" s="17"/>
    </row>
    <row r="1305" spans="1:1" x14ac:dyDescent="0.55000000000000004">
      <c r="A1305" s="17"/>
    </row>
    <row r="1306" spans="1:1" x14ac:dyDescent="0.55000000000000004">
      <c r="A1306" s="17"/>
    </row>
    <row r="1307" spans="1:1" x14ac:dyDescent="0.55000000000000004">
      <c r="A1307" s="17"/>
    </row>
    <row r="1308" spans="1:1" x14ac:dyDescent="0.55000000000000004">
      <c r="A1308" s="17"/>
    </row>
    <row r="1309" spans="1:1" x14ac:dyDescent="0.55000000000000004">
      <c r="A1309" s="17"/>
    </row>
    <row r="1310" spans="1:1" x14ac:dyDescent="0.55000000000000004">
      <c r="A1310" s="17"/>
    </row>
    <row r="1311" spans="1:1" x14ac:dyDescent="0.55000000000000004">
      <c r="A1311" s="17"/>
    </row>
    <row r="1312" spans="1:1" x14ac:dyDescent="0.55000000000000004">
      <c r="A1312" s="17"/>
    </row>
    <row r="1313" spans="1:1" x14ac:dyDescent="0.55000000000000004">
      <c r="A1313" s="17"/>
    </row>
    <row r="1314" spans="1:1" x14ac:dyDescent="0.55000000000000004">
      <c r="A1314" s="17"/>
    </row>
    <row r="1315" spans="1:1" x14ac:dyDescent="0.55000000000000004">
      <c r="A1315" s="17"/>
    </row>
    <row r="1316" spans="1:1" x14ac:dyDescent="0.55000000000000004">
      <c r="A1316" s="17"/>
    </row>
    <row r="1317" spans="1:1" x14ac:dyDescent="0.55000000000000004">
      <c r="A1317" s="17"/>
    </row>
    <row r="1318" spans="1:1" x14ac:dyDescent="0.55000000000000004">
      <c r="A1318" s="17"/>
    </row>
    <row r="1319" spans="1:1" x14ac:dyDescent="0.55000000000000004">
      <c r="A1319" s="17"/>
    </row>
    <row r="1320" spans="1:1" x14ac:dyDescent="0.55000000000000004">
      <c r="A1320" s="17"/>
    </row>
    <row r="1321" spans="1:1" x14ac:dyDescent="0.55000000000000004">
      <c r="A1321" s="17"/>
    </row>
    <row r="1322" spans="1:1" x14ac:dyDescent="0.55000000000000004">
      <c r="A1322" s="17"/>
    </row>
    <row r="1323" spans="1:1" x14ac:dyDescent="0.55000000000000004">
      <c r="A1323" s="17"/>
    </row>
    <row r="1324" spans="1:1" x14ac:dyDescent="0.55000000000000004">
      <c r="A1324" s="17"/>
    </row>
    <row r="1325" spans="1:1" x14ac:dyDescent="0.55000000000000004">
      <c r="A1325" s="17"/>
    </row>
    <row r="1326" spans="1:1" x14ac:dyDescent="0.55000000000000004">
      <c r="A1326" s="17"/>
    </row>
    <row r="1327" spans="1:1" x14ac:dyDescent="0.55000000000000004">
      <c r="A1327" s="17"/>
    </row>
    <row r="1328" spans="1:1" x14ac:dyDescent="0.55000000000000004">
      <c r="A1328" s="17"/>
    </row>
    <row r="1329" spans="1:1" x14ac:dyDescent="0.55000000000000004">
      <c r="A1329" s="17"/>
    </row>
    <row r="1330" spans="1:1" x14ac:dyDescent="0.55000000000000004">
      <c r="A1330" s="17"/>
    </row>
    <row r="1331" spans="1:1" x14ac:dyDescent="0.55000000000000004">
      <c r="A1331" s="17"/>
    </row>
    <row r="1332" spans="1:1" x14ac:dyDescent="0.55000000000000004">
      <c r="A1332" s="17"/>
    </row>
    <row r="1333" spans="1:1" x14ac:dyDescent="0.55000000000000004">
      <c r="A1333" s="17"/>
    </row>
    <row r="1334" spans="1:1" x14ac:dyDescent="0.55000000000000004">
      <c r="A1334" s="17"/>
    </row>
    <row r="1335" spans="1:1" x14ac:dyDescent="0.55000000000000004">
      <c r="A1335" s="17"/>
    </row>
    <row r="1336" spans="1:1" x14ac:dyDescent="0.55000000000000004">
      <c r="A1336" s="17"/>
    </row>
    <row r="1337" spans="1:1" x14ac:dyDescent="0.55000000000000004">
      <c r="A1337" s="17"/>
    </row>
    <row r="1338" spans="1:1" x14ac:dyDescent="0.55000000000000004">
      <c r="A1338" s="17"/>
    </row>
    <row r="1339" spans="1:1" x14ac:dyDescent="0.55000000000000004">
      <c r="A1339" s="17"/>
    </row>
    <row r="1340" spans="1:1" x14ac:dyDescent="0.55000000000000004">
      <c r="A1340" s="17"/>
    </row>
    <row r="1341" spans="1:1" x14ac:dyDescent="0.55000000000000004">
      <c r="A1341" s="17"/>
    </row>
    <row r="1342" spans="1:1" x14ac:dyDescent="0.55000000000000004">
      <c r="A1342" s="17"/>
    </row>
    <row r="1343" spans="1:1" x14ac:dyDescent="0.55000000000000004">
      <c r="A1343" s="17"/>
    </row>
    <row r="1344" spans="1:1" x14ac:dyDescent="0.55000000000000004">
      <c r="A1344" s="17"/>
    </row>
    <row r="1345" spans="1:1" x14ac:dyDescent="0.55000000000000004">
      <c r="A1345" s="17"/>
    </row>
    <row r="1346" spans="1:1" x14ac:dyDescent="0.55000000000000004">
      <c r="A1346" s="17"/>
    </row>
    <row r="1347" spans="1:1" x14ac:dyDescent="0.55000000000000004">
      <c r="A1347" s="17"/>
    </row>
    <row r="1348" spans="1:1" x14ac:dyDescent="0.55000000000000004">
      <c r="A1348" s="17"/>
    </row>
    <row r="1349" spans="1:1" x14ac:dyDescent="0.55000000000000004">
      <c r="A1349" s="17"/>
    </row>
    <row r="1350" spans="1:1" x14ac:dyDescent="0.55000000000000004">
      <c r="A1350" s="17"/>
    </row>
    <row r="1351" spans="1:1" x14ac:dyDescent="0.55000000000000004">
      <c r="A1351" s="17"/>
    </row>
    <row r="1352" spans="1:1" x14ac:dyDescent="0.55000000000000004">
      <c r="A1352" s="17"/>
    </row>
    <row r="1353" spans="1:1" x14ac:dyDescent="0.55000000000000004">
      <c r="A1353" s="17"/>
    </row>
    <row r="1354" spans="1:1" x14ac:dyDescent="0.55000000000000004">
      <c r="A1354" s="17"/>
    </row>
    <row r="1355" spans="1:1" x14ac:dyDescent="0.55000000000000004">
      <c r="A1355" s="17"/>
    </row>
    <row r="1356" spans="1:1" x14ac:dyDescent="0.55000000000000004">
      <c r="A1356" s="17"/>
    </row>
    <row r="1357" spans="1:1" x14ac:dyDescent="0.55000000000000004">
      <c r="A1357" s="17"/>
    </row>
    <row r="1358" spans="1:1" x14ac:dyDescent="0.55000000000000004">
      <c r="A1358" s="17"/>
    </row>
    <row r="1359" spans="1:1" x14ac:dyDescent="0.55000000000000004">
      <c r="A1359" s="17"/>
    </row>
    <row r="1360" spans="1:1" x14ac:dyDescent="0.55000000000000004">
      <c r="A1360" s="17"/>
    </row>
    <row r="1361" spans="1:1" x14ac:dyDescent="0.55000000000000004">
      <c r="A1361" s="17"/>
    </row>
    <row r="1362" spans="1:1" x14ac:dyDescent="0.55000000000000004">
      <c r="A1362" s="17"/>
    </row>
    <row r="1363" spans="1:1" x14ac:dyDescent="0.55000000000000004">
      <c r="A1363" s="17"/>
    </row>
    <row r="1364" spans="1:1" x14ac:dyDescent="0.55000000000000004">
      <c r="A1364" s="17"/>
    </row>
    <row r="1365" spans="1:1" x14ac:dyDescent="0.55000000000000004">
      <c r="A1365" s="17"/>
    </row>
    <row r="1366" spans="1:1" x14ac:dyDescent="0.55000000000000004">
      <c r="A1366" s="17"/>
    </row>
    <row r="1367" spans="1:1" x14ac:dyDescent="0.55000000000000004">
      <c r="A1367" s="17"/>
    </row>
    <row r="1368" spans="1:1" x14ac:dyDescent="0.55000000000000004">
      <c r="A1368" s="17"/>
    </row>
    <row r="1369" spans="1:1" x14ac:dyDescent="0.55000000000000004">
      <c r="A1369" s="17"/>
    </row>
    <row r="1370" spans="1:1" x14ac:dyDescent="0.55000000000000004">
      <c r="A1370" s="17"/>
    </row>
    <row r="1371" spans="1:1" x14ac:dyDescent="0.55000000000000004">
      <c r="A1371" s="17"/>
    </row>
    <row r="1372" spans="1:1" x14ac:dyDescent="0.55000000000000004">
      <c r="A1372" s="17"/>
    </row>
    <row r="1373" spans="1:1" x14ac:dyDescent="0.55000000000000004">
      <c r="A1373" s="17"/>
    </row>
    <row r="1374" spans="1:1" x14ac:dyDescent="0.55000000000000004">
      <c r="A1374" s="17"/>
    </row>
    <row r="1375" spans="1:1" x14ac:dyDescent="0.55000000000000004">
      <c r="A1375" s="17"/>
    </row>
    <row r="1376" spans="1:1" x14ac:dyDescent="0.55000000000000004">
      <c r="A1376" s="17"/>
    </row>
    <row r="1377" spans="1:1" x14ac:dyDescent="0.55000000000000004">
      <c r="A1377" s="17"/>
    </row>
    <row r="1378" spans="1:1" x14ac:dyDescent="0.55000000000000004">
      <c r="A1378" s="17"/>
    </row>
    <row r="1379" spans="1:1" x14ac:dyDescent="0.55000000000000004">
      <c r="A1379" s="17"/>
    </row>
    <row r="1380" spans="1:1" x14ac:dyDescent="0.55000000000000004">
      <c r="A1380" s="17"/>
    </row>
    <row r="1381" spans="1:1" x14ac:dyDescent="0.55000000000000004">
      <c r="A1381" s="17"/>
    </row>
    <row r="1382" spans="1:1" x14ac:dyDescent="0.55000000000000004">
      <c r="A1382" s="17"/>
    </row>
    <row r="1383" spans="1:1" x14ac:dyDescent="0.55000000000000004">
      <c r="A1383" s="17"/>
    </row>
    <row r="1384" spans="1:1" x14ac:dyDescent="0.55000000000000004">
      <c r="A1384" s="17"/>
    </row>
    <row r="1385" spans="1:1" x14ac:dyDescent="0.55000000000000004">
      <c r="A1385" s="17"/>
    </row>
    <row r="1386" spans="1:1" x14ac:dyDescent="0.55000000000000004">
      <c r="A1386" s="17"/>
    </row>
    <row r="1387" spans="1:1" x14ac:dyDescent="0.55000000000000004">
      <c r="A1387" s="17"/>
    </row>
    <row r="1388" spans="1:1" x14ac:dyDescent="0.55000000000000004">
      <c r="A1388" s="17"/>
    </row>
    <row r="1389" spans="1:1" x14ac:dyDescent="0.55000000000000004">
      <c r="A1389" s="17"/>
    </row>
    <row r="1390" spans="1:1" x14ac:dyDescent="0.55000000000000004">
      <c r="A1390" s="17"/>
    </row>
    <row r="1391" spans="1:1" x14ac:dyDescent="0.55000000000000004">
      <c r="A1391" s="17"/>
    </row>
    <row r="1392" spans="1:1" x14ac:dyDescent="0.55000000000000004">
      <c r="A1392" s="17"/>
    </row>
    <row r="1393" spans="1:1" x14ac:dyDescent="0.55000000000000004">
      <c r="A1393" s="17"/>
    </row>
    <row r="1394" spans="1:1" x14ac:dyDescent="0.55000000000000004">
      <c r="A1394" s="17"/>
    </row>
    <row r="1395" spans="1:1" x14ac:dyDescent="0.55000000000000004">
      <c r="A1395" s="17"/>
    </row>
    <row r="1396" spans="1:1" x14ac:dyDescent="0.55000000000000004">
      <c r="A1396" s="17"/>
    </row>
    <row r="1397" spans="1:1" x14ac:dyDescent="0.55000000000000004">
      <c r="A1397" s="17"/>
    </row>
    <row r="1398" spans="1:1" x14ac:dyDescent="0.55000000000000004">
      <c r="A1398" s="17"/>
    </row>
    <row r="1399" spans="1:1" x14ac:dyDescent="0.55000000000000004">
      <c r="A1399" s="17"/>
    </row>
    <row r="1400" spans="1:1" x14ac:dyDescent="0.55000000000000004">
      <c r="A1400" s="17"/>
    </row>
    <row r="1401" spans="1:1" x14ac:dyDescent="0.55000000000000004">
      <c r="A1401" s="17"/>
    </row>
    <row r="1402" spans="1:1" x14ac:dyDescent="0.55000000000000004">
      <c r="A1402" s="17"/>
    </row>
    <row r="1403" spans="1:1" x14ac:dyDescent="0.55000000000000004">
      <c r="A1403" s="17"/>
    </row>
    <row r="1404" spans="1:1" x14ac:dyDescent="0.55000000000000004">
      <c r="A1404" s="17"/>
    </row>
    <row r="1405" spans="1:1" x14ac:dyDescent="0.55000000000000004">
      <c r="A1405" s="17"/>
    </row>
    <row r="1406" spans="1:1" x14ac:dyDescent="0.55000000000000004">
      <c r="A1406" s="17"/>
    </row>
    <row r="1407" spans="1:1" x14ac:dyDescent="0.55000000000000004">
      <c r="A1407" s="17"/>
    </row>
    <row r="1408" spans="1:1" x14ac:dyDescent="0.55000000000000004">
      <c r="A1408" s="17"/>
    </row>
    <row r="1409" spans="1:1" x14ac:dyDescent="0.55000000000000004">
      <c r="A1409" s="17"/>
    </row>
    <row r="1410" spans="1:1" x14ac:dyDescent="0.55000000000000004">
      <c r="A1410" s="17"/>
    </row>
    <row r="1411" spans="1:1" x14ac:dyDescent="0.55000000000000004">
      <c r="A1411" s="17"/>
    </row>
    <row r="1412" spans="1:1" x14ac:dyDescent="0.55000000000000004">
      <c r="A1412" s="17"/>
    </row>
    <row r="1413" spans="1:1" x14ac:dyDescent="0.55000000000000004">
      <c r="A1413" s="17"/>
    </row>
    <row r="1414" spans="1:1" x14ac:dyDescent="0.55000000000000004">
      <c r="A1414" s="17"/>
    </row>
    <row r="1415" spans="1:1" x14ac:dyDescent="0.55000000000000004">
      <c r="A1415" s="17"/>
    </row>
    <row r="1416" spans="1:1" x14ac:dyDescent="0.55000000000000004">
      <c r="A1416" s="17"/>
    </row>
    <row r="1417" spans="1:1" x14ac:dyDescent="0.55000000000000004">
      <c r="A1417" s="17"/>
    </row>
    <row r="1418" spans="1:1" x14ac:dyDescent="0.55000000000000004">
      <c r="A1418" s="17"/>
    </row>
    <row r="1419" spans="1:1" x14ac:dyDescent="0.55000000000000004">
      <c r="A1419" s="17"/>
    </row>
    <row r="1420" spans="1:1" x14ac:dyDescent="0.55000000000000004">
      <c r="A1420" s="17"/>
    </row>
    <row r="1421" spans="1:1" x14ac:dyDescent="0.55000000000000004">
      <c r="A1421" s="17"/>
    </row>
    <row r="1422" spans="1:1" x14ac:dyDescent="0.55000000000000004">
      <c r="A1422" s="17"/>
    </row>
    <row r="1423" spans="1:1" x14ac:dyDescent="0.55000000000000004">
      <c r="A1423" s="17"/>
    </row>
    <row r="1424" spans="1:1" x14ac:dyDescent="0.55000000000000004">
      <c r="A1424" s="17"/>
    </row>
    <row r="1425" spans="1:1" x14ac:dyDescent="0.55000000000000004">
      <c r="A1425" s="17"/>
    </row>
    <row r="1426" spans="1:1" x14ac:dyDescent="0.55000000000000004">
      <c r="A1426" s="17"/>
    </row>
    <row r="1427" spans="1:1" x14ac:dyDescent="0.55000000000000004">
      <c r="A1427" s="17"/>
    </row>
    <row r="1428" spans="1:1" x14ac:dyDescent="0.55000000000000004">
      <c r="A1428" s="17"/>
    </row>
    <row r="1429" spans="1:1" x14ac:dyDescent="0.55000000000000004">
      <c r="A1429" s="17"/>
    </row>
    <row r="1430" spans="1:1" x14ac:dyDescent="0.55000000000000004">
      <c r="A1430" s="17"/>
    </row>
    <row r="1431" spans="1:1" x14ac:dyDescent="0.55000000000000004">
      <c r="A1431" s="17"/>
    </row>
    <row r="1432" spans="1:1" x14ac:dyDescent="0.55000000000000004">
      <c r="A1432" s="17"/>
    </row>
    <row r="1433" spans="1:1" x14ac:dyDescent="0.55000000000000004">
      <c r="A1433" s="17"/>
    </row>
    <row r="1434" spans="1:1" x14ac:dyDescent="0.55000000000000004">
      <c r="A1434" s="17"/>
    </row>
    <row r="1435" spans="1:1" x14ac:dyDescent="0.55000000000000004">
      <c r="A1435" s="17"/>
    </row>
    <row r="1436" spans="1:1" x14ac:dyDescent="0.55000000000000004">
      <c r="A1436" s="17"/>
    </row>
    <row r="1437" spans="1:1" x14ac:dyDescent="0.55000000000000004">
      <c r="A1437" s="17"/>
    </row>
    <row r="1438" spans="1:1" x14ac:dyDescent="0.55000000000000004">
      <c r="A1438" s="17"/>
    </row>
    <row r="1439" spans="1:1" x14ac:dyDescent="0.55000000000000004">
      <c r="A1439" s="17"/>
    </row>
    <row r="1440" spans="1:1" x14ac:dyDescent="0.55000000000000004">
      <c r="A1440" s="17"/>
    </row>
    <row r="1441" spans="1:1" x14ac:dyDescent="0.55000000000000004">
      <c r="A1441" s="17"/>
    </row>
    <row r="1442" spans="1:1" x14ac:dyDescent="0.55000000000000004">
      <c r="A1442" s="17"/>
    </row>
    <row r="1443" spans="1:1" x14ac:dyDescent="0.55000000000000004">
      <c r="A1443" s="17"/>
    </row>
    <row r="1444" spans="1:1" x14ac:dyDescent="0.55000000000000004">
      <c r="A1444" s="17"/>
    </row>
    <row r="1445" spans="1:1" x14ac:dyDescent="0.55000000000000004">
      <c r="A1445" s="17"/>
    </row>
    <row r="1446" spans="1:1" x14ac:dyDescent="0.55000000000000004">
      <c r="A1446" s="17"/>
    </row>
    <row r="1447" spans="1:1" x14ac:dyDescent="0.55000000000000004">
      <c r="A1447" s="17"/>
    </row>
    <row r="1448" spans="1:1" x14ac:dyDescent="0.55000000000000004">
      <c r="A1448" s="17"/>
    </row>
    <row r="1449" spans="1:1" x14ac:dyDescent="0.55000000000000004">
      <c r="A1449" s="17"/>
    </row>
    <row r="1450" spans="1:1" x14ac:dyDescent="0.55000000000000004">
      <c r="A1450" s="17"/>
    </row>
    <row r="1451" spans="1:1" x14ac:dyDescent="0.55000000000000004">
      <c r="A1451" s="17"/>
    </row>
    <row r="1452" spans="1:1" x14ac:dyDescent="0.55000000000000004">
      <c r="A1452" s="17"/>
    </row>
    <row r="1453" spans="1:1" x14ac:dyDescent="0.55000000000000004">
      <c r="A1453" s="17"/>
    </row>
    <row r="1454" spans="1:1" x14ac:dyDescent="0.55000000000000004">
      <c r="A1454" s="17"/>
    </row>
    <row r="1455" spans="1:1" x14ac:dyDescent="0.55000000000000004">
      <c r="A1455" s="17"/>
    </row>
    <row r="1456" spans="1:1" x14ac:dyDescent="0.55000000000000004">
      <c r="A1456" s="17"/>
    </row>
    <row r="1457" spans="1:1" x14ac:dyDescent="0.55000000000000004">
      <c r="A1457" s="17"/>
    </row>
    <row r="1458" spans="1:1" x14ac:dyDescent="0.55000000000000004">
      <c r="A1458" s="17"/>
    </row>
    <row r="1459" spans="1:1" x14ac:dyDescent="0.55000000000000004">
      <c r="A1459" s="17"/>
    </row>
    <row r="1460" spans="1:1" x14ac:dyDescent="0.55000000000000004">
      <c r="A1460" s="17"/>
    </row>
    <row r="1461" spans="1:1" x14ac:dyDescent="0.55000000000000004">
      <c r="A1461" s="17"/>
    </row>
    <row r="1462" spans="1:1" x14ac:dyDescent="0.55000000000000004">
      <c r="A1462" s="17"/>
    </row>
    <row r="1463" spans="1:1" x14ac:dyDescent="0.55000000000000004">
      <c r="A1463" s="17"/>
    </row>
    <row r="1464" spans="1:1" x14ac:dyDescent="0.55000000000000004">
      <c r="A1464" s="17"/>
    </row>
    <row r="1465" spans="1:1" x14ac:dyDescent="0.55000000000000004">
      <c r="A1465" s="17"/>
    </row>
    <row r="1466" spans="1:1" x14ac:dyDescent="0.55000000000000004">
      <c r="A1466" s="17"/>
    </row>
    <row r="1467" spans="1:1" x14ac:dyDescent="0.55000000000000004">
      <c r="A1467" s="17"/>
    </row>
    <row r="1468" spans="1:1" x14ac:dyDescent="0.55000000000000004">
      <c r="A1468" s="17"/>
    </row>
    <row r="1469" spans="1:1" x14ac:dyDescent="0.55000000000000004">
      <c r="A1469" s="17"/>
    </row>
    <row r="1470" spans="1:1" x14ac:dyDescent="0.55000000000000004">
      <c r="A1470" s="17"/>
    </row>
    <row r="1471" spans="1:1" x14ac:dyDescent="0.55000000000000004">
      <c r="A1471" s="17"/>
    </row>
    <row r="1472" spans="1:1" x14ac:dyDescent="0.55000000000000004">
      <c r="A1472" s="17"/>
    </row>
    <row r="1473" spans="1:1" x14ac:dyDescent="0.55000000000000004">
      <c r="A1473" s="17"/>
    </row>
    <row r="1474" spans="1:1" x14ac:dyDescent="0.55000000000000004">
      <c r="A1474" s="17"/>
    </row>
    <row r="1475" spans="1:1" x14ac:dyDescent="0.55000000000000004">
      <c r="A1475" s="17"/>
    </row>
    <row r="1476" spans="1:1" x14ac:dyDescent="0.55000000000000004">
      <c r="A1476" s="17"/>
    </row>
    <row r="1477" spans="1:1" x14ac:dyDescent="0.55000000000000004">
      <c r="A1477" s="17"/>
    </row>
    <row r="1478" spans="1:1" x14ac:dyDescent="0.55000000000000004">
      <c r="A1478" s="17"/>
    </row>
    <row r="1479" spans="1:1" x14ac:dyDescent="0.55000000000000004">
      <c r="A1479" s="17"/>
    </row>
    <row r="1480" spans="1:1" x14ac:dyDescent="0.55000000000000004">
      <c r="A1480" s="17"/>
    </row>
    <row r="1481" spans="1:1" x14ac:dyDescent="0.55000000000000004">
      <c r="A1481" s="17"/>
    </row>
    <row r="1482" spans="1:1" x14ac:dyDescent="0.55000000000000004">
      <c r="A1482" s="17"/>
    </row>
    <row r="1483" spans="1:1" x14ac:dyDescent="0.55000000000000004">
      <c r="A1483" s="17"/>
    </row>
    <row r="1484" spans="1:1" x14ac:dyDescent="0.55000000000000004">
      <c r="A1484" s="17"/>
    </row>
    <row r="1485" spans="1:1" x14ac:dyDescent="0.55000000000000004">
      <c r="A1485" s="17"/>
    </row>
    <row r="1486" spans="1:1" x14ac:dyDescent="0.55000000000000004">
      <c r="A1486" s="17"/>
    </row>
    <row r="1487" spans="1:1" x14ac:dyDescent="0.55000000000000004">
      <c r="A1487" s="17"/>
    </row>
    <row r="1488" spans="1:1" x14ac:dyDescent="0.55000000000000004">
      <c r="A1488" s="17"/>
    </row>
    <row r="1489" spans="1:1" x14ac:dyDescent="0.55000000000000004">
      <c r="A1489" s="17"/>
    </row>
    <row r="1490" spans="1:1" x14ac:dyDescent="0.55000000000000004">
      <c r="A1490" s="17"/>
    </row>
    <row r="1491" spans="1:1" x14ac:dyDescent="0.55000000000000004">
      <c r="A1491" s="17"/>
    </row>
    <row r="1492" spans="1:1" x14ac:dyDescent="0.55000000000000004">
      <c r="A1492" s="17"/>
    </row>
    <row r="1493" spans="1:1" x14ac:dyDescent="0.55000000000000004">
      <c r="A1493" s="17"/>
    </row>
    <row r="1494" spans="1:1" x14ac:dyDescent="0.55000000000000004">
      <c r="A1494" s="17"/>
    </row>
    <row r="1495" spans="1:1" x14ac:dyDescent="0.55000000000000004">
      <c r="A1495" s="17"/>
    </row>
    <row r="1496" spans="1:1" x14ac:dyDescent="0.55000000000000004">
      <c r="A1496" s="17"/>
    </row>
    <row r="1497" spans="1:1" x14ac:dyDescent="0.55000000000000004">
      <c r="A1497" s="17"/>
    </row>
    <row r="1498" spans="1:1" x14ac:dyDescent="0.55000000000000004">
      <c r="A1498" s="17"/>
    </row>
    <row r="1499" spans="1:1" x14ac:dyDescent="0.55000000000000004">
      <c r="A1499" s="17"/>
    </row>
    <row r="1500" spans="1:1" x14ac:dyDescent="0.55000000000000004">
      <c r="A1500" s="17"/>
    </row>
    <row r="1501" spans="1:1" x14ac:dyDescent="0.55000000000000004">
      <c r="A1501" s="17"/>
    </row>
    <row r="1502" spans="1:1" x14ac:dyDescent="0.55000000000000004">
      <c r="A1502" s="17"/>
    </row>
    <row r="1503" spans="1:1" x14ac:dyDescent="0.55000000000000004">
      <c r="A1503" s="17"/>
    </row>
    <row r="1504" spans="1:1" x14ac:dyDescent="0.55000000000000004">
      <c r="A1504" s="17"/>
    </row>
    <row r="1505" spans="1:1" x14ac:dyDescent="0.55000000000000004">
      <c r="A1505" s="17"/>
    </row>
    <row r="1506" spans="1:1" x14ac:dyDescent="0.55000000000000004">
      <c r="A1506" s="17"/>
    </row>
    <row r="1507" spans="1:1" x14ac:dyDescent="0.55000000000000004">
      <c r="A1507" s="17"/>
    </row>
    <row r="1508" spans="1:1" x14ac:dyDescent="0.55000000000000004">
      <c r="A1508" s="17"/>
    </row>
    <row r="1509" spans="1:1" x14ac:dyDescent="0.55000000000000004">
      <c r="A1509" s="17"/>
    </row>
    <row r="1510" spans="1:1" x14ac:dyDescent="0.55000000000000004">
      <c r="A1510" s="17"/>
    </row>
    <row r="1511" spans="1:1" x14ac:dyDescent="0.55000000000000004">
      <c r="A1511" s="17"/>
    </row>
    <row r="1512" spans="1:1" x14ac:dyDescent="0.55000000000000004">
      <c r="A1512" s="17"/>
    </row>
    <row r="1513" spans="1:1" x14ac:dyDescent="0.55000000000000004">
      <c r="A1513" s="17"/>
    </row>
    <row r="1514" spans="1:1" x14ac:dyDescent="0.55000000000000004">
      <c r="A1514" s="17"/>
    </row>
    <row r="1515" spans="1:1" x14ac:dyDescent="0.55000000000000004">
      <c r="A1515" s="17"/>
    </row>
    <row r="1516" spans="1:1" x14ac:dyDescent="0.55000000000000004">
      <c r="A1516" s="17"/>
    </row>
    <row r="1517" spans="1:1" x14ac:dyDescent="0.55000000000000004">
      <c r="A1517" s="17"/>
    </row>
    <row r="1518" spans="1:1" x14ac:dyDescent="0.55000000000000004">
      <c r="A1518" s="17"/>
    </row>
    <row r="1519" spans="1:1" x14ac:dyDescent="0.55000000000000004">
      <c r="A1519" s="17"/>
    </row>
    <row r="1520" spans="1:1" x14ac:dyDescent="0.55000000000000004">
      <c r="A1520" s="17"/>
    </row>
    <row r="1521" spans="1:1" x14ac:dyDescent="0.55000000000000004">
      <c r="A1521" s="17"/>
    </row>
    <row r="1522" spans="1:1" x14ac:dyDescent="0.55000000000000004">
      <c r="A1522" s="17"/>
    </row>
    <row r="1523" spans="1:1" x14ac:dyDescent="0.55000000000000004">
      <c r="A1523" s="17"/>
    </row>
    <row r="1524" spans="1:1" x14ac:dyDescent="0.55000000000000004">
      <c r="A1524" s="17"/>
    </row>
    <row r="1525" spans="1:1" x14ac:dyDescent="0.55000000000000004">
      <c r="A1525" s="17"/>
    </row>
    <row r="1526" spans="1:1" x14ac:dyDescent="0.55000000000000004">
      <c r="A1526" s="17"/>
    </row>
    <row r="1527" spans="1:1" x14ac:dyDescent="0.55000000000000004">
      <c r="A1527" s="17"/>
    </row>
    <row r="1528" spans="1:1" x14ac:dyDescent="0.55000000000000004">
      <c r="A1528" s="17"/>
    </row>
    <row r="1529" spans="1:1" x14ac:dyDescent="0.55000000000000004">
      <c r="A1529" s="17"/>
    </row>
    <row r="1530" spans="1:1" x14ac:dyDescent="0.55000000000000004">
      <c r="A1530" s="17"/>
    </row>
    <row r="1531" spans="1:1" x14ac:dyDescent="0.55000000000000004">
      <c r="A1531" s="17"/>
    </row>
    <row r="1532" spans="1:1" x14ac:dyDescent="0.55000000000000004">
      <c r="A1532" s="17"/>
    </row>
    <row r="1533" spans="1:1" x14ac:dyDescent="0.55000000000000004">
      <c r="A1533" s="17"/>
    </row>
    <row r="1534" spans="1:1" x14ac:dyDescent="0.55000000000000004">
      <c r="A1534" s="17"/>
    </row>
    <row r="1535" spans="1:1" x14ac:dyDescent="0.55000000000000004">
      <c r="A1535" s="17"/>
    </row>
    <row r="1536" spans="1:1" x14ac:dyDescent="0.55000000000000004">
      <c r="A1536" s="17"/>
    </row>
    <row r="1537" spans="1:1" x14ac:dyDescent="0.55000000000000004">
      <c r="A1537" s="17"/>
    </row>
    <row r="1538" spans="1:1" x14ac:dyDescent="0.55000000000000004">
      <c r="A1538" s="17"/>
    </row>
    <row r="1539" spans="1:1" x14ac:dyDescent="0.55000000000000004">
      <c r="A1539" s="17"/>
    </row>
    <row r="1540" spans="1:1" x14ac:dyDescent="0.55000000000000004">
      <c r="A1540" s="17"/>
    </row>
    <row r="1541" spans="1:1" x14ac:dyDescent="0.55000000000000004">
      <c r="A1541" s="17"/>
    </row>
    <row r="1542" spans="1:1" x14ac:dyDescent="0.55000000000000004">
      <c r="A1542" s="17"/>
    </row>
    <row r="1543" spans="1:1" x14ac:dyDescent="0.55000000000000004">
      <c r="A1543" s="17"/>
    </row>
    <row r="1544" spans="1:1" x14ac:dyDescent="0.55000000000000004">
      <c r="A1544" s="17"/>
    </row>
    <row r="1545" spans="1:1" x14ac:dyDescent="0.55000000000000004">
      <c r="A1545" s="17"/>
    </row>
    <row r="1546" spans="1:1" x14ac:dyDescent="0.55000000000000004">
      <c r="A1546" s="17"/>
    </row>
    <row r="1547" spans="1:1" x14ac:dyDescent="0.55000000000000004">
      <c r="A1547" s="17"/>
    </row>
    <row r="1548" spans="1:1" x14ac:dyDescent="0.55000000000000004">
      <c r="A1548" s="17"/>
    </row>
    <row r="1549" spans="1:1" x14ac:dyDescent="0.55000000000000004">
      <c r="A1549" s="17"/>
    </row>
    <row r="1550" spans="1:1" x14ac:dyDescent="0.55000000000000004">
      <c r="A1550" s="17"/>
    </row>
    <row r="1551" spans="1:1" x14ac:dyDescent="0.55000000000000004">
      <c r="A1551" s="17"/>
    </row>
    <row r="1552" spans="1:1" x14ac:dyDescent="0.55000000000000004">
      <c r="A1552" s="17"/>
    </row>
    <row r="1553" spans="1:1" x14ac:dyDescent="0.55000000000000004">
      <c r="A1553" s="17"/>
    </row>
    <row r="1554" spans="1:1" x14ac:dyDescent="0.55000000000000004">
      <c r="A1554" s="17"/>
    </row>
    <row r="1555" spans="1:1" x14ac:dyDescent="0.55000000000000004">
      <c r="A1555" s="17"/>
    </row>
    <row r="1556" spans="1:1" x14ac:dyDescent="0.55000000000000004">
      <c r="A1556" s="17"/>
    </row>
    <row r="1557" spans="1:1" x14ac:dyDescent="0.55000000000000004">
      <c r="A1557" s="17"/>
    </row>
    <row r="1558" spans="1:1" x14ac:dyDescent="0.55000000000000004">
      <c r="A1558" s="17"/>
    </row>
    <row r="1559" spans="1:1" x14ac:dyDescent="0.55000000000000004">
      <c r="A1559" s="17"/>
    </row>
    <row r="1560" spans="1:1" x14ac:dyDescent="0.55000000000000004">
      <c r="A1560" s="17"/>
    </row>
    <row r="1561" spans="1:1" x14ac:dyDescent="0.55000000000000004">
      <c r="A1561" s="17"/>
    </row>
    <row r="1562" spans="1:1" x14ac:dyDescent="0.55000000000000004">
      <c r="A1562" s="17"/>
    </row>
    <row r="1563" spans="1:1" x14ac:dyDescent="0.55000000000000004">
      <c r="A1563" s="17"/>
    </row>
    <row r="1564" spans="1:1" x14ac:dyDescent="0.55000000000000004">
      <c r="A1564" s="17"/>
    </row>
    <row r="1565" spans="1:1" x14ac:dyDescent="0.55000000000000004">
      <c r="A1565" s="17"/>
    </row>
    <row r="1566" spans="1:1" x14ac:dyDescent="0.55000000000000004">
      <c r="A1566" s="17"/>
    </row>
    <row r="1567" spans="1:1" x14ac:dyDescent="0.55000000000000004">
      <c r="A1567" s="17"/>
    </row>
    <row r="1568" spans="1:1" x14ac:dyDescent="0.55000000000000004">
      <c r="A1568" s="17"/>
    </row>
    <row r="1569" spans="1:1" x14ac:dyDescent="0.55000000000000004">
      <c r="A1569" s="17"/>
    </row>
    <row r="1570" spans="1:1" x14ac:dyDescent="0.55000000000000004">
      <c r="A1570" s="17"/>
    </row>
    <row r="1571" spans="1:1" x14ac:dyDescent="0.55000000000000004">
      <c r="A1571" s="17"/>
    </row>
    <row r="1572" spans="1:1" x14ac:dyDescent="0.55000000000000004">
      <c r="A1572" s="17"/>
    </row>
    <row r="1573" spans="1:1" x14ac:dyDescent="0.55000000000000004">
      <c r="A1573" s="17"/>
    </row>
    <row r="1574" spans="1:1" x14ac:dyDescent="0.55000000000000004">
      <c r="A1574" s="17"/>
    </row>
    <row r="1575" spans="1:1" x14ac:dyDescent="0.55000000000000004">
      <c r="A1575" s="17"/>
    </row>
    <row r="1576" spans="1:1" x14ac:dyDescent="0.55000000000000004">
      <c r="A1576" s="17"/>
    </row>
    <row r="1577" spans="1:1" x14ac:dyDescent="0.55000000000000004">
      <c r="A1577" s="17"/>
    </row>
    <row r="1578" spans="1:1" x14ac:dyDescent="0.55000000000000004">
      <c r="A1578" s="17"/>
    </row>
    <row r="1579" spans="1:1" x14ac:dyDescent="0.55000000000000004">
      <c r="A1579" s="17"/>
    </row>
    <row r="1580" spans="1:1" x14ac:dyDescent="0.55000000000000004">
      <c r="A1580" s="17"/>
    </row>
    <row r="1581" spans="1:1" x14ac:dyDescent="0.55000000000000004">
      <c r="A1581" s="17"/>
    </row>
    <row r="1582" spans="1:1" x14ac:dyDescent="0.55000000000000004">
      <c r="A1582" s="17"/>
    </row>
    <row r="1583" spans="1:1" x14ac:dyDescent="0.55000000000000004">
      <c r="A1583" s="17"/>
    </row>
    <row r="1584" spans="1:1" x14ac:dyDescent="0.55000000000000004">
      <c r="A1584" s="17"/>
    </row>
    <row r="1585" spans="1:1" x14ac:dyDescent="0.55000000000000004">
      <c r="A1585" s="17"/>
    </row>
    <row r="1586" spans="1:1" x14ac:dyDescent="0.55000000000000004">
      <c r="A1586" s="17"/>
    </row>
    <row r="1587" spans="1:1" x14ac:dyDescent="0.55000000000000004">
      <c r="A1587" s="17"/>
    </row>
    <row r="1588" spans="1:1" x14ac:dyDescent="0.55000000000000004">
      <c r="A1588" s="17"/>
    </row>
    <row r="1589" spans="1:1" x14ac:dyDescent="0.55000000000000004">
      <c r="A1589" s="17"/>
    </row>
    <row r="1590" spans="1:1" x14ac:dyDescent="0.55000000000000004">
      <c r="A1590" s="17"/>
    </row>
    <row r="1591" spans="1:1" x14ac:dyDescent="0.55000000000000004">
      <c r="A1591" s="17"/>
    </row>
    <row r="1592" spans="1:1" x14ac:dyDescent="0.55000000000000004">
      <c r="A1592" s="17"/>
    </row>
    <row r="1593" spans="1:1" x14ac:dyDescent="0.55000000000000004">
      <c r="A1593" s="17"/>
    </row>
    <row r="1594" spans="1:1" x14ac:dyDescent="0.55000000000000004">
      <c r="A1594" s="17"/>
    </row>
    <row r="1595" spans="1:1" x14ac:dyDescent="0.55000000000000004">
      <c r="A1595" s="17"/>
    </row>
    <row r="1596" spans="1:1" x14ac:dyDescent="0.55000000000000004">
      <c r="A1596" s="17"/>
    </row>
    <row r="1597" spans="1:1" x14ac:dyDescent="0.55000000000000004">
      <c r="A1597" s="17"/>
    </row>
    <row r="1598" spans="1:1" x14ac:dyDescent="0.55000000000000004">
      <c r="A1598" s="17"/>
    </row>
    <row r="1599" spans="1:1" x14ac:dyDescent="0.55000000000000004">
      <c r="A1599" s="17"/>
    </row>
    <row r="1600" spans="1:1" x14ac:dyDescent="0.55000000000000004">
      <c r="A1600" s="17"/>
    </row>
    <row r="1601" spans="1:1" x14ac:dyDescent="0.55000000000000004">
      <c r="A1601" s="17"/>
    </row>
    <row r="1602" spans="1:1" x14ac:dyDescent="0.55000000000000004">
      <c r="A1602" s="17"/>
    </row>
    <row r="1603" spans="1:1" x14ac:dyDescent="0.55000000000000004">
      <c r="A1603" s="17"/>
    </row>
    <row r="1604" spans="1:1" x14ac:dyDescent="0.55000000000000004">
      <c r="A1604" s="17"/>
    </row>
    <row r="1605" spans="1:1" x14ac:dyDescent="0.55000000000000004">
      <c r="A1605" s="17"/>
    </row>
    <row r="1606" spans="1:1" x14ac:dyDescent="0.55000000000000004">
      <c r="A1606" s="17"/>
    </row>
    <row r="1607" spans="1:1" x14ac:dyDescent="0.55000000000000004">
      <c r="A1607" s="17"/>
    </row>
    <row r="1608" spans="1:1" x14ac:dyDescent="0.55000000000000004">
      <c r="A1608" s="17"/>
    </row>
    <row r="1609" spans="1:1" x14ac:dyDescent="0.55000000000000004">
      <c r="A1609" s="17"/>
    </row>
    <row r="1610" spans="1:1" x14ac:dyDescent="0.55000000000000004">
      <c r="A1610" s="17"/>
    </row>
    <row r="1611" spans="1:1" x14ac:dyDescent="0.55000000000000004">
      <c r="A1611" s="17"/>
    </row>
    <row r="1612" spans="1:1" x14ac:dyDescent="0.55000000000000004">
      <c r="A1612" s="17"/>
    </row>
    <row r="1613" spans="1:1" x14ac:dyDescent="0.55000000000000004">
      <c r="A1613" s="17"/>
    </row>
    <row r="1614" spans="1:1" x14ac:dyDescent="0.55000000000000004">
      <c r="A1614" s="17"/>
    </row>
    <row r="1615" spans="1:1" x14ac:dyDescent="0.55000000000000004">
      <c r="A1615" s="17"/>
    </row>
    <row r="1616" spans="1:1" x14ac:dyDescent="0.55000000000000004">
      <c r="A1616" s="17"/>
    </row>
    <row r="1617" spans="1:1" x14ac:dyDescent="0.55000000000000004">
      <c r="A1617" s="17"/>
    </row>
    <row r="1618" spans="1:1" x14ac:dyDescent="0.55000000000000004">
      <c r="A1618" s="17"/>
    </row>
    <row r="1619" spans="1:1" x14ac:dyDescent="0.55000000000000004">
      <c r="A1619" s="17"/>
    </row>
    <row r="1620" spans="1:1" x14ac:dyDescent="0.55000000000000004">
      <c r="A1620" s="17"/>
    </row>
    <row r="1621" spans="1:1" x14ac:dyDescent="0.55000000000000004">
      <c r="A1621" s="17"/>
    </row>
    <row r="1622" spans="1:1" x14ac:dyDescent="0.55000000000000004">
      <c r="A1622" s="17"/>
    </row>
    <row r="1623" spans="1:1" x14ac:dyDescent="0.55000000000000004">
      <c r="A1623" s="17"/>
    </row>
    <row r="1624" spans="1:1" x14ac:dyDescent="0.55000000000000004">
      <c r="A1624" s="17"/>
    </row>
    <row r="1625" spans="1:1" x14ac:dyDescent="0.55000000000000004">
      <c r="A1625" s="17"/>
    </row>
    <row r="1626" spans="1:1" x14ac:dyDescent="0.55000000000000004">
      <c r="A1626" s="17"/>
    </row>
    <row r="1627" spans="1:1" x14ac:dyDescent="0.55000000000000004">
      <c r="A1627" s="17"/>
    </row>
    <row r="1628" spans="1:1" x14ac:dyDescent="0.55000000000000004">
      <c r="A1628" s="17"/>
    </row>
    <row r="1629" spans="1:1" x14ac:dyDescent="0.55000000000000004">
      <c r="A1629" s="17"/>
    </row>
    <row r="1630" spans="1:1" x14ac:dyDescent="0.55000000000000004">
      <c r="A1630" s="17"/>
    </row>
    <row r="1631" spans="1:1" x14ac:dyDescent="0.55000000000000004">
      <c r="A1631" s="17"/>
    </row>
    <row r="1632" spans="1:1" x14ac:dyDescent="0.55000000000000004">
      <c r="A1632" s="17"/>
    </row>
    <row r="1633" spans="1:1" x14ac:dyDescent="0.55000000000000004">
      <c r="A1633" s="17"/>
    </row>
    <row r="1634" spans="1:1" x14ac:dyDescent="0.55000000000000004">
      <c r="A1634" s="17"/>
    </row>
    <row r="1635" spans="1:1" x14ac:dyDescent="0.55000000000000004">
      <c r="A1635" s="17"/>
    </row>
    <row r="1636" spans="1:1" x14ac:dyDescent="0.55000000000000004">
      <c r="A1636" s="17"/>
    </row>
    <row r="1637" spans="1:1" x14ac:dyDescent="0.55000000000000004">
      <c r="A1637" s="17"/>
    </row>
    <row r="1638" spans="1:1" x14ac:dyDescent="0.55000000000000004">
      <c r="A1638" s="17"/>
    </row>
    <row r="1639" spans="1:1" x14ac:dyDescent="0.55000000000000004">
      <c r="A1639" s="17"/>
    </row>
    <row r="1640" spans="1:1" x14ac:dyDescent="0.55000000000000004">
      <c r="A1640" s="17"/>
    </row>
    <row r="1641" spans="1:1" x14ac:dyDescent="0.55000000000000004">
      <c r="A1641" s="17"/>
    </row>
    <row r="1642" spans="1:1" x14ac:dyDescent="0.55000000000000004">
      <c r="A1642" s="17"/>
    </row>
    <row r="1643" spans="1:1" x14ac:dyDescent="0.55000000000000004">
      <c r="A1643" s="17"/>
    </row>
    <row r="1644" spans="1:1" x14ac:dyDescent="0.55000000000000004">
      <c r="A1644" s="17"/>
    </row>
    <row r="1645" spans="1:1" x14ac:dyDescent="0.55000000000000004">
      <c r="A1645" s="17"/>
    </row>
    <row r="1646" spans="1:1" x14ac:dyDescent="0.55000000000000004">
      <c r="A1646" s="17"/>
    </row>
    <row r="1647" spans="1:1" x14ac:dyDescent="0.55000000000000004">
      <c r="A1647" s="17"/>
    </row>
    <row r="1648" spans="1:1" x14ac:dyDescent="0.55000000000000004">
      <c r="A1648" s="17"/>
    </row>
    <row r="1649" spans="1:1" x14ac:dyDescent="0.55000000000000004">
      <c r="A1649" s="17"/>
    </row>
    <row r="1650" spans="1:1" x14ac:dyDescent="0.55000000000000004">
      <c r="A1650" s="17"/>
    </row>
    <row r="1651" spans="1:1" x14ac:dyDescent="0.55000000000000004">
      <c r="A1651" s="17"/>
    </row>
    <row r="1652" spans="1:1" x14ac:dyDescent="0.55000000000000004">
      <c r="A1652" s="17"/>
    </row>
    <row r="1653" spans="1:1" x14ac:dyDescent="0.55000000000000004">
      <c r="A1653" s="17"/>
    </row>
    <row r="1654" spans="1:1" x14ac:dyDescent="0.55000000000000004">
      <c r="A1654" s="17"/>
    </row>
    <row r="1655" spans="1:1" x14ac:dyDescent="0.55000000000000004">
      <c r="A1655" s="17"/>
    </row>
    <row r="1656" spans="1:1" x14ac:dyDescent="0.55000000000000004">
      <c r="A1656" s="17"/>
    </row>
    <row r="1657" spans="1:1" x14ac:dyDescent="0.55000000000000004">
      <c r="A1657" s="17"/>
    </row>
    <row r="1658" spans="1:1" x14ac:dyDescent="0.55000000000000004">
      <c r="A1658" s="17"/>
    </row>
    <row r="1659" spans="1:1" x14ac:dyDescent="0.55000000000000004">
      <c r="A1659" s="17"/>
    </row>
    <row r="1660" spans="1:1" x14ac:dyDescent="0.55000000000000004">
      <c r="A1660" s="17"/>
    </row>
    <row r="1661" spans="1:1" x14ac:dyDescent="0.55000000000000004">
      <c r="A1661" s="17"/>
    </row>
    <row r="1662" spans="1:1" x14ac:dyDescent="0.55000000000000004">
      <c r="A1662" s="17"/>
    </row>
    <row r="1663" spans="1:1" x14ac:dyDescent="0.55000000000000004">
      <c r="A1663" s="17"/>
    </row>
    <row r="1664" spans="1:1" x14ac:dyDescent="0.55000000000000004">
      <c r="A1664" s="17"/>
    </row>
    <row r="1665" spans="1:1" x14ac:dyDescent="0.55000000000000004">
      <c r="A1665" s="17"/>
    </row>
    <row r="1666" spans="1:1" x14ac:dyDescent="0.55000000000000004">
      <c r="A1666" s="17"/>
    </row>
    <row r="1667" spans="1:1" x14ac:dyDescent="0.55000000000000004">
      <c r="A1667" s="17"/>
    </row>
    <row r="1668" spans="1:1" x14ac:dyDescent="0.55000000000000004">
      <c r="A1668" s="17"/>
    </row>
    <row r="1669" spans="1:1" x14ac:dyDescent="0.55000000000000004">
      <c r="A1669" s="17"/>
    </row>
    <row r="1670" spans="1:1" x14ac:dyDescent="0.55000000000000004">
      <c r="A1670" s="17"/>
    </row>
    <row r="1671" spans="1:1" x14ac:dyDescent="0.55000000000000004">
      <c r="A1671" s="17"/>
    </row>
    <row r="1672" spans="1:1" x14ac:dyDescent="0.55000000000000004">
      <c r="A1672" s="17"/>
    </row>
    <row r="1673" spans="1:1" x14ac:dyDescent="0.55000000000000004">
      <c r="A1673" s="17"/>
    </row>
    <row r="1674" spans="1:1" x14ac:dyDescent="0.55000000000000004">
      <c r="A1674" s="17"/>
    </row>
    <row r="1675" spans="1:1" x14ac:dyDescent="0.55000000000000004">
      <c r="A1675" s="17"/>
    </row>
    <row r="1676" spans="1:1" x14ac:dyDescent="0.55000000000000004">
      <c r="A1676" s="17"/>
    </row>
    <row r="1677" spans="1:1" x14ac:dyDescent="0.55000000000000004">
      <c r="A1677" s="17"/>
    </row>
    <row r="1678" spans="1:1" x14ac:dyDescent="0.55000000000000004">
      <c r="A1678" s="17"/>
    </row>
    <row r="1679" spans="1:1" x14ac:dyDescent="0.55000000000000004">
      <c r="A1679" s="17"/>
    </row>
    <row r="1680" spans="1:1" x14ac:dyDescent="0.55000000000000004">
      <c r="A1680" s="17"/>
    </row>
    <row r="1681" spans="1:1" x14ac:dyDescent="0.55000000000000004">
      <c r="A1681" s="17"/>
    </row>
    <row r="1682" spans="1:1" x14ac:dyDescent="0.55000000000000004">
      <c r="A1682" s="17"/>
    </row>
    <row r="1683" spans="1:1" x14ac:dyDescent="0.55000000000000004">
      <c r="A1683" s="17"/>
    </row>
    <row r="1684" spans="1:1" x14ac:dyDescent="0.55000000000000004">
      <c r="A1684" s="17"/>
    </row>
    <row r="1685" spans="1:1" x14ac:dyDescent="0.55000000000000004">
      <c r="A1685" s="17"/>
    </row>
    <row r="1686" spans="1:1" x14ac:dyDescent="0.55000000000000004">
      <c r="A1686" s="17"/>
    </row>
    <row r="1687" spans="1:1" x14ac:dyDescent="0.55000000000000004">
      <c r="A1687" s="17"/>
    </row>
    <row r="1688" spans="1:1" x14ac:dyDescent="0.55000000000000004">
      <c r="A1688" s="17"/>
    </row>
    <row r="1689" spans="1:1" x14ac:dyDescent="0.55000000000000004">
      <c r="A1689" s="17"/>
    </row>
    <row r="1690" spans="1:1" x14ac:dyDescent="0.55000000000000004">
      <c r="A1690" s="17"/>
    </row>
    <row r="1691" spans="1:1" x14ac:dyDescent="0.55000000000000004">
      <c r="A1691" s="17"/>
    </row>
    <row r="1692" spans="1:1" x14ac:dyDescent="0.55000000000000004">
      <c r="A1692" s="17"/>
    </row>
    <row r="1693" spans="1:1" x14ac:dyDescent="0.55000000000000004">
      <c r="A1693" s="17"/>
    </row>
    <row r="1694" spans="1:1" x14ac:dyDescent="0.55000000000000004">
      <c r="A1694" s="17"/>
    </row>
    <row r="1695" spans="1:1" x14ac:dyDescent="0.55000000000000004">
      <c r="A1695" s="17"/>
    </row>
    <row r="1696" spans="1:1" x14ac:dyDescent="0.55000000000000004">
      <c r="A1696" s="17"/>
    </row>
    <row r="1697" spans="1:1" x14ac:dyDescent="0.55000000000000004">
      <c r="A1697" s="17"/>
    </row>
    <row r="1698" spans="1:1" x14ac:dyDescent="0.55000000000000004">
      <c r="A1698" s="17"/>
    </row>
    <row r="1699" spans="1:1" x14ac:dyDescent="0.55000000000000004">
      <c r="A1699" s="17"/>
    </row>
    <row r="1700" spans="1:1" x14ac:dyDescent="0.55000000000000004">
      <c r="A1700" s="17"/>
    </row>
    <row r="1701" spans="1:1" x14ac:dyDescent="0.55000000000000004">
      <c r="A1701" s="17"/>
    </row>
    <row r="1702" spans="1:1" x14ac:dyDescent="0.55000000000000004">
      <c r="A1702" s="17"/>
    </row>
    <row r="1703" spans="1:1" x14ac:dyDescent="0.55000000000000004">
      <c r="A1703" s="17"/>
    </row>
    <row r="1704" spans="1:1" x14ac:dyDescent="0.55000000000000004">
      <c r="A1704" s="17"/>
    </row>
    <row r="1705" spans="1:1" x14ac:dyDescent="0.55000000000000004">
      <c r="A1705" s="17"/>
    </row>
    <row r="1706" spans="1:1" x14ac:dyDescent="0.55000000000000004">
      <c r="A1706" s="17"/>
    </row>
    <row r="1707" spans="1:1" x14ac:dyDescent="0.55000000000000004">
      <c r="A1707" s="17"/>
    </row>
    <row r="1708" spans="1:1" x14ac:dyDescent="0.55000000000000004">
      <c r="A1708" s="17"/>
    </row>
    <row r="1709" spans="1:1" x14ac:dyDescent="0.55000000000000004">
      <c r="A1709" s="17"/>
    </row>
    <row r="1710" spans="1:1" x14ac:dyDescent="0.55000000000000004">
      <c r="A1710" s="17"/>
    </row>
    <row r="1711" spans="1:1" x14ac:dyDescent="0.55000000000000004">
      <c r="A1711" s="17"/>
    </row>
    <row r="1712" spans="1:1" x14ac:dyDescent="0.55000000000000004">
      <c r="A1712" s="17"/>
    </row>
    <row r="1713" spans="1:1" x14ac:dyDescent="0.55000000000000004">
      <c r="A1713" s="17"/>
    </row>
    <row r="1714" spans="1:1" x14ac:dyDescent="0.55000000000000004">
      <c r="A1714" s="17"/>
    </row>
    <row r="1715" spans="1:1" x14ac:dyDescent="0.55000000000000004">
      <c r="A1715" s="17"/>
    </row>
    <row r="1716" spans="1:1" x14ac:dyDescent="0.55000000000000004">
      <c r="A1716" s="17"/>
    </row>
    <row r="1717" spans="1:1" x14ac:dyDescent="0.55000000000000004">
      <c r="A1717" s="17"/>
    </row>
    <row r="1718" spans="1:1" x14ac:dyDescent="0.55000000000000004">
      <c r="A1718" s="17"/>
    </row>
    <row r="1719" spans="1:1" x14ac:dyDescent="0.55000000000000004">
      <c r="A1719" s="17"/>
    </row>
    <row r="1720" spans="1:1" x14ac:dyDescent="0.55000000000000004">
      <c r="A1720" s="17"/>
    </row>
    <row r="1721" spans="1:1" x14ac:dyDescent="0.55000000000000004">
      <c r="A1721" s="17"/>
    </row>
    <row r="1722" spans="1:1" x14ac:dyDescent="0.55000000000000004">
      <c r="A1722" s="17"/>
    </row>
    <row r="1723" spans="1:1" x14ac:dyDescent="0.55000000000000004">
      <c r="A1723" s="17"/>
    </row>
    <row r="1724" spans="1:1" x14ac:dyDescent="0.55000000000000004">
      <c r="A1724" s="17"/>
    </row>
    <row r="1725" spans="1:1" x14ac:dyDescent="0.55000000000000004">
      <c r="A1725" s="17"/>
    </row>
    <row r="1726" spans="1:1" x14ac:dyDescent="0.55000000000000004">
      <c r="A1726" s="17"/>
    </row>
    <row r="1727" spans="1:1" x14ac:dyDescent="0.55000000000000004">
      <c r="A1727" s="17"/>
    </row>
    <row r="1728" spans="1:1" x14ac:dyDescent="0.55000000000000004">
      <c r="A1728" s="17"/>
    </row>
    <row r="1729" spans="1:1" x14ac:dyDescent="0.55000000000000004">
      <c r="A1729" s="17"/>
    </row>
    <row r="1730" spans="1:1" x14ac:dyDescent="0.55000000000000004">
      <c r="A1730" s="17"/>
    </row>
    <row r="1731" spans="1:1" x14ac:dyDescent="0.55000000000000004">
      <c r="A1731" s="17"/>
    </row>
    <row r="1732" spans="1:1" x14ac:dyDescent="0.55000000000000004">
      <c r="A1732" s="17"/>
    </row>
    <row r="1733" spans="1:1" x14ac:dyDescent="0.55000000000000004">
      <c r="A1733" s="17"/>
    </row>
    <row r="1734" spans="1:1" x14ac:dyDescent="0.55000000000000004">
      <c r="A1734" s="17"/>
    </row>
    <row r="1735" spans="1:1" x14ac:dyDescent="0.55000000000000004">
      <c r="A1735" s="17"/>
    </row>
    <row r="1736" spans="1:1" x14ac:dyDescent="0.55000000000000004">
      <c r="A1736" s="17"/>
    </row>
    <row r="1737" spans="1:1" x14ac:dyDescent="0.55000000000000004">
      <c r="A1737" s="17"/>
    </row>
    <row r="1738" spans="1:1" x14ac:dyDescent="0.55000000000000004">
      <c r="A1738" s="17"/>
    </row>
    <row r="1739" spans="1:1" x14ac:dyDescent="0.55000000000000004">
      <c r="A1739" s="17"/>
    </row>
    <row r="1740" spans="1:1" x14ac:dyDescent="0.55000000000000004">
      <c r="A1740" s="17"/>
    </row>
    <row r="1741" spans="1:1" x14ac:dyDescent="0.55000000000000004">
      <c r="A1741" s="17"/>
    </row>
    <row r="1742" spans="1:1" x14ac:dyDescent="0.55000000000000004">
      <c r="A1742" s="17"/>
    </row>
    <row r="1743" spans="1:1" x14ac:dyDescent="0.55000000000000004">
      <c r="A1743" s="17"/>
    </row>
    <row r="1744" spans="1:1" x14ac:dyDescent="0.55000000000000004">
      <c r="A1744" s="17"/>
    </row>
    <row r="1745" spans="1:1" x14ac:dyDescent="0.55000000000000004">
      <c r="A1745" s="17"/>
    </row>
    <row r="1746" spans="1:1" x14ac:dyDescent="0.55000000000000004">
      <c r="A1746" s="17"/>
    </row>
    <row r="1747" spans="1:1" x14ac:dyDescent="0.55000000000000004">
      <c r="A1747" s="17"/>
    </row>
    <row r="1748" spans="1:1" x14ac:dyDescent="0.55000000000000004">
      <c r="A1748" s="17"/>
    </row>
    <row r="1749" spans="1:1" x14ac:dyDescent="0.55000000000000004">
      <c r="A1749" s="17"/>
    </row>
    <row r="1750" spans="1:1" x14ac:dyDescent="0.55000000000000004">
      <c r="A1750" s="17"/>
    </row>
    <row r="1751" spans="1:1" x14ac:dyDescent="0.55000000000000004">
      <c r="A1751" s="17"/>
    </row>
    <row r="1752" spans="1:1" x14ac:dyDescent="0.55000000000000004">
      <c r="A1752" s="17"/>
    </row>
    <row r="1753" spans="1:1" x14ac:dyDescent="0.55000000000000004">
      <c r="A1753" s="17"/>
    </row>
    <row r="1754" spans="1:1" x14ac:dyDescent="0.55000000000000004">
      <c r="A1754" s="17"/>
    </row>
    <row r="1755" spans="1:1" x14ac:dyDescent="0.55000000000000004">
      <c r="A1755" s="17"/>
    </row>
    <row r="1756" spans="1:1" x14ac:dyDescent="0.55000000000000004">
      <c r="A1756" s="17"/>
    </row>
    <row r="1757" spans="1:1" x14ac:dyDescent="0.55000000000000004">
      <c r="A1757" s="17"/>
    </row>
    <row r="1758" spans="1:1" x14ac:dyDescent="0.55000000000000004">
      <c r="A1758" s="17"/>
    </row>
    <row r="1759" spans="1:1" x14ac:dyDescent="0.55000000000000004">
      <c r="A1759" s="17"/>
    </row>
    <row r="1760" spans="1:1" x14ac:dyDescent="0.55000000000000004">
      <c r="A1760" s="17"/>
    </row>
    <row r="1761" spans="1:1" x14ac:dyDescent="0.55000000000000004">
      <c r="A1761" s="17"/>
    </row>
    <row r="1762" spans="1:1" x14ac:dyDescent="0.55000000000000004">
      <c r="A1762" s="17"/>
    </row>
    <row r="1763" spans="1:1" x14ac:dyDescent="0.55000000000000004">
      <c r="A1763" s="17"/>
    </row>
    <row r="1764" spans="1:1" x14ac:dyDescent="0.55000000000000004">
      <c r="A1764" s="17"/>
    </row>
    <row r="1765" spans="1:1" x14ac:dyDescent="0.55000000000000004">
      <c r="A1765" s="17"/>
    </row>
    <row r="1766" spans="1:1" x14ac:dyDescent="0.55000000000000004">
      <c r="A1766" s="17"/>
    </row>
    <row r="1767" spans="1:1" x14ac:dyDescent="0.55000000000000004">
      <c r="A1767" s="17"/>
    </row>
    <row r="1768" spans="1:1" x14ac:dyDescent="0.55000000000000004">
      <c r="A1768" s="17"/>
    </row>
    <row r="1769" spans="1:1" x14ac:dyDescent="0.55000000000000004">
      <c r="A1769" s="17"/>
    </row>
    <row r="1770" spans="1:1" x14ac:dyDescent="0.55000000000000004">
      <c r="A1770" s="17"/>
    </row>
    <row r="1771" spans="1:1" x14ac:dyDescent="0.55000000000000004">
      <c r="A1771" s="17"/>
    </row>
    <row r="1772" spans="1:1" x14ac:dyDescent="0.55000000000000004">
      <c r="A1772" s="17"/>
    </row>
    <row r="1773" spans="1:1" x14ac:dyDescent="0.55000000000000004">
      <c r="A1773" s="17"/>
    </row>
    <row r="1774" spans="1:1" x14ac:dyDescent="0.55000000000000004">
      <c r="A1774" s="17"/>
    </row>
    <row r="1775" spans="1:1" x14ac:dyDescent="0.55000000000000004">
      <c r="A1775" s="17"/>
    </row>
    <row r="1776" spans="1:1" x14ac:dyDescent="0.55000000000000004">
      <c r="A1776" s="17"/>
    </row>
    <row r="1777" spans="1:1" x14ac:dyDescent="0.55000000000000004">
      <c r="A1777" s="17"/>
    </row>
    <row r="1778" spans="1:1" x14ac:dyDescent="0.55000000000000004">
      <c r="A1778" s="17"/>
    </row>
    <row r="1779" spans="1:1" x14ac:dyDescent="0.55000000000000004">
      <c r="A1779" s="17"/>
    </row>
    <row r="1780" spans="1:1" x14ac:dyDescent="0.55000000000000004">
      <c r="A1780" s="17"/>
    </row>
    <row r="1781" spans="1:1" x14ac:dyDescent="0.55000000000000004">
      <c r="A1781" s="17"/>
    </row>
    <row r="1782" spans="1:1" x14ac:dyDescent="0.55000000000000004">
      <c r="A1782" s="17"/>
    </row>
    <row r="1783" spans="1:1" x14ac:dyDescent="0.55000000000000004">
      <c r="A1783" s="17"/>
    </row>
    <row r="1784" spans="1:1" x14ac:dyDescent="0.55000000000000004">
      <c r="A1784" s="17"/>
    </row>
    <row r="1785" spans="1:1" x14ac:dyDescent="0.55000000000000004">
      <c r="A1785" s="17"/>
    </row>
    <row r="1786" spans="1:1" x14ac:dyDescent="0.55000000000000004">
      <c r="A1786" s="17"/>
    </row>
    <row r="1787" spans="1:1" x14ac:dyDescent="0.55000000000000004">
      <c r="A1787" s="17"/>
    </row>
    <row r="1788" spans="1:1" x14ac:dyDescent="0.55000000000000004">
      <c r="A1788" s="17"/>
    </row>
    <row r="1789" spans="1:1" x14ac:dyDescent="0.55000000000000004">
      <c r="A1789" s="17"/>
    </row>
    <row r="1790" spans="1:1" x14ac:dyDescent="0.55000000000000004">
      <c r="A1790" s="17"/>
    </row>
    <row r="1791" spans="1:1" x14ac:dyDescent="0.55000000000000004">
      <c r="A1791" s="17"/>
    </row>
    <row r="1792" spans="1:1" x14ac:dyDescent="0.55000000000000004">
      <c r="A1792" s="17"/>
    </row>
    <row r="1793" spans="1:1" x14ac:dyDescent="0.55000000000000004">
      <c r="A1793" s="17"/>
    </row>
    <row r="1794" spans="1:1" x14ac:dyDescent="0.55000000000000004">
      <c r="A1794" s="17"/>
    </row>
    <row r="1795" spans="1:1" x14ac:dyDescent="0.55000000000000004">
      <c r="A1795" s="17"/>
    </row>
    <row r="1796" spans="1:1" x14ac:dyDescent="0.55000000000000004">
      <c r="A1796" s="17"/>
    </row>
    <row r="1797" spans="1:1" x14ac:dyDescent="0.55000000000000004">
      <c r="A1797" s="17"/>
    </row>
    <row r="1798" spans="1:1" x14ac:dyDescent="0.55000000000000004">
      <c r="A1798" s="17"/>
    </row>
    <row r="1799" spans="1:1" x14ac:dyDescent="0.55000000000000004">
      <c r="A1799" s="17"/>
    </row>
    <row r="1800" spans="1:1" x14ac:dyDescent="0.55000000000000004">
      <c r="A1800" s="17"/>
    </row>
    <row r="1801" spans="1:1" x14ac:dyDescent="0.55000000000000004">
      <c r="A1801" s="17"/>
    </row>
    <row r="1802" spans="1:1" x14ac:dyDescent="0.55000000000000004">
      <c r="A1802" s="17"/>
    </row>
    <row r="1803" spans="1:1" x14ac:dyDescent="0.55000000000000004">
      <c r="A1803" s="17"/>
    </row>
    <row r="1804" spans="1:1" x14ac:dyDescent="0.55000000000000004">
      <c r="A1804" s="17"/>
    </row>
    <row r="1805" spans="1:1" x14ac:dyDescent="0.55000000000000004">
      <c r="A1805" s="17"/>
    </row>
    <row r="1806" spans="1:1" x14ac:dyDescent="0.55000000000000004">
      <c r="A1806" s="17"/>
    </row>
    <row r="1807" spans="1:1" x14ac:dyDescent="0.55000000000000004">
      <c r="A1807" s="17"/>
    </row>
    <row r="1808" spans="1:1" x14ac:dyDescent="0.55000000000000004">
      <c r="A1808" s="17"/>
    </row>
    <row r="1809" spans="1:1" x14ac:dyDescent="0.55000000000000004">
      <c r="A1809" s="17"/>
    </row>
    <row r="1810" spans="1:1" x14ac:dyDescent="0.55000000000000004">
      <c r="A1810" s="17"/>
    </row>
    <row r="1811" spans="1:1" x14ac:dyDescent="0.55000000000000004">
      <c r="A1811" s="17"/>
    </row>
    <row r="1812" spans="1:1" x14ac:dyDescent="0.55000000000000004">
      <c r="A1812" s="17"/>
    </row>
    <row r="1813" spans="1:1" x14ac:dyDescent="0.55000000000000004">
      <c r="A1813" s="17"/>
    </row>
    <row r="1814" spans="1:1" x14ac:dyDescent="0.55000000000000004">
      <c r="A1814" s="17"/>
    </row>
    <row r="1815" spans="1:1" x14ac:dyDescent="0.55000000000000004">
      <c r="A1815" s="17"/>
    </row>
    <row r="1816" spans="1:1" x14ac:dyDescent="0.55000000000000004">
      <c r="A1816" s="17"/>
    </row>
    <row r="1817" spans="1:1" x14ac:dyDescent="0.55000000000000004">
      <c r="A1817" s="17"/>
    </row>
    <row r="1818" spans="1:1" x14ac:dyDescent="0.55000000000000004">
      <c r="A1818" s="17"/>
    </row>
    <row r="1819" spans="1:1" x14ac:dyDescent="0.55000000000000004">
      <c r="A1819" s="17"/>
    </row>
    <row r="1820" spans="1:1" x14ac:dyDescent="0.55000000000000004">
      <c r="A1820" s="17"/>
    </row>
    <row r="1821" spans="1:1" x14ac:dyDescent="0.55000000000000004">
      <c r="A1821" s="17"/>
    </row>
    <row r="1822" spans="1:1" x14ac:dyDescent="0.55000000000000004">
      <c r="A1822" s="17"/>
    </row>
    <row r="1823" spans="1:1" x14ac:dyDescent="0.55000000000000004">
      <c r="A1823" s="17"/>
    </row>
    <row r="1824" spans="1:1" x14ac:dyDescent="0.55000000000000004">
      <c r="A1824" s="17"/>
    </row>
    <row r="1825" spans="1:1" x14ac:dyDescent="0.55000000000000004">
      <c r="A1825" s="17"/>
    </row>
    <row r="1826" spans="1:1" x14ac:dyDescent="0.55000000000000004">
      <c r="A1826" s="17"/>
    </row>
    <row r="1827" spans="1:1" x14ac:dyDescent="0.55000000000000004">
      <c r="A1827" s="17"/>
    </row>
    <row r="1828" spans="1:1" x14ac:dyDescent="0.55000000000000004">
      <c r="A1828" s="17"/>
    </row>
    <row r="1829" spans="1:1" x14ac:dyDescent="0.55000000000000004">
      <c r="A1829" s="17"/>
    </row>
    <row r="1830" spans="1:1" x14ac:dyDescent="0.55000000000000004">
      <c r="A1830" s="17"/>
    </row>
    <row r="1831" spans="1:1" x14ac:dyDescent="0.55000000000000004">
      <c r="A1831" s="17"/>
    </row>
    <row r="1832" spans="1:1" x14ac:dyDescent="0.55000000000000004">
      <c r="A1832" s="17"/>
    </row>
    <row r="1833" spans="1:1" x14ac:dyDescent="0.55000000000000004">
      <c r="A1833" s="17"/>
    </row>
    <row r="1834" spans="1:1" x14ac:dyDescent="0.55000000000000004">
      <c r="A1834" s="17"/>
    </row>
    <row r="1835" spans="1:1" x14ac:dyDescent="0.55000000000000004">
      <c r="A1835" s="17"/>
    </row>
    <row r="1836" spans="1:1" x14ac:dyDescent="0.55000000000000004">
      <c r="A1836" s="17"/>
    </row>
    <row r="1837" spans="1:1" x14ac:dyDescent="0.55000000000000004">
      <c r="A1837" s="17"/>
    </row>
    <row r="1838" spans="1:1" x14ac:dyDescent="0.55000000000000004">
      <c r="A1838" s="17"/>
    </row>
    <row r="1839" spans="1:1" x14ac:dyDescent="0.55000000000000004">
      <c r="A1839" s="17"/>
    </row>
    <row r="1840" spans="1:1" x14ac:dyDescent="0.55000000000000004">
      <c r="A1840" s="17"/>
    </row>
    <row r="1841" spans="1:1" x14ac:dyDescent="0.55000000000000004">
      <c r="A1841" s="17"/>
    </row>
    <row r="1842" spans="1:1" x14ac:dyDescent="0.55000000000000004">
      <c r="A1842" s="17"/>
    </row>
    <row r="1843" spans="1:1" x14ac:dyDescent="0.55000000000000004">
      <c r="A1843" s="17"/>
    </row>
    <row r="1844" spans="1:1" x14ac:dyDescent="0.55000000000000004">
      <c r="A1844" s="17"/>
    </row>
    <row r="1845" spans="1:1" x14ac:dyDescent="0.55000000000000004">
      <c r="A1845" s="17"/>
    </row>
    <row r="1846" spans="1:1" x14ac:dyDescent="0.55000000000000004">
      <c r="A1846" s="17"/>
    </row>
    <row r="1847" spans="1:1" x14ac:dyDescent="0.55000000000000004">
      <c r="A1847" s="17"/>
    </row>
    <row r="1848" spans="1:1" x14ac:dyDescent="0.55000000000000004">
      <c r="A1848" s="17"/>
    </row>
    <row r="1849" spans="1:1" x14ac:dyDescent="0.55000000000000004">
      <c r="A1849" s="17"/>
    </row>
    <row r="1850" spans="1:1" x14ac:dyDescent="0.55000000000000004">
      <c r="A1850" s="17"/>
    </row>
    <row r="1851" spans="1:1" x14ac:dyDescent="0.55000000000000004">
      <c r="A1851" s="17"/>
    </row>
    <row r="1852" spans="1:1" x14ac:dyDescent="0.55000000000000004">
      <c r="A1852" s="17"/>
    </row>
    <row r="1853" spans="1:1" x14ac:dyDescent="0.55000000000000004">
      <c r="A1853" s="17"/>
    </row>
    <row r="1854" spans="1:1" x14ac:dyDescent="0.55000000000000004">
      <c r="A1854" s="17"/>
    </row>
    <row r="1855" spans="1:1" x14ac:dyDescent="0.55000000000000004">
      <c r="A1855" s="17"/>
    </row>
    <row r="1856" spans="1:1" x14ac:dyDescent="0.55000000000000004">
      <c r="A1856" s="17"/>
    </row>
    <row r="1857" spans="1:1" x14ac:dyDescent="0.55000000000000004">
      <c r="A1857" s="17"/>
    </row>
    <row r="1858" spans="1:1" x14ac:dyDescent="0.55000000000000004">
      <c r="A1858" s="17"/>
    </row>
    <row r="1859" spans="1:1" x14ac:dyDescent="0.55000000000000004">
      <c r="A1859" s="17"/>
    </row>
    <row r="1860" spans="1:1" x14ac:dyDescent="0.55000000000000004">
      <c r="A1860" s="17"/>
    </row>
    <row r="1861" spans="1:1" x14ac:dyDescent="0.55000000000000004">
      <c r="A1861" s="17"/>
    </row>
    <row r="1862" spans="1:1" x14ac:dyDescent="0.55000000000000004">
      <c r="A1862" s="17"/>
    </row>
    <row r="1863" spans="1:1" x14ac:dyDescent="0.55000000000000004">
      <c r="A1863" s="17"/>
    </row>
    <row r="1864" spans="1:1" x14ac:dyDescent="0.55000000000000004">
      <c r="A1864" s="17"/>
    </row>
    <row r="1865" spans="1:1" x14ac:dyDescent="0.55000000000000004">
      <c r="A1865" s="17"/>
    </row>
    <row r="1866" spans="1:1" x14ac:dyDescent="0.55000000000000004">
      <c r="A1866" s="17"/>
    </row>
    <row r="1867" spans="1:1" x14ac:dyDescent="0.55000000000000004">
      <c r="A1867" s="17"/>
    </row>
    <row r="1868" spans="1:1" x14ac:dyDescent="0.55000000000000004">
      <c r="A1868" s="17"/>
    </row>
    <row r="1869" spans="1:1" x14ac:dyDescent="0.55000000000000004">
      <c r="A1869" s="17"/>
    </row>
    <row r="1870" spans="1:1" x14ac:dyDescent="0.55000000000000004">
      <c r="A1870" s="17"/>
    </row>
    <row r="1871" spans="1:1" x14ac:dyDescent="0.55000000000000004">
      <c r="A1871" s="17"/>
    </row>
    <row r="1872" spans="1:1" x14ac:dyDescent="0.55000000000000004">
      <c r="A1872" s="17"/>
    </row>
    <row r="1873" spans="1:1" x14ac:dyDescent="0.55000000000000004">
      <c r="A1873" s="17"/>
    </row>
    <row r="1874" spans="1:1" x14ac:dyDescent="0.55000000000000004">
      <c r="A1874" s="17"/>
    </row>
    <row r="1875" spans="1:1" x14ac:dyDescent="0.55000000000000004">
      <c r="A1875" s="17"/>
    </row>
    <row r="1876" spans="1:1" x14ac:dyDescent="0.55000000000000004">
      <c r="A1876" s="17"/>
    </row>
    <row r="1877" spans="1:1" x14ac:dyDescent="0.55000000000000004">
      <c r="A1877" s="17"/>
    </row>
    <row r="1878" spans="1:1" x14ac:dyDescent="0.55000000000000004">
      <c r="A1878" s="17"/>
    </row>
    <row r="1879" spans="1:1" x14ac:dyDescent="0.55000000000000004">
      <c r="A1879" s="17"/>
    </row>
    <row r="1880" spans="1:1" x14ac:dyDescent="0.55000000000000004">
      <c r="A1880" s="17"/>
    </row>
    <row r="1881" spans="1:1" x14ac:dyDescent="0.55000000000000004">
      <c r="A1881" s="17"/>
    </row>
    <row r="1882" spans="1:1" x14ac:dyDescent="0.55000000000000004">
      <c r="A1882" s="17"/>
    </row>
    <row r="1883" spans="1:1" x14ac:dyDescent="0.55000000000000004">
      <c r="A1883" s="17"/>
    </row>
    <row r="1884" spans="1:1" x14ac:dyDescent="0.55000000000000004">
      <c r="A1884" s="17"/>
    </row>
    <row r="1885" spans="1:1" x14ac:dyDescent="0.55000000000000004">
      <c r="A1885" s="17"/>
    </row>
    <row r="1886" spans="1:1" x14ac:dyDescent="0.55000000000000004">
      <c r="A1886" s="17"/>
    </row>
    <row r="1887" spans="1:1" x14ac:dyDescent="0.55000000000000004">
      <c r="A1887" s="17"/>
    </row>
    <row r="1888" spans="1:1" x14ac:dyDescent="0.55000000000000004">
      <c r="A1888" s="17"/>
    </row>
    <row r="1889" spans="1:1" x14ac:dyDescent="0.55000000000000004">
      <c r="A1889" s="17"/>
    </row>
    <row r="1890" spans="1:1" x14ac:dyDescent="0.55000000000000004">
      <c r="A1890" s="17"/>
    </row>
    <row r="1891" spans="1:1" x14ac:dyDescent="0.55000000000000004">
      <c r="A1891" s="17"/>
    </row>
    <row r="1892" spans="1:1" x14ac:dyDescent="0.55000000000000004">
      <c r="A1892" s="17"/>
    </row>
    <row r="1893" spans="1:1" x14ac:dyDescent="0.55000000000000004">
      <c r="A1893" s="17"/>
    </row>
    <row r="1894" spans="1:1" x14ac:dyDescent="0.55000000000000004">
      <c r="A1894" s="17"/>
    </row>
    <row r="1895" spans="1:1" x14ac:dyDescent="0.55000000000000004">
      <c r="A1895" s="17"/>
    </row>
    <row r="1896" spans="1:1" x14ac:dyDescent="0.55000000000000004">
      <c r="A1896" s="17"/>
    </row>
    <row r="1897" spans="1:1" x14ac:dyDescent="0.55000000000000004">
      <c r="A1897" s="17"/>
    </row>
    <row r="1898" spans="1:1" x14ac:dyDescent="0.55000000000000004">
      <c r="A1898" s="17"/>
    </row>
    <row r="1899" spans="1:1" x14ac:dyDescent="0.55000000000000004">
      <c r="A1899" s="17"/>
    </row>
    <row r="1900" spans="1:1" x14ac:dyDescent="0.55000000000000004">
      <c r="A1900" s="17"/>
    </row>
    <row r="1901" spans="1:1" x14ac:dyDescent="0.55000000000000004">
      <c r="A1901" s="17"/>
    </row>
    <row r="1902" spans="1:1" x14ac:dyDescent="0.55000000000000004">
      <c r="A1902" s="17"/>
    </row>
    <row r="1903" spans="1:1" x14ac:dyDescent="0.55000000000000004">
      <c r="A1903" s="17"/>
    </row>
    <row r="1904" spans="1:1" x14ac:dyDescent="0.55000000000000004">
      <c r="A1904" s="17"/>
    </row>
    <row r="1905" spans="1:1" x14ac:dyDescent="0.55000000000000004">
      <c r="A1905" s="17"/>
    </row>
    <row r="1906" spans="1:1" x14ac:dyDescent="0.55000000000000004">
      <c r="A1906" s="17"/>
    </row>
    <row r="1907" spans="1:1" x14ac:dyDescent="0.55000000000000004">
      <c r="A1907" s="17"/>
    </row>
    <row r="1908" spans="1:1" x14ac:dyDescent="0.55000000000000004">
      <c r="A1908" s="17"/>
    </row>
    <row r="1909" spans="1:1" x14ac:dyDescent="0.55000000000000004">
      <c r="A1909" s="17"/>
    </row>
    <row r="1910" spans="1:1" x14ac:dyDescent="0.55000000000000004">
      <c r="A1910" s="17"/>
    </row>
    <row r="1911" spans="1:1" x14ac:dyDescent="0.55000000000000004">
      <c r="A1911" s="17"/>
    </row>
    <row r="1912" spans="1:1" x14ac:dyDescent="0.55000000000000004">
      <c r="A1912" s="17"/>
    </row>
    <row r="1913" spans="1:1" x14ac:dyDescent="0.55000000000000004">
      <c r="A1913" s="17"/>
    </row>
    <row r="1914" spans="1:1" x14ac:dyDescent="0.55000000000000004">
      <c r="A1914" s="17"/>
    </row>
    <row r="1915" spans="1:1" x14ac:dyDescent="0.55000000000000004">
      <c r="A1915" s="17"/>
    </row>
    <row r="1916" spans="1:1" x14ac:dyDescent="0.55000000000000004">
      <c r="A1916" s="17"/>
    </row>
    <row r="1917" spans="1:1" x14ac:dyDescent="0.55000000000000004">
      <c r="A1917" s="17"/>
    </row>
    <row r="1918" spans="1:1" x14ac:dyDescent="0.55000000000000004">
      <c r="A1918" s="17"/>
    </row>
    <row r="1919" spans="1:1" x14ac:dyDescent="0.55000000000000004">
      <c r="A1919" s="17"/>
    </row>
    <row r="1920" spans="1:1" x14ac:dyDescent="0.55000000000000004">
      <c r="A1920" s="17"/>
    </row>
    <row r="1921" spans="1:1" x14ac:dyDescent="0.55000000000000004">
      <c r="A1921" s="17"/>
    </row>
    <row r="1922" spans="1:1" x14ac:dyDescent="0.55000000000000004">
      <c r="A1922" s="17"/>
    </row>
    <row r="1923" spans="1:1" x14ac:dyDescent="0.55000000000000004">
      <c r="A1923" s="17"/>
    </row>
    <row r="1924" spans="1:1" x14ac:dyDescent="0.55000000000000004">
      <c r="A1924" s="17"/>
    </row>
    <row r="1925" spans="1:1" x14ac:dyDescent="0.55000000000000004">
      <c r="A1925" s="17"/>
    </row>
    <row r="1926" spans="1:1" x14ac:dyDescent="0.55000000000000004">
      <c r="A1926" s="17"/>
    </row>
    <row r="1927" spans="1:1" x14ac:dyDescent="0.55000000000000004">
      <c r="A1927" s="17"/>
    </row>
    <row r="1928" spans="1:1" x14ac:dyDescent="0.55000000000000004">
      <c r="A1928" s="17"/>
    </row>
    <row r="1929" spans="1:1" x14ac:dyDescent="0.55000000000000004">
      <c r="A1929" s="17"/>
    </row>
    <row r="1930" spans="1:1" x14ac:dyDescent="0.55000000000000004">
      <c r="A1930" s="17"/>
    </row>
    <row r="1931" spans="1:1" x14ac:dyDescent="0.55000000000000004">
      <c r="A1931" s="17"/>
    </row>
    <row r="1932" spans="1:1" x14ac:dyDescent="0.55000000000000004">
      <c r="A1932" s="17"/>
    </row>
    <row r="1933" spans="1:1" x14ac:dyDescent="0.55000000000000004">
      <c r="A1933" s="17"/>
    </row>
    <row r="1934" spans="1:1" x14ac:dyDescent="0.55000000000000004">
      <c r="A1934" s="17"/>
    </row>
    <row r="1935" spans="1:1" x14ac:dyDescent="0.55000000000000004">
      <c r="A1935" s="17"/>
    </row>
    <row r="1936" spans="1:1" x14ac:dyDescent="0.55000000000000004">
      <c r="A1936" s="17"/>
    </row>
    <row r="1937" spans="1:1" x14ac:dyDescent="0.55000000000000004">
      <c r="A1937" s="17"/>
    </row>
    <row r="1938" spans="1:1" x14ac:dyDescent="0.55000000000000004">
      <c r="A1938" s="17"/>
    </row>
    <row r="1939" spans="1:1" x14ac:dyDescent="0.55000000000000004">
      <c r="A1939" s="17"/>
    </row>
    <row r="1940" spans="1:1" x14ac:dyDescent="0.55000000000000004">
      <c r="A1940" s="17"/>
    </row>
    <row r="1941" spans="1:1" x14ac:dyDescent="0.55000000000000004">
      <c r="A1941" s="17"/>
    </row>
    <row r="1942" spans="1:1" x14ac:dyDescent="0.55000000000000004">
      <c r="A1942" s="17"/>
    </row>
    <row r="1943" spans="1:1" x14ac:dyDescent="0.55000000000000004">
      <c r="A1943" s="17"/>
    </row>
    <row r="1944" spans="1:1" x14ac:dyDescent="0.55000000000000004">
      <c r="A1944" s="17"/>
    </row>
    <row r="1945" spans="1:1" x14ac:dyDescent="0.55000000000000004">
      <c r="A1945" s="17"/>
    </row>
    <row r="1946" spans="1:1" x14ac:dyDescent="0.55000000000000004">
      <c r="A1946" s="17"/>
    </row>
    <row r="1947" spans="1:1" x14ac:dyDescent="0.55000000000000004">
      <c r="A1947" s="17"/>
    </row>
    <row r="1948" spans="1:1" x14ac:dyDescent="0.55000000000000004">
      <c r="A1948" s="17"/>
    </row>
    <row r="1949" spans="1:1" x14ac:dyDescent="0.55000000000000004">
      <c r="A1949" s="17"/>
    </row>
    <row r="1950" spans="1:1" x14ac:dyDescent="0.55000000000000004">
      <c r="A1950" s="17"/>
    </row>
    <row r="1951" spans="1:1" x14ac:dyDescent="0.55000000000000004">
      <c r="A1951" s="17"/>
    </row>
    <row r="1952" spans="1:1" x14ac:dyDescent="0.55000000000000004">
      <c r="A1952" s="17"/>
    </row>
    <row r="1953" spans="1:1" x14ac:dyDescent="0.55000000000000004">
      <c r="A1953" s="17"/>
    </row>
    <row r="1954" spans="1:1" x14ac:dyDescent="0.55000000000000004">
      <c r="A1954" s="17"/>
    </row>
    <row r="1955" spans="1:1" x14ac:dyDescent="0.55000000000000004">
      <c r="A1955" s="17"/>
    </row>
    <row r="1956" spans="1:1" x14ac:dyDescent="0.55000000000000004">
      <c r="A1956" s="17"/>
    </row>
    <row r="1957" spans="1:1" x14ac:dyDescent="0.55000000000000004">
      <c r="A1957" s="17"/>
    </row>
    <row r="1958" spans="1:1" x14ac:dyDescent="0.55000000000000004">
      <c r="A1958" s="17"/>
    </row>
    <row r="1959" spans="1:1" x14ac:dyDescent="0.55000000000000004">
      <c r="A1959" s="17"/>
    </row>
    <row r="1960" spans="1:1" x14ac:dyDescent="0.55000000000000004">
      <c r="A1960" s="17"/>
    </row>
    <row r="1961" spans="1:1" x14ac:dyDescent="0.55000000000000004">
      <c r="A1961" s="17"/>
    </row>
    <row r="1962" spans="1:1" x14ac:dyDescent="0.55000000000000004">
      <c r="A1962" s="17"/>
    </row>
    <row r="1963" spans="1:1" x14ac:dyDescent="0.55000000000000004">
      <c r="A1963" s="17"/>
    </row>
    <row r="1964" spans="1:1" x14ac:dyDescent="0.55000000000000004">
      <c r="A1964" s="17"/>
    </row>
    <row r="1965" spans="1:1" x14ac:dyDescent="0.55000000000000004">
      <c r="A1965" s="17"/>
    </row>
    <row r="1966" spans="1:1" x14ac:dyDescent="0.55000000000000004">
      <c r="A1966" s="17"/>
    </row>
    <row r="1967" spans="1:1" x14ac:dyDescent="0.55000000000000004">
      <c r="A1967" s="17"/>
    </row>
    <row r="1968" spans="1:1" x14ac:dyDescent="0.55000000000000004">
      <c r="A1968" s="17"/>
    </row>
    <row r="1969" spans="1:1" x14ac:dyDescent="0.55000000000000004">
      <c r="A1969" s="17"/>
    </row>
    <row r="1970" spans="1:1" x14ac:dyDescent="0.55000000000000004">
      <c r="A1970" s="17"/>
    </row>
    <row r="1971" spans="1:1" x14ac:dyDescent="0.55000000000000004">
      <c r="A1971" s="17"/>
    </row>
    <row r="1972" spans="1:1" x14ac:dyDescent="0.55000000000000004">
      <c r="A1972" s="17"/>
    </row>
    <row r="1973" spans="1:1" x14ac:dyDescent="0.55000000000000004">
      <c r="A1973" s="17"/>
    </row>
    <row r="1974" spans="1:1" x14ac:dyDescent="0.55000000000000004">
      <c r="A1974" s="17"/>
    </row>
    <row r="1975" spans="1:1" x14ac:dyDescent="0.55000000000000004">
      <c r="A1975" s="17"/>
    </row>
    <row r="1976" spans="1:1" x14ac:dyDescent="0.55000000000000004">
      <c r="A1976" s="17"/>
    </row>
    <row r="1977" spans="1:1" x14ac:dyDescent="0.55000000000000004">
      <c r="A1977" s="17"/>
    </row>
    <row r="1978" spans="1:1" x14ac:dyDescent="0.55000000000000004">
      <c r="A1978" s="17"/>
    </row>
    <row r="1979" spans="1:1" x14ac:dyDescent="0.55000000000000004">
      <c r="A1979" s="17"/>
    </row>
    <row r="1980" spans="1:1" x14ac:dyDescent="0.55000000000000004">
      <c r="A1980" s="17"/>
    </row>
    <row r="1981" spans="1:1" x14ac:dyDescent="0.55000000000000004">
      <c r="A1981" s="17"/>
    </row>
    <row r="1982" spans="1:1" x14ac:dyDescent="0.55000000000000004">
      <c r="A1982" s="17"/>
    </row>
    <row r="1983" spans="1:1" x14ac:dyDescent="0.55000000000000004">
      <c r="A1983" s="17"/>
    </row>
    <row r="1984" spans="1:1" x14ac:dyDescent="0.55000000000000004">
      <c r="A1984" s="17"/>
    </row>
    <row r="1985" spans="1:1" x14ac:dyDescent="0.55000000000000004">
      <c r="A1985" s="17"/>
    </row>
    <row r="1986" spans="1:1" x14ac:dyDescent="0.55000000000000004">
      <c r="A1986" s="17"/>
    </row>
    <row r="1987" spans="1:1" x14ac:dyDescent="0.55000000000000004">
      <c r="A1987" s="17"/>
    </row>
    <row r="1988" spans="1:1" x14ac:dyDescent="0.55000000000000004">
      <c r="A1988" s="17"/>
    </row>
    <row r="1989" spans="1:1" x14ac:dyDescent="0.55000000000000004">
      <c r="A1989" s="17"/>
    </row>
    <row r="1990" spans="1:1" x14ac:dyDescent="0.55000000000000004">
      <c r="A1990" s="17"/>
    </row>
    <row r="1991" spans="1:1" x14ac:dyDescent="0.55000000000000004">
      <c r="A1991" s="17"/>
    </row>
    <row r="1992" spans="1:1" x14ac:dyDescent="0.55000000000000004">
      <c r="A1992" s="17"/>
    </row>
    <row r="1993" spans="1:1" x14ac:dyDescent="0.55000000000000004">
      <c r="A1993" s="17"/>
    </row>
    <row r="1994" spans="1:1" x14ac:dyDescent="0.55000000000000004">
      <c r="A1994" s="17"/>
    </row>
    <row r="1995" spans="1:1" x14ac:dyDescent="0.55000000000000004">
      <c r="A1995" s="17"/>
    </row>
    <row r="1996" spans="1:1" x14ac:dyDescent="0.55000000000000004">
      <c r="A1996" s="17"/>
    </row>
    <row r="1997" spans="1:1" x14ac:dyDescent="0.55000000000000004">
      <c r="A1997" s="17"/>
    </row>
    <row r="1998" spans="1:1" x14ac:dyDescent="0.55000000000000004">
      <c r="A1998" s="17"/>
    </row>
    <row r="1999" spans="1:1" x14ac:dyDescent="0.55000000000000004">
      <c r="A1999" s="17"/>
    </row>
    <row r="2000" spans="1:1" x14ac:dyDescent="0.55000000000000004">
      <c r="A2000" s="17"/>
    </row>
    <row r="2001" spans="1:1" x14ac:dyDescent="0.55000000000000004">
      <c r="A2001" s="17"/>
    </row>
    <row r="2002" spans="1:1" x14ac:dyDescent="0.55000000000000004">
      <c r="A2002" s="17"/>
    </row>
    <row r="2003" spans="1:1" x14ac:dyDescent="0.55000000000000004">
      <c r="A2003" s="17"/>
    </row>
    <row r="2004" spans="1:1" x14ac:dyDescent="0.55000000000000004">
      <c r="A2004" s="17"/>
    </row>
    <row r="2005" spans="1:1" x14ac:dyDescent="0.55000000000000004">
      <c r="A2005" s="17"/>
    </row>
    <row r="2006" spans="1:1" x14ac:dyDescent="0.55000000000000004">
      <c r="A2006" s="17"/>
    </row>
    <row r="2007" spans="1:1" x14ac:dyDescent="0.55000000000000004">
      <c r="A2007" s="17"/>
    </row>
    <row r="2008" spans="1:1" x14ac:dyDescent="0.55000000000000004">
      <c r="A2008" s="17"/>
    </row>
    <row r="2009" spans="1:1" x14ac:dyDescent="0.55000000000000004">
      <c r="A2009" s="17"/>
    </row>
    <row r="2010" spans="1:1" x14ac:dyDescent="0.55000000000000004">
      <c r="A2010" s="17"/>
    </row>
    <row r="2011" spans="1:1" x14ac:dyDescent="0.55000000000000004">
      <c r="A2011" s="17"/>
    </row>
    <row r="2012" spans="1:1" x14ac:dyDescent="0.55000000000000004">
      <c r="A2012" s="17"/>
    </row>
    <row r="2013" spans="1:1" x14ac:dyDescent="0.55000000000000004">
      <c r="A2013" s="17"/>
    </row>
    <row r="2014" spans="1:1" x14ac:dyDescent="0.55000000000000004">
      <c r="A2014" s="17"/>
    </row>
    <row r="2015" spans="1:1" x14ac:dyDescent="0.55000000000000004">
      <c r="A2015" s="17"/>
    </row>
    <row r="2016" spans="1:1" x14ac:dyDescent="0.55000000000000004">
      <c r="A2016" s="17"/>
    </row>
    <row r="2017" spans="1:1" x14ac:dyDescent="0.55000000000000004">
      <c r="A2017" s="17"/>
    </row>
    <row r="2018" spans="1:1" x14ac:dyDescent="0.55000000000000004">
      <c r="A2018" s="17"/>
    </row>
    <row r="2019" spans="1:1" x14ac:dyDescent="0.55000000000000004">
      <c r="A2019" s="17"/>
    </row>
    <row r="2020" spans="1:1" x14ac:dyDescent="0.55000000000000004">
      <c r="A2020" s="17"/>
    </row>
    <row r="2021" spans="1:1" x14ac:dyDescent="0.55000000000000004">
      <c r="A2021" s="17"/>
    </row>
    <row r="2022" spans="1:1" x14ac:dyDescent="0.55000000000000004">
      <c r="A2022" s="17"/>
    </row>
    <row r="2023" spans="1:1" x14ac:dyDescent="0.55000000000000004">
      <c r="A2023" s="17"/>
    </row>
    <row r="2024" spans="1:1" x14ac:dyDescent="0.55000000000000004">
      <c r="A2024" s="17"/>
    </row>
    <row r="2025" spans="1:1" x14ac:dyDescent="0.55000000000000004">
      <c r="A2025" s="17"/>
    </row>
    <row r="2026" spans="1:1" x14ac:dyDescent="0.55000000000000004">
      <c r="A2026" s="17"/>
    </row>
    <row r="2027" spans="1:1" x14ac:dyDescent="0.55000000000000004">
      <c r="A2027" s="17"/>
    </row>
    <row r="2028" spans="1:1" x14ac:dyDescent="0.55000000000000004">
      <c r="A2028" s="17"/>
    </row>
    <row r="2029" spans="1:1" x14ac:dyDescent="0.55000000000000004">
      <c r="A2029" s="17"/>
    </row>
    <row r="2030" spans="1:1" x14ac:dyDescent="0.55000000000000004">
      <c r="A2030" s="17"/>
    </row>
    <row r="2031" spans="1:1" x14ac:dyDescent="0.55000000000000004">
      <c r="A2031" s="17"/>
    </row>
    <row r="2032" spans="1:1" x14ac:dyDescent="0.55000000000000004">
      <c r="A2032" s="17"/>
    </row>
    <row r="2033" spans="1:1" x14ac:dyDescent="0.55000000000000004">
      <c r="A2033" s="17"/>
    </row>
    <row r="2034" spans="1:1" x14ac:dyDescent="0.55000000000000004">
      <c r="A2034" s="17"/>
    </row>
    <row r="2035" spans="1:1" x14ac:dyDescent="0.55000000000000004">
      <c r="A2035" s="17"/>
    </row>
    <row r="2036" spans="1:1" x14ac:dyDescent="0.55000000000000004">
      <c r="A2036" s="17"/>
    </row>
    <row r="2037" spans="1:1" x14ac:dyDescent="0.55000000000000004">
      <c r="A2037" s="17"/>
    </row>
    <row r="2038" spans="1:1" x14ac:dyDescent="0.55000000000000004">
      <c r="A2038" s="17"/>
    </row>
    <row r="2039" spans="1:1" x14ac:dyDescent="0.55000000000000004">
      <c r="A2039" s="17"/>
    </row>
    <row r="2040" spans="1:1" x14ac:dyDescent="0.55000000000000004">
      <c r="A2040" s="17"/>
    </row>
    <row r="2041" spans="1:1" x14ac:dyDescent="0.55000000000000004">
      <c r="A2041" s="17"/>
    </row>
    <row r="2042" spans="1:1" x14ac:dyDescent="0.55000000000000004">
      <c r="A2042" s="17"/>
    </row>
    <row r="2043" spans="1:1" x14ac:dyDescent="0.55000000000000004">
      <c r="A2043" s="17"/>
    </row>
    <row r="2044" spans="1:1" x14ac:dyDescent="0.55000000000000004">
      <c r="A2044" s="17"/>
    </row>
    <row r="2045" spans="1:1" x14ac:dyDescent="0.55000000000000004">
      <c r="A2045" s="17"/>
    </row>
    <row r="2046" spans="1:1" x14ac:dyDescent="0.55000000000000004">
      <c r="A2046" s="17"/>
    </row>
    <row r="2047" spans="1:1" x14ac:dyDescent="0.55000000000000004">
      <c r="A2047" s="17"/>
    </row>
    <row r="2048" spans="1:1" x14ac:dyDescent="0.55000000000000004">
      <c r="A2048" s="17"/>
    </row>
    <row r="2049" spans="1:1" x14ac:dyDescent="0.55000000000000004">
      <c r="A2049" s="17"/>
    </row>
    <row r="2050" spans="1:1" x14ac:dyDescent="0.55000000000000004">
      <c r="A2050" s="17"/>
    </row>
    <row r="2051" spans="1:1" x14ac:dyDescent="0.55000000000000004">
      <c r="A2051" s="17"/>
    </row>
    <row r="2052" spans="1:1" x14ac:dyDescent="0.55000000000000004">
      <c r="A2052" s="17"/>
    </row>
    <row r="2053" spans="1:1" x14ac:dyDescent="0.55000000000000004">
      <c r="A2053" s="17"/>
    </row>
    <row r="2054" spans="1:1" x14ac:dyDescent="0.55000000000000004">
      <c r="A2054" s="17"/>
    </row>
    <row r="2055" spans="1:1" x14ac:dyDescent="0.55000000000000004">
      <c r="A2055" s="17"/>
    </row>
    <row r="2056" spans="1:1" x14ac:dyDescent="0.55000000000000004">
      <c r="A2056" s="17"/>
    </row>
    <row r="2057" spans="1:1" x14ac:dyDescent="0.55000000000000004">
      <c r="A2057" s="17"/>
    </row>
    <row r="2058" spans="1:1" x14ac:dyDescent="0.55000000000000004">
      <c r="A2058" s="17"/>
    </row>
    <row r="2059" spans="1:1" x14ac:dyDescent="0.55000000000000004">
      <c r="A2059" s="17"/>
    </row>
    <row r="2060" spans="1:1" x14ac:dyDescent="0.55000000000000004">
      <c r="A2060" s="17"/>
    </row>
    <row r="2061" spans="1:1" x14ac:dyDescent="0.55000000000000004">
      <c r="A2061" s="17"/>
    </row>
    <row r="2062" spans="1:1" x14ac:dyDescent="0.55000000000000004">
      <c r="A2062" s="17"/>
    </row>
    <row r="2063" spans="1:1" x14ac:dyDescent="0.55000000000000004">
      <c r="A2063" s="17"/>
    </row>
    <row r="2064" spans="1:1" x14ac:dyDescent="0.55000000000000004">
      <c r="A2064" s="17"/>
    </row>
    <row r="2065" spans="1:1" x14ac:dyDescent="0.55000000000000004">
      <c r="A2065" s="17"/>
    </row>
    <row r="2066" spans="1:1" x14ac:dyDescent="0.55000000000000004">
      <c r="A2066" s="17"/>
    </row>
    <row r="2067" spans="1:1" x14ac:dyDescent="0.55000000000000004">
      <c r="A2067" s="17"/>
    </row>
    <row r="2068" spans="1:1" x14ac:dyDescent="0.55000000000000004">
      <c r="A2068" s="17"/>
    </row>
    <row r="2069" spans="1:1" x14ac:dyDescent="0.55000000000000004">
      <c r="A2069" s="17"/>
    </row>
    <row r="2070" spans="1:1" x14ac:dyDescent="0.55000000000000004">
      <c r="A2070" s="17"/>
    </row>
    <row r="2071" spans="1:1" x14ac:dyDescent="0.55000000000000004">
      <c r="A2071" s="17"/>
    </row>
    <row r="2072" spans="1:1" x14ac:dyDescent="0.55000000000000004">
      <c r="A2072" s="17"/>
    </row>
    <row r="2073" spans="1:1" x14ac:dyDescent="0.55000000000000004">
      <c r="A2073" s="17"/>
    </row>
    <row r="2074" spans="1:1" x14ac:dyDescent="0.55000000000000004">
      <c r="A2074" s="17"/>
    </row>
    <row r="2075" spans="1:1" x14ac:dyDescent="0.55000000000000004">
      <c r="A2075" s="17"/>
    </row>
    <row r="2076" spans="1:1" x14ac:dyDescent="0.55000000000000004">
      <c r="A2076" s="17"/>
    </row>
    <row r="2077" spans="1:1" x14ac:dyDescent="0.55000000000000004">
      <c r="A2077" s="17"/>
    </row>
    <row r="2078" spans="1:1" x14ac:dyDescent="0.55000000000000004">
      <c r="A2078" s="17"/>
    </row>
    <row r="2079" spans="1:1" x14ac:dyDescent="0.55000000000000004">
      <c r="A2079" s="17"/>
    </row>
    <row r="2080" spans="1:1" x14ac:dyDescent="0.55000000000000004">
      <c r="A2080" s="17"/>
    </row>
    <row r="2081" spans="1:1" x14ac:dyDescent="0.55000000000000004">
      <c r="A2081" s="17"/>
    </row>
    <row r="2082" spans="1:1" x14ac:dyDescent="0.55000000000000004">
      <c r="A2082" s="17"/>
    </row>
    <row r="2083" spans="1:1" x14ac:dyDescent="0.55000000000000004">
      <c r="A2083" s="17"/>
    </row>
    <row r="2084" spans="1:1" x14ac:dyDescent="0.55000000000000004">
      <c r="A2084" s="17"/>
    </row>
    <row r="2085" spans="1:1" x14ac:dyDescent="0.55000000000000004">
      <c r="A2085" s="17"/>
    </row>
    <row r="2086" spans="1:1" x14ac:dyDescent="0.55000000000000004">
      <c r="A2086" s="17"/>
    </row>
    <row r="2087" spans="1:1" x14ac:dyDescent="0.55000000000000004">
      <c r="A2087" s="17"/>
    </row>
    <row r="2088" spans="1:1" x14ac:dyDescent="0.55000000000000004">
      <c r="A2088" s="17"/>
    </row>
    <row r="2089" spans="1:1" x14ac:dyDescent="0.55000000000000004">
      <c r="A2089" s="17"/>
    </row>
    <row r="2090" spans="1:1" x14ac:dyDescent="0.55000000000000004">
      <c r="A2090" s="17"/>
    </row>
    <row r="2091" spans="1:1" x14ac:dyDescent="0.55000000000000004">
      <c r="A2091" s="17"/>
    </row>
    <row r="2092" spans="1:1" x14ac:dyDescent="0.55000000000000004">
      <c r="A2092" s="17"/>
    </row>
    <row r="2093" spans="1:1" x14ac:dyDescent="0.55000000000000004">
      <c r="A2093" s="17"/>
    </row>
    <row r="2094" spans="1:1" x14ac:dyDescent="0.55000000000000004">
      <c r="A2094" s="17"/>
    </row>
    <row r="2095" spans="1:1" x14ac:dyDescent="0.55000000000000004">
      <c r="A2095" s="17"/>
    </row>
    <row r="2096" spans="1:1" x14ac:dyDescent="0.55000000000000004">
      <c r="A2096" s="17"/>
    </row>
    <row r="2097" spans="1:1" x14ac:dyDescent="0.55000000000000004">
      <c r="A2097" s="17"/>
    </row>
    <row r="2098" spans="1:1" x14ac:dyDescent="0.55000000000000004">
      <c r="A2098" s="17"/>
    </row>
    <row r="2099" spans="1:1" x14ac:dyDescent="0.55000000000000004">
      <c r="A2099" s="17"/>
    </row>
    <row r="2100" spans="1:1" x14ac:dyDescent="0.55000000000000004">
      <c r="A2100" s="17"/>
    </row>
    <row r="2101" spans="1:1" x14ac:dyDescent="0.55000000000000004">
      <c r="A2101" s="17"/>
    </row>
    <row r="2102" spans="1:1" x14ac:dyDescent="0.55000000000000004">
      <c r="A2102" s="17"/>
    </row>
    <row r="2103" spans="1:1" x14ac:dyDescent="0.55000000000000004">
      <c r="A2103" s="17"/>
    </row>
    <row r="2104" spans="1:1" x14ac:dyDescent="0.55000000000000004">
      <c r="A2104" s="17"/>
    </row>
    <row r="2105" spans="1:1" x14ac:dyDescent="0.55000000000000004">
      <c r="A2105" s="17"/>
    </row>
    <row r="2106" spans="1:1" x14ac:dyDescent="0.55000000000000004">
      <c r="A2106" s="17"/>
    </row>
    <row r="2107" spans="1:1" x14ac:dyDescent="0.55000000000000004">
      <c r="A2107" s="17"/>
    </row>
    <row r="2108" spans="1:1" x14ac:dyDescent="0.55000000000000004">
      <c r="A2108" s="17"/>
    </row>
    <row r="2109" spans="1:1" x14ac:dyDescent="0.55000000000000004">
      <c r="A2109" s="17"/>
    </row>
    <row r="2110" spans="1:1" x14ac:dyDescent="0.55000000000000004">
      <c r="A2110" s="17"/>
    </row>
    <row r="2111" spans="1:1" x14ac:dyDescent="0.55000000000000004">
      <c r="A2111" s="17"/>
    </row>
    <row r="2112" spans="1:1" x14ac:dyDescent="0.55000000000000004">
      <c r="A2112" s="17"/>
    </row>
    <row r="2113" spans="1:1" x14ac:dyDescent="0.55000000000000004">
      <c r="A2113" s="17"/>
    </row>
    <row r="2114" spans="1:1" x14ac:dyDescent="0.55000000000000004">
      <c r="A2114" s="17"/>
    </row>
    <row r="2115" spans="1:1" x14ac:dyDescent="0.55000000000000004">
      <c r="A2115" s="17"/>
    </row>
    <row r="2116" spans="1:1" x14ac:dyDescent="0.55000000000000004">
      <c r="A2116" s="17"/>
    </row>
    <row r="2117" spans="1:1" x14ac:dyDescent="0.55000000000000004">
      <c r="A2117" s="17"/>
    </row>
    <row r="2118" spans="1:1" x14ac:dyDescent="0.55000000000000004">
      <c r="A2118" s="17"/>
    </row>
    <row r="2119" spans="1:1" x14ac:dyDescent="0.55000000000000004">
      <c r="A2119" s="17"/>
    </row>
    <row r="2120" spans="1:1" x14ac:dyDescent="0.55000000000000004">
      <c r="A2120" s="17"/>
    </row>
    <row r="2121" spans="1:1" x14ac:dyDescent="0.55000000000000004">
      <c r="A2121" s="17"/>
    </row>
    <row r="2122" spans="1:1" x14ac:dyDescent="0.55000000000000004">
      <c r="A2122" s="17"/>
    </row>
    <row r="2123" spans="1:1" x14ac:dyDescent="0.55000000000000004">
      <c r="A2123" s="17"/>
    </row>
    <row r="2124" spans="1:1" x14ac:dyDescent="0.55000000000000004">
      <c r="A2124" s="17"/>
    </row>
    <row r="2125" spans="1:1" x14ac:dyDescent="0.55000000000000004">
      <c r="A2125" s="17"/>
    </row>
    <row r="2126" spans="1:1" x14ac:dyDescent="0.55000000000000004">
      <c r="A2126" s="17"/>
    </row>
    <row r="2127" spans="1:1" x14ac:dyDescent="0.55000000000000004">
      <c r="A2127" s="17"/>
    </row>
    <row r="2128" spans="1:1" x14ac:dyDescent="0.55000000000000004">
      <c r="A2128" s="17"/>
    </row>
    <row r="2129" spans="1:1" x14ac:dyDescent="0.55000000000000004">
      <c r="A2129" s="17"/>
    </row>
    <row r="2130" spans="1:1" x14ac:dyDescent="0.55000000000000004">
      <c r="A2130" s="17"/>
    </row>
    <row r="2131" spans="1:1" x14ac:dyDescent="0.55000000000000004">
      <c r="A2131" s="17"/>
    </row>
    <row r="2132" spans="1:1" x14ac:dyDescent="0.55000000000000004">
      <c r="A2132" s="17"/>
    </row>
    <row r="2133" spans="1:1" x14ac:dyDescent="0.55000000000000004">
      <c r="A2133" s="17"/>
    </row>
    <row r="2134" spans="1:1" x14ac:dyDescent="0.55000000000000004">
      <c r="A2134" s="17"/>
    </row>
    <row r="2135" spans="1:1" x14ac:dyDescent="0.55000000000000004">
      <c r="A2135" s="17"/>
    </row>
    <row r="2136" spans="1:1" x14ac:dyDescent="0.55000000000000004">
      <c r="A2136" s="17"/>
    </row>
    <row r="2137" spans="1:1" x14ac:dyDescent="0.55000000000000004">
      <c r="A2137" s="17"/>
    </row>
    <row r="2138" spans="1:1" x14ac:dyDescent="0.55000000000000004">
      <c r="A2138" s="17"/>
    </row>
    <row r="2139" spans="1:1" x14ac:dyDescent="0.55000000000000004">
      <c r="A2139" s="17"/>
    </row>
    <row r="2140" spans="1:1" x14ac:dyDescent="0.55000000000000004">
      <c r="A2140" s="17"/>
    </row>
    <row r="2141" spans="1:1" x14ac:dyDescent="0.55000000000000004">
      <c r="A2141" s="17"/>
    </row>
    <row r="2142" spans="1:1" x14ac:dyDescent="0.55000000000000004">
      <c r="A2142" s="17"/>
    </row>
    <row r="2143" spans="1:1" x14ac:dyDescent="0.55000000000000004">
      <c r="A2143" s="17"/>
    </row>
    <row r="2144" spans="1:1" x14ac:dyDescent="0.55000000000000004">
      <c r="A2144" s="17"/>
    </row>
    <row r="2145" spans="1:1" x14ac:dyDescent="0.55000000000000004">
      <c r="A2145" s="17"/>
    </row>
    <row r="2146" spans="1:1" x14ac:dyDescent="0.55000000000000004">
      <c r="A2146" s="17"/>
    </row>
    <row r="2147" spans="1:1" x14ac:dyDescent="0.55000000000000004">
      <c r="A2147" s="17"/>
    </row>
    <row r="2148" spans="1:1" x14ac:dyDescent="0.55000000000000004">
      <c r="A2148" s="17"/>
    </row>
    <row r="2149" spans="1:1" x14ac:dyDescent="0.55000000000000004">
      <c r="A2149" s="17"/>
    </row>
    <row r="2150" spans="1:1" x14ac:dyDescent="0.55000000000000004">
      <c r="A2150" s="17"/>
    </row>
    <row r="2151" spans="1:1" x14ac:dyDescent="0.55000000000000004">
      <c r="A2151" s="17"/>
    </row>
    <row r="2152" spans="1:1" x14ac:dyDescent="0.55000000000000004">
      <c r="A2152" s="17"/>
    </row>
    <row r="2153" spans="1:1" x14ac:dyDescent="0.55000000000000004">
      <c r="A2153" s="17"/>
    </row>
    <row r="2154" spans="1:1" x14ac:dyDescent="0.55000000000000004">
      <c r="A2154" s="17"/>
    </row>
    <row r="2155" spans="1:1" x14ac:dyDescent="0.55000000000000004">
      <c r="A2155" s="17"/>
    </row>
    <row r="2156" spans="1:1" x14ac:dyDescent="0.55000000000000004">
      <c r="A2156" s="17"/>
    </row>
    <row r="2157" spans="1:1" x14ac:dyDescent="0.55000000000000004">
      <c r="A2157" s="17"/>
    </row>
    <row r="2158" spans="1:1" x14ac:dyDescent="0.55000000000000004">
      <c r="A2158" s="17"/>
    </row>
    <row r="2159" spans="1:1" x14ac:dyDescent="0.55000000000000004">
      <c r="A2159" s="17"/>
    </row>
    <row r="2160" spans="1:1" x14ac:dyDescent="0.55000000000000004">
      <c r="A2160" s="17"/>
    </row>
    <row r="2161" spans="1:1" x14ac:dyDescent="0.55000000000000004">
      <c r="A2161" s="17"/>
    </row>
    <row r="2162" spans="1:1" x14ac:dyDescent="0.55000000000000004">
      <c r="A2162" s="17"/>
    </row>
    <row r="2163" spans="1:1" x14ac:dyDescent="0.55000000000000004">
      <c r="A2163" s="17"/>
    </row>
    <row r="2164" spans="1:1" x14ac:dyDescent="0.55000000000000004">
      <c r="A2164" s="17"/>
    </row>
    <row r="2165" spans="1:1" x14ac:dyDescent="0.55000000000000004">
      <c r="A2165" s="17"/>
    </row>
    <row r="2166" spans="1:1" x14ac:dyDescent="0.55000000000000004">
      <c r="A2166" s="17"/>
    </row>
    <row r="2167" spans="1:1" x14ac:dyDescent="0.55000000000000004">
      <c r="A2167" s="17"/>
    </row>
    <row r="2168" spans="1:1" x14ac:dyDescent="0.55000000000000004">
      <c r="A2168" s="17"/>
    </row>
    <row r="2169" spans="1:1" x14ac:dyDescent="0.55000000000000004">
      <c r="A2169" s="17"/>
    </row>
    <row r="2170" spans="1:1" x14ac:dyDescent="0.55000000000000004">
      <c r="A2170" s="17"/>
    </row>
    <row r="2171" spans="1:1" x14ac:dyDescent="0.55000000000000004">
      <c r="A2171" s="17"/>
    </row>
    <row r="2172" spans="1:1" x14ac:dyDescent="0.55000000000000004">
      <c r="A2172" s="17"/>
    </row>
    <row r="2173" spans="1:1" x14ac:dyDescent="0.55000000000000004">
      <c r="A2173" s="17"/>
    </row>
    <row r="2174" spans="1:1" x14ac:dyDescent="0.55000000000000004">
      <c r="A2174" s="17"/>
    </row>
    <row r="2175" spans="1:1" x14ac:dyDescent="0.55000000000000004">
      <c r="A2175" s="17"/>
    </row>
    <row r="2176" spans="1:1" x14ac:dyDescent="0.55000000000000004">
      <c r="A2176" s="17"/>
    </row>
    <row r="2177" spans="1:1" x14ac:dyDescent="0.55000000000000004">
      <c r="A2177" s="17"/>
    </row>
    <row r="2178" spans="1:1" x14ac:dyDescent="0.55000000000000004">
      <c r="A2178" s="17"/>
    </row>
    <row r="2179" spans="1:1" x14ac:dyDescent="0.55000000000000004">
      <c r="A2179" s="17"/>
    </row>
    <row r="2180" spans="1:1" x14ac:dyDescent="0.55000000000000004">
      <c r="A2180" s="17"/>
    </row>
    <row r="2181" spans="1:1" x14ac:dyDescent="0.55000000000000004">
      <c r="A2181" s="17"/>
    </row>
    <row r="2182" spans="1:1" x14ac:dyDescent="0.55000000000000004">
      <c r="A2182" s="17"/>
    </row>
    <row r="2183" spans="1:1" x14ac:dyDescent="0.55000000000000004">
      <c r="A2183" s="17"/>
    </row>
    <row r="2184" spans="1:1" x14ac:dyDescent="0.55000000000000004">
      <c r="A2184" s="17"/>
    </row>
    <row r="2185" spans="1:1" x14ac:dyDescent="0.55000000000000004">
      <c r="A2185" s="17"/>
    </row>
    <row r="2186" spans="1:1" x14ac:dyDescent="0.55000000000000004">
      <c r="A2186" s="17"/>
    </row>
    <row r="2187" spans="1:1" x14ac:dyDescent="0.55000000000000004">
      <c r="A2187" s="17"/>
    </row>
    <row r="2188" spans="1:1" x14ac:dyDescent="0.55000000000000004">
      <c r="A2188" s="17"/>
    </row>
    <row r="2189" spans="1:1" x14ac:dyDescent="0.55000000000000004">
      <c r="A2189" s="17"/>
    </row>
    <row r="2190" spans="1:1" x14ac:dyDescent="0.55000000000000004">
      <c r="A2190" s="17"/>
    </row>
    <row r="2191" spans="1:1" x14ac:dyDescent="0.55000000000000004">
      <c r="A2191" s="17"/>
    </row>
    <row r="2192" spans="1:1" x14ac:dyDescent="0.55000000000000004">
      <c r="A2192" s="17"/>
    </row>
    <row r="2193" spans="1:1" x14ac:dyDescent="0.55000000000000004">
      <c r="A2193" s="17"/>
    </row>
    <row r="2194" spans="1:1" x14ac:dyDescent="0.55000000000000004">
      <c r="A2194" s="17"/>
    </row>
    <row r="2195" spans="1:1" x14ac:dyDescent="0.55000000000000004">
      <c r="A2195" s="17"/>
    </row>
    <row r="2196" spans="1:1" x14ac:dyDescent="0.55000000000000004">
      <c r="A2196" s="17"/>
    </row>
    <row r="2197" spans="1:1" x14ac:dyDescent="0.55000000000000004">
      <c r="A2197" s="17"/>
    </row>
    <row r="2198" spans="1:1" x14ac:dyDescent="0.55000000000000004">
      <c r="A2198" s="17"/>
    </row>
    <row r="2199" spans="1:1" x14ac:dyDescent="0.55000000000000004">
      <c r="A2199" s="17"/>
    </row>
    <row r="2200" spans="1:1" x14ac:dyDescent="0.55000000000000004">
      <c r="A2200" s="17"/>
    </row>
    <row r="2201" spans="1:1" x14ac:dyDescent="0.55000000000000004">
      <c r="A2201" s="17"/>
    </row>
    <row r="2202" spans="1:1" x14ac:dyDescent="0.55000000000000004">
      <c r="A2202" s="17"/>
    </row>
    <row r="2203" spans="1:1" x14ac:dyDescent="0.55000000000000004">
      <c r="A2203" s="17"/>
    </row>
    <row r="2204" spans="1:1" x14ac:dyDescent="0.55000000000000004">
      <c r="A2204" s="17"/>
    </row>
    <row r="2205" spans="1:1" x14ac:dyDescent="0.55000000000000004">
      <c r="A2205" s="17"/>
    </row>
    <row r="2206" spans="1:1" x14ac:dyDescent="0.55000000000000004">
      <c r="A2206" s="17"/>
    </row>
    <row r="2207" spans="1:1" x14ac:dyDescent="0.55000000000000004">
      <c r="A2207" s="17"/>
    </row>
    <row r="2208" spans="1:1" x14ac:dyDescent="0.55000000000000004">
      <c r="A2208" s="17"/>
    </row>
    <row r="2209" spans="1:1" x14ac:dyDescent="0.55000000000000004">
      <c r="A2209" s="17"/>
    </row>
    <row r="2210" spans="1:1" x14ac:dyDescent="0.55000000000000004">
      <c r="A2210" s="17"/>
    </row>
    <row r="2211" spans="1:1" x14ac:dyDescent="0.55000000000000004">
      <c r="A2211" s="17"/>
    </row>
    <row r="2212" spans="1:1" x14ac:dyDescent="0.55000000000000004">
      <c r="A2212" s="17"/>
    </row>
    <row r="2213" spans="1:1" x14ac:dyDescent="0.55000000000000004">
      <c r="A2213" s="17"/>
    </row>
    <row r="2214" spans="1:1" x14ac:dyDescent="0.55000000000000004">
      <c r="A2214" s="17"/>
    </row>
    <row r="2215" spans="1:1" x14ac:dyDescent="0.55000000000000004">
      <c r="A2215" s="17"/>
    </row>
    <row r="2216" spans="1:1" x14ac:dyDescent="0.55000000000000004">
      <c r="A2216" s="17"/>
    </row>
    <row r="2217" spans="1:1" x14ac:dyDescent="0.55000000000000004">
      <c r="A2217" s="17"/>
    </row>
    <row r="2218" spans="1:1" x14ac:dyDescent="0.55000000000000004">
      <c r="A2218" s="17"/>
    </row>
    <row r="2219" spans="1:1" x14ac:dyDescent="0.55000000000000004">
      <c r="A2219" s="17"/>
    </row>
    <row r="2220" spans="1:1" x14ac:dyDescent="0.55000000000000004">
      <c r="A2220" s="17"/>
    </row>
    <row r="2221" spans="1:1" x14ac:dyDescent="0.55000000000000004">
      <c r="A2221" s="17"/>
    </row>
    <row r="2222" spans="1:1" x14ac:dyDescent="0.55000000000000004">
      <c r="A2222" s="17"/>
    </row>
    <row r="2223" spans="1:1" x14ac:dyDescent="0.55000000000000004">
      <c r="A2223" s="17"/>
    </row>
    <row r="2224" spans="1:1" x14ac:dyDescent="0.55000000000000004">
      <c r="A2224" s="17"/>
    </row>
    <row r="2225" spans="1:1" x14ac:dyDescent="0.55000000000000004">
      <c r="A2225" s="17"/>
    </row>
    <row r="2226" spans="1:1" x14ac:dyDescent="0.55000000000000004">
      <c r="A2226" s="17"/>
    </row>
    <row r="2227" spans="1:1" x14ac:dyDescent="0.55000000000000004">
      <c r="A2227" s="17"/>
    </row>
    <row r="2228" spans="1:1" x14ac:dyDescent="0.55000000000000004">
      <c r="A2228" s="17"/>
    </row>
    <row r="2229" spans="1:1" x14ac:dyDescent="0.55000000000000004">
      <c r="A2229" s="17"/>
    </row>
    <row r="2230" spans="1:1" x14ac:dyDescent="0.55000000000000004">
      <c r="A2230" s="17"/>
    </row>
    <row r="2231" spans="1:1" x14ac:dyDescent="0.55000000000000004">
      <c r="A2231" s="17"/>
    </row>
    <row r="2232" spans="1:1" x14ac:dyDescent="0.55000000000000004">
      <c r="A2232" s="17"/>
    </row>
    <row r="2233" spans="1:1" x14ac:dyDescent="0.55000000000000004">
      <c r="A2233" s="17"/>
    </row>
    <row r="2234" spans="1:1" x14ac:dyDescent="0.55000000000000004">
      <c r="A2234" s="17"/>
    </row>
    <row r="2235" spans="1:1" x14ac:dyDescent="0.55000000000000004">
      <c r="A2235" s="17"/>
    </row>
    <row r="2236" spans="1:1" x14ac:dyDescent="0.55000000000000004">
      <c r="A2236" s="17"/>
    </row>
    <row r="2237" spans="1:1" x14ac:dyDescent="0.55000000000000004">
      <c r="A2237" s="17"/>
    </row>
    <row r="2238" spans="1:1" x14ac:dyDescent="0.55000000000000004">
      <c r="A2238" s="17"/>
    </row>
    <row r="2239" spans="1:1" x14ac:dyDescent="0.55000000000000004">
      <c r="A2239" s="17"/>
    </row>
    <row r="2240" spans="1:1" x14ac:dyDescent="0.55000000000000004">
      <c r="A2240" s="17"/>
    </row>
    <row r="2241" spans="1:1" x14ac:dyDescent="0.55000000000000004">
      <c r="A2241" s="17"/>
    </row>
    <row r="2242" spans="1:1" x14ac:dyDescent="0.55000000000000004">
      <c r="A2242" s="17"/>
    </row>
    <row r="2243" spans="1:1" x14ac:dyDescent="0.55000000000000004">
      <c r="A2243" s="17"/>
    </row>
    <row r="2244" spans="1:1" x14ac:dyDescent="0.55000000000000004">
      <c r="A2244" s="17"/>
    </row>
    <row r="2245" spans="1:1" x14ac:dyDescent="0.55000000000000004">
      <c r="A2245" s="17"/>
    </row>
    <row r="2246" spans="1:1" x14ac:dyDescent="0.55000000000000004">
      <c r="A2246" s="17"/>
    </row>
    <row r="2247" spans="1:1" x14ac:dyDescent="0.55000000000000004">
      <c r="A2247" s="17"/>
    </row>
    <row r="2248" spans="1:1" x14ac:dyDescent="0.55000000000000004">
      <c r="A2248" s="17"/>
    </row>
    <row r="2249" spans="1:1" x14ac:dyDescent="0.55000000000000004">
      <c r="A2249" s="17"/>
    </row>
    <row r="2250" spans="1:1" x14ac:dyDescent="0.55000000000000004">
      <c r="A2250" s="17"/>
    </row>
    <row r="2251" spans="1:1" x14ac:dyDescent="0.55000000000000004">
      <c r="A2251" s="17"/>
    </row>
    <row r="2252" spans="1:1" x14ac:dyDescent="0.55000000000000004">
      <c r="A2252" s="17"/>
    </row>
    <row r="2253" spans="1:1" x14ac:dyDescent="0.55000000000000004">
      <c r="A2253" s="17"/>
    </row>
    <row r="2254" spans="1:1" x14ac:dyDescent="0.55000000000000004">
      <c r="A2254" s="17"/>
    </row>
    <row r="2255" spans="1:1" x14ac:dyDescent="0.55000000000000004">
      <c r="A2255" s="17"/>
    </row>
    <row r="2256" spans="1:1" x14ac:dyDescent="0.55000000000000004">
      <c r="A2256" s="17"/>
    </row>
    <row r="2257" spans="1:1" x14ac:dyDescent="0.55000000000000004">
      <c r="A2257" s="17"/>
    </row>
    <row r="2258" spans="1:1" x14ac:dyDescent="0.55000000000000004">
      <c r="A2258" s="17"/>
    </row>
    <row r="2259" spans="1:1" x14ac:dyDescent="0.55000000000000004">
      <c r="A2259" s="17"/>
    </row>
    <row r="2260" spans="1:1" x14ac:dyDescent="0.55000000000000004">
      <c r="A2260" s="17"/>
    </row>
    <row r="2261" spans="1:1" x14ac:dyDescent="0.55000000000000004">
      <c r="A2261" s="17"/>
    </row>
    <row r="2262" spans="1:1" x14ac:dyDescent="0.55000000000000004">
      <c r="A2262" s="17"/>
    </row>
    <row r="2263" spans="1:1" x14ac:dyDescent="0.55000000000000004">
      <c r="A2263" s="17"/>
    </row>
    <row r="2264" spans="1:1" x14ac:dyDescent="0.55000000000000004">
      <c r="A2264" s="17"/>
    </row>
    <row r="2265" spans="1:1" x14ac:dyDescent="0.55000000000000004">
      <c r="A2265" s="17"/>
    </row>
    <row r="2266" spans="1:1" x14ac:dyDescent="0.55000000000000004">
      <c r="A2266" s="17"/>
    </row>
    <row r="2267" spans="1:1" x14ac:dyDescent="0.55000000000000004">
      <c r="A2267" s="17"/>
    </row>
    <row r="2268" spans="1:1" x14ac:dyDescent="0.55000000000000004">
      <c r="A2268" s="17"/>
    </row>
    <row r="2269" spans="1:1" x14ac:dyDescent="0.55000000000000004">
      <c r="A2269" s="17"/>
    </row>
    <row r="2270" spans="1:1" x14ac:dyDescent="0.55000000000000004">
      <c r="A2270" s="17"/>
    </row>
    <row r="2271" spans="1:1" x14ac:dyDescent="0.55000000000000004">
      <c r="A2271" s="17"/>
    </row>
    <row r="2272" spans="1:1" x14ac:dyDescent="0.55000000000000004">
      <c r="A2272" s="17"/>
    </row>
    <row r="2273" spans="1:1" x14ac:dyDescent="0.55000000000000004">
      <c r="A2273" s="17"/>
    </row>
    <row r="2274" spans="1:1" x14ac:dyDescent="0.55000000000000004">
      <c r="A2274" s="17"/>
    </row>
    <row r="2275" spans="1:1" x14ac:dyDescent="0.55000000000000004">
      <c r="A2275" s="17"/>
    </row>
    <row r="2276" spans="1:1" x14ac:dyDescent="0.55000000000000004">
      <c r="A2276" s="17"/>
    </row>
    <row r="2277" spans="1:1" x14ac:dyDescent="0.55000000000000004">
      <c r="A2277" s="17"/>
    </row>
    <row r="2278" spans="1:1" x14ac:dyDescent="0.55000000000000004">
      <c r="A2278" s="17"/>
    </row>
    <row r="2279" spans="1:1" x14ac:dyDescent="0.55000000000000004">
      <c r="A2279" s="17"/>
    </row>
    <row r="2280" spans="1:1" x14ac:dyDescent="0.55000000000000004">
      <c r="A2280" s="17"/>
    </row>
    <row r="2281" spans="1:1" x14ac:dyDescent="0.55000000000000004">
      <c r="A2281" s="17"/>
    </row>
    <row r="2282" spans="1:1" x14ac:dyDescent="0.55000000000000004">
      <c r="A2282" s="17"/>
    </row>
    <row r="2283" spans="1:1" x14ac:dyDescent="0.55000000000000004">
      <c r="A2283" s="17"/>
    </row>
    <row r="2284" spans="1:1" x14ac:dyDescent="0.55000000000000004">
      <c r="A2284" s="17"/>
    </row>
    <row r="2285" spans="1:1" x14ac:dyDescent="0.55000000000000004">
      <c r="A2285" s="17"/>
    </row>
    <row r="2286" spans="1:1" x14ac:dyDescent="0.55000000000000004">
      <c r="A2286" s="17"/>
    </row>
    <row r="2287" spans="1:1" x14ac:dyDescent="0.55000000000000004">
      <c r="A2287" s="17"/>
    </row>
    <row r="2288" spans="1:1" x14ac:dyDescent="0.55000000000000004">
      <c r="A2288" s="17"/>
    </row>
    <row r="2289" spans="1:1" x14ac:dyDescent="0.55000000000000004">
      <c r="A2289" s="17"/>
    </row>
    <row r="2290" spans="1:1" x14ac:dyDescent="0.55000000000000004">
      <c r="A2290" s="17"/>
    </row>
    <row r="2291" spans="1:1" x14ac:dyDescent="0.55000000000000004">
      <c r="A2291" s="17"/>
    </row>
    <row r="2292" spans="1:1" x14ac:dyDescent="0.55000000000000004">
      <c r="A2292" s="17"/>
    </row>
    <row r="2293" spans="1:1" x14ac:dyDescent="0.55000000000000004">
      <c r="A2293" s="17"/>
    </row>
    <row r="2294" spans="1:1" x14ac:dyDescent="0.55000000000000004">
      <c r="A2294" s="17"/>
    </row>
    <row r="2295" spans="1:1" x14ac:dyDescent="0.55000000000000004">
      <c r="A2295" s="17"/>
    </row>
    <row r="2296" spans="1:1" x14ac:dyDescent="0.55000000000000004">
      <c r="A2296" s="17"/>
    </row>
    <row r="2297" spans="1:1" x14ac:dyDescent="0.55000000000000004">
      <c r="A2297" s="17"/>
    </row>
    <row r="2298" spans="1:1" x14ac:dyDescent="0.55000000000000004">
      <c r="A2298" s="17"/>
    </row>
    <row r="2299" spans="1:1" x14ac:dyDescent="0.55000000000000004">
      <c r="A2299" s="17"/>
    </row>
    <row r="2300" spans="1:1" x14ac:dyDescent="0.55000000000000004">
      <c r="A2300" s="17"/>
    </row>
    <row r="2301" spans="1:1" x14ac:dyDescent="0.55000000000000004">
      <c r="A2301" s="17"/>
    </row>
    <row r="2302" spans="1:1" x14ac:dyDescent="0.55000000000000004">
      <c r="A2302" s="17"/>
    </row>
    <row r="2303" spans="1:1" x14ac:dyDescent="0.55000000000000004">
      <c r="A2303" s="17"/>
    </row>
    <row r="2304" spans="1:1" x14ac:dyDescent="0.55000000000000004">
      <c r="A2304" s="17"/>
    </row>
    <row r="2305" spans="1:1" x14ac:dyDescent="0.55000000000000004">
      <c r="A2305" s="17"/>
    </row>
    <row r="2306" spans="1:1" x14ac:dyDescent="0.55000000000000004">
      <c r="A2306" s="17"/>
    </row>
    <row r="2307" spans="1:1" x14ac:dyDescent="0.55000000000000004">
      <c r="A2307" s="17"/>
    </row>
    <row r="2308" spans="1:1" x14ac:dyDescent="0.55000000000000004">
      <c r="A2308" s="17"/>
    </row>
    <row r="2309" spans="1:1" x14ac:dyDescent="0.55000000000000004">
      <c r="A2309" s="17"/>
    </row>
    <row r="2310" spans="1:1" x14ac:dyDescent="0.55000000000000004">
      <c r="A2310" s="17"/>
    </row>
    <row r="2311" spans="1:1" x14ac:dyDescent="0.55000000000000004">
      <c r="A2311" s="17"/>
    </row>
    <row r="2312" spans="1:1" x14ac:dyDescent="0.55000000000000004">
      <c r="A2312" s="17"/>
    </row>
    <row r="2313" spans="1:1" x14ac:dyDescent="0.55000000000000004">
      <c r="A2313" s="17"/>
    </row>
    <row r="2314" spans="1:1" x14ac:dyDescent="0.55000000000000004">
      <c r="A2314" s="17"/>
    </row>
    <row r="2315" spans="1:1" x14ac:dyDescent="0.55000000000000004">
      <c r="A2315" s="17"/>
    </row>
    <row r="2316" spans="1:1" x14ac:dyDescent="0.55000000000000004">
      <c r="A2316" s="17"/>
    </row>
    <row r="2317" spans="1:1" x14ac:dyDescent="0.55000000000000004">
      <c r="A2317" s="17"/>
    </row>
    <row r="2318" spans="1:1" x14ac:dyDescent="0.55000000000000004">
      <c r="A2318" s="17"/>
    </row>
    <row r="2319" spans="1:1" x14ac:dyDescent="0.55000000000000004">
      <c r="A2319" s="17"/>
    </row>
    <row r="2320" spans="1:1" x14ac:dyDescent="0.55000000000000004">
      <c r="A2320" s="17"/>
    </row>
    <row r="2321" spans="1:1" x14ac:dyDescent="0.55000000000000004">
      <c r="A2321" s="17"/>
    </row>
    <row r="2322" spans="1:1" x14ac:dyDescent="0.55000000000000004">
      <c r="A2322" s="17"/>
    </row>
    <row r="2323" spans="1:1" x14ac:dyDescent="0.55000000000000004">
      <c r="A2323" s="17"/>
    </row>
    <row r="2324" spans="1:1" x14ac:dyDescent="0.55000000000000004">
      <c r="A2324" s="17"/>
    </row>
    <row r="2325" spans="1:1" x14ac:dyDescent="0.55000000000000004">
      <c r="A2325" s="17"/>
    </row>
    <row r="2326" spans="1:1" x14ac:dyDescent="0.55000000000000004">
      <c r="A2326" s="17"/>
    </row>
    <row r="2327" spans="1:1" x14ac:dyDescent="0.55000000000000004">
      <c r="A2327" s="17"/>
    </row>
    <row r="2328" spans="1:1" x14ac:dyDescent="0.55000000000000004">
      <c r="A2328" s="17"/>
    </row>
    <row r="2329" spans="1:1" x14ac:dyDescent="0.55000000000000004">
      <c r="A2329" s="17"/>
    </row>
    <row r="2330" spans="1:1" x14ac:dyDescent="0.55000000000000004">
      <c r="A2330" s="17"/>
    </row>
    <row r="2331" spans="1:1" x14ac:dyDescent="0.55000000000000004">
      <c r="A2331" s="17"/>
    </row>
    <row r="2332" spans="1:1" x14ac:dyDescent="0.55000000000000004">
      <c r="A2332" s="17"/>
    </row>
    <row r="2333" spans="1:1" x14ac:dyDescent="0.55000000000000004">
      <c r="A2333" s="17"/>
    </row>
    <row r="2334" spans="1:1" x14ac:dyDescent="0.55000000000000004">
      <c r="A2334" s="17"/>
    </row>
    <row r="2335" spans="1:1" x14ac:dyDescent="0.55000000000000004">
      <c r="A2335" s="17"/>
    </row>
    <row r="2336" spans="1:1" x14ac:dyDescent="0.55000000000000004">
      <c r="A2336" s="17"/>
    </row>
    <row r="2337" spans="1:1" x14ac:dyDescent="0.55000000000000004">
      <c r="A2337" s="17"/>
    </row>
    <row r="2338" spans="1:1" x14ac:dyDescent="0.55000000000000004">
      <c r="A2338" s="17"/>
    </row>
    <row r="2339" spans="1:1" x14ac:dyDescent="0.55000000000000004">
      <c r="A2339" s="17"/>
    </row>
    <row r="2340" spans="1:1" x14ac:dyDescent="0.55000000000000004">
      <c r="A2340" s="17"/>
    </row>
    <row r="2341" spans="1:1" x14ac:dyDescent="0.55000000000000004">
      <c r="A2341" s="17"/>
    </row>
    <row r="2342" spans="1:1" x14ac:dyDescent="0.55000000000000004">
      <c r="A2342" s="17"/>
    </row>
    <row r="2343" spans="1:1" x14ac:dyDescent="0.55000000000000004">
      <c r="A2343" s="17"/>
    </row>
    <row r="2344" spans="1:1" x14ac:dyDescent="0.55000000000000004">
      <c r="A2344" s="17"/>
    </row>
    <row r="2345" spans="1:1" x14ac:dyDescent="0.55000000000000004">
      <c r="A2345" s="17"/>
    </row>
    <row r="2346" spans="1:1" x14ac:dyDescent="0.55000000000000004">
      <c r="A2346" s="17"/>
    </row>
    <row r="2347" spans="1:1" x14ac:dyDescent="0.55000000000000004">
      <c r="A2347" s="17"/>
    </row>
    <row r="2348" spans="1:1" x14ac:dyDescent="0.55000000000000004">
      <c r="A2348" s="17"/>
    </row>
    <row r="2349" spans="1:1" x14ac:dyDescent="0.55000000000000004">
      <c r="A2349" s="17"/>
    </row>
    <row r="2350" spans="1:1" x14ac:dyDescent="0.55000000000000004">
      <c r="A2350" s="17"/>
    </row>
    <row r="2351" spans="1:1" x14ac:dyDescent="0.55000000000000004">
      <c r="A2351" s="17"/>
    </row>
    <row r="2352" spans="1:1" x14ac:dyDescent="0.55000000000000004">
      <c r="A2352" s="17"/>
    </row>
    <row r="2353" spans="1:1" x14ac:dyDescent="0.55000000000000004">
      <c r="A2353" s="17"/>
    </row>
    <row r="2354" spans="1:1" x14ac:dyDescent="0.55000000000000004">
      <c r="A2354" s="17"/>
    </row>
    <row r="2355" spans="1:1" x14ac:dyDescent="0.55000000000000004">
      <c r="A2355" s="17"/>
    </row>
    <row r="2356" spans="1:1" x14ac:dyDescent="0.55000000000000004">
      <c r="A2356" s="17"/>
    </row>
    <row r="2357" spans="1:1" x14ac:dyDescent="0.55000000000000004">
      <c r="A2357" s="17"/>
    </row>
    <row r="2358" spans="1:1" x14ac:dyDescent="0.55000000000000004">
      <c r="A2358" s="17"/>
    </row>
    <row r="2359" spans="1:1" x14ac:dyDescent="0.55000000000000004">
      <c r="A2359" s="17"/>
    </row>
    <row r="2360" spans="1:1" x14ac:dyDescent="0.55000000000000004">
      <c r="A2360" s="17"/>
    </row>
    <row r="2361" spans="1:1" x14ac:dyDescent="0.55000000000000004">
      <c r="A2361" s="17"/>
    </row>
    <row r="2362" spans="1:1" x14ac:dyDescent="0.55000000000000004">
      <c r="A2362" s="17"/>
    </row>
    <row r="2363" spans="1:1" x14ac:dyDescent="0.55000000000000004">
      <c r="A2363" s="17"/>
    </row>
    <row r="2364" spans="1:1" x14ac:dyDescent="0.55000000000000004">
      <c r="A2364" s="17"/>
    </row>
    <row r="2365" spans="1:1" x14ac:dyDescent="0.55000000000000004">
      <c r="A2365" s="17"/>
    </row>
    <row r="2366" spans="1:1" x14ac:dyDescent="0.55000000000000004">
      <c r="A2366" s="17"/>
    </row>
    <row r="2367" spans="1:1" x14ac:dyDescent="0.55000000000000004">
      <c r="A2367" s="17"/>
    </row>
    <row r="2368" spans="1:1" x14ac:dyDescent="0.55000000000000004">
      <c r="A2368" s="17"/>
    </row>
    <row r="2369" spans="1:1" x14ac:dyDescent="0.55000000000000004">
      <c r="A2369" s="17"/>
    </row>
    <row r="2370" spans="1:1" x14ac:dyDescent="0.55000000000000004">
      <c r="A2370" s="17"/>
    </row>
    <row r="2371" spans="1:1" x14ac:dyDescent="0.55000000000000004">
      <c r="A2371" s="17"/>
    </row>
    <row r="2372" spans="1:1" x14ac:dyDescent="0.55000000000000004">
      <c r="A2372" s="17"/>
    </row>
    <row r="2373" spans="1:1" x14ac:dyDescent="0.55000000000000004">
      <c r="A2373" s="17"/>
    </row>
    <row r="2374" spans="1:1" x14ac:dyDescent="0.55000000000000004">
      <c r="A2374" s="17"/>
    </row>
    <row r="2375" spans="1:1" x14ac:dyDescent="0.55000000000000004">
      <c r="A2375" s="17"/>
    </row>
    <row r="2376" spans="1:1" x14ac:dyDescent="0.55000000000000004">
      <c r="A2376" s="17"/>
    </row>
    <row r="2377" spans="1:1" x14ac:dyDescent="0.55000000000000004">
      <c r="A2377" s="17"/>
    </row>
    <row r="2378" spans="1:1" x14ac:dyDescent="0.55000000000000004">
      <c r="A2378" s="17"/>
    </row>
    <row r="2379" spans="1:1" x14ac:dyDescent="0.55000000000000004">
      <c r="A2379" s="17"/>
    </row>
    <row r="2380" spans="1:1" x14ac:dyDescent="0.55000000000000004">
      <c r="A2380" s="17"/>
    </row>
    <row r="2381" spans="1:1" x14ac:dyDescent="0.55000000000000004">
      <c r="A2381" s="17"/>
    </row>
    <row r="2382" spans="1:1" x14ac:dyDescent="0.55000000000000004">
      <c r="A2382" s="17"/>
    </row>
    <row r="2383" spans="1:1" x14ac:dyDescent="0.55000000000000004">
      <c r="A2383" s="17"/>
    </row>
    <row r="2384" spans="1:1" x14ac:dyDescent="0.55000000000000004">
      <c r="A2384" s="17"/>
    </row>
    <row r="2385" spans="1:1" x14ac:dyDescent="0.55000000000000004">
      <c r="A2385" s="17"/>
    </row>
    <row r="2386" spans="1:1" x14ac:dyDescent="0.55000000000000004">
      <c r="A2386" s="17"/>
    </row>
    <row r="2387" spans="1:1" x14ac:dyDescent="0.55000000000000004">
      <c r="A2387" s="17"/>
    </row>
    <row r="2388" spans="1:1" x14ac:dyDescent="0.55000000000000004">
      <c r="A2388" s="17"/>
    </row>
    <row r="2389" spans="1:1" x14ac:dyDescent="0.55000000000000004">
      <c r="A2389" s="17"/>
    </row>
    <row r="2390" spans="1:1" x14ac:dyDescent="0.55000000000000004">
      <c r="A2390" s="17"/>
    </row>
    <row r="2391" spans="1:1" x14ac:dyDescent="0.55000000000000004">
      <c r="A2391" s="17"/>
    </row>
    <row r="2392" spans="1:1" x14ac:dyDescent="0.55000000000000004">
      <c r="A2392" s="17"/>
    </row>
    <row r="2393" spans="1:1" x14ac:dyDescent="0.55000000000000004">
      <c r="A2393" s="17"/>
    </row>
    <row r="2394" spans="1:1" x14ac:dyDescent="0.55000000000000004">
      <c r="A2394" s="17"/>
    </row>
    <row r="2395" spans="1:1" x14ac:dyDescent="0.55000000000000004">
      <c r="A2395" s="17"/>
    </row>
    <row r="2396" spans="1:1" x14ac:dyDescent="0.55000000000000004">
      <c r="A2396" s="17"/>
    </row>
    <row r="2397" spans="1:1" x14ac:dyDescent="0.55000000000000004">
      <c r="A2397" s="17"/>
    </row>
    <row r="2398" spans="1:1" x14ac:dyDescent="0.55000000000000004">
      <c r="A2398" s="17"/>
    </row>
    <row r="2399" spans="1:1" x14ac:dyDescent="0.55000000000000004">
      <c r="A2399" s="17"/>
    </row>
    <row r="2400" spans="1:1" x14ac:dyDescent="0.55000000000000004">
      <c r="A2400" s="17"/>
    </row>
    <row r="2401" spans="1:1" x14ac:dyDescent="0.55000000000000004">
      <c r="A2401" s="17"/>
    </row>
    <row r="2402" spans="1:1" x14ac:dyDescent="0.55000000000000004">
      <c r="A2402" s="17"/>
    </row>
    <row r="2403" spans="1:1" x14ac:dyDescent="0.55000000000000004">
      <c r="A2403" s="17"/>
    </row>
    <row r="2404" spans="1:1" x14ac:dyDescent="0.55000000000000004">
      <c r="A2404" s="17"/>
    </row>
    <row r="2405" spans="1:1" x14ac:dyDescent="0.55000000000000004">
      <c r="A2405" s="17"/>
    </row>
    <row r="2406" spans="1:1" x14ac:dyDescent="0.55000000000000004">
      <c r="A2406" s="17"/>
    </row>
    <row r="2407" spans="1:1" x14ac:dyDescent="0.55000000000000004">
      <c r="A2407" s="17"/>
    </row>
    <row r="2408" spans="1:1" x14ac:dyDescent="0.55000000000000004">
      <c r="A2408" s="17"/>
    </row>
    <row r="2409" spans="1:1" x14ac:dyDescent="0.55000000000000004">
      <c r="A2409" s="17"/>
    </row>
    <row r="2410" spans="1:1" x14ac:dyDescent="0.55000000000000004">
      <c r="A2410" s="17"/>
    </row>
    <row r="2411" spans="1:1" x14ac:dyDescent="0.55000000000000004">
      <c r="A2411" s="17"/>
    </row>
    <row r="2412" spans="1:1" x14ac:dyDescent="0.55000000000000004">
      <c r="A2412" s="17"/>
    </row>
    <row r="2413" spans="1:1" x14ac:dyDescent="0.55000000000000004">
      <c r="A2413" s="17"/>
    </row>
    <row r="2414" spans="1:1" x14ac:dyDescent="0.55000000000000004">
      <c r="A2414" s="17"/>
    </row>
    <row r="2415" spans="1:1" x14ac:dyDescent="0.55000000000000004">
      <c r="A2415" s="17"/>
    </row>
    <row r="2416" spans="1:1" x14ac:dyDescent="0.55000000000000004">
      <c r="A2416" s="17"/>
    </row>
    <row r="2417" spans="1:1" x14ac:dyDescent="0.55000000000000004">
      <c r="A2417" s="17"/>
    </row>
    <row r="2418" spans="1:1" x14ac:dyDescent="0.55000000000000004">
      <c r="A2418" s="17"/>
    </row>
    <row r="2419" spans="1:1" x14ac:dyDescent="0.55000000000000004">
      <c r="A2419" s="17"/>
    </row>
    <row r="2420" spans="1:1" x14ac:dyDescent="0.55000000000000004">
      <c r="A2420" s="17"/>
    </row>
    <row r="2421" spans="1:1" x14ac:dyDescent="0.55000000000000004">
      <c r="A2421" s="17"/>
    </row>
    <row r="2422" spans="1:1" x14ac:dyDescent="0.55000000000000004">
      <c r="A2422" s="17"/>
    </row>
    <row r="2423" spans="1:1" x14ac:dyDescent="0.55000000000000004">
      <c r="A2423" s="17"/>
    </row>
    <row r="2424" spans="1:1" x14ac:dyDescent="0.55000000000000004">
      <c r="A2424" s="17"/>
    </row>
    <row r="2425" spans="1:1" x14ac:dyDescent="0.55000000000000004">
      <c r="A2425" s="17"/>
    </row>
    <row r="2426" spans="1:1" x14ac:dyDescent="0.55000000000000004">
      <c r="A2426" s="17"/>
    </row>
    <row r="2427" spans="1:1" x14ac:dyDescent="0.55000000000000004">
      <c r="A2427" s="17"/>
    </row>
    <row r="2428" spans="1:1" x14ac:dyDescent="0.55000000000000004">
      <c r="A2428" s="17"/>
    </row>
    <row r="2429" spans="1:1" x14ac:dyDescent="0.55000000000000004">
      <c r="A2429" s="17"/>
    </row>
    <row r="2430" spans="1:1" x14ac:dyDescent="0.55000000000000004">
      <c r="A2430" s="17"/>
    </row>
    <row r="2431" spans="1:1" x14ac:dyDescent="0.55000000000000004">
      <c r="A2431" s="17"/>
    </row>
    <row r="2432" spans="1:1" x14ac:dyDescent="0.55000000000000004">
      <c r="A2432" s="17"/>
    </row>
    <row r="2433" spans="1:1" x14ac:dyDescent="0.55000000000000004">
      <c r="A2433" s="17"/>
    </row>
    <row r="2434" spans="1:1" x14ac:dyDescent="0.55000000000000004">
      <c r="A2434" s="17"/>
    </row>
    <row r="2435" spans="1:1" x14ac:dyDescent="0.55000000000000004">
      <c r="A2435" s="17"/>
    </row>
    <row r="2436" spans="1:1" x14ac:dyDescent="0.55000000000000004">
      <c r="A2436" s="17"/>
    </row>
    <row r="2437" spans="1:1" x14ac:dyDescent="0.55000000000000004">
      <c r="A2437" s="17"/>
    </row>
    <row r="2438" spans="1:1" x14ac:dyDescent="0.55000000000000004">
      <c r="A2438" s="17"/>
    </row>
    <row r="2439" spans="1:1" x14ac:dyDescent="0.55000000000000004">
      <c r="A2439" s="17"/>
    </row>
    <row r="2440" spans="1:1" x14ac:dyDescent="0.55000000000000004">
      <c r="A2440" s="17"/>
    </row>
    <row r="2441" spans="1:1" x14ac:dyDescent="0.55000000000000004">
      <c r="A2441" s="17"/>
    </row>
    <row r="2442" spans="1:1" x14ac:dyDescent="0.55000000000000004">
      <c r="A2442" s="17"/>
    </row>
    <row r="2443" spans="1:1" x14ac:dyDescent="0.55000000000000004">
      <c r="A2443" s="17"/>
    </row>
    <row r="2444" spans="1:1" x14ac:dyDescent="0.55000000000000004">
      <c r="A2444" s="17"/>
    </row>
    <row r="2445" spans="1:1" x14ac:dyDescent="0.55000000000000004">
      <c r="A2445" s="17"/>
    </row>
    <row r="2446" spans="1:1" x14ac:dyDescent="0.55000000000000004">
      <c r="A2446" s="17"/>
    </row>
    <row r="2447" spans="1:1" x14ac:dyDescent="0.55000000000000004">
      <c r="A2447" s="17"/>
    </row>
    <row r="2448" spans="1:1" x14ac:dyDescent="0.55000000000000004">
      <c r="A2448" s="17"/>
    </row>
    <row r="2449" spans="1:1" x14ac:dyDescent="0.55000000000000004">
      <c r="A2449" s="17"/>
    </row>
    <row r="2450" spans="1:1" x14ac:dyDescent="0.55000000000000004">
      <c r="A2450" s="17"/>
    </row>
    <row r="2451" spans="1:1" x14ac:dyDescent="0.55000000000000004">
      <c r="A2451" s="17"/>
    </row>
    <row r="2452" spans="1:1" x14ac:dyDescent="0.55000000000000004">
      <c r="A2452" s="17"/>
    </row>
    <row r="2453" spans="1:1" x14ac:dyDescent="0.55000000000000004">
      <c r="A2453" s="17"/>
    </row>
    <row r="2454" spans="1:1" x14ac:dyDescent="0.55000000000000004">
      <c r="A2454" s="17"/>
    </row>
    <row r="2455" spans="1:1" x14ac:dyDescent="0.55000000000000004">
      <c r="A2455" s="17"/>
    </row>
    <row r="2456" spans="1:1" x14ac:dyDescent="0.55000000000000004">
      <c r="A2456" s="17"/>
    </row>
    <row r="2457" spans="1:1" x14ac:dyDescent="0.55000000000000004">
      <c r="A2457" s="17"/>
    </row>
    <row r="2458" spans="1:1" x14ac:dyDescent="0.55000000000000004">
      <c r="A2458" s="17"/>
    </row>
    <row r="2459" spans="1:1" x14ac:dyDescent="0.55000000000000004">
      <c r="A2459" s="17"/>
    </row>
    <row r="2460" spans="1:1" x14ac:dyDescent="0.55000000000000004">
      <c r="A2460" s="17"/>
    </row>
    <row r="2461" spans="1:1" x14ac:dyDescent="0.55000000000000004">
      <c r="A2461" s="17"/>
    </row>
    <row r="2462" spans="1:1" x14ac:dyDescent="0.55000000000000004">
      <c r="A2462" s="17"/>
    </row>
    <row r="2463" spans="1:1" x14ac:dyDescent="0.55000000000000004">
      <c r="A2463" s="17"/>
    </row>
    <row r="2464" spans="1:1" x14ac:dyDescent="0.55000000000000004">
      <c r="A2464" s="17"/>
    </row>
    <row r="2465" spans="1:1" x14ac:dyDescent="0.55000000000000004">
      <c r="A2465" s="17"/>
    </row>
    <row r="2466" spans="1:1" x14ac:dyDescent="0.55000000000000004">
      <c r="A2466" s="17"/>
    </row>
    <row r="2467" spans="1:1" x14ac:dyDescent="0.55000000000000004">
      <c r="A2467" s="17"/>
    </row>
    <row r="2468" spans="1:1" x14ac:dyDescent="0.55000000000000004">
      <c r="A2468" s="17"/>
    </row>
    <row r="2469" spans="1:1" x14ac:dyDescent="0.55000000000000004">
      <c r="A2469" s="17"/>
    </row>
    <row r="2470" spans="1:1" x14ac:dyDescent="0.55000000000000004">
      <c r="A2470" s="17"/>
    </row>
    <row r="2471" spans="1:1" x14ac:dyDescent="0.55000000000000004">
      <c r="A2471" s="17"/>
    </row>
    <row r="2472" spans="1:1" x14ac:dyDescent="0.55000000000000004">
      <c r="A2472" s="17"/>
    </row>
    <row r="2473" spans="1:1" x14ac:dyDescent="0.55000000000000004">
      <c r="A2473" s="17"/>
    </row>
    <row r="2474" spans="1:1" x14ac:dyDescent="0.55000000000000004">
      <c r="A2474" s="17"/>
    </row>
    <row r="2475" spans="1:1" x14ac:dyDescent="0.55000000000000004">
      <c r="A2475" s="17"/>
    </row>
    <row r="2476" spans="1:1" x14ac:dyDescent="0.55000000000000004">
      <c r="A2476" s="17"/>
    </row>
    <row r="2477" spans="1:1" x14ac:dyDescent="0.55000000000000004">
      <c r="A2477" s="17"/>
    </row>
    <row r="2478" spans="1:1" x14ac:dyDescent="0.55000000000000004">
      <c r="A2478" s="17"/>
    </row>
    <row r="2479" spans="1:1" x14ac:dyDescent="0.55000000000000004">
      <c r="A2479" s="17"/>
    </row>
    <row r="2480" spans="1:1" x14ac:dyDescent="0.55000000000000004">
      <c r="A2480" s="17"/>
    </row>
    <row r="2481" spans="1:1" x14ac:dyDescent="0.55000000000000004">
      <c r="A2481" s="17"/>
    </row>
    <row r="2482" spans="1:1" x14ac:dyDescent="0.55000000000000004">
      <c r="A2482" s="17"/>
    </row>
    <row r="2483" spans="1:1" x14ac:dyDescent="0.55000000000000004">
      <c r="A2483" s="17"/>
    </row>
    <row r="2484" spans="1:1" x14ac:dyDescent="0.55000000000000004">
      <c r="A2484" s="17"/>
    </row>
    <row r="2485" spans="1:1" x14ac:dyDescent="0.55000000000000004">
      <c r="A2485" s="17"/>
    </row>
    <row r="2486" spans="1:1" x14ac:dyDescent="0.55000000000000004">
      <c r="A2486" s="17"/>
    </row>
    <row r="2487" spans="1:1" x14ac:dyDescent="0.55000000000000004">
      <c r="A2487" s="17"/>
    </row>
    <row r="2488" spans="1:1" x14ac:dyDescent="0.55000000000000004">
      <c r="A2488" s="17"/>
    </row>
    <row r="2489" spans="1:1" x14ac:dyDescent="0.55000000000000004">
      <c r="A2489" s="17"/>
    </row>
    <row r="2490" spans="1:1" x14ac:dyDescent="0.55000000000000004">
      <c r="A2490" s="17"/>
    </row>
    <row r="2491" spans="1:1" x14ac:dyDescent="0.55000000000000004">
      <c r="A2491" s="17"/>
    </row>
    <row r="2492" spans="1:1" x14ac:dyDescent="0.55000000000000004">
      <c r="A2492" s="17"/>
    </row>
    <row r="2493" spans="1:1" x14ac:dyDescent="0.55000000000000004">
      <c r="A2493" s="17"/>
    </row>
    <row r="2494" spans="1:1" x14ac:dyDescent="0.55000000000000004">
      <c r="A2494" s="17"/>
    </row>
    <row r="2495" spans="1:1" x14ac:dyDescent="0.55000000000000004">
      <c r="A2495" s="17"/>
    </row>
    <row r="2496" spans="1:1" x14ac:dyDescent="0.55000000000000004">
      <c r="A2496" s="17"/>
    </row>
    <row r="2497" spans="1:1" x14ac:dyDescent="0.55000000000000004">
      <c r="A2497" s="17"/>
    </row>
    <row r="2498" spans="1:1" x14ac:dyDescent="0.55000000000000004">
      <c r="A2498" s="17"/>
    </row>
    <row r="2499" spans="1:1" x14ac:dyDescent="0.55000000000000004">
      <c r="A2499" s="17"/>
    </row>
    <row r="2500" spans="1:1" x14ac:dyDescent="0.55000000000000004">
      <c r="A2500" s="17"/>
    </row>
    <row r="2501" spans="1:1" x14ac:dyDescent="0.55000000000000004">
      <c r="A2501" s="17"/>
    </row>
    <row r="2502" spans="1:1" x14ac:dyDescent="0.55000000000000004">
      <c r="A2502" s="17"/>
    </row>
    <row r="2503" spans="1:1" x14ac:dyDescent="0.55000000000000004">
      <c r="A2503" s="17"/>
    </row>
    <row r="2504" spans="1:1" x14ac:dyDescent="0.55000000000000004">
      <c r="A2504" s="17"/>
    </row>
    <row r="2505" spans="1:1" x14ac:dyDescent="0.55000000000000004">
      <c r="A2505" s="17"/>
    </row>
    <row r="2506" spans="1:1" x14ac:dyDescent="0.55000000000000004">
      <c r="A2506" s="17"/>
    </row>
    <row r="2507" spans="1:1" x14ac:dyDescent="0.55000000000000004">
      <c r="A2507" s="17"/>
    </row>
    <row r="2508" spans="1:1" x14ac:dyDescent="0.55000000000000004">
      <c r="A2508" s="17"/>
    </row>
    <row r="2509" spans="1:1" x14ac:dyDescent="0.55000000000000004">
      <c r="A2509" s="17"/>
    </row>
    <row r="2510" spans="1:1" x14ac:dyDescent="0.55000000000000004">
      <c r="A2510" s="17"/>
    </row>
    <row r="2511" spans="1:1" x14ac:dyDescent="0.55000000000000004">
      <c r="A2511" s="17"/>
    </row>
    <row r="2512" spans="1:1" x14ac:dyDescent="0.55000000000000004">
      <c r="A2512" s="17"/>
    </row>
    <row r="2513" spans="1:1" x14ac:dyDescent="0.55000000000000004">
      <c r="A2513" s="17"/>
    </row>
    <row r="2514" spans="1:1" x14ac:dyDescent="0.55000000000000004">
      <c r="A2514" s="17"/>
    </row>
    <row r="2515" spans="1:1" x14ac:dyDescent="0.55000000000000004">
      <c r="A2515" s="17"/>
    </row>
    <row r="2516" spans="1:1" x14ac:dyDescent="0.55000000000000004">
      <c r="A2516" s="17"/>
    </row>
    <row r="2517" spans="1:1" x14ac:dyDescent="0.55000000000000004">
      <c r="A2517" s="17"/>
    </row>
    <row r="2518" spans="1:1" x14ac:dyDescent="0.55000000000000004">
      <c r="A2518" s="17"/>
    </row>
    <row r="2519" spans="1:1" x14ac:dyDescent="0.55000000000000004">
      <c r="A2519" s="17"/>
    </row>
    <row r="2520" spans="1:1" x14ac:dyDescent="0.55000000000000004">
      <c r="A2520" s="17"/>
    </row>
    <row r="2521" spans="1:1" x14ac:dyDescent="0.55000000000000004">
      <c r="A2521" s="17"/>
    </row>
    <row r="2522" spans="1:1" x14ac:dyDescent="0.55000000000000004">
      <c r="A2522" s="17"/>
    </row>
    <row r="2523" spans="1:1" x14ac:dyDescent="0.55000000000000004">
      <c r="A2523" s="17"/>
    </row>
    <row r="2524" spans="1:1" x14ac:dyDescent="0.55000000000000004">
      <c r="A2524" s="17"/>
    </row>
    <row r="2525" spans="1:1" x14ac:dyDescent="0.55000000000000004">
      <c r="A2525" s="17"/>
    </row>
    <row r="2526" spans="1:1" x14ac:dyDescent="0.55000000000000004">
      <c r="A2526" s="17"/>
    </row>
    <row r="2527" spans="1:1" x14ac:dyDescent="0.55000000000000004">
      <c r="A2527" s="17"/>
    </row>
    <row r="2528" spans="1:1" x14ac:dyDescent="0.55000000000000004">
      <c r="A2528" s="17"/>
    </row>
    <row r="2529" spans="1:1" x14ac:dyDescent="0.55000000000000004">
      <c r="A2529" s="17"/>
    </row>
    <row r="2530" spans="1:1" x14ac:dyDescent="0.55000000000000004">
      <c r="A2530" s="17"/>
    </row>
    <row r="2531" spans="1:1" x14ac:dyDescent="0.55000000000000004">
      <c r="A2531" s="17"/>
    </row>
    <row r="2532" spans="1:1" x14ac:dyDescent="0.55000000000000004">
      <c r="A2532" s="17"/>
    </row>
    <row r="2533" spans="1:1" x14ac:dyDescent="0.55000000000000004">
      <c r="A2533" s="17"/>
    </row>
    <row r="2534" spans="1:1" x14ac:dyDescent="0.55000000000000004">
      <c r="A2534" s="17"/>
    </row>
    <row r="2535" spans="1:1" x14ac:dyDescent="0.55000000000000004">
      <c r="A2535" s="17"/>
    </row>
    <row r="2536" spans="1:1" x14ac:dyDescent="0.55000000000000004">
      <c r="A2536" s="17"/>
    </row>
    <row r="2537" spans="1:1" x14ac:dyDescent="0.55000000000000004">
      <c r="A2537" s="17"/>
    </row>
    <row r="2538" spans="1:1" x14ac:dyDescent="0.55000000000000004">
      <c r="A2538" s="17"/>
    </row>
    <row r="2539" spans="1:1" x14ac:dyDescent="0.55000000000000004">
      <c r="A2539" s="17"/>
    </row>
    <row r="2540" spans="1:1" x14ac:dyDescent="0.55000000000000004">
      <c r="A2540" s="17"/>
    </row>
    <row r="2541" spans="1:1" x14ac:dyDescent="0.55000000000000004">
      <c r="A2541" s="17"/>
    </row>
    <row r="2542" spans="1:1" x14ac:dyDescent="0.55000000000000004">
      <c r="A2542" s="17"/>
    </row>
    <row r="2543" spans="1:1" x14ac:dyDescent="0.55000000000000004">
      <c r="A2543" s="17"/>
    </row>
    <row r="2544" spans="1:1" x14ac:dyDescent="0.55000000000000004">
      <c r="A2544" s="17"/>
    </row>
    <row r="2545" spans="1:1" x14ac:dyDescent="0.55000000000000004">
      <c r="A2545" s="17"/>
    </row>
    <row r="2546" spans="1:1" x14ac:dyDescent="0.55000000000000004">
      <c r="A2546" s="17"/>
    </row>
    <row r="2547" spans="1:1" x14ac:dyDescent="0.55000000000000004">
      <c r="A2547" s="17"/>
    </row>
    <row r="2548" spans="1:1" x14ac:dyDescent="0.55000000000000004">
      <c r="A2548" s="17"/>
    </row>
    <row r="2549" spans="1:1" x14ac:dyDescent="0.55000000000000004">
      <c r="A2549" s="17"/>
    </row>
    <row r="2550" spans="1:1" x14ac:dyDescent="0.55000000000000004">
      <c r="A2550" s="17"/>
    </row>
    <row r="2551" spans="1:1" x14ac:dyDescent="0.55000000000000004">
      <c r="A2551" s="17"/>
    </row>
    <row r="2552" spans="1:1" x14ac:dyDescent="0.55000000000000004">
      <c r="A2552" s="17"/>
    </row>
    <row r="2553" spans="1:1" x14ac:dyDescent="0.55000000000000004">
      <c r="A2553" s="17"/>
    </row>
    <row r="2554" spans="1:1" x14ac:dyDescent="0.55000000000000004">
      <c r="A2554" s="17"/>
    </row>
    <row r="2555" spans="1:1" x14ac:dyDescent="0.55000000000000004">
      <c r="A2555" s="17"/>
    </row>
    <row r="2556" spans="1:1" x14ac:dyDescent="0.55000000000000004">
      <c r="A2556" s="17"/>
    </row>
    <row r="2557" spans="1:1" x14ac:dyDescent="0.55000000000000004">
      <c r="A2557" s="17"/>
    </row>
    <row r="2558" spans="1:1" x14ac:dyDescent="0.55000000000000004">
      <c r="A2558" s="17"/>
    </row>
    <row r="2559" spans="1:1" x14ac:dyDescent="0.55000000000000004">
      <c r="A2559" s="17"/>
    </row>
    <row r="2560" spans="1:1" x14ac:dyDescent="0.55000000000000004">
      <c r="A2560" s="17"/>
    </row>
    <row r="2561" spans="1:1" x14ac:dyDescent="0.55000000000000004">
      <c r="A2561" s="17"/>
    </row>
    <row r="2562" spans="1:1" x14ac:dyDescent="0.55000000000000004">
      <c r="A2562" s="17"/>
    </row>
    <row r="2563" spans="1:1" x14ac:dyDescent="0.55000000000000004">
      <c r="A2563" s="17"/>
    </row>
    <row r="2564" spans="1:1" x14ac:dyDescent="0.55000000000000004">
      <c r="A2564" s="17"/>
    </row>
    <row r="2565" spans="1:1" x14ac:dyDescent="0.55000000000000004">
      <c r="A2565" s="17"/>
    </row>
    <row r="2566" spans="1:1" x14ac:dyDescent="0.55000000000000004">
      <c r="A2566" s="17"/>
    </row>
    <row r="2567" spans="1:1" x14ac:dyDescent="0.55000000000000004">
      <c r="A2567" s="17"/>
    </row>
    <row r="2568" spans="1:1" x14ac:dyDescent="0.55000000000000004">
      <c r="A2568" s="17"/>
    </row>
    <row r="2569" spans="1:1" x14ac:dyDescent="0.55000000000000004">
      <c r="A2569" s="17"/>
    </row>
    <row r="2570" spans="1:1" x14ac:dyDescent="0.55000000000000004">
      <c r="A2570" s="17"/>
    </row>
    <row r="2571" spans="1:1" x14ac:dyDescent="0.55000000000000004">
      <c r="A2571" s="17"/>
    </row>
    <row r="2572" spans="1:1" x14ac:dyDescent="0.55000000000000004">
      <c r="A2572" s="17"/>
    </row>
    <row r="2573" spans="1:1" x14ac:dyDescent="0.55000000000000004">
      <c r="A2573" s="17"/>
    </row>
    <row r="2574" spans="1:1" x14ac:dyDescent="0.55000000000000004">
      <c r="A2574" s="17"/>
    </row>
    <row r="2575" spans="1:1" x14ac:dyDescent="0.55000000000000004">
      <c r="A2575" s="17"/>
    </row>
    <row r="2576" spans="1:1" x14ac:dyDescent="0.55000000000000004">
      <c r="A2576" s="17"/>
    </row>
    <row r="2577" spans="1:1" x14ac:dyDescent="0.55000000000000004">
      <c r="A2577" s="17"/>
    </row>
    <row r="2578" spans="1:1" x14ac:dyDescent="0.55000000000000004">
      <c r="A2578" s="17"/>
    </row>
    <row r="2579" spans="1:1" x14ac:dyDescent="0.55000000000000004">
      <c r="A2579" s="17"/>
    </row>
    <row r="2580" spans="1:1" x14ac:dyDescent="0.55000000000000004">
      <c r="A2580" s="17"/>
    </row>
    <row r="2581" spans="1:1" x14ac:dyDescent="0.55000000000000004">
      <c r="A2581" s="17"/>
    </row>
    <row r="2582" spans="1:1" x14ac:dyDescent="0.55000000000000004">
      <c r="A2582" s="17"/>
    </row>
    <row r="2583" spans="1:1" x14ac:dyDescent="0.55000000000000004">
      <c r="A2583" s="17"/>
    </row>
    <row r="2584" spans="1:1" x14ac:dyDescent="0.55000000000000004">
      <c r="A2584" s="17"/>
    </row>
    <row r="2585" spans="1:1" x14ac:dyDescent="0.55000000000000004">
      <c r="A2585" s="17"/>
    </row>
    <row r="2586" spans="1:1" x14ac:dyDescent="0.55000000000000004">
      <c r="A2586" s="17"/>
    </row>
    <row r="2587" spans="1:1" x14ac:dyDescent="0.55000000000000004">
      <c r="A2587" s="17"/>
    </row>
    <row r="2588" spans="1:1" x14ac:dyDescent="0.55000000000000004">
      <c r="A2588" s="17"/>
    </row>
    <row r="2589" spans="1:1" x14ac:dyDescent="0.55000000000000004">
      <c r="A2589" s="17"/>
    </row>
    <row r="2590" spans="1:1" x14ac:dyDescent="0.55000000000000004">
      <c r="A2590" s="17"/>
    </row>
    <row r="2591" spans="1:1" x14ac:dyDescent="0.55000000000000004">
      <c r="A2591" s="17"/>
    </row>
    <row r="2592" spans="1:1" x14ac:dyDescent="0.55000000000000004">
      <c r="A2592" s="17"/>
    </row>
    <row r="2593" spans="1:1" x14ac:dyDescent="0.55000000000000004">
      <c r="A2593" s="17"/>
    </row>
    <row r="2594" spans="1:1" x14ac:dyDescent="0.55000000000000004">
      <c r="A2594" s="17"/>
    </row>
    <row r="2595" spans="1:1" x14ac:dyDescent="0.55000000000000004">
      <c r="A2595" s="17"/>
    </row>
    <row r="2596" spans="1:1" x14ac:dyDescent="0.55000000000000004">
      <c r="A2596" s="17"/>
    </row>
    <row r="2597" spans="1:1" x14ac:dyDescent="0.55000000000000004">
      <c r="A2597" s="17"/>
    </row>
    <row r="2598" spans="1:1" x14ac:dyDescent="0.55000000000000004">
      <c r="A2598" s="17"/>
    </row>
    <row r="2599" spans="1:1" x14ac:dyDescent="0.55000000000000004">
      <c r="A2599" s="17"/>
    </row>
    <row r="2600" spans="1:1" x14ac:dyDescent="0.55000000000000004">
      <c r="A2600" s="17"/>
    </row>
    <row r="2601" spans="1:1" x14ac:dyDescent="0.55000000000000004">
      <c r="A2601" s="17"/>
    </row>
    <row r="2602" spans="1:1" x14ac:dyDescent="0.55000000000000004">
      <c r="A2602" s="17"/>
    </row>
    <row r="2603" spans="1:1" x14ac:dyDescent="0.55000000000000004">
      <c r="A2603" s="17"/>
    </row>
    <row r="2604" spans="1:1" x14ac:dyDescent="0.55000000000000004">
      <c r="A2604" s="17"/>
    </row>
    <row r="2605" spans="1:1" x14ac:dyDescent="0.55000000000000004">
      <c r="A2605" s="17"/>
    </row>
    <row r="2606" spans="1:1" x14ac:dyDescent="0.55000000000000004">
      <c r="A2606" s="17"/>
    </row>
    <row r="2607" spans="1:1" x14ac:dyDescent="0.55000000000000004">
      <c r="A2607" s="17"/>
    </row>
    <row r="2608" spans="1:1" x14ac:dyDescent="0.55000000000000004">
      <c r="A2608" s="17"/>
    </row>
    <row r="2609" spans="1:1" x14ac:dyDescent="0.55000000000000004">
      <c r="A2609" s="17"/>
    </row>
    <row r="2610" spans="1:1" x14ac:dyDescent="0.55000000000000004">
      <c r="A2610" s="17"/>
    </row>
    <row r="2611" spans="1:1" x14ac:dyDescent="0.55000000000000004">
      <c r="A2611" s="17"/>
    </row>
    <row r="2612" spans="1:1" x14ac:dyDescent="0.55000000000000004">
      <c r="A2612" s="17"/>
    </row>
    <row r="2613" spans="1:1" x14ac:dyDescent="0.55000000000000004">
      <c r="A2613" s="17"/>
    </row>
    <row r="2614" spans="1:1" x14ac:dyDescent="0.55000000000000004">
      <c r="A2614" s="17"/>
    </row>
    <row r="2615" spans="1:1" x14ac:dyDescent="0.55000000000000004">
      <c r="A2615" s="17"/>
    </row>
    <row r="2616" spans="1:1" x14ac:dyDescent="0.55000000000000004">
      <c r="A2616" s="17"/>
    </row>
    <row r="2617" spans="1:1" x14ac:dyDescent="0.55000000000000004">
      <c r="A2617" s="17"/>
    </row>
    <row r="2618" spans="1:1" x14ac:dyDescent="0.55000000000000004">
      <c r="A2618" s="17"/>
    </row>
    <row r="2619" spans="1:1" x14ac:dyDescent="0.55000000000000004">
      <c r="A2619" s="17"/>
    </row>
    <row r="2620" spans="1:1" x14ac:dyDescent="0.55000000000000004">
      <c r="A2620" s="17"/>
    </row>
    <row r="2621" spans="1:1" x14ac:dyDescent="0.55000000000000004">
      <c r="A2621" s="17"/>
    </row>
    <row r="2622" spans="1:1" x14ac:dyDescent="0.55000000000000004">
      <c r="A2622" s="17"/>
    </row>
    <row r="2623" spans="1:1" x14ac:dyDescent="0.55000000000000004">
      <c r="A2623" s="17"/>
    </row>
    <row r="2624" spans="1:1" x14ac:dyDescent="0.55000000000000004">
      <c r="A2624" s="17"/>
    </row>
    <row r="2625" spans="1:1" x14ac:dyDescent="0.55000000000000004">
      <c r="A2625" s="17"/>
    </row>
    <row r="2626" spans="1:1" x14ac:dyDescent="0.55000000000000004">
      <c r="A2626" s="17"/>
    </row>
    <row r="2627" spans="1:1" x14ac:dyDescent="0.55000000000000004">
      <c r="A2627" s="17"/>
    </row>
    <row r="2628" spans="1:1" x14ac:dyDescent="0.55000000000000004">
      <c r="A2628" s="17"/>
    </row>
    <row r="2629" spans="1:1" x14ac:dyDescent="0.55000000000000004">
      <c r="A2629" s="17"/>
    </row>
    <row r="2630" spans="1:1" x14ac:dyDescent="0.55000000000000004">
      <c r="A2630" s="17"/>
    </row>
    <row r="2631" spans="1:1" x14ac:dyDescent="0.55000000000000004">
      <c r="A2631" s="17"/>
    </row>
    <row r="2632" spans="1:1" x14ac:dyDescent="0.55000000000000004">
      <c r="A2632" s="17"/>
    </row>
    <row r="2633" spans="1:1" x14ac:dyDescent="0.55000000000000004">
      <c r="A2633" s="17"/>
    </row>
    <row r="2634" spans="1:1" x14ac:dyDescent="0.55000000000000004">
      <c r="A2634" s="17"/>
    </row>
    <row r="2635" spans="1:1" x14ac:dyDescent="0.55000000000000004">
      <c r="A2635" s="17"/>
    </row>
    <row r="2636" spans="1:1" x14ac:dyDescent="0.55000000000000004">
      <c r="A2636" s="17"/>
    </row>
    <row r="2637" spans="1:1" x14ac:dyDescent="0.55000000000000004">
      <c r="A2637" s="17"/>
    </row>
    <row r="2638" spans="1:1" x14ac:dyDescent="0.55000000000000004">
      <c r="A2638" s="17"/>
    </row>
    <row r="2639" spans="1:1" x14ac:dyDescent="0.55000000000000004">
      <c r="A2639" s="17"/>
    </row>
    <row r="2640" spans="1:1" x14ac:dyDescent="0.55000000000000004">
      <c r="A2640" s="17"/>
    </row>
    <row r="2641" spans="1:1" x14ac:dyDescent="0.55000000000000004">
      <c r="A2641" s="17"/>
    </row>
    <row r="2642" spans="1:1" x14ac:dyDescent="0.55000000000000004">
      <c r="A2642" s="17"/>
    </row>
    <row r="2643" spans="1:1" x14ac:dyDescent="0.55000000000000004">
      <c r="A2643" s="17"/>
    </row>
    <row r="2644" spans="1:1" x14ac:dyDescent="0.55000000000000004">
      <c r="A2644" s="17"/>
    </row>
    <row r="2645" spans="1:1" x14ac:dyDescent="0.55000000000000004">
      <c r="A2645" s="17"/>
    </row>
    <row r="2646" spans="1:1" x14ac:dyDescent="0.55000000000000004">
      <c r="A2646" s="17"/>
    </row>
    <row r="2647" spans="1:1" x14ac:dyDescent="0.55000000000000004">
      <c r="A2647" s="17"/>
    </row>
    <row r="2648" spans="1:1" x14ac:dyDescent="0.55000000000000004">
      <c r="A2648" s="17"/>
    </row>
    <row r="2649" spans="1:1" x14ac:dyDescent="0.55000000000000004">
      <c r="A2649" s="17"/>
    </row>
    <row r="2650" spans="1:1" x14ac:dyDescent="0.55000000000000004">
      <c r="A2650" s="17"/>
    </row>
    <row r="2651" spans="1:1" x14ac:dyDescent="0.55000000000000004">
      <c r="A2651" s="17"/>
    </row>
    <row r="2652" spans="1:1" x14ac:dyDescent="0.55000000000000004">
      <c r="A2652" s="17"/>
    </row>
    <row r="2653" spans="1:1" x14ac:dyDescent="0.55000000000000004">
      <c r="A2653" s="17"/>
    </row>
    <row r="2654" spans="1:1" x14ac:dyDescent="0.55000000000000004">
      <c r="A2654" s="17"/>
    </row>
    <row r="2655" spans="1:1" x14ac:dyDescent="0.55000000000000004">
      <c r="A2655" s="17"/>
    </row>
    <row r="2656" spans="1:1" x14ac:dyDescent="0.55000000000000004">
      <c r="A2656" s="17"/>
    </row>
    <row r="2657" spans="1:1" x14ac:dyDescent="0.55000000000000004">
      <c r="A2657" s="17"/>
    </row>
    <row r="2658" spans="1:1" x14ac:dyDescent="0.55000000000000004">
      <c r="A2658" s="17"/>
    </row>
    <row r="2659" spans="1:1" x14ac:dyDescent="0.55000000000000004">
      <c r="A2659" s="17"/>
    </row>
    <row r="2660" spans="1:1" x14ac:dyDescent="0.55000000000000004">
      <c r="A2660" s="17"/>
    </row>
    <row r="2661" spans="1:1" x14ac:dyDescent="0.55000000000000004">
      <c r="A2661" s="17"/>
    </row>
    <row r="2662" spans="1:1" x14ac:dyDescent="0.55000000000000004">
      <c r="A2662" s="17"/>
    </row>
    <row r="2663" spans="1:1" x14ac:dyDescent="0.55000000000000004">
      <c r="A2663" s="17"/>
    </row>
    <row r="2664" spans="1:1" x14ac:dyDescent="0.55000000000000004">
      <c r="A2664" s="17"/>
    </row>
    <row r="2665" spans="1:1" x14ac:dyDescent="0.55000000000000004">
      <c r="A2665" s="17"/>
    </row>
    <row r="2666" spans="1:1" x14ac:dyDescent="0.55000000000000004">
      <c r="A2666" s="17"/>
    </row>
    <row r="2667" spans="1:1" x14ac:dyDescent="0.55000000000000004">
      <c r="A2667" s="17"/>
    </row>
    <row r="2668" spans="1:1" x14ac:dyDescent="0.55000000000000004">
      <c r="A2668" s="17"/>
    </row>
    <row r="2669" spans="1:1" x14ac:dyDescent="0.55000000000000004">
      <c r="A2669" s="17"/>
    </row>
    <row r="2670" spans="1:1" x14ac:dyDescent="0.55000000000000004">
      <c r="A2670" s="17"/>
    </row>
    <row r="2671" spans="1:1" x14ac:dyDescent="0.55000000000000004">
      <c r="A2671" s="17"/>
    </row>
    <row r="2672" spans="1:1" x14ac:dyDescent="0.55000000000000004">
      <c r="A2672" s="17"/>
    </row>
    <row r="2673" spans="1:1" x14ac:dyDescent="0.55000000000000004">
      <c r="A2673" s="17"/>
    </row>
    <row r="2674" spans="1:1" x14ac:dyDescent="0.55000000000000004">
      <c r="A2674" s="17"/>
    </row>
    <row r="2675" spans="1:1" x14ac:dyDescent="0.55000000000000004">
      <c r="A2675" s="17"/>
    </row>
    <row r="2676" spans="1:1" x14ac:dyDescent="0.55000000000000004">
      <c r="A2676" s="17"/>
    </row>
    <row r="2677" spans="1:1" x14ac:dyDescent="0.55000000000000004">
      <c r="A2677" s="17"/>
    </row>
    <row r="2678" spans="1:1" x14ac:dyDescent="0.55000000000000004">
      <c r="A2678" s="17"/>
    </row>
    <row r="2679" spans="1:1" x14ac:dyDescent="0.55000000000000004">
      <c r="A2679" s="17"/>
    </row>
    <row r="2680" spans="1:1" x14ac:dyDescent="0.55000000000000004">
      <c r="A2680" s="17"/>
    </row>
    <row r="2681" spans="1:1" x14ac:dyDescent="0.55000000000000004">
      <c r="A2681" s="17"/>
    </row>
    <row r="2682" spans="1:1" x14ac:dyDescent="0.55000000000000004">
      <c r="A2682" s="17"/>
    </row>
    <row r="2683" spans="1:1" x14ac:dyDescent="0.55000000000000004">
      <c r="A2683" s="17"/>
    </row>
    <row r="2684" spans="1:1" x14ac:dyDescent="0.55000000000000004">
      <c r="A2684" s="17"/>
    </row>
    <row r="2685" spans="1:1" x14ac:dyDescent="0.55000000000000004">
      <c r="A2685" s="17"/>
    </row>
    <row r="2686" spans="1:1" x14ac:dyDescent="0.55000000000000004">
      <c r="A2686" s="17"/>
    </row>
    <row r="2687" spans="1:1" x14ac:dyDescent="0.55000000000000004">
      <c r="A2687" s="17"/>
    </row>
    <row r="2688" spans="1:1" x14ac:dyDescent="0.55000000000000004">
      <c r="A2688" s="17"/>
    </row>
    <row r="2689" spans="1:1" x14ac:dyDescent="0.55000000000000004">
      <c r="A2689" s="17"/>
    </row>
    <row r="2690" spans="1:1" x14ac:dyDescent="0.55000000000000004">
      <c r="A2690" s="17"/>
    </row>
    <row r="2691" spans="1:1" x14ac:dyDescent="0.55000000000000004">
      <c r="A2691" s="17"/>
    </row>
    <row r="2692" spans="1:1" x14ac:dyDescent="0.55000000000000004">
      <c r="A2692" s="17"/>
    </row>
    <row r="2693" spans="1:1" x14ac:dyDescent="0.55000000000000004">
      <c r="A2693" s="17"/>
    </row>
    <row r="2694" spans="1:1" x14ac:dyDescent="0.55000000000000004">
      <c r="A2694" s="17"/>
    </row>
    <row r="2695" spans="1:1" x14ac:dyDescent="0.55000000000000004">
      <c r="A2695" s="17"/>
    </row>
    <row r="2696" spans="1:1" x14ac:dyDescent="0.55000000000000004">
      <c r="A2696" s="17"/>
    </row>
    <row r="2697" spans="1:1" x14ac:dyDescent="0.55000000000000004">
      <c r="A2697" s="17"/>
    </row>
    <row r="2698" spans="1:1" x14ac:dyDescent="0.55000000000000004">
      <c r="A2698" s="17"/>
    </row>
    <row r="2699" spans="1:1" x14ac:dyDescent="0.55000000000000004">
      <c r="A2699" s="17"/>
    </row>
    <row r="2700" spans="1:1" x14ac:dyDescent="0.55000000000000004">
      <c r="A2700" s="17"/>
    </row>
    <row r="2701" spans="1:1" x14ac:dyDescent="0.55000000000000004">
      <c r="A2701" s="17"/>
    </row>
    <row r="2702" spans="1:1" x14ac:dyDescent="0.55000000000000004">
      <c r="A2702" s="17"/>
    </row>
    <row r="2703" spans="1:1" x14ac:dyDescent="0.55000000000000004">
      <c r="A2703" s="17"/>
    </row>
    <row r="2704" spans="1:1" x14ac:dyDescent="0.55000000000000004">
      <c r="A2704" s="17"/>
    </row>
    <row r="2705" spans="1:1" x14ac:dyDescent="0.55000000000000004">
      <c r="A2705" s="17"/>
    </row>
    <row r="2706" spans="1:1" x14ac:dyDescent="0.55000000000000004">
      <c r="A2706" s="17"/>
    </row>
    <row r="2707" spans="1:1" x14ac:dyDescent="0.55000000000000004">
      <c r="A2707" s="17"/>
    </row>
    <row r="2708" spans="1:1" x14ac:dyDescent="0.55000000000000004">
      <c r="A2708" s="17"/>
    </row>
    <row r="2709" spans="1:1" x14ac:dyDescent="0.55000000000000004">
      <c r="A2709" s="17"/>
    </row>
    <row r="2710" spans="1:1" x14ac:dyDescent="0.55000000000000004">
      <c r="A2710" s="17"/>
    </row>
    <row r="2711" spans="1:1" x14ac:dyDescent="0.55000000000000004">
      <c r="A2711" s="17"/>
    </row>
    <row r="2712" spans="1:1" x14ac:dyDescent="0.55000000000000004">
      <c r="A2712" s="17"/>
    </row>
    <row r="2713" spans="1:1" x14ac:dyDescent="0.55000000000000004">
      <c r="A2713" s="17"/>
    </row>
    <row r="2714" spans="1:1" x14ac:dyDescent="0.55000000000000004">
      <c r="A2714" s="17"/>
    </row>
    <row r="2715" spans="1:1" x14ac:dyDescent="0.55000000000000004">
      <c r="A2715" s="17"/>
    </row>
    <row r="2716" spans="1:1" x14ac:dyDescent="0.55000000000000004">
      <c r="A2716" s="17"/>
    </row>
    <row r="2717" spans="1:1" x14ac:dyDescent="0.55000000000000004">
      <c r="A2717" s="17"/>
    </row>
    <row r="2718" spans="1:1" x14ac:dyDescent="0.55000000000000004">
      <c r="A2718" s="17"/>
    </row>
    <row r="2719" spans="1:1" x14ac:dyDescent="0.55000000000000004">
      <c r="A2719" s="17"/>
    </row>
    <row r="2720" spans="1:1" x14ac:dyDescent="0.55000000000000004">
      <c r="A2720" s="17"/>
    </row>
    <row r="2721" spans="1:1" x14ac:dyDescent="0.55000000000000004">
      <c r="A2721" s="17"/>
    </row>
    <row r="2722" spans="1:1" x14ac:dyDescent="0.55000000000000004">
      <c r="A2722" s="17"/>
    </row>
    <row r="2723" spans="1:1" x14ac:dyDescent="0.55000000000000004">
      <c r="A2723" s="17"/>
    </row>
    <row r="2724" spans="1:1" x14ac:dyDescent="0.55000000000000004">
      <c r="A2724" s="17"/>
    </row>
    <row r="2725" spans="1:1" x14ac:dyDescent="0.55000000000000004">
      <c r="A2725" s="17"/>
    </row>
    <row r="2726" spans="1:1" x14ac:dyDescent="0.55000000000000004">
      <c r="A2726" s="17"/>
    </row>
    <row r="2727" spans="1:1" x14ac:dyDescent="0.55000000000000004">
      <c r="A2727" s="17"/>
    </row>
    <row r="2728" spans="1:1" x14ac:dyDescent="0.55000000000000004">
      <c r="A2728" s="17"/>
    </row>
    <row r="2729" spans="1:1" x14ac:dyDescent="0.55000000000000004">
      <c r="A2729" s="17"/>
    </row>
    <row r="2730" spans="1:1" x14ac:dyDescent="0.55000000000000004">
      <c r="A2730" s="17"/>
    </row>
    <row r="2731" spans="1:1" x14ac:dyDescent="0.55000000000000004">
      <c r="A2731" s="17"/>
    </row>
    <row r="2732" spans="1:1" x14ac:dyDescent="0.55000000000000004">
      <c r="A2732" s="17"/>
    </row>
    <row r="2733" spans="1:1" x14ac:dyDescent="0.55000000000000004">
      <c r="A2733" s="17"/>
    </row>
    <row r="2734" spans="1:1" x14ac:dyDescent="0.55000000000000004">
      <c r="A2734" s="17"/>
    </row>
    <row r="2735" spans="1:1" x14ac:dyDescent="0.55000000000000004">
      <c r="A2735" s="17"/>
    </row>
    <row r="2736" spans="1:1" x14ac:dyDescent="0.55000000000000004">
      <c r="A2736" s="17"/>
    </row>
    <row r="2737" spans="1:1" x14ac:dyDescent="0.55000000000000004">
      <c r="A2737" s="17"/>
    </row>
    <row r="2738" spans="1:1" x14ac:dyDescent="0.55000000000000004">
      <c r="A2738" s="17"/>
    </row>
    <row r="2739" spans="1:1" x14ac:dyDescent="0.55000000000000004">
      <c r="A2739" s="17"/>
    </row>
    <row r="2740" spans="1:1" x14ac:dyDescent="0.55000000000000004">
      <c r="A2740" s="17"/>
    </row>
    <row r="2741" spans="1:1" x14ac:dyDescent="0.55000000000000004">
      <c r="A2741" s="17"/>
    </row>
    <row r="2742" spans="1:1" x14ac:dyDescent="0.55000000000000004">
      <c r="A2742" s="17"/>
    </row>
    <row r="2743" spans="1:1" x14ac:dyDescent="0.55000000000000004">
      <c r="A2743" s="17"/>
    </row>
    <row r="2744" spans="1:1" x14ac:dyDescent="0.55000000000000004">
      <c r="A2744" s="17"/>
    </row>
    <row r="2745" spans="1:1" x14ac:dyDescent="0.55000000000000004">
      <c r="A2745" s="17"/>
    </row>
    <row r="2746" spans="1:1" x14ac:dyDescent="0.55000000000000004">
      <c r="A2746" s="17"/>
    </row>
    <row r="2747" spans="1:1" x14ac:dyDescent="0.55000000000000004">
      <c r="A2747" s="17"/>
    </row>
    <row r="2748" spans="1:1" x14ac:dyDescent="0.55000000000000004">
      <c r="A2748" s="17"/>
    </row>
    <row r="2749" spans="1:1" x14ac:dyDescent="0.55000000000000004">
      <c r="A2749" s="17"/>
    </row>
    <row r="2750" spans="1:1" x14ac:dyDescent="0.55000000000000004">
      <c r="A2750" s="17"/>
    </row>
    <row r="2751" spans="1:1" x14ac:dyDescent="0.55000000000000004">
      <c r="A2751" s="17"/>
    </row>
    <row r="2752" spans="1:1" x14ac:dyDescent="0.55000000000000004">
      <c r="A2752" s="17"/>
    </row>
    <row r="2753" spans="1:1" x14ac:dyDescent="0.55000000000000004">
      <c r="A2753" s="17"/>
    </row>
    <row r="2754" spans="1:1" x14ac:dyDescent="0.55000000000000004">
      <c r="A2754" s="17"/>
    </row>
    <row r="2755" spans="1:1" x14ac:dyDescent="0.55000000000000004">
      <c r="A2755" s="17"/>
    </row>
    <row r="2756" spans="1:1" x14ac:dyDescent="0.55000000000000004">
      <c r="A2756" s="17"/>
    </row>
    <row r="2757" spans="1:1" x14ac:dyDescent="0.55000000000000004">
      <c r="A2757" s="17"/>
    </row>
    <row r="2758" spans="1:1" x14ac:dyDescent="0.55000000000000004">
      <c r="A2758" s="17"/>
    </row>
    <row r="2759" spans="1:1" x14ac:dyDescent="0.55000000000000004">
      <c r="A2759" s="17"/>
    </row>
    <row r="2760" spans="1:1" x14ac:dyDescent="0.55000000000000004">
      <c r="A2760" s="17"/>
    </row>
    <row r="2761" spans="1:1" x14ac:dyDescent="0.55000000000000004">
      <c r="A2761" s="17"/>
    </row>
    <row r="2762" spans="1:1" x14ac:dyDescent="0.55000000000000004">
      <c r="A2762" s="17"/>
    </row>
    <row r="2763" spans="1:1" x14ac:dyDescent="0.55000000000000004">
      <c r="A2763" s="17"/>
    </row>
    <row r="2764" spans="1:1" x14ac:dyDescent="0.55000000000000004">
      <c r="A2764" s="17"/>
    </row>
    <row r="2765" spans="1:1" x14ac:dyDescent="0.55000000000000004">
      <c r="A2765" s="17"/>
    </row>
    <row r="2766" spans="1:1" x14ac:dyDescent="0.55000000000000004">
      <c r="A2766" s="17"/>
    </row>
    <row r="2767" spans="1:1" x14ac:dyDescent="0.55000000000000004">
      <c r="A2767" s="17"/>
    </row>
    <row r="2768" spans="1:1" x14ac:dyDescent="0.55000000000000004">
      <c r="A2768" s="17"/>
    </row>
    <row r="2769" spans="1:1" x14ac:dyDescent="0.55000000000000004">
      <c r="A2769" s="17"/>
    </row>
    <row r="2770" spans="1:1" x14ac:dyDescent="0.55000000000000004">
      <c r="A2770" s="17"/>
    </row>
    <row r="2771" spans="1:1" x14ac:dyDescent="0.55000000000000004">
      <c r="A2771" s="17"/>
    </row>
    <row r="2772" spans="1:1" x14ac:dyDescent="0.55000000000000004">
      <c r="A2772" s="17"/>
    </row>
    <row r="2773" spans="1:1" x14ac:dyDescent="0.55000000000000004">
      <c r="A2773" s="17"/>
    </row>
    <row r="2774" spans="1:1" x14ac:dyDescent="0.55000000000000004">
      <c r="A2774" s="17"/>
    </row>
    <row r="2775" spans="1:1" x14ac:dyDescent="0.55000000000000004">
      <c r="A2775" s="17"/>
    </row>
    <row r="2776" spans="1:1" x14ac:dyDescent="0.55000000000000004">
      <c r="A2776" s="17"/>
    </row>
    <row r="2777" spans="1:1" x14ac:dyDescent="0.55000000000000004">
      <c r="A2777" s="17"/>
    </row>
    <row r="2778" spans="1:1" x14ac:dyDescent="0.55000000000000004">
      <c r="A2778" s="17"/>
    </row>
    <row r="2779" spans="1:1" x14ac:dyDescent="0.55000000000000004">
      <c r="A2779" s="17"/>
    </row>
    <row r="2780" spans="1:1" x14ac:dyDescent="0.55000000000000004">
      <c r="A2780" s="17"/>
    </row>
    <row r="2781" spans="1:1" x14ac:dyDescent="0.55000000000000004">
      <c r="A2781" s="17"/>
    </row>
    <row r="2782" spans="1:1" x14ac:dyDescent="0.55000000000000004">
      <c r="A2782" s="17"/>
    </row>
    <row r="2783" spans="1:1" x14ac:dyDescent="0.55000000000000004">
      <c r="A2783" s="17"/>
    </row>
    <row r="2784" spans="1:1" x14ac:dyDescent="0.55000000000000004">
      <c r="A2784" s="17"/>
    </row>
    <row r="2785" spans="1:1" x14ac:dyDescent="0.55000000000000004">
      <c r="A2785" s="17"/>
    </row>
    <row r="2786" spans="1:1" x14ac:dyDescent="0.55000000000000004">
      <c r="A2786" s="17"/>
    </row>
    <row r="2787" spans="1:1" x14ac:dyDescent="0.55000000000000004">
      <c r="A2787" s="17"/>
    </row>
    <row r="2788" spans="1:1" x14ac:dyDescent="0.55000000000000004">
      <c r="A2788" s="17"/>
    </row>
    <row r="2789" spans="1:1" x14ac:dyDescent="0.55000000000000004">
      <c r="A2789" s="17"/>
    </row>
    <row r="2790" spans="1:1" x14ac:dyDescent="0.55000000000000004">
      <c r="A2790" s="17"/>
    </row>
    <row r="2791" spans="1:1" x14ac:dyDescent="0.55000000000000004">
      <c r="A2791" s="17"/>
    </row>
    <row r="2792" spans="1:1" x14ac:dyDescent="0.55000000000000004">
      <c r="A2792" s="17"/>
    </row>
    <row r="2793" spans="1:1" x14ac:dyDescent="0.55000000000000004">
      <c r="A2793" s="17"/>
    </row>
    <row r="2794" spans="1:1" x14ac:dyDescent="0.55000000000000004">
      <c r="A2794" s="17"/>
    </row>
    <row r="2795" spans="1:1" x14ac:dyDescent="0.55000000000000004">
      <c r="A2795" s="17"/>
    </row>
    <row r="2796" spans="1:1" x14ac:dyDescent="0.55000000000000004">
      <c r="A2796" s="17"/>
    </row>
    <row r="2797" spans="1:1" x14ac:dyDescent="0.55000000000000004">
      <c r="A2797" s="17"/>
    </row>
    <row r="2798" spans="1:1" x14ac:dyDescent="0.55000000000000004">
      <c r="A2798" s="17"/>
    </row>
    <row r="2799" spans="1:1" x14ac:dyDescent="0.55000000000000004">
      <c r="A2799" s="17"/>
    </row>
    <row r="2800" spans="1:1" x14ac:dyDescent="0.55000000000000004">
      <c r="A2800" s="17"/>
    </row>
    <row r="2801" spans="1:1" x14ac:dyDescent="0.55000000000000004">
      <c r="A2801" s="17"/>
    </row>
    <row r="2802" spans="1:1" x14ac:dyDescent="0.55000000000000004">
      <c r="A2802" s="17"/>
    </row>
    <row r="2803" spans="1:1" x14ac:dyDescent="0.55000000000000004">
      <c r="A2803" s="17"/>
    </row>
    <row r="2804" spans="1:1" x14ac:dyDescent="0.55000000000000004">
      <c r="A2804" s="17"/>
    </row>
    <row r="2805" spans="1:1" x14ac:dyDescent="0.55000000000000004">
      <c r="A2805" s="17"/>
    </row>
    <row r="2806" spans="1:1" x14ac:dyDescent="0.55000000000000004">
      <c r="A2806" s="17"/>
    </row>
    <row r="2807" spans="1:1" x14ac:dyDescent="0.55000000000000004">
      <c r="A2807" s="17"/>
    </row>
    <row r="2808" spans="1:1" x14ac:dyDescent="0.55000000000000004">
      <c r="A2808" s="17"/>
    </row>
    <row r="2809" spans="1:1" x14ac:dyDescent="0.55000000000000004">
      <c r="A2809" s="17"/>
    </row>
    <row r="2810" spans="1:1" x14ac:dyDescent="0.55000000000000004">
      <c r="A2810" s="17"/>
    </row>
    <row r="2811" spans="1:1" x14ac:dyDescent="0.55000000000000004">
      <c r="A2811" s="17"/>
    </row>
    <row r="2812" spans="1:1" x14ac:dyDescent="0.55000000000000004">
      <c r="A2812" s="17"/>
    </row>
    <row r="2813" spans="1:1" x14ac:dyDescent="0.55000000000000004">
      <c r="A2813" s="17"/>
    </row>
    <row r="2814" spans="1:1" x14ac:dyDescent="0.55000000000000004">
      <c r="A2814" s="17"/>
    </row>
    <row r="2815" spans="1:1" x14ac:dyDescent="0.55000000000000004">
      <c r="A2815" s="17"/>
    </row>
    <row r="2816" spans="1:1" x14ac:dyDescent="0.55000000000000004">
      <c r="A2816" s="17"/>
    </row>
    <row r="2817" spans="1:1" x14ac:dyDescent="0.55000000000000004">
      <c r="A2817" s="17"/>
    </row>
    <row r="2818" spans="1:1" x14ac:dyDescent="0.55000000000000004">
      <c r="A2818" s="17"/>
    </row>
    <row r="2819" spans="1:1" x14ac:dyDescent="0.55000000000000004">
      <c r="A2819" s="17"/>
    </row>
    <row r="2820" spans="1:1" x14ac:dyDescent="0.55000000000000004">
      <c r="A2820" s="17"/>
    </row>
    <row r="2821" spans="1:1" x14ac:dyDescent="0.55000000000000004">
      <c r="A2821" s="17"/>
    </row>
    <row r="2822" spans="1:1" x14ac:dyDescent="0.55000000000000004">
      <c r="A2822" s="17"/>
    </row>
    <row r="2823" spans="1:1" x14ac:dyDescent="0.55000000000000004">
      <c r="A2823" s="17"/>
    </row>
    <row r="2824" spans="1:1" x14ac:dyDescent="0.55000000000000004">
      <c r="A2824" s="17"/>
    </row>
    <row r="2825" spans="1:1" x14ac:dyDescent="0.55000000000000004">
      <c r="A2825" s="17"/>
    </row>
    <row r="2826" spans="1:1" x14ac:dyDescent="0.55000000000000004">
      <c r="A2826" s="17"/>
    </row>
    <row r="2827" spans="1:1" x14ac:dyDescent="0.55000000000000004">
      <c r="A2827" s="17"/>
    </row>
    <row r="2828" spans="1:1" x14ac:dyDescent="0.55000000000000004">
      <c r="A2828" s="17"/>
    </row>
    <row r="2829" spans="1:1" x14ac:dyDescent="0.55000000000000004">
      <c r="A2829" s="17"/>
    </row>
    <row r="2830" spans="1:1" x14ac:dyDescent="0.55000000000000004">
      <c r="A2830" s="17"/>
    </row>
    <row r="2831" spans="1:1" x14ac:dyDescent="0.55000000000000004">
      <c r="A2831" s="17"/>
    </row>
    <row r="2832" spans="1:1" x14ac:dyDescent="0.55000000000000004">
      <c r="A2832" s="17"/>
    </row>
    <row r="2833" spans="1:1" x14ac:dyDescent="0.55000000000000004">
      <c r="A2833" s="17"/>
    </row>
    <row r="2834" spans="1:1" x14ac:dyDescent="0.55000000000000004">
      <c r="A2834" s="17"/>
    </row>
    <row r="2835" spans="1:1" x14ac:dyDescent="0.55000000000000004">
      <c r="A2835" s="17"/>
    </row>
    <row r="2836" spans="1:1" x14ac:dyDescent="0.55000000000000004">
      <c r="A2836" s="17"/>
    </row>
    <row r="2837" spans="1:1" x14ac:dyDescent="0.55000000000000004">
      <c r="A2837" s="17"/>
    </row>
    <row r="2838" spans="1:1" x14ac:dyDescent="0.55000000000000004">
      <c r="A2838" s="17"/>
    </row>
    <row r="2839" spans="1:1" x14ac:dyDescent="0.55000000000000004">
      <c r="A2839" s="17"/>
    </row>
    <row r="2840" spans="1:1" x14ac:dyDescent="0.55000000000000004">
      <c r="A2840" s="17"/>
    </row>
    <row r="2841" spans="1:1" x14ac:dyDescent="0.55000000000000004">
      <c r="A2841" s="17"/>
    </row>
    <row r="2842" spans="1:1" x14ac:dyDescent="0.55000000000000004">
      <c r="A2842" s="17"/>
    </row>
    <row r="2843" spans="1:1" x14ac:dyDescent="0.55000000000000004">
      <c r="A2843" s="17"/>
    </row>
    <row r="2844" spans="1:1" x14ac:dyDescent="0.55000000000000004">
      <c r="A2844" s="17"/>
    </row>
    <row r="2845" spans="1:1" x14ac:dyDescent="0.55000000000000004">
      <c r="A2845" s="17"/>
    </row>
    <row r="2846" spans="1:1" x14ac:dyDescent="0.55000000000000004">
      <c r="A2846" s="17"/>
    </row>
    <row r="2847" spans="1:1" x14ac:dyDescent="0.55000000000000004">
      <c r="A2847" s="17"/>
    </row>
    <row r="2848" spans="1:1" x14ac:dyDescent="0.55000000000000004">
      <c r="A2848" s="17"/>
    </row>
    <row r="2849" spans="1:1" x14ac:dyDescent="0.55000000000000004">
      <c r="A2849" s="17"/>
    </row>
    <row r="2850" spans="1:1" x14ac:dyDescent="0.55000000000000004">
      <c r="A2850" s="17"/>
    </row>
    <row r="2851" spans="1:1" x14ac:dyDescent="0.55000000000000004">
      <c r="A2851" s="17"/>
    </row>
    <row r="2852" spans="1:1" x14ac:dyDescent="0.55000000000000004">
      <c r="A2852" s="17"/>
    </row>
    <row r="2853" spans="1:1" x14ac:dyDescent="0.55000000000000004">
      <c r="A2853" s="17"/>
    </row>
    <row r="2854" spans="1:1" x14ac:dyDescent="0.55000000000000004">
      <c r="A2854" s="17"/>
    </row>
    <row r="2855" spans="1:1" x14ac:dyDescent="0.55000000000000004">
      <c r="A2855" s="17"/>
    </row>
    <row r="2856" spans="1:1" x14ac:dyDescent="0.55000000000000004">
      <c r="A2856" s="17"/>
    </row>
    <row r="2857" spans="1:1" x14ac:dyDescent="0.55000000000000004">
      <c r="A2857" s="17"/>
    </row>
    <row r="2858" spans="1:1" x14ac:dyDescent="0.55000000000000004">
      <c r="A2858" s="17"/>
    </row>
    <row r="2859" spans="1:1" x14ac:dyDescent="0.55000000000000004">
      <c r="A2859" s="17"/>
    </row>
    <row r="2860" spans="1:1" x14ac:dyDescent="0.55000000000000004">
      <c r="A2860" s="17"/>
    </row>
    <row r="2861" spans="1:1" x14ac:dyDescent="0.55000000000000004">
      <c r="A2861" s="17"/>
    </row>
    <row r="2862" spans="1:1" x14ac:dyDescent="0.55000000000000004">
      <c r="A2862" s="17"/>
    </row>
    <row r="2863" spans="1:1" x14ac:dyDescent="0.55000000000000004">
      <c r="A2863" s="17"/>
    </row>
    <row r="2864" spans="1:1" x14ac:dyDescent="0.55000000000000004">
      <c r="A2864" s="17"/>
    </row>
    <row r="2865" spans="1:1" x14ac:dyDescent="0.55000000000000004">
      <c r="A2865" s="17"/>
    </row>
    <row r="2866" spans="1:1" x14ac:dyDescent="0.55000000000000004">
      <c r="A2866" s="17"/>
    </row>
    <row r="2867" spans="1:1" x14ac:dyDescent="0.55000000000000004">
      <c r="A2867" s="17"/>
    </row>
    <row r="2868" spans="1:1" x14ac:dyDescent="0.55000000000000004">
      <c r="A2868" s="17"/>
    </row>
    <row r="2869" spans="1:1" x14ac:dyDescent="0.55000000000000004">
      <c r="A2869" s="17"/>
    </row>
    <row r="2870" spans="1:1" x14ac:dyDescent="0.55000000000000004">
      <c r="A2870" s="17"/>
    </row>
    <row r="2871" spans="1:1" x14ac:dyDescent="0.55000000000000004">
      <c r="A2871" s="17"/>
    </row>
    <row r="2872" spans="1:1" x14ac:dyDescent="0.55000000000000004">
      <c r="A2872" s="17"/>
    </row>
    <row r="2873" spans="1:1" x14ac:dyDescent="0.55000000000000004">
      <c r="A2873" s="17"/>
    </row>
    <row r="2874" spans="1:1" x14ac:dyDescent="0.55000000000000004">
      <c r="A2874" s="17"/>
    </row>
    <row r="2875" spans="1:1" x14ac:dyDescent="0.55000000000000004">
      <c r="A2875" s="17"/>
    </row>
    <row r="2876" spans="1:1" x14ac:dyDescent="0.55000000000000004">
      <c r="A2876" s="17"/>
    </row>
    <row r="2877" spans="1:1" x14ac:dyDescent="0.55000000000000004">
      <c r="A2877" s="17"/>
    </row>
    <row r="2878" spans="1:1" x14ac:dyDescent="0.55000000000000004">
      <c r="A2878" s="17"/>
    </row>
    <row r="2879" spans="1:1" x14ac:dyDescent="0.55000000000000004">
      <c r="A2879" s="17"/>
    </row>
    <row r="2880" spans="1:1" x14ac:dyDescent="0.55000000000000004">
      <c r="A2880" s="17"/>
    </row>
    <row r="2881" spans="1:1" x14ac:dyDescent="0.55000000000000004">
      <c r="A2881" s="17"/>
    </row>
    <row r="2882" spans="1:1" x14ac:dyDescent="0.55000000000000004">
      <c r="A2882" s="17"/>
    </row>
    <row r="2883" spans="1:1" x14ac:dyDescent="0.55000000000000004">
      <c r="A2883" s="17"/>
    </row>
    <row r="2884" spans="1:1" x14ac:dyDescent="0.55000000000000004">
      <c r="A2884" s="17"/>
    </row>
    <row r="2885" spans="1:1" x14ac:dyDescent="0.55000000000000004">
      <c r="A2885" s="17"/>
    </row>
    <row r="2886" spans="1:1" x14ac:dyDescent="0.55000000000000004">
      <c r="A2886" s="17"/>
    </row>
    <row r="2887" spans="1:1" x14ac:dyDescent="0.55000000000000004">
      <c r="A2887" s="17"/>
    </row>
    <row r="2888" spans="1:1" x14ac:dyDescent="0.55000000000000004">
      <c r="A2888" s="17"/>
    </row>
    <row r="2889" spans="1:1" x14ac:dyDescent="0.55000000000000004">
      <c r="A2889" s="17"/>
    </row>
    <row r="2890" spans="1:1" x14ac:dyDescent="0.55000000000000004">
      <c r="A2890" s="17"/>
    </row>
    <row r="2891" spans="1:1" x14ac:dyDescent="0.55000000000000004">
      <c r="A2891" s="17"/>
    </row>
    <row r="2892" spans="1:1" x14ac:dyDescent="0.55000000000000004">
      <c r="A2892" s="17"/>
    </row>
    <row r="2893" spans="1:1" x14ac:dyDescent="0.55000000000000004">
      <c r="A2893" s="17"/>
    </row>
    <row r="2894" spans="1:1" x14ac:dyDescent="0.55000000000000004">
      <c r="A2894" s="17"/>
    </row>
    <row r="2895" spans="1:1" x14ac:dyDescent="0.55000000000000004">
      <c r="A2895" s="17"/>
    </row>
    <row r="2896" spans="1:1" x14ac:dyDescent="0.55000000000000004">
      <c r="A2896" s="17"/>
    </row>
    <row r="2897" spans="1:1" x14ac:dyDescent="0.55000000000000004">
      <c r="A2897" s="17"/>
    </row>
    <row r="2898" spans="1:1" x14ac:dyDescent="0.55000000000000004">
      <c r="A2898" s="17"/>
    </row>
    <row r="2899" spans="1:1" x14ac:dyDescent="0.55000000000000004">
      <c r="A2899" s="17"/>
    </row>
    <row r="2900" spans="1:1" x14ac:dyDescent="0.55000000000000004">
      <c r="A2900" s="17"/>
    </row>
    <row r="2901" spans="1:1" x14ac:dyDescent="0.55000000000000004">
      <c r="A2901" s="17"/>
    </row>
    <row r="2902" spans="1:1" x14ac:dyDescent="0.55000000000000004">
      <c r="A2902" s="17"/>
    </row>
    <row r="2903" spans="1:1" x14ac:dyDescent="0.55000000000000004">
      <c r="A2903" s="17"/>
    </row>
    <row r="2904" spans="1:1" x14ac:dyDescent="0.55000000000000004">
      <c r="A2904" s="17"/>
    </row>
    <row r="2905" spans="1:1" x14ac:dyDescent="0.55000000000000004">
      <c r="A2905" s="17"/>
    </row>
    <row r="2906" spans="1:1" x14ac:dyDescent="0.55000000000000004">
      <c r="A2906" s="17"/>
    </row>
    <row r="2907" spans="1:1" x14ac:dyDescent="0.55000000000000004">
      <c r="A2907" s="17"/>
    </row>
    <row r="2908" spans="1:1" x14ac:dyDescent="0.55000000000000004">
      <c r="A2908" s="17"/>
    </row>
    <row r="2909" spans="1:1" x14ac:dyDescent="0.55000000000000004">
      <c r="A2909" s="17"/>
    </row>
    <row r="2910" spans="1:1" x14ac:dyDescent="0.55000000000000004">
      <c r="A2910" s="17"/>
    </row>
    <row r="2911" spans="1:1" x14ac:dyDescent="0.55000000000000004">
      <c r="A2911" s="17"/>
    </row>
    <row r="2912" spans="1:1" x14ac:dyDescent="0.55000000000000004">
      <c r="A2912" s="17"/>
    </row>
    <row r="2913" spans="1:1" x14ac:dyDescent="0.55000000000000004">
      <c r="A2913" s="17"/>
    </row>
    <row r="2914" spans="1:1" x14ac:dyDescent="0.55000000000000004">
      <c r="A2914" s="17"/>
    </row>
    <row r="2915" spans="1:1" x14ac:dyDescent="0.55000000000000004">
      <c r="A2915" s="17"/>
    </row>
    <row r="2916" spans="1:1" x14ac:dyDescent="0.55000000000000004">
      <c r="A2916" s="17"/>
    </row>
    <row r="2917" spans="1:1" x14ac:dyDescent="0.55000000000000004">
      <c r="A2917" s="17"/>
    </row>
    <row r="2918" spans="1:1" x14ac:dyDescent="0.55000000000000004">
      <c r="A2918" s="17"/>
    </row>
    <row r="2919" spans="1:1" x14ac:dyDescent="0.55000000000000004">
      <c r="A2919" s="17"/>
    </row>
    <row r="2920" spans="1:1" x14ac:dyDescent="0.55000000000000004">
      <c r="A2920" s="17"/>
    </row>
    <row r="2921" spans="1:1" x14ac:dyDescent="0.55000000000000004">
      <c r="A2921" s="17"/>
    </row>
    <row r="2922" spans="1:1" x14ac:dyDescent="0.55000000000000004">
      <c r="A2922" s="17"/>
    </row>
    <row r="2923" spans="1:1" x14ac:dyDescent="0.55000000000000004">
      <c r="A2923" s="17"/>
    </row>
    <row r="2924" spans="1:1" x14ac:dyDescent="0.55000000000000004">
      <c r="A2924" s="17"/>
    </row>
    <row r="2925" spans="1:1" x14ac:dyDescent="0.55000000000000004">
      <c r="A2925" s="17"/>
    </row>
    <row r="2926" spans="1:1" x14ac:dyDescent="0.55000000000000004">
      <c r="A2926" s="17"/>
    </row>
    <row r="2927" spans="1:1" x14ac:dyDescent="0.55000000000000004">
      <c r="A2927" s="17"/>
    </row>
    <row r="2928" spans="1:1" x14ac:dyDescent="0.55000000000000004">
      <c r="A2928" s="17"/>
    </row>
    <row r="2929" spans="1:1" x14ac:dyDescent="0.55000000000000004">
      <c r="A2929" s="17"/>
    </row>
    <row r="2930" spans="1:1" x14ac:dyDescent="0.55000000000000004">
      <c r="A2930" s="17"/>
    </row>
    <row r="2931" spans="1:1" x14ac:dyDescent="0.55000000000000004">
      <c r="A2931" s="17"/>
    </row>
    <row r="2932" spans="1:1" x14ac:dyDescent="0.55000000000000004">
      <c r="A2932" s="17"/>
    </row>
    <row r="2933" spans="1:1" x14ac:dyDescent="0.55000000000000004">
      <c r="A2933" s="17"/>
    </row>
    <row r="2934" spans="1:1" x14ac:dyDescent="0.55000000000000004">
      <c r="A2934" s="17"/>
    </row>
    <row r="2935" spans="1:1" x14ac:dyDescent="0.55000000000000004">
      <c r="A2935" s="17"/>
    </row>
    <row r="2936" spans="1:1" x14ac:dyDescent="0.55000000000000004">
      <c r="A2936" s="17"/>
    </row>
    <row r="2937" spans="1:1" x14ac:dyDescent="0.55000000000000004">
      <c r="A2937" s="17"/>
    </row>
    <row r="2938" spans="1:1" x14ac:dyDescent="0.55000000000000004">
      <c r="A2938" s="17"/>
    </row>
    <row r="2939" spans="1:1" x14ac:dyDescent="0.55000000000000004">
      <c r="A2939" s="17"/>
    </row>
    <row r="2940" spans="1:1" x14ac:dyDescent="0.55000000000000004">
      <c r="A2940" s="17"/>
    </row>
    <row r="2941" spans="1:1" x14ac:dyDescent="0.55000000000000004">
      <c r="A2941" s="17"/>
    </row>
    <row r="2942" spans="1:1" x14ac:dyDescent="0.55000000000000004">
      <c r="A2942" s="17"/>
    </row>
    <row r="2943" spans="1:1" x14ac:dyDescent="0.55000000000000004">
      <c r="A2943" s="17"/>
    </row>
    <row r="2944" spans="1:1" x14ac:dyDescent="0.55000000000000004">
      <c r="A2944" s="17"/>
    </row>
    <row r="2945" spans="1:1" x14ac:dyDescent="0.55000000000000004">
      <c r="A2945" s="17"/>
    </row>
    <row r="2946" spans="1:1" x14ac:dyDescent="0.55000000000000004">
      <c r="A2946" s="17"/>
    </row>
    <row r="2947" spans="1:1" x14ac:dyDescent="0.55000000000000004">
      <c r="A2947" s="17"/>
    </row>
    <row r="2948" spans="1:1" x14ac:dyDescent="0.55000000000000004">
      <c r="A2948" s="17"/>
    </row>
    <row r="2949" spans="1:1" x14ac:dyDescent="0.55000000000000004">
      <c r="A2949" s="17"/>
    </row>
    <row r="2950" spans="1:1" x14ac:dyDescent="0.55000000000000004">
      <c r="A2950" s="17"/>
    </row>
    <row r="2951" spans="1:1" x14ac:dyDescent="0.55000000000000004">
      <c r="A2951" s="17"/>
    </row>
    <row r="2952" spans="1:1" x14ac:dyDescent="0.55000000000000004">
      <c r="A2952" s="17"/>
    </row>
    <row r="2953" spans="1:1" x14ac:dyDescent="0.55000000000000004">
      <c r="A2953" s="17"/>
    </row>
    <row r="2954" spans="1:1" x14ac:dyDescent="0.55000000000000004">
      <c r="A2954" s="17"/>
    </row>
    <row r="2955" spans="1:1" x14ac:dyDescent="0.55000000000000004">
      <c r="A2955" s="17"/>
    </row>
    <row r="2956" spans="1:1" x14ac:dyDescent="0.55000000000000004">
      <c r="A2956" s="17"/>
    </row>
    <row r="2957" spans="1:1" x14ac:dyDescent="0.55000000000000004">
      <c r="A2957" s="17"/>
    </row>
    <row r="2958" spans="1:1" x14ac:dyDescent="0.55000000000000004">
      <c r="A2958" s="17"/>
    </row>
    <row r="2959" spans="1:1" x14ac:dyDescent="0.55000000000000004">
      <c r="A2959" s="17"/>
    </row>
    <row r="2960" spans="1:1" x14ac:dyDescent="0.55000000000000004">
      <c r="A2960" s="17"/>
    </row>
    <row r="2961" spans="1:1" x14ac:dyDescent="0.55000000000000004">
      <c r="A2961" s="17"/>
    </row>
    <row r="2962" spans="1:1" x14ac:dyDescent="0.55000000000000004">
      <c r="A2962" s="17"/>
    </row>
    <row r="2963" spans="1:1" x14ac:dyDescent="0.55000000000000004">
      <c r="A2963" s="17"/>
    </row>
    <row r="2964" spans="1:1" x14ac:dyDescent="0.55000000000000004">
      <c r="A2964" s="17"/>
    </row>
    <row r="2965" spans="1:1" x14ac:dyDescent="0.55000000000000004">
      <c r="A2965" s="17"/>
    </row>
    <row r="2966" spans="1:1" x14ac:dyDescent="0.55000000000000004">
      <c r="A2966" s="17"/>
    </row>
    <row r="2967" spans="1:1" x14ac:dyDescent="0.55000000000000004">
      <c r="A2967" s="17"/>
    </row>
    <row r="2968" spans="1:1" x14ac:dyDescent="0.55000000000000004">
      <c r="A2968" s="17"/>
    </row>
    <row r="2969" spans="1:1" x14ac:dyDescent="0.55000000000000004">
      <c r="A2969" s="17"/>
    </row>
    <row r="2970" spans="1:1" x14ac:dyDescent="0.55000000000000004">
      <c r="A2970" s="17"/>
    </row>
    <row r="2971" spans="1:1" x14ac:dyDescent="0.55000000000000004">
      <c r="A2971" s="17"/>
    </row>
    <row r="2972" spans="1:1" x14ac:dyDescent="0.55000000000000004">
      <c r="A2972" s="17"/>
    </row>
    <row r="2973" spans="1:1" x14ac:dyDescent="0.55000000000000004">
      <c r="A2973" s="17"/>
    </row>
    <row r="2974" spans="1:1" x14ac:dyDescent="0.55000000000000004">
      <c r="A2974" s="17"/>
    </row>
    <row r="2975" spans="1:1" x14ac:dyDescent="0.55000000000000004">
      <c r="A2975" s="17"/>
    </row>
    <row r="2976" spans="1:1" x14ac:dyDescent="0.55000000000000004">
      <c r="A2976" s="17"/>
    </row>
    <row r="2977" spans="1:1" x14ac:dyDescent="0.55000000000000004">
      <c r="A2977" s="17"/>
    </row>
    <row r="2978" spans="1:1" x14ac:dyDescent="0.55000000000000004">
      <c r="A2978" s="17"/>
    </row>
    <row r="2979" spans="1:1" x14ac:dyDescent="0.55000000000000004">
      <c r="A2979" s="17"/>
    </row>
    <row r="2980" spans="1:1" x14ac:dyDescent="0.55000000000000004">
      <c r="A2980" s="17"/>
    </row>
    <row r="2981" spans="1:1" x14ac:dyDescent="0.55000000000000004">
      <c r="A2981" s="17"/>
    </row>
    <row r="2982" spans="1:1" x14ac:dyDescent="0.55000000000000004">
      <c r="A2982" s="17"/>
    </row>
    <row r="2983" spans="1:1" x14ac:dyDescent="0.55000000000000004">
      <c r="A2983" s="17"/>
    </row>
    <row r="2984" spans="1:1" x14ac:dyDescent="0.55000000000000004">
      <c r="A2984" s="17"/>
    </row>
    <row r="2985" spans="1:1" x14ac:dyDescent="0.55000000000000004">
      <c r="A2985" s="17"/>
    </row>
    <row r="2986" spans="1:1" x14ac:dyDescent="0.55000000000000004">
      <c r="A2986" s="17"/>
    </row>
    <row r="2987" spans="1:1" x14ac:dyDescent="0.55000000000000004">
      <c r="A2987" s="17"/>
    </row>
    <row r="2988" spans="1:1" x14ac:dyDescent="0.55000000000000004">
      <c r="A2988" s="17"/>
    </row>
    <row r="2989" spans="1:1" x14ac:dyDescent="0.55000000000000004">
      <c r="A2989" s="17"/>
    </row>
    <row r="2990" spans="1:1" x14ac:dyDescent="0.55000000000000004">
      <c r="A2990" s="17"/>
    </row>
    <row r="2991" spans="1:1" x14ac:dyDescent="0.55000000000000004">
      <c r="A2991" s="17"/>
    </row>
    <row r="2992" spans="1:1" x14ac:dyDescent="0.55000000000000004">
      <c r="A2992" s="17"/>
    </row>
    <row r="2993" spans="1:1" x14ac:dyDescent="0.55000000000000004">
      <c r="A2993" s="17"/>
    </row>
    <row r="2994" spans="1:1" x14ac:dyDescent="0.55000000000000004">
      <c r="A2994" s="17"/>
    </row>
    <row r="2995" spans="1:1" x14ac:dyDescent="0.55000000000000004">
      <c r="A2995" s="17"/>
    </row>
    <row r="2996" spans="1:1" x14ac:dyDescent="0.55000000000000004">
      <c r="A2996" s="17"/>
    </row>
    <row r="2997" spans="1:1" x14ac:dyDescent="0.55000000000000004">
      <c r="A2997" s="17"/>
    </row>
    <row r="2998" spans="1:1" x14ac:dyDescent="0.55000000000000004">
      <c r="A2998" s="17"/>
    </row>
    <row r="2999" spans="1:1" x14ac:dyDescent="0.55000000000000004">
      <c r="A2999" s="17"/>
    </row>
    <row r="3000" spans="1:1" x14ac:dyDescent="0.55000000000000004">
      <c r="A3000" s="17"/>
    </row>
    <row r="3001" spans="1:1" x14ac:dyDescent="0.55000000000000004">
      <c r="A3001" s="17"/>
    </row>
    <row r="3002" spans="1:1" x14ac:dyDescent="0.55000000000000004">
      <c r="A3002" s="17"/>
    </row>
    <row r="3003" spans="1:1" x14ac:dyDescent="0.55000000000000004">
      <c r="A3003" s="17"/>
    </row>
    <row r="3004" spans="1:1" x14ac:dyDescent="0.55000000000000004">
      <c r="A3004" s="17"/>
    </row>
    <row r="3005" spans="1:1" x14ac:dyDescent="0.55000000000000004">
      <c r="A3005" s="17"/>
    </row>
    <row r="3006" spans="1:1" x14ac:dyDescent="0.55000000000000004">
      <c r="A3006" s="17"/>
    </row>
    <row r="3007" spans="1:1" x14ac:dyDescent="0.55000000000000004">
      <c r="A3007" s="17"/>
    </row>
    <row r="3008" spans="1:1" x14ac:dyDescent="0.55000000000000004">
      <c r="A3008" s="17"/>
    </row>
    <row r="3009" spans="1:1" x14ac:dyDescent="0.55000000000000004">
      <c r="A3009" s="17"/>
    </row>
    <row r="3010" spans="1:1" x14ac:dyDescent="0.55000000000000004">
      <c r="A3010" s="17"/>
    </row>
    <row r="3011" spans="1:1" x14ac:dyDescent="0.55000000000000004">
      <c r="A3011" s="17"/>
    </row>
    <row r="3012" spans="1:1" x14ac:dyDescent="0.55000000000000004">
      <c r="A3012" s="17"/>
    </row>
    <row r="3013" spans="1:1" x14ac:dyDescent="0.55000000000000004">
      <c r="A3013" s="17"/>
    </row>
    <row r="3014" spans="1:1" x14ac:dyDescent="0.55000000000000004">
      <c r="A3014" s="17"/>
    </row>
    <row r="3015" spans="1:1" x14ac:dyDescent="0.55000000000000004">
      <c r="A3015" s="17"/>
    </row>
    <row r="3016" spans="1:1" x14ac:dyDescent="0.55000000000000004">
      <c r="A3016" s="17"/>
    </row>
    <row r="3017" spans="1:1" x14ac:dyDescent="0.55000000000000004">
      <c r="A3017" s="17"/>
    </row>
    <row r="3018" spans="1:1" x14ac:dyDescent="0.55000000000000004">
      <c r="A3018" s="17"/>
    </row>
    <row r="3019" spans="1:1" x14ac:dyDescent="0.55000000000000004">
      <c r="A3019" s="17"/>
    </row>
    <row r="3020" spans="1:1" x14ac:dyDescent="0.55000000000000004">
      <c r="A3020" s="17"/>
    </row>
    <row r="3021" spans="1:1" x14ac:dyDescent="0.55000000000000004">
      <c r="A3021" s="17"/>
    </row>
    <row r="3022" spans="1:1" x14ac:dyDescent="0.55000000000000004">
      <c r="A3022" s="17"/>
    </row>
    <row r="3023" spans="1:1" x14ac:dyDescent="0.55000000000000004">
      <c r="A3023" s="17"/>
    </row>
    <row r="3024" spans="1:1" x14ac:dyDescent="0.55000000000000004">
      <c r="A3024" s="17"/>
    </row>
    <row r="3025" spans="1:1" x14ac:dyDescent="0.55000000000000004">
      <c r="A3025" s="17"/>
    </row>
    <row r="3026" spans="1:1" x14ac:dyDescent="0.55000000000000004">
      <c r="A3026" s="17"/>
    </row>
    <row r="3027" spans="1:1" x14ac:dyDescent="0.55000000000000004">
      <c r="A3027" s="17"/>
    </row>
    <row r="3028" spans="1:1" x14ac:dyDescent="0.55000000000000004">
      <c r="A3028" s="17"/>
    </row>
    <row r="3029" spans="1:1" x14ac:dyDescent="0.55000000000000004">
      <c r="A3029" s="17"/>
    </row>
    <row r="3030" spans="1:1" x14ac:dyDescent="0.55000000000000004">
      <c r="A3030" s="17"/>
    </row>
    <row r="3031" spans="1:1" x14ac:dyDescent="0.55000000000000004">
      <c r="A3031" s="17"/>
    </row>
    <row r="3032" spans="1:1" x14ac:dyDescent="0.55000000000000004">
      <c r="A3032" s="17"/>
    </row>
    <row r="3033" spans="1:1" x14ac:dyDescent="0.55000000000000004">
      <c r="A3033" s="17"/>
    </row>
    <row r="3034" spans="1:1" x14ac:dyDescent="0.55000000000000004">
      <c r="A3034" s="17"/>
    </row>
    <row r="3035" spans="1:1" x14ac:dyDescent="0.55000000000000004">
      <c r="A3035" s="17"/>
    </row>
    <row r="3036" spans="1:1" x14ac:dyDescent="0.55000000000000004">
      <c r="A3036" s="17"/>
    </row>
    <row r="3037" spans="1:1" x14ac:dyDescent="0.55000000000000004">
      <c r="A3037" s="17"/>
    </row>
    <row r="3038" spans="1:1" x14ac:dyDescent="0.55000000000000004">
      <c r="A3038" s="17"/>
    </row>
    <row r="3039" spans="1:1" x14ac:dyDescent="0.55000000000000004">
      <c r="A3039" s="17"/>
    </row>
    <row r="3040" spans="1:1" x14ac:dyDescent="0.55000000000000004">
      <c r="A3040" s="17"/>
    </row>
    <row r="3041" spans="1:1" x14ac:dyDescent="0.55000000000000004">
      <c r="A3041" s="17"/>
    </row>
    <row r="3042" spans="1:1" x14ac:dyDescent="0.55000000000000004">
      <c r="A3042" s="17"/>
    </row>
    <row r="3043" spans="1:1" x14ac:dyDescent="0.55000000000000004">
      <c r="A3043" s="17"/>
    </row>
    <row r="3044" spans="1:1" x14ac:dyDescent="0.55000000000000004">
      <c r="A3044" s="17"/>
    </row>
    <row r="3045" spans="1:1" x14ac:dyDescent="0.55000000000000004">
      <c r="A3045" s="17"/>
    </row>
    <row r="3046" spans="1:1" x14ac:dyDescent="0.55000000000000004">
      <c r="A3046" s="17"/>
    </row>
    <row r="3047" spans="1:1" x14ac:dyDescent="0.55000000000000004">
      <c r="A3047" s="17"/>
    </row>
    <row r="3048" spans="1:1" x14ac:dyDescent="0.55000000000000004">
      <c r="A3048" s="17"/>
    </row>
    <row r="3049" spans="1:1" x14ac:dyDescent="0.55000000000000004">
      <c r="A3049" s="17"/>
    </row>
    <row r="3050" spans="1:1" x14ac:dyDescent="0.55000000000000004">
      <c r="A3050" s="17"/>
    </row>
    <row r="3051" spans="1:1" x14ac:dyDescent="0.55000000000000004">
      <c r="A3051" s="17"/>
    </row>
    <row r="3052" spans="1:1" x14ac:dyDescent="0.55000000000000004">
      <c r="A3052" s="17"/>
    </row>
    <row r="3053" spans="1:1" x14ac:dyDescent="0.55000000000000004">
      <c r="A3053" s="17"/>
    </row>
    <row r="3054" spans="1:1" x14ac:dyDescent="0.55000000000000004">
      <c r="A3054" s="17"/>
    </row>
    <row r="3055" spans="1:1" x14ac:dyDescent="0.55000000000000004">
      <c r="A3055" s="17"/>
    </row>
    <row r="3056" spans="1:1" x14ac:dyDescent="0.55000000000000004">
      <c r="A3056" s="17"/>
    </row>
    <row r="3057" spans="1:1" x14ac:dyDescent="0.55000000000000004">
      <c r="A3057" s="17"/>
    </row>
    <row r="3058" spans="1:1" x14ac:dyDescent="0.55000000000000004">
      <c r="A3058" s="17"/>
    </row>
    <row r="3059" spans="1:1" x14ac:dyDescent="0.55000000000000004">
      <c r="A3059" s="17"/>
    </row>
    <row r="3060" spans="1:1" x14ac:dyDescent="0.55000000000000004">
      <c r="A3060" s="17"/>
    </row>
    <row r="3061" spans="1:1" x14ac:dyDescent="0.55000000000000004">
      <c r="A3061" s="17"/>
    </row>
    <row r="3062" spans="1:1" x14ac:dyDescent="0.55000000000000004">
      <c r="A3062" s="17"/>
    </row>
    <row r="3063" spans="1:1" x14ac:dyDescent="0.55000000000000004">
      <c r="A3063" s="17"/>
    </row>
    <row r="3064" spans="1:1" x14ac:dyDescent="0.55000000000000004">
      <c r="A3064" s="17"/>
    </row>
    <row r="3065" spans="1:1" x14ac:dyDescent="0.55000000000000004">
      <c r="A3065" s="17"/>
    </row>
    <row r="3066" spans="1:1" x14ac:dyDescent="0.55000000000000004">
      <c r="A3066" s="17"/>
    </row>
    <row r="3067" spans="1:1" x14ac:dyDescent="0.55000000000000004">
      <c r="A3067" s="17"/>
    </row>
    <row r="3068" spans="1:1" x14ac:dyDescent="0.55000000000000004">
      <c r="A3068" s="17"/>
    </row>
    <row r="3069" spans="1:1" x14ac:dyDescent="0.55000000000000004">
      <c r="A3069" s="17"/>
    </row>
    <row r="3070" spans="1:1" x14ac:dyDescent="0.55000000000000004">
      <c r="A3070" s="17"/>
    </row>
    <row r="3071" spans="1:1" x14ac:dyDescent="0.55000000000000004">
      <c r="A3071" s="17"/>
    </row>
    <row r="3072" spans="1:1" x14ac:dyDescent="0.55000000000000004">
      <c r="A3072" s="17"/>
    </row>
    <row r="3073" spans="1:1" x14ac:dyDescent="0.55000000000000004">
      <c r="A3073" s="17"/>
    </row>
    <row r="3074" spans="1:1" x14ac:dyDescent="0.55000000000000004">
      <c r="A3074" s="17"/>
    </row>
    <row r="3075" spans="1:1" x14ac:dyDescent="0.55000000000000004">
      <c r="A3075" s="17"/>
    </row>
    <row r="3076" spans="1:1" x14ac:dyDescent="0.55000000000000004">
      <c r="A3076" s="17"/>
    </row>
    <row r="3077" spans="1:1" x14ac:dyDescent="0.55000000000000004">
      <c r="A3077" s="17"/>
    </row>
    <row r="3078" spans="1:1" x14ac:dyDescent="0.55000000000000004">
      <c r="A3078" s="17"/>
    </row>
    <row r="3079" spans="1:1" x14ac:dyDescent="0.55000000000000004">
      <c r="A3079" s="17"/>
    </row>
    <row r="3080" spans="1:1" x14ac:dyDescent="0.55000000000000004">
      <c r="A3080" s="17"/>
    </row>
    <row r="3081" spans="1:1" x14ac:dyDescent="0.55000000000000004">
      <c r="A3081" s="17"/>
    </row>
    <row r="3082" spans="1:1" x14ac:dyDescent="0.55000000000000004">
      <c r="A3082" s="17"/>
    </row>
    <row r="3083" spans="1:1" x14ac:dyDescent="0.55000000000000004">
      <c r="A3083" s="17"/>
    </row>
    <row r="3084" spans="1:1" x14ac:dyDescent="0.55000000000000004">
      <c r="A3084" s="17"/>
    </row>
    <row r="3085" spans="1:1" x14ac:dyDescent="0.55000000000000004">
      <c r="A3085" s="17"/>
    </row>
    <row r="3086" spans="1:1" x14ac:dyDescent="0.55000000000000004">
      <c r="A3086" s="17"/>
    </row>
    <row r="3087" spans="1:1" x14ac:dyDescent="0.55000000000000004">
      <c r="A3087" s="17"/>
    </row>
    <row r="3088" spans="1:1" x14ac:dyDescent="0.55000000000000004">
      <c r="A3088" s="17"/>
    </row>
    <row r="3089" spans="1:1" x14ac:dyDescent="0.55000000000000004">
      <c r="A3089" s="17"/>
    </row>
    <row r="3090" spans="1:1" x14ac:dyDescent="0.55000000000000004">
      <c r="A3090" s="17"/>
    </row>
    <row r="3091" spans="1:1" x14ac:dyDescent="0.55000000000000004">
      <c r="A3091" s="17"/>
    </row>
    <row r="3092" spans="1:1" x14ac:dyDescent="0.55000000000000004">
      <c r="A3092" s="17"/>
    </row>
    <row r="3093" spans="1:1" x14ac:dyDescent="0.55000000000000004">
      <c r="A3093" s="17"/>
    </row>
    <row r="3094" spans="1:1" x14ac:dyDescent="0.55000000000000004">
      <c r="A3094" s="17"/>
    </row>
    <row r="3095" spans="1:1" x14ac:dyDescent="0.55000000000000004">
      <c r="A3095" s="17"/>
    </row>
    <row r="3096" spans="1:1" x14ac:dyDescent="0.55000000000000004">
      <c r="A3096" s="17"/>
    </row>
    <row r="3097" spans="1:1" x14ac:dyDescent="0.55000000000000004">
      <c r="A3097" s="17"/>
    </row>
    <row r="3098" spans="1:1" x14ac:dyDescent="0.55000000000000004">
      <c r="A3098" s="17"/>
    </row>
    <row r="3099" spans="1:1" x14ac:dyDescent="0.55000000000000004">
      <c r="A3099" s="17"/>
    </row>
    <row r="3100" spans="1:1" x14ac:dyDescent="0.55000000000000004">
      <c r="A3100" s="17"/>
    </row>
    <row r="3101" spans="1:1" x14ac:dyDescent="0.55000000000000004">
      <c r="A3101" s="17"/>
    </row>
    <row r="3102" spans="1:1" x14ac:dyDescent="0.55000000000000004">
      <c r="A3102" s="17"/>
    </row>
    <row r="3103" spans="1:1" x14ac:dyDescent="0.55000000000000004">
      <c r="A3103" s="17"/>
    </row>
    <row r="3104" spans="1:1" x14ac:dyDescent="0.55000000000000004">
      <c r="A3104" s="17"/>
    </row>
    <row r="3105" spans="1:1" x14ac:dyDescent="0.55000000000000004">
      <c r="A3105" s="17"/>
    </row>
    <row r="3106" spans="1:1" x14ac:dyDescent="0.55000000000000004">
      <c r="A3106" s="17"/>
    </row>
    <row r="3107" spans="1:1" x14ac:dyDescent="0.55000000000000004">
      <c r="A3107" s="17"/>
    </row>
    <row r="3108" spans="1:1" x14ac:dyDescent="0.55000000000000004">
      <c r="A3108" s="17"/>
    </row>
    <row r="3109" spans="1:1" x14ac:dyDescent="0.55000000000000004">
      <c r="A3109" s="17"/>
    </row>
    <row r="3110" spans="1:1" x14ac:dyDescent="0.55000000000000004">
      <c r="A3110" s="17"/>
    </row>
    <row r="3111" spans="1:1" x14ac:dyDescent="0.55000000000000004">
      <c r="A3111" s="17"/>
    </row>
    <row r="3112" spans="1:1" x14ac:dyDescent="0.55000000000000004">
      <c r="A3112" s="17"/>
    </row>
    <row r="3113" spans="1:1" x14ac:dyDescent="0.55000000000000004">
      <c r="A3113" s="17"/>
    </row>
    <row r="3114" spans="1:1" x14ac:dyDescent="0.55000000000000004">
      <c r="A3114" s="17"/>
    </row>
    <row r="3115" spans="1:1" x14ac:dyDescent="0.55000000000000004">
      <c r="A3115" s="17"/>
    </row>
    <row r="3116" spans="1:1" x14ac:dyDescent="0.55000000000000004">
      <c r="A3116" s="17"/>
    </row>
    <row r="3117" spans="1:1" x14ac:dyDescent="0.55000000000000004">
      <c r="A3117" s="17"/>
    </row>
    <row r="3118" spans="1:1" x14ac:dyDescent="0.55000000000000004">
      <c r="A3118" s="17"/>
    </row>
    <row r="3119" spans="1:1" x14ac:dyDescent="0.55000000000000004">
      <c r="A3119" s="17"/>
    </row>
    <row r="3120" spans="1:1" x14ac:dyDescent="0.55000000000000004">
      <c r="A3120" s="17"/>
    </row>
    <row r="3121" spans="1:1" x14ac:dyDescent="0.55000000000000004">
      <c r="A3121" s="17"/>
    </row>
    <row r="3122" spans="1:1" x14ac:dyDescent="0.55000000000000004">
      <c r="A3122" s="17"/>
    </row>
    <row r="3123" spans="1:1" x14ac:dyDescent="0.55000000000000004">
      <c r="A3123" s="17"/>
    </row>
    <row r="3124" spans="1:1" x14ac:dyDescent="0.55000000000000004">
      <c r="A3124" s="17"/>
    </row>
    <row r="3125" spans="1:1" x14ac:dyDescent="0.55000000000000004">
      <c r="A3125" s="17"/>
    </row>
    <row r="3126" spans="1:1" x14ac:dyDescent="0.55000000000000004">
      <c r="A3126" s="17"/>
    </row>
    <row r="3127" spans="1:1" x14ac:dyDescent="0.55000000000000004">
      <c r="A3127" s="17"/>
    </row>
    <row r="3128" spans="1:1" x14ac:dyDescent="0.55000000000000004">
      <c r="A3128" s="17"/>
    </row>
    <row r="3129" spans="1:1" x14ac:dyDescent="0.55000000000000004">
      <c r="A3129" s="17"/>
    </row>
    <row r="3130" spans="1:1" x14ac:dyDescent="0.55000000000000004">
      <c r="A3130" s="17"/>
    </row>
    <row r="3131" spans="1:1" x14ac:dyDescent="0.55000000000000004">
      <c r="A3131" s="17"/>
    </row>
    <row r="3132" spans="1:1" x14ac:dyDescent="0.55000000000000004">
      <c r="A3132" s="17"/>
    </row>
    <row r="3133" spans="1:1" x14ac:dyDescent="0.55000000000000004">
      <c r="A3133" s="17"/>
    </row>
    <row r="3134" spans="1:1" x14ac:dyDescent="0.55000000000000004">
      <c r="A3134" s="17"/>
    </row>
    <row r="3135" spans="1:1" x14ac:dyDescent="0.55000000000000004">
      <c r="A3135" s="17"/>
    </row>
    <row r="3136" spans="1:1" x14ac:dyDescent="0.55000000000000004">
      <c r="A3136" s="17"/>
    </row>
    <row r="3137" spans="1:1" x14ac:dyDescent="0.55000000000000004">
      <c r="A3137" s="17"/>
    </row>
    <row r="3138" spans="1:1" x14ac:dyDescent="0.55000000000000004">
      <c r="A3138" s="17"/>
    </row>
    <row r="3139" spans="1:1" x14ac:dyDescent="0.55000000000000004">
      <c r="A3139" s="17"/>
    </row>
    <row r="3140" spans="1:1" x14ac:dyDescent="0.55000000000000004">
      <c r="A3140" s="17"/>
    </row>
    <row r="3141" spans="1:1" x14ac:dyDescent="0.55000000000000004">
      <c r="A3141" s="17"/>
    </row>
    <row r="3142" spans="1:1" x14ac:dyDescent="0.55000000000000004">
      <c r="A3142" s="17"/>
    </row>
    <row r="3143" spans="1:1" x14ac:dyDescent="0.55000000000000004">
      <c r="A3143" s="17"/>
    </row>
    <row r="3144" spans="1:1" x14ac:dyDescent="0.55000000000000004">
      <c r="A3144" s="17"/>
    </row>
    <row r="3145" spans="1:1" x14ac:dyDescent="0.55000000000000004">
      <c r="A3145" s="17"/>
    </row>
    <row r="3146" spans="1:1" x14ac:dyDescent="0.55000000000000004">
      <c r="A3146" s="17"/>
    </row>
    <row r="3147" spans="1:1" x14ac:dyDescent="0.55000000000000004">
      <c r="A3147" s="17"/>
    </row>
    <row r="3148" spans="1:1" x14ac:dyDescent="0.55000000000000004">
      <c r="A3148" s="17"/>
    </row>
    <row r="3149" spans="1:1" x14ac:dyDescent="0.55000000000000004">
      <c r="A3149" s="17"/>
    </row>
    <row r="3150" spans="1:1" x14ac:dyDescent="0.55000000000000004">
      <c r="A3150" s="17"/>
    </row>
    <row r="3151" spans="1:1" x14ac:dyDescent="0.55000000000000004">
      <c r="A3151" s="17"/>
    </row>
    <row r="3152" spans="1:1" x14ac:dyDescent="0.55000000000000004">
      <c r="A3152" s="17"/>
    </row>
    <row r="3153" spans="1:1" x14ac:dyDescent="0.55000000000000004">
      <c r="A3153" s="17"/>
    </row>
    <row r="3154" spans="1:1" x14ac:dyDescent="0.55000000000000004">
      <c r="A3154" s="17"/>
    </row>
    <row r="3155" spans="1:1" x14ac:dyDescent="0.55000000000000004">
      <c r="A3155" s="17"/>
    </row>
    <row r="3156" spans="1:1" x14ac:dyDescent="0.55000000000000004">
      <c r="A3156" s="17"/>
    </row>
    <row r="3157" spans="1:1" x14ac:dyDescent="0.55000000000000004">
      <c r="A3157" s="17"/>
    </row>
    <row r="3158" spans="1:1" x14ac:dyDescent="0.55000000000000004">
      <c r="A3158" s="17"/>
    </row>
    <row r="3159" spans="1:1" x14ac:dyDescent="0.55000000000000004">
      <c r="A3159" s="17"/>
    </row>
    <row r="3160" spans="1:1" x14ac:dyDescent="0.55000000000000004">
      <c r="A3160" s="17"/>
    </row>
    <row r="3161" spans="1:1" x14ac:dyDescent="0.55000000000000004">
      <c r="A3161" s="17"/>
    </row>
    <row r="3162" spans="1:1" x14ac:dyDescent="0.55000000000000004">
      <c r="A3162" s="17"/>
    </row>
    <row r="3163" spans="1:1" x14ac:dyDescent="0.55000000000000004">
      <c r="A3163" s="17"/>
    </row>
    <row r="3164" spans="1:1" x14ac:dyDescent="0.55000000000000004">
      <c r="A3164" s="17"/>
    </row>
    <row r="3165" spans="1:1" x14ac:dyDescent="0.55000000000000004">
      <c r="A3165" s="17"/>
    </row>
    <row r="3166" spans="1:1" x14ac:dyDescent="0.55000000000000004">
      <c r="A3166" s="17"/>
    </row>
    <row r="3167" spans="1:1" x14ac:dyDescent="0.55000000000000004">
      <c r="A3167" s="17"/>
    </row>
    <row r="3168" spans="1:1" x14ac:dyDescent="0.55000000000000004">
      <c r="A3168" s="17"/>
    </row>
    <row r="3169" spans="1:1" x14ac:dyDescent="0.55000000000000004">
      <c r="A3169" s="17"/>
    </row>
    <row r="3170" spans="1:1" x14ac:dyDescent="0.55000000000000004">
      <c r="A3170" s="17"/>
    </row>
    <row r="3171" spans="1:1" x14ac:dyDescent="0.55000000000000004">
      <c r="A3171" s="17"/>
    </row>
    <row r="3172" spans="1:1" x14ac:dyDescent="0.55000000000000004">
      <c r="A3172" s="17"/>
    </row>
    <row r="3173" spans="1:1" x14ac:dyDescent="0.55000000000000004">
      <c r="A3173" s="17"/>
    </row>
    <row r="3174" spans="1:1" x14ac:dyDescent="0.55000000000000004">
      <c r="A3174" s="17"/>
    </row>
    <row r="3175" spans="1:1" x14ac:dyDescent="0.55000000000000004">
      <c r="A3175" s="17"/>
    </row>
    <row r="3176" spans="1:1" x14ac:dyDescent="0.55000000000000004">
      <c r="A3176" s="17"/>
    </row>
    <row r="3177" spans="1:1" x14ac:dyDescent="0.55000000000000004">
      <c r="A3177" s="17"/>
    </row>
    <row r="3178" spans="1:1" x14ac:dyDescent="0.55000000000000004">
      <c r="A3178" s="17"/>
    </row>
    <row r="3179" spans="1:1" x14ac:dyDescent="0.55000000000000004">
      <c r="A3179" s="17"/>
    </row>
    <row r="3180" spans="1:1" x14ac:dyDescent="0.55000000000000004">
      <c r="A3180" s="17"/>
    </row>
    <row r="3181" spans="1:1" x14ac:dyDescent="0.55000000000000004">
      <c r="A3181" s="17"/>
    </row>
    <row r="3182" spans="1:1" x14ac:dyDescent="0.55000000000000004">
      <c r="A3182" s="17"/>
    </row>
    <row r="3183" spans="1:1" x14ac:dyDescent="0.55000000000000004">
      <c r="A3183" s="17"/>
    </row>
    <row r="3184" spans="1:1" x14ac:dyDescent="0.55000000000000004">
      <c r="A3184" s="17"/>
    </row>
    <row r="3185" spans="1:1" x14ac:dyDescent="0.55000000000000004">
      <c r="A3185" s="17"/>
    </row>
    <row r="3186" spans="1:1" x14ac:dyDescent="0.55000000000000004">
      <c r="A3186" s="17"/>
    </row>
    <row r="3187" spans="1:1" x14ac:dyDescent="0.55000000000000004">
      <c r="A3187" s="17"/>
    </row>
    <row r="3188" spans="1:1" x14ac:dyDescent="0.55000000000000004">
      <c r="A3188" s="17"/>
    </row>
    <row r="3189" spans="1:1" x14ac:dyDescent="0.55000000000000004">
      <c r="A3189" s="17"/>
    </row>
    <row r="3190" spans="1:1" x14ac:dyDescent="0.55000000000000004">
      <c r="A3190" s="17"/>
    </row>
    <row r="3191" spans="1:1" x14ac:dyDescent="0.55000000000000004">
      <c r="A3191" s="17"/>
    </row>
    <row r="3192" spans="1:1" x14ac:dyDescent="0.55000000000000004">
      <c r="A3192" s="17"/>
    </row>
    <row r="3193" spans="1:1" x14ac:dyDescent="0.55000000000000004">
      <c r="A3193" s="17"/>
    </row>
    <row r="3194" spans="1:1" x14ac:dyDescent="0.55000000000000004">
      <c r="A3194" s="17"/>
    </row>
    <row r="3195" spans="1:1" x14ac:dyDescent="0.55000000000000004">
      <c r="A3195" s="17"/>
    </row>
    <row r="3196" spans="1:1" x14ac:dyDescent="0.55000000000000004">
      <c r="A3196" s="17"/>
    </row>
    <row r="3197" spans="1:1" x14ac:dyDescent="0.55000000000000004">
      <c r="A3197" s="17"/>
    </row>
    <row r="3198" spans="1:1" x14ac:dyDescent="0.55000000000000004">
      <c r="A3198" s="17"/>
    </row>
    <row r="3199" spans="1:1" x14ac:dyDescent="0.55000000000000004">
      <c r="A3199" s="17"/>
    </row>
    <row r="3200" spans="1:1" x14ac:dyDescent="0.55000000000000004">
      <c r="A3200" s="17"/>
    </row>
    <row r="3201" spans="1:1" x14ac:dyDescent="0.55000000000000004">
      <c r="A3201" s="17"/>
    </row>
    <row r="3202" spans="1:1" x14ac:dyDescent="0.55000000000000004">
      <c r="A3202" s="17"/>
    </row>
    <row r="3203" spans="1:1" x14ac:dyDescent="0.55000000000000004">
      <c r="A3203" s="17"/>
    </row>
    <row r="3204" spans="1:1" x14ac:dyDescent="0.55000000000000004">
      <c r="A3204" s="17"/>
    </row>
    <row r="3205" spans="1:1" x14ac:dyDescent="0.55000000000000004">
      <c r="A3205" s="17"/>
    </row>
    <row r="3206" spans="1:1" x14ac:dyDescent="0.55000000000000004">
      <c r="A3206" s="17"/>
    </row>
    <row r="3207" spans="1:1" x14ac:dyDescent="0.55000000000000004">
      <c r="A3207" s="17"/>
    </row>
    <row r="3208" spans="1:1" x14ac:dyDescent="0.55000000000000004">
      <c r="A3208" s="17"/>
    </row>
    <row r="3209" spans="1:1" x14ac:dyDescent="0.55000000000000004">
      <c r="A3209" s="17"/>
    </row>
    <row r="3210" spans="1:1" x14ac:dyDescent="0.55000000000000004">
      <c r="A3210" s="17"/>
    </row>
    <row r="3211" spans="1:1" x14ac:dyDescent="0.55000000000000004">
      <c r="A3211" s="17"/>
    </row>
    <row r="3212" spans="1:1" x14ac:dyDescent="0.55000000000000004">
      <c r="A3212" s="17"/>
    </row>
    <row r="3213" spans="1:1" x14ac:dyDescent="0.55000000000000004">
      <c r="A3213" s="17"/>
    </row>
    <row r="3214" spans="1:1" x14ac:dyDescent="0.55000000000000004">
      <c r="A3214" s="17"/>
    </row>
    <row r="3215" spans="1:1" x14ac:dyDescent="0.55000000000000004">
      <c r="A3215" s="17"/>
    </row>
    <row r="3216" spans="1:1" x14ac:dyDescent="0.55000000000000004">
      <c r="A3216" s="17"/>
    </row>
    <row r="3217" spans="1:1" x14ac:dyDescent="0.55000000000000004">
      <c r="A3217" s="17"/>
    </row>
    <row r="3218" spans="1:1" x14ac:dyDescent="0.55000000000000004">
      <c r="A3218" s="17"/>
    </row>
    <row r="3219" spans="1:1" x14ac:dyDescent="0.55000000000000004">
      <c r="A3219" s="17"/>
    </row>
    <row r="3220" spans="1:1" x14ac:dyDescent="0.55000000000000004">
      <c r="A3220" s="17"/>
    </row>
    <row r="3221" spans="1:1" x14ac:dyDescent="0.55000000000000004">
      <c r="A3221" s="17"/>
    </row>
    <row r="3222" spans="1:1" x14ac:dyDescent="0.55000000000000004">
      <c r="A3222" s="17"/>
    </row>
    <row r="3223" spans="1:1" x14ac:dyDescent="0.55000000000000004">
      <c r="A3223" s="17"/>
    </row>
    <row r="3224" spans="1:1" x14ac:dyDescent="0.55000000000000004">
      <c r="A3224" s="17"/>
    </row>
    <row r="3225" spans="1:1" x14ac:dyDescent="0.55000000000000004">
      <c r="A3225" s="17"/>
    </row>
    <row r="3226" spans="1:1" x14ac:dyDescent="0.55000000000000004">
      <c r="A3226" s="17"/>
    </row>
    <row r="3227" spans="1:1" x14ac:dyDescent="0.55000000000000004">
      <c r="A3227" s="17"/>
    </row>
    <row r="3228" spans="1:1" x14ac:dyDescent="0.55000000000000004">
      <c r="A3228" s="17"/>
    </row>
    <row r="3229" spans="1:1" x14ac:dyDescent="0.55000000000000004">
      <c r="A3229" s="17"/>
    </row>
    <row r="3230" spans="1:1" x14ac:dyDescent="0.55000000000000004">
      <c r="A3230" s="17"/>
    </row>
    <row r="3231" spans="1:1" x14ac:dyDescent="0.55000000000000004">
      <c r="A3231" s="17"/>
    </row>
    <row r="3232" spans="1:1" x14ac:dyDescent="0.55000000000000004">
      <c r="A3232" s="17"/>
    </row>
    <row r="3233" spans="1:1" x14ac:dyDescent="0.55000000000000004">
      <c r="A3233" s="17"/>
    </row>
    <row r="3234" spans="1:1" x14ac:dyDescent="0.55000000000000004">
      <c r="A3234" s="17"/>
    </row>
    <row r="3235" spans="1:1" x14ac:dyDescent="0.55000000000000004">
      <c r="A3235" s="17"/>
    </row>
    <row r="3236" spans="1:1" x14ac:dyDescent="0.55000000000000004">
      <c r="A3236" s="17"/>
    </row>
    <row r="3237" spans="1:1" x14ac:dyDescent="0.55000000000000004">
      <c r="A3237" s="17"/>
    </row>
    <row r="3238" spans="1:1" x14ac:dyDescent="0.55000000000000004">
      <c r="A3238" s="17"/>
    </row>
    <row r="3239" spans="1:1" x14ac:dyDescent="0.55000000000000004">
      <c r="A3239" s="17"/>
    </row>
    <row r="3240" spans="1:1" x14ac:dyDescent="0.55000000000000004">
      <c r="A3240" s="17"/>
    </row>
    <row r="3241" spans="1:1" x14ac:dyDescent="0.55000000000000004">
      <c r="A3241" s="17"/>
    </row>
    <row r="3242" spans="1:1" x14ac:dyDescent="0.55000000000000004">
      <c r="A3242" s="17"/>
    </row>
    <row r="3243" spans="1:1" x14ac:dyDescent="0.55000000000000004">
      <c r="A3243" s="17"/>
    </row>
    <row r="3244" spans="1:1" x14ac:dyDescent="0.55000000000000004">
      <c r="A3244" s="17"/>
    </row>
    <row r="3245" spans="1:1" x14ac:dyDescent="0.55000000000000004">
      <c r="A3245" s="17"/>
    </row>
    <row r="3246" spans="1:1" x14ac:dyDescent="0.55000000000000004">
      <c r="A3246" s="17"/>
    </row>
    <row r="3247" spans="1:1" x14ac:dyDescent="0.55000000000000004">
      <c r="A3247" s="17"/>
    </row>
    <row r="3248" spans="1:1" x14ac:dyDescent="0.55000000000000004">
      <c r="A3248" s="17"/>
    </row>
    <row r="3249" spans="1:1" x14ac:dyDescent="0.55000000000000004">
      <c r="A3249" s="17"/>
    </row>
    <row r="3250" spans="1:1" x14ac:dyDescent="0.55000000000000004">
      <c r="A3250" s="17"/>
    </row>
    <row r="3251" spans="1:1" x14ac:dyDescent="0.55000000000000004">
      <c r="A3251" s="17"/>
    </row>
    <row r="3252" spans="1:1" x14ac:dyDescent="0.55000000000000004">
      <c r="A3252" s="17"/>
    </row>
    <row r="3253" spans="1:1" x14ac:dyDescent="0.55000000000000004">
      <c r="A3253" s="17"/>
    </row>
    <row r="3254" spans="1:1" x14ac:dyDescent="0.55000000000000004">
      <c r="A3254" s="17"/>
    </row>
    <row r="3255" spans="1:1" x14ac:dyDescent="0.55000000000000004">
      <c r="A3255" s="17"/>
    </row>
    <row r="3256" spans="1:1" x14ac:dyDescent="0.55000000000000004">
      <c r="A3256" s="17"/>
    </row>
    <row r="3257" spans="1:1" x14ac:dyDescent="0.55000000000000004">
      <c r="A3257" s="17"/>
    </row>
    <row r="3258" spans="1:1" x14ac:dyDescent="0.55000000000000004">
      <c r="A3258" s="17"/>
    </row>
    <row r="3259" spans="1:1" x14ac:dyDescent="0.55000000000000004">
      <c r="A3259" s="17"/>
    </row>
    <row r="3260" spans="1:1" x14ac:dyDescent="0.55000000000000004">
      <c r="A3260" s="17"/>
    </row>
    <row r="3261" spans="1:1" x14ac:dyDescent="0.55000000000000004">
      <c r="A3261" s="17"/>
    </row>
    <row r="3262" spans="1:1" x14ac:dyDescent="0.55000000000000004">
      <c r="A3262" s="17"/>
    </row>
    <row r="3263" spans="1:1" x14ac:dyDescent="0.55000000000000004">
      <c r="A3263" s="17"/>
    </row>
    <row r="3264" spans="1:1" x14ac:dyDescent="0.55000000000000004">
      <c r="A3264" s="17"/>
    </row>
    <row r="3265" spans="1:1" x14ac:dyDescent="0.55000000000000004">
      <c r="A3265" s="17"/>
    </row>
    <row r="3266" spans="1:1" x14ac:dyDescent="0.55000000000000004">
      <c r="A3266" s="17"/>
    </row>
    <row r="3267" spans="1:1" x14ac:dyDescent="0.55000000000000004">
      <c r="A3267" s="17"/>
    </row>
    <row r="3268" spans="1:1" x14ac:dyDescent="0.55000000000000004">
      <c r="A3268" s="17"/>
    </row>
    <row r="3269" spans="1:1" x14ac:dyDescent="0.55000000000000004">
      <c r="A3269" s="17"/>
    </row>
    <row r="3270" spans="1:1" x14ac:dyDescent="0.55000000000000004">
      <c r="A3270" s="17"/>
    </row>
    <row r="3271" spans="1:1" x14ac:dyDescent="0.55000000000000004">
      <c r="A3271" s="17"/>
    </row>
    <row r="3272" spans="1:1" x14ac:dyDescent="0.55000000000000004">
      <c r="A3272" s="17"/>
    </row>
    <row r="3273" spans="1:1" x14ac:dyDescent="0.55000000000000004">
      <c r="A3273" s="17"/>
    </row>
    <row r="3274" spans="1:1" x14ac:dyDescent="0.55000000000000004">
      <c r="A3274" s="17"/>
    </row>
    <row r="3275" spans="1:1" x14ac:dyDescent="0.55000000000000004">
      <c r="A3275" s="17"/>
    </row>
    <row r="3276" spans="1:1" x14ac:dyDescent="0.55000000000000004">
      <c r="A3276" s="17"/>
    </row>
    <row r="3277" spans="1:1" x14ac:dyDescent="0.55000000000000004">
      <c r="A3277" s="17"/>
    </row>
    <row r="3278" spans="1:1" x14ac:dyDescent="0.55000000000000004">
      <c r="A3278" s="17"/>
    </row>
    <row r="3279" spans="1:1" x14ac:dyDescent="0.55000000000000004">
      <c r="A3279" s="17"/>
    </row>
    <row r="3280" spans="1:1" x14ac:dyDescent="0.55000000000000004">
      <c r="A3280" s="17"/>
    </row>
    <row r="3281" spans="1:1" x14ac:dyDescent="0.55000000000000004">
      <c r="A3281" s="17"/>
    </row>
    <row r="3282" spans="1:1" x14ac:dyDescent="0.55000000000000004">
      <c r="A3282" s="17"/>
    </row>
    <row r="3283" spans="1:1" x14ac:dyDescent="0.55000000000000004">
      <c r="A3283" s="17"/>
    </row>
    <row r="3284" spans="1:1" x14ac:dyDescent="0.55000000000000004">
      <c r="A3284" s="17"/>
    </row>
    <row r="3285" spans="1:1" x14ac:dyDescent="0.55000000000000004">
      <c r="A3285" s="17"/>
    </row>
    <row r="3286" spans="1:1" x14ac:dyDescent="0.55000000000000004">
      <c r="A3286" s="17"/>
    </row>
    <row r="3287" spans="1:1" x14ac:dyDescent="0.55000000000000004">
      <c r="A3287" s="17"/>
    </row>
    <row r="3288" spans="1:1" x14ac:dyDescent="0.55000000000000004">
      <c r="A3288" s="17"/>
    </row>
    <row r="3289" spans="1:1" x14ac:dyDescent="0.55000000000000004">
      <c r="A3289" s="17"/>
    </row>
    <row r="3290" spans="1:1" x14ac:dyDescent="0.55000000000000004">
      <c r="A3290" s="17"/>
    </row>
    <row r="3291" spans="1:1" x14ac:dyDescent="0.55000000000000004">
      <c r="A3291" s="17"/>
    </row>
    <row r="3292" spans="1:1" x14ac:dyDescent="0.55000000000000004">
      <c r="A3292" s="17"/>
    </row>
    <row r="3293" spans="1:1" x14ac:dyDescent="0.55000000000000004">
      <c r="A3293" s="17"/>
    </row>
    <row r="3294" spans="1:1" x14ac:dyDescent="0.55000000000000004">
      <c r="A3294" s="17"/>
    </row>
    <row r="3295" spans="1:1" x14ac:dyDescent="0.55000000000000004">
      <c r="A3295" s="17"/>
    </row>
    <row r="3296" spans="1:1" x14ac:dyDescent="0.55000000000000004">
      <c r="A3296" s="17"/>
    </row>
    <row r="3297" spans="1:1" x14ac:dyDescent="0.55000000000000004">
      <c r="A3297" s="17"/>
    </row>
    <row r="3298" spans="1:1" x14ac:dyDescent="0.55000000000000004">
      <c r="A3298" s="17"/>
    </row>
    <row r="3299" spans="1:1" x14ac:dyDescent="0.55000000000000004">
      <c r="A3299" s="17"/>
    </row>
    <row r="3300" spans="1:1" x14ac:dyDescent="0.55000000000000004">
      <c r="A3300" s="17"/>
    </row>
    <row r="3301" spans="1:1" x14ac:dyDescent="0.55000000000000004">
      <c r="A3301" s="17"/>
    </row>
    <row r="3302" spans="1:1" x14ac:dyDescent="0.55000000000000004">
      <c r="A3302" s="17"/>
    </row>
    <row r="3303" spans="1:1" x14ac:dyDescent="0.55000000000000004">
      <c r="A3303" s="17"/>
    </row>
    <row r="3304" spans="1:1" x14ac:dyDescent="0.55000000000000004">
      <c r="A3304" s="17"/>
    </row>
    <row r="3305" spans="1:1" x14ac:dyDescent="0.55000000000000004">
      <c r="A3305" s="17"/>
    </row>
    <row r="3306" spans="1:1" x14ac:dyDescent="0.55000000000000004">
      <c r="A3306" s="17"/>
    </row>
    <row r="3307" spans="1:1" x14ac:dyDescent="0.55000000000000004">
      <c r="A3307" s="17"/>
    </row>
    <row r="3308" spans="1:1" x14ac:dyDescent="0.55000000000000004">
      <c r="A3308" s="17"/>
    </row>
    <row r="3309" spans="1:1" x14ac:dyDescent="0.55000000000000004">
      <c r="A3309" s="17"/>
    </row>
    <row r="3310" spans="1:1" x14ac:dyDescent="0.55000000000000004">
      <c r="A3310" s="17"/>
    </row>
    <row r="3311" spans="1:1" x14ac:dyDescent="0.55000000000000004">
      <c r="A3311" s="17"/>
    </row>
    <row r="3312" spans="1:1" x14ac:dyDescent="0.55000000000000004">
      <c r="A3312" s="17"/>
    </row>
    <row r="3313" spans="1:1" x14ac:dyDescent="0.55000000000000004">
      <c r="A3313" s="17"/>
    </row>
    <row r="3314" spans="1:1" x14ac:dyDescent="0.55000000000000004">
      <c r="A3314" s="17"/>
    </row>
    <row r="3315" spans="1:1" x14ac:dyDescent="0.55000000000000004">
      <c r="A3315" s="17"/>
    </row>
    <row r="3316" spans="1:1" x14ac:dyDescent="0.55000000000000004">
      <c r="A3316" s="17"/>
    </row>
    <row r="3317" spans="1:1" x14ac:dyDescent="0.55000000000000004">
      <c r="A3317" s="17"/>
    </row>
    <row r="3318" spans="1:1" x14ac:dyDescent="0.55000000000000004">
      <c r="A3318" s="17"/>
    </row>
    <row r="3319" spans="1:1" x14ac:dyDescent="0.55000000000000004">
      <c r="A3319" s="17"/>
    </row>
    <row r="3320" spans="1:1" x14ac:dyDescent="0.55000000000000004">
      <c r="A3320" s="17"/>
    </row>
    <row r="3321" spans="1:1" x14ac:dyDescent="0.55000000000000004">
      <c r="A3321" s="17"/>
    </row>
    <row r="3322" spans="1:1" x14ac:dyDescent="0.55000000000000004">
      <c r="A3322" s="17"/>
    </row>
    <row r="3323" spans="1:1" x14ac:dyDescent="0.55000000000000004">
      <c r="A3323" s="17"/>
    </row>
    <row r="3324" spans="1:1" x14ac:dyDescent="0.55000000000000004">
      <c r="A3324" s="17"/>
    </row>
    <row r="3325" spans="1:1" x14ac:dyDescent="0.55000000000000004">
      <c r="A3325" s="17"/>
    </row>
    <row r="3326" spans="1:1" x14ac:dyDescent="0.55000000000000004">
      <c r="A3326" s="17"/>
    </row>
    <row r="3327" spans="1:1" x14ac:dyDescent="0.55000000000000004">
      <c r="A3327" s="17"/>
    </row>
    <row r="3328" spans="1:1" x14ac:dyDescent="0.55000000000000004">
      <c r="A3328" s="17"/>
    </row>
    <row r="3329" spans="1:1" x14ac:dyDescent="0.55000000000000004">
      <c r="A3329" s="17"/>
    </row>
    <row r="3330" spans="1:1" x14ac:dyDescent="0.55000000000000004">
      <c r="A3330" s="17"/>
    </row>
    <row r="3331" spans="1:1" x14ac:dyDescent="0.55000000000000004">
      <c r="A3331" s="17"/>
    </row>
    <row r="3332" spans="1:1" x14ac:dyDescent="0.55000000000000004">
      <c r="A3332" s="17"/>
    </row>
    <row r="3333" spans="1:1" x14ac:dyDescent="0.55000000000000004">
      <c r="A3333" s="17"/>
    </row>
    <row r="3334" spans="1:1" x14ac:dyDescent="0.55000000000000004">
      <c r="A3334" s="17"/>
    </row>
    <row r="3335" spans="1:1" x14ac:dyDescent="0.55000000000000004">
      <c r="A3335" s="17"/>
    </row>
    <row r="3336" spans="1:1" x14ac:dyDescent="0.55000000000000004">
      <c r="A3336" s="17"/>
    </row>
    <row r="3337" spans="1:1" x14ac:dyDescent="0.55000000000000004">
      <c r="A3337" s="17"/>
    </row>
    <row r="3338" spans="1:1" x14ac:dyDescent="0.55000000000000004">
      <c r="A3338" s="17"/>
    </row>
    <row r="3339" spans="1:1" x14ac:dyDescent="0.55000000000000004">
      <c r="A3339" s="17"/>
    </row>
    <row r="3340" spans="1:1" x14ac:dyDescent="0.55000000000000004">
      <c r="A3340" s="17"/>
    </row>
    <row r="3341" spans="1:1" x14ac:dyDescent="0.55000000000000004">
      <c r="A3341" s="17"/>
    </row>
    <row r="3342" spans="1:1" x14ac:dyDescent="0.55000000000000004">
      <c r="A3342" s="17"/>
    </row>
    <row r="3343" spans="1:1" x14ac:dyDescent="0.55000000000000004">
      <c r="A3343" s="17"/>
    </row>
    <row r="3344" spans="1:1" x14ac:dyDescent="0.55000000000000004">
      <c r="A3344" s="17"/>
    </row>
    <row r="3345" spans="1:1" x14ac:dyDescent="0.55000000000000004">
      <c r="A3345" s="17"/>
    </row>
    <row r="3346" spans="1:1" x14ac:dyDescent="0.55000000000000004">
      <c r="A3346" s="17"/>
    </row>
    <row r="3347" spans="1:1" x14ac:dyDescent="0.55000000000000004">
      <c r="A3347" s="17"/>
    </row>
    <row r="3348" spans="1:1" x14ac:dyDescent="0.55000000000000004">
      <c r="A3348" s="17"/>
    </row>
    <row r="3349" spans="1:1" x14ac:dyDescent="0.55000000000000004">
      <c r="A3349" s="17"/>
    </row>
    <row r="3350" spans="1:1" x14ac:dyDescent="0.55000000000000004">
      <c r="A3350" s="17"/>
    </row>
    <row r="3351" spans="1:1" x14ac:dyDescent="0.55000000000000004">
      <c r="A3351" s="17"/>
    </row>
    <row r="3352" spans="1:1" x14ac:dyDescent="0.55000000000000004">
      <c r="A3352" s="17"/>
    </row>
    <row r="3353" spans="1:1" x14ac:dyDescent="0.55000000000000004">
      <c r="A3353" s="17"/>
    </row>
    <row r="3354" spans="1:1" x14ac:dyDescent="0.55000000000000004">
      <c r="A3354" s="17"/>
    </row>
    <row r="3355" spans="1:1" x14ac:dyDescent="0.55000000000000004">
      <c r="A3355" s="17"/>
    </row>
    <row r="3356" spans="1:1" x14ac:dyDescent="0.55000000000000004">
      <c r="A3356" s="17"/>
    </row>
    <row r="3357" spans="1:1" x14ac:dyDescent="0.55000000000000004">
      <c r="A3357" s="17"/>
    </row>
    <row r="3358" spans="1:1" x14ac:dyDescent="0.55000000000000004">
      <c r="A3358" s="17"/>
    </row>
    <row r="3359" spans="1:1" x14ac:dyDescent="0.55000000000000004">
      <c r="A3359" s="17"/>
    </row>
    <row r="3360" spans="1:1" x14ac:dyDescent="0.55000000000000004">
      <c r="A3360" s="17"/>
    </row>
    <row r="3361" spans="1:1" x14ac:dyDescent="0.55000000000000004">
      <c r="A3361" s="17"/>
    </row>
    <row r="3362" spans="1:1" x14ac:dyDescent="0.55000000000000004">
      <c r="A3362" s="17"/>
    </row>
    <row r="3363" spans="1:1" x14ac:dyDescent="0.55000000000000004">
      <c r="A3363" s="17"/>
    </row>
    <row r="3364" spans="1:1" x14ac:dyDescent="0.55000000000000004">
      <c r="A3364" s="17"/>
    </row>
    <row r="3365" spans="1:1" x14ac:dyDescent="0.55000000000000004">
      <c r="A3365" s="17"/>
    </row>
    <row r="3366" spans="1:1" x14ac:dyDescent="0.55000000000000004">
      <c r="A3366" s="17"/>
    </row>
    <row r="3367" spans="1:1" x14ac:dyDescent="0.55000000000000004">
      <c r="A3367" s="17"/>
    </row>
    <row r="3368" spans="1:1" x14ac:dyDescent="0.55000000000000004">
      <c r="A3368" s="17"/>
    </row>
    <row r="3369" spans="1:1" x14ac:dyDescent="0.55000000000000004">
      <c r="A3369" s="17"/>
    </row>
    <row r="3370" spans="1:1" x14ac:dyDescent="0.55000000000000004">
      <c r="A3370" s="17"/>
    </row>
    <row r="3371" spans="1:1" x14ac:dyDescent="0.55000000000000004">
      <c r="A3371" s="17"/>
    </row>
    <row r="3372" spans="1:1" x14ac:dyDescent="0.55000000000000004">
      <c r="A3372" s="17"/>
    </row>
    <row r="3373" spans="1:1" x14ac:dyDescent="0.55000000000000004">
      <c r="A3373" s="17"/>
    </row>
    <row r="3374" spans="1:1" x14ac:dyDescent="0.55000000000000004">
      <c r="A3374" s="17"/>
    </row>
    <row r="3375" spans="1:1" x14ac:dyDescent="0.55000000000000004">
      <c r="A3375" s="17"/>
    </row>
    <row r="3376" spans="1:1" x14ac:dyDescent="0.55000000000000004">
      <c r="A3376" s="17"/>
    </row>
    <row r="3377" spans="1:1" x14ac:dyDescent="0.55000000000000004">
      <c r="A3377" s="17"/>
    </row>
    <row r="3378" spans="1:1" x14ac:dyDescent="0.55000000000000004">
      <c r="A3378" s="17"/>
    </row>
    <row r="3379" spans="1:1" x14ac:dyDescent="0.55000000000000004">
      <c r="A3379" s="17"/>
    </row>
    <row r="3380" spans="1:1" x14ac:dyDescent="0.55000000000000004">
      <c r="A3380" s="17"/>
    </row>
    <row r="3381" spans="1:1" x14ac:dyDescent="0.55000000000000004">
      <c r="A3381" s="17"/>
    </row>
    <row r="3382" spans="1:1" x14ac:dyDescent="0.55000000000000004">
      <c r="A3382" s="17"/>
    </row>
    <row r="3383" spans="1:1" x14ac:dyDescent="0.55000000000000004">
      <c r="A3383" s="17"/>
    </row>
    <row r="3384" spans="1:1" x14ac:dyDescent="0.55000000000000004">
      <c r="A3384" s="17"/>
    </row>
    <row r="3385" spans="1:1" x14ac:dyDescent="0.55000000000000004">
      <c r="A3385" s="17"/>
    </row>
    <row r="3386" spans="1:1" x14ac:dyDescent="0.55000000000000004">
      <c r="A3386" s="17"/>
    </row>
    <row r="3387" spans="1:1" x14ac:dyDescent="0.55000000000000004">
      <c r="A3387" s="17"/>
    </row>
    <row r="3388" spans="1:1" x14ac:dyDescent="0.55000000000000004">
      <c r="A3388" s="17"/>
    </row>
    <row r="3389" spans="1:1" x14ac:dyDescent="0.55000000000000004">
      <c r="A3389" s="17"/>
    </row>
    <row r="3390" spans="1:1" x14ac:dyDescent="0.55000000000000004">
      <c r="A3390" s="17"/>
    </row>
    <row r="3391" spans="1:1" x14ac:dyDescent="0.55000000000000004">
      <c r="A3391" s="17"/>
    </row>
    <row r="3392" spans="1:1" x14ac:dyDescent="0.55000000000000004">
      <c r="A3392" s="17"/>
    </row>
    <row r="3393" spans="1:1" x14ac:dyDescent="0.55000000000000004">
      <c r="A3393" s="17"/>
    </row>
    <row r="3394" spans="1:1" x14ac:dyDescent="0.55000000000000004">
      <c r="A3394" s="17"/>
    </row>
    <row r="3395" spans="1:1" x14ac:dyDescent="0.55000000000000004">
      <c r="A3395" s="17"/>
    </row>
    <row r="3396" spans="1:1" x14ac:dyDescent="0.55000000000000004">
      <c r="A3396" s="17"/>
    </row>
    <row r="3397" spans="1:1" x14ac:dyDescent="0.55000000000000004">
      <c r="A3397" s="17"/>
    </row>
    <row r="3398" spans="1:1" x14ac:dyDescent="0.55000000000000004">
      <c r="A3398" s="17"/>
    </row>
    <row r="3399" spans="1:1" x14ac:dyDescent="0.55000000000000004">
      <c r="A3399" s="17"/>
    </row>
    <row r="3400" spans="1:1" x14ac:dyDescent="0.55000000000000004">
      <c r="A3400" s="17"/>
    </row>
    <row r="3401" spans="1:1" x14ac:dyDescent="0.55000000000000004">
      <c r="A3401" s="17"/>
    </row>
    <row r="3402" spans="1:1" x14ac:dyDescent="0.55000000000000004">
      <c r="A3402" s="17"/>
    </row>
    <row r="3403" spans="1:1" x14ac:dyDescent="0.55000000000000004">
      <c r="A3403" s="17"/>
    </row>
    <row r="3404" spans="1:1" x14ac:dyDescent="0.55000000000000004">
      <c r="A3404" s="17"/>
    </row>
    <row r="3405" spans="1:1" x14ac:dyDescent="0.55000000000000004">
      <c r="A3405" s="17"/>
    </row>
    <row r="3406" spans="1:1" x14ac:dyDescent="0.55000000000000004">
      <c r="A3406" s="17"/>
    </row>
    <row r="3407" spans="1:1" x14ac:dyDescent="0.55000000000000004">
      <c r="A3407" s="17"/>
    </row>
    <row r="3408" spans="1:1" x14ac:dyDescent="0.55000000000000004">
      <c r="A3408" s="17"/>
    </row>
    <row r="3409" spans="1:1" x14ac:dyDescent="0.55000000000000004">
      <c r="A3409" s="17"/>
    </row>
    <row r="3410" spans="1:1" x14ac:dyDescent="0.55000000000000004">
      <c r="A3410" s="17"/>
    </row>
    <row r="3411" spans="1:1" x14ac:dyDescent="0.55000000000000004">
      <c r="A3411" s="17"/>
    </row>
    <row r="3412" spans="1:1" x14ac:dyDescent="0.55000000000000004">
      <c r="A3412" s="17"/>
    </row>
    <row r="3413" spans="1:1" x14ac:dyDescent="0.55000000000000004">
      <c r="A3413" s="17"/>
    </row>
    <row r="3414" spans="1:1" x14ac:dyDescent="0.55000000000000004">
      <c r="A3414" s="17"/>
    </row>
    <row r="3415" spans="1:1" x14ac:dyDescent="0.55000000000000004">
      <c r="A3415" s="17"/>
    </row>
    <row r="3416" spans="1:1" x14ac:dyDescent="0.55000000000000004">
      <c r="A3416" s="17"/>
    </row>
    <row r="3417" spans="1:1" x14ac:dyDescent="0.55000000000000004">
      <c r="A3417" s="17"/>
    </row>
    <row r="3418" spans="1:1" x14ac:dyDescent="0.55000000000000004">
      <c r="A3418" s="17"/>
    </row>
    <row r="3419" spans="1:1" x14ac:dyDescent="0.55000000000000004">
      <c r="A3419" s="17"/>
    </row>
    <row r="3420" spans="1:1" x14ac:dyDescent="0.55000000000000004">
      <c r="A3420" s="17"/>
    </row>
    <row r="3421" spans="1:1" x14ac:dyDescent="0.55000000000000004">
      <c r="A3421" s="17"/>
    </row>
    <row r="3422" spans="1:1" x14ac:dyDescent="0.55000000000000004">
      <c r="A3422" s="17"/>
    </row>
    <row r="3423" spans="1:1" x14ac:dyDescent="0.55000000000000004">
      <c r="A3423" s="17"/>
    </row>
    <row r="3424" spans="1:1" x14ac:dyDescent="0.55000000000000004">
      <c r="A3424" s="17"/>
    </row>
    <row r="3425" spans="1:1" x14ac:dyDescent="0.55000000000000004">
      <c r="A3425" s="17"/>
    </row>
    <row r="3426" spans="1:1" x14ac:dyDescent="0.55000000000000004">
      <c r="A3426" s="17"/>
    </row>
    <row r="3427" spans="1:1" x14ac:dyDescent="0.55000000000000004">
      <c r="A3427" s="17"/>
    </row>
    <row r="3428" spans="1:1" x14ac:dyDescent="0.55000000000000004">
      <c r="A3428" s="17"/>
    </row>
    <row r="3429" spans="1:1" x14ac:dyDescent="0.55000000000000004">
      <c r="A3429" s="17"/>
    </row>
    <row r="3430" spans="1:1" x14ac:dyDescent="0.55000000000000004">
      <c r="A3430" s="17"/>
    </row>
    <row r="3431" spans="1:1" x14ac:dyDescent="0.55000000000000004">
      <c r="A3431" s="17"/>
    </row>
    <row r="3432" spans="1:1" x14ac:dyDescent="0.55000000000000004">
      <c r="A3432" s="17"/>
    </row>
    <row r="3433" spans="1:1" x14ac:dyDescent="0.55000000000000004">
      <c r="A3433" s="17"/>
    </row>
    <row r="3434" spans="1:1" x14ac:dyDescent="0.55000000000000004">
      <c r="A3434" s="17"/>
    </row>
    <row r="3435" spans="1:1" x14ac:dyDescent="0.55000000000000004">
      <c r="A3435" s="17"/>
    </row>
    <row r="3436" spans="1:1" x14ac:dyDescent="0.55000000000000004">
      <c r="A3436" s="17"/>
    </row>
    <row r="3437" spans="1:1" x14ac:dyDescent="0.55000000000000004">
      <c r="A3437" s="17"/>
    </row>
    <row r="3438" spans="1:1" x14ac:dyDescent="0.55000000000000004">
      <c r="A3438" s="17"/>
    </row>
    <row r="3439" spans="1:1" x14ac:dyDescent="0.55000000000000004">
      <c r="A3439" s="17"/>
    </row>
    <row r="3440" spans="1:1" x14ac:dyDescent="0.55000000000000004">
      <c r="A3440" s="17"/>
    </row>
    <row r="3441" spans="1:1" x14ac:dyDescent="0.55000000000000004">
      <c r="A3441" s="17"/>
    </row>
    <row r="3442" spans="1:1" x14ac:dyDescent="0.55000000000000004">
      <c r="A3442" s="17"/>
    </row>
    <row r="3443" spans="1:1" x14ac:dyDescent="0.55000000000000004">
      <c r="A3443" s="17"/>
    </row>
    <row r="3444" spans="1:1" x14ac:dyDescent="0.55000000000000004">
      <c r="A3444" s="17"/>
    </row>
    <row r="3445" spans="1:1" x14ac:dyDescent="0.55000000000000004">
      <c r="A3445" s="17"/>
    </row>
    <row r="3446" spans="1:1" x14ac:dyDescent="0.55000000000000004">
      <c r="A3446" s="17"/>
    </row>
    <row r="3447" spans="1:1" x14ac:dyDescent="0.55000000000000004">
      <c r="A3447" s="17"/>
    </row>
    <row r="3448" spans="1:1" x14ac:dyDescent="0.55000000000000004">
      <c r="A3448" s="17"/>
    </row>
    <row r="3449" spans="1:1" x14ac:dyDescent="0.55000000000000004">
      <c r="A3449" s="17"/>
    </row>
    <row r="3450" spans="1:1" x14ac:dyDescent="0.55000000000000004">
      <c r="A3450" s="17"/>
    </row>
    <row r="3451" spans="1:1" x14ac:dyDescent="0.55000000000000004">
      <c r="A3451" s="17"/>
    </row>
    <row r="3452" spans="1:1" x14ac:dyDescent="0.55000000000000004">
      <c r="A3452" s="17"/>
    </row>
    <row r="3453" spans="1:1" x14ac:dyDescent="0.55000000000000004">
      <c r="A3453" s="17"/>
    </row>
    <row r="3454" spans="1:1" x14ac:dyDescent="0.55000000000000004">
      <c r="A3454" s="17"/>
    </row>
    <row r="3455" spans="1:1" x14ac:dyDescent="0.55000000000000004">
      <c r="A3455" s="17"/>
    </row>
    <row r="3456" spans="1:1" x14ac:dyDescent="0.55000000000000004">
      <c r="A3456" s="17"/>
    </row>
    <row r="3457" spans="1:1" x14ac:dyDescent="0.55000000000000004">
      <c r="A3457" s="17"/>
    </row>
    <row r="3458" spans="1:1" x14ac:dyDescent="0.55000000000000004">
      <c r="A3458" s="17"/>
    </row>
    <row r="3459" spans="1:1" x14ac:dyDescent="0.55000000000000004">
      <c r="A3459" s="17"/>
    </row>
    <row r="3460" spans="1:1" x14ac:dyDescent="0.55000000000000004">
      <c r="A3460" s="17"/>
    </row>
    <row r="3461" spans="1:1" x14ac:dyDescent="0.55000000000000004">
      <c r="A3461" s="17"/>
    </row>
    <row r="3462" spans="1:1" x14ac:dyDescent="0.55000000000000004">
      <c r="A3462" s="17"/>
    </row>
    <row r="3463" spans="1:1" x14ac:dyDescent="0.55000000000000004">
      <c r="A3463" s="17"/>
    </row>
    <row r="3464" spans="1:1" x14ac:dyDescent="0.55000000000000004">
      <c r="A3464" s="17"/>
    </row>
    <row r="3465" spans="1:1" x14ac:dyDescent="0.55000000000000004">
      <c r="A3465" s="17"/>
    </row>
    <row r="3466" spans="1:1" x14ac:dyDescent="0.55000000000000004">
      <c r="A3466" s="17"/>
    </row>
    <row r="3467" spans="1:1" x14ac:dyDescent="0.55000000000000004">
      <c r="A3467" s="17"/>
    </row>
    <row r="3468" spans="1:1" x14ac:dyDescent="0.55000000000000004">
      <c r="A3468" s="17"/>
    </row>
    <row r="3469" spans="1:1" x14ac:dyDescent="0.55000000000000004">
      <c r="A3469" s="17"/>
    </row>
    <row r="3470" spans="1:1" x14ac:dyDescent="0.55000000000000004">
      <c r="A3470" s="17"/>
    </row>
    <row r="3471" spans="1:1" x14ac:dyDescent="0.55000000000000004">
      <c r="A3471" s="17"/>
    </row>
    <row r="3472" spans="1:1" x14ac:dyDescent="0.55000000000000004">
      <c r="A3472" s="17"/>
    </row>
    <row r="3473" spans="1:1" x14ac:dyDescent="0.55000000000000004">
      <c r="A3473" s="17"/>
    </row>
    <row r="3474" spans="1:1" x14ac:dyDescent="0.55000000000000004">
      <c r="A3474" s="17"/>
    </row>
    <row r="3475" spans="1:1" x14ac:dyDescent="0.55000000000000004">
      <c r="A3475" s="17"/>
    </row>
    <row r="3476" spans="1:1" x14ac:dyDescent="0.55000000000000004">
      <c r="A3476" s="17"/>
    </row>
    <row r="3477" spans="1:1" x14ac:dyDescent="0.55000000000000004">
      <c r="A3477" s="17"/>
    </row>
    <row r="3478" spans="1:1" x14ac:dyDescent="0.55000000000000004">
      <c r="A3478" s="17"/>
    </row>
    <row r="3479" spans="1:1" x14ac:dyDescent="0.55000000000000004">
      <c r="A3479" s="17"/>
    </row>
    <row r="3480" spans="1:1" x14ac:dyDescent="0.55000000000000004">
      <c r="A3480" s="17"/>
    </row>
    <row r="3481" spans="1:1" x14ac:dyDescent="0.55000000000000004">
      <c r="A3481" s="17"/>
    </row>
    <row r="3482" spans="1:1" x14ac:dyDescent="0.55000000000000004">
      <c r="A3482" s="17"/>
    </row>
    <row r="3483" spans="1:1" x14ac:dyDescent="0.55000000000000004">
      <c r="A3483" s="17"/>
    </row>
    <row r="3484" spans="1:1" x14ac:dyDescent="0.55000000000000004">
      <c r="A3484" s="17"/>
    </row>
    <row r="3485" spans="1:1" x14ac:dyDescent="0.55000000000000004">
      <c r="A3485" s="17"/>
    </row>
    <row r="3486" spans="1:1" x14ac:dyDescent="0.55000000000000004">
      <c r="A3486" s="17"/>
    </row>
    <row r="3487" spans="1:1" x14ac:dyDescent="0.55000000000000004">
      <c r="A3487" s="17"/>
    </row>
    <row r="3488" spans="1:1" x14ac:dyDescent="0.55000000000000004">
      <c r="A3488" s="17"/>
    </row>
    <row r="3489" spans="1:1" x14ac:dyDescent="0.55000000000000004">
      <c r="A3489" s="17"/>
    </row>
    <row r="3490" spans="1:1" x14ac:dyDescent="0.55000000000000004">
      <c r="A3490" s="17"/>
    </row>
    <row r="3491" spans="1:1" x14ac:dyDescent="0.55000000000000004">
      <c r="A3491" s="17"/>
    </row>
    <row r="3492" spans="1:1" x14ac:dyDescent="0.55000000000000004">
      <c r="A3492" s="17"/>
    </row>
    <row r="3493" spans="1:1" x14ac:dyDescent="0.55000000000000004">
      <c r="A3493" s="17"/>
    </row>
    <row r="3494" spans="1:1" x14ac:dyDescent="0.55000000000000004">
      <c r="A3494" s="17"/>
    </row>
    <row r="3495" spans="1:1" x14ac:dyDescent="0.55000000000000004">
      <c r="A3495" s="17"/>
    </row>
    <row r="3496" spans="1:1" x14ac:dyDescent="0.55000000000000004">
      <c r="A3496" s="17"/>
    </row>
    <row r="3497" spans="1:1" x14ac:dyDescent="0.55000000000000004">
      <c r="A3497" s="17"/>
    </row>
    <row r="3498" spans="1:1" x14ac:dyDescent="0.55000000000000004">
      <c r="A3498" s="17"/>
    </row>
    <row r="3499" spans="1:1" x14ac:dyDescent="0.55000000000000004">
      <c r="A3499" s="17"/>
    </row>
    <row r="3500" spans="1:1" x14ac:dyDescent="0.55000000000000004">
      <c r="A3500" s="17"/>
    </row>
    <row r="3501" spans="1:1" x14ac:dyDescent="0.55000000000000004">
      <c r="A3501" s="17"/>
    </row>
    <row r="3502" spans="1:1" x14ac:dyDescent="0.55000000000000004">
      <c r="A3502" s="17"/>
    </row>
    <row r="3503" spans="1:1" x14ac:dyDescent="0.55000000000000004">
      <c r="A3503" s="17"/>
    </row>
    <row r="3504" spans="1:1" x14ac:dyDescent="0.55000000000000004">
      <c r="A3504" s="17"/>
    </row>
    <row r="3505" spans="1:1" x14ac:dyDescent="0.55000000000000004">
      <c r="A3505" s="17"/>
    </row>
    <row r="3506" spans="1:1" x14ac:dyDescent="0.55000000000000004">
      <c r="A3506" s="17"/>
    </row>
    <row r="3507" spans="1:1" x14ac:dyDescent="0.55000000000000004">
      <c r="A3507" s="17"/>
    </row>
    <row r="3508" spans="1:1" x14ac:dyDescent="0.55000000000000004">
      <c r="A3508" s="17"/>
    </row>
    <row r="3509" spans="1:1" x14ac:dyDescent="0.55000000000000004">
      <c r="A3509" s="17"/>
    </row>
    <row r="3510" spans="1:1" x14ac:dyDescent="0.55000000000000004">
      <c r="A3510" s="17"/>
    </row>
    <row r="3511" spans="1:1" x14ac:dyDescent="0.55000000000000004">
      <c r="A3511" s="17"/>
    </row>
    <row r="3512" spans="1:1" x14ac:dyDescent="0.55000000000000004">
      <c r="A3512" s="17"/>
    </row>
    <row r="3513" spans="1:1" x14ac:dyDescent="0.55000000000000004">
      <c r="A3513" s="17"/>
    </row>
    <row r="3514" spans="1:1" x14ac:dyDescent="0.55000000000000004">
      <c r="A3514" s="17"/>
    </row>
    <row r="3515" spans="1:1" x14ac:dyDescent="0.55000000000000004">
      <c r="A3515" s="17"/>
    </row>
    <row r="3516" spans="1:1" x14ac:dyDescent="0.55000000000000004">
      <c r="A3516" s="17"/>
    </row>
    <row r="3517" spans="1:1" x14ac:dyDescent="0.55000000000000004">
      <c r="A3517" s="17"/>
    </row>
    <row r="3518" spans="1:1" x14ac:dyDescent="0.55000000000000004">
      <c r="A3518" s="17"/>
    </row>
    <row r="3519" spans="1:1" x14ac:dyDescent="0.55000000000000004">
      <c r="A3519" s="17"/>
    </row>
    <row r="3520" spans="1:1" x14ac:dyDescent="0.55000000000000004">
      <c r="A3520" s="17"/>
    </row>
    <row r="3521" spans="1:1" x14ac:dyDescent="0.55000000000000004">
      <c r="A3521" s="17"/>
    </row>
    <row r="3522" spans="1:1" x14ac:dyDescent="0.55000000000000004">
      <c r="A3522" s="17"/>
    </row>
    <row r="3523" spans="1:1" x14ac:dyDescent="0.55000000000000004">
      <c r="A3523" s="17"/>
    </row>
    <row r="3524" spans="1:1" x14ac:dyDescent="0.55000000000000004">
      <c r="A3524" s="17"/>
    </row>
    <row r="3525" spans="1:1" x14ac:dyDescent="0.55000000000000004">
      <c r="A3525" s="17"/>
    </row>
    <row r="3526" spans="1:1" x14ac:dyDescent="0.55000000000000004">
      <c r="A3526" s="17"/>
    </row>
    <row r="3527" spans="1:1" x14ac:dyDescent="0.55000000000000004">
      <c r="A3527" s="17"/>
    </row>
    <row r="3528" spans="1:1" x14ac:dyDescent="0.55000000000000004">
      <c r="A3528" s="17"/>
    </row>
    <row r="3529" spans="1:1" x14ac:dyDescent="0.55000000000000004">
      <c r="A3529" s="17"/>
    </row>
    <row r="3530" spans="1:1" x14ac:dyDescent="0.55000000000000004">
      <c r="A3530" s="17"/>
    </row>
    <row r="3531" spans="1:1" x14ac:dyDescent="0.55000000000000004">
      <c r="A3531" s="17"/>
    </row>
    <row r="3532" spans="1:1" x14ac:dyDescent="0.55000000000000004">
      <c r="A3532" s="17"/>
    </row>
    <row r="3533" spans="1:1" x14ac:dyDescent="0.55000000000000004">
      <c r="A3533" s="17"/>
    </row>
    <row r="3534" spans="1:1" x14ac:dyDescent="0.55000000000000004">
      <c r="A3534" s="17"/>
    </row>
    <row r="3535" spans="1:1" x14ac:dyDescent="0.55000000000000004">
      <c r="A3535" s="17"/>
    </row>
    <row r="3536" spans="1:1" x14ac:dyDescent="0.55000000000000004">
      <c r="A3536" s="17"/>
    </row>
    <row r="3537" spans="1:1" x14ac:dyDescent="0.55000000000000004">
      <c r="A3537" s="17"/>
    </row>
    <row r="3538" spans="1:1" x14ac:dyDescent="0.55000000000000004">
      <c r="A3538" s="17"/>
    </row>
    <row r="3539" spans="1:1" x14ac:dyDescent="0.55000000000000004">
      <c r="A3539" s="17"/>
    </row>
    <row r="3540" spans="1:1" x14ac:dyDescent="0.55000000000000004">
      <c r="A3540" s="17"/>
    </row>
    <row r="3541" spans="1:1" x14ac:dyDescent="0.55000000000000004">
      <c r="A3541" s="17"/>
    </row>
    <row r="3542" spans="1:1" x14ac:dyDescent="0.55000000000000004">
      <c r="A3542" s="17"/>
    </row>
    <row r="3543" spans="1:1" x14ac:dyDescent="0.55000000000000004">
      <c r="A3543" s="17"/>
    </row>
    <row r="3544" spans="1:1" x14ac:dyDescent="0.55000000000000004">
      <c r="A3544" s="17"/>
    </row>
    <row r="3545" spans="1:1" x14ac:dyDescent="0.55000000000000004">
      <c r="A3545" s="17"/>
    </row>
    <row r="3546" spans="1:1" x14ac:dyDescent="0.55000000000000004">
      <c r="A3546" s="17"/>
    </row>
    <row r="3547" spans="1:1" x14ac:dyDescent="0.55000000000000004">
      <c r="A3547" s="17"/>
    </row>
    <row r="3548" spans="1:1" x14ac:dyDescent="0.55000000000000004">
      <c r="A3548" s="17"/>
    </row>
    <row r="3549" spans="1:1" x14ac:dyDescent="0.55000000000000004">
      <c r="A3549" s="17"/>
    </row>
    <row r="3550" spans="1:1" x14ac:dyDescent="0.55000000000000004">
      <c r="A3550" s="17"/>
    </row>
    <row r="3551" spans="1:1" x14ac:dyDescent="0.55000000000000004">
      <c r="A3551" s="17"/>
    </row>
    <row r="3552" spans="1:1" x14ac:dyDescent="0.55000000000000004">
      <c r="A3552" s="17"/>
    </row>
    <row r="3553" spans="1:1" x14ac:dyDescent="0.55000000000000004">
      <c r="A3553" s="17"/>
    </row>
    <row r="3554" spans="1:1" x14ac:dyDescent="0.55000000000000004">
      <c r="A3554" s="17"/>
    </row>
    <row r="3555" spans="1:1" x14ac:dyDescent="0.55000000000000004">
      <c r="A3555" s="17"/>
    </row>
    <row r="3556" spans="1:1" x14ac:dyDescent="0.55000000000000004">
      <c r="A3556" s="17"/>
    </row>
    <row r="3557" spans="1:1" x14ac:dyDescent="0.55000000000000004">
      <c r="A3557" s="17"/>
    </row>
    <row r="3558" spans="1:1" x14ac:dyDescent="0.55000000000000004">
      <c r="A3558" s="17"/>
    </row>
    <row r="3559" spans="1:1" x14ac:dyDescent="0.55000000000000004">
      <c r="A3559" s="17"/>
    </row>
    <row r="3560" spans="1:1" x14ac:dyDescent="0.55000000000000004">
      <c r="A3560" s="17"/>
    </row>
    <row r="3561" spans="1:1" x14ac:dyDescent="0.55000000000000004">
      <c r="A3561" s="17"/>
    </row>
    <row r="3562" spans="1:1" x14ac:dyDescent="0.55000000000000004">
      <c r="A3562" s="17"/>
    </row>
    <row r="3563" spans="1:1" x14ac:dyDescent="0.55000000000000004">
      <c r="A3563" s="17"/>
    </row>
    <row r="3564" spans="1:1" x14ac:dyDescent="0.55000000000000004">
      <c r="A3564" s="17"/>
    </row>
    <row r="3565" spans="1:1" x14ac:dyDescent="0.55000000000000004">
      <c r="A3565" s="17"/>
    </row>
    <row r="3566" spans="1:1" x14ac:dyDescent="0.55000000000000004">
      <c r="A3566" s="17"/>
    </row>
    <row r="3567" spans="1:1" x14ac:dyDescent="0.55000000000000004">
      <c r="A3567" s="17"/>
    </row>
    <row r="3568" spans="1:1" x14ac:dyDescent="0.55000000000000004">
      <c r="A3568" s="17"/>
    </row>
    <row r="3569" spans="1:1" x14ac:dyDescent="0.55000000000000004">
      <c r="A3569" s="17"/>
    </row>
    <row r="3570" spans="1:1" x14ac:dyDescent="0.55000000000000004">
      <c r="A3570" s="17"/>
    </row>
    <row r="3571" spans="1:1" x14ac:dyDescent="0.55000000000000004">
      <c r="A3571" s="17"/>
    </row>
    <row r="3572" spans="1:1" x14ac:dyDescent="0.55000000000000004">
      <c r="A3572" s="17"/>
    </row>
    <row r="3573" spans="1:1" x14ac:dyDescent="0.55000000000000004">
      <c r="A3573" s="17"/>
    </row>
    <row r="3574" spans="1:1" x14ac:dyDescent="0.55000000000000004">
      <c r="A3574" s="17"/>
    </row>
    <row r="3575" spans="1:1" x14ac:dyDescent="0.55000000000000004">
      <c r="A3575" s="17"/>
    </row>
    <row r="3576" spans="1:1" x14ac:dyDescent="0.55000000000000004">
      <c r="A3576" s="17"/>
    </row>
    <row r="3577" spans="1:1" x14ac:dyDescent="0.55000000000000004">
      <c r="A3577" s="17"/>
    </row>
    <row r="3578" spans="1:1" x14ac:dyDescent="0.55000000000000004">
      <c r="A3578" s="17"/>
    </row>
    <row r="3579" spans="1:1" x14ac:dyDescent="0.55000000000000004">
      <c r="A3579" s="17"/>
    </row>
    <row r="3580" spans="1:1" x14ac:dyDescent="0.55000000000000004">
      <c r="A3580" s="17"/>
    </row>
    <row r="3581" spans="1:1" x14ac:dyDescent="0.55000000000000004">
      <c r="A3581" s="17"/>
    </row>
    <row r="3582" spans="1:1" x14ac:dyDescent="0.55000000000000004">
      <c r="A3582" s="17"/>
    </row>
    <row r="3583" spans="1:1" x14ac:dyDescent="0.55000000000000004">
      <c r="A3583" s="17"/>
    </row>
    <row r="3584" spans="1:1" x14ac:dyDescent="0.55000000000000004">
      <c r="A3584" s="17"/>
    </row>
    <row r="3585" spans="1:1" x14ac:dyDescent="0.55000000000000004">
      <c r="A3585" s="17"/>
    </row>
    <row r="3586" spans="1:1" x14ac:dyDescent="0.55000000000000004">
      <c r="A3586" s="17"/>
    </row>
    <row r="3587" spans="1:1" x14ac:dyDescent="0.55000000000000004">
      <c r="A3587" s="17"/>
    </row>
    <row r="3588" spans="1:1" x14ac:dyDescent="0.55000000000000004">
      <c r="A3588" s="17"/>
    </row>
    <row r="3589" spans="1:1" x14ac:dyDescent="0.55000000000000004">
      <c r="A3589" s="17"/>
    </row>
    <row r="3590" spans="1:1" x14ac:dyDescent="0.55000000000000004">
      <c r="A3590" s="17"/>
    </row>
    <row r="3591" spans="1:1" x14ac:dyDescent="0.55000000000000004">
      <c r="A3591" s="17"/>
    </row>
    <row r="3592" spans="1:1" x14ac:dyDescent="0.55000000000000004">
      <c r="A3592" s="17"/>
    </row>
    <row r="3593" spans="1:1" x14ac:dyDescent="0.55000000000000004">
      <c r="A3593" s="17"/>
    </row>
    <row r="3594" spans="1:1" x14ac:dyDescent="0.55000000000000004">
      <c r="A3594" s="17"/>
    </row>
    <row r="3595" spans="1:1" x14ac:dyDescent="0.55000000000000004">
      <c r="A3595" s="17"/>
    </row>
    <row r="3596" spans="1:1" x14ac:dyDescent="0.55000000000000004">
      <c r="A3596" s="17"/>
    </row>
    <row r="3597" spans="1:1" x14ac:dyDescent="0.55000000000000004">
      <c r="A3597" s="17"/>
    </row>
    <row r="3598" spans="1:1" x14ac:dyDescent="0.55000000000000004">
      <c r="A3598" s="17"/>
    </row>
    <row r="3599" spans="1:1" x14ac:dyDescent="0.55000000000000004">
      <c r="A3599" s="17"/>
    </row>
    <row r="3600" spans="1:1" x14ac:dyDescent="0.55000000000000004">
      <c r="A3600" s="17"/>
    </row>
    <row r="3601" spans="1:1" x14ac:dyDescent="0.55000000000000004">
      <c r="A3601" s="17"/>
    </row>
    <row r="3602" spans="1:1" x14ac:dyDescent="0.55000000000000004">
      <c r="A3602" s="17"/>
    </row>
    <row r="3603" spans="1:1" x14ac:dyDescent="0.55000000000000004">
      <c r="A3603" s="17"/>
    </row>
    <row r="3604" spans="1:1" x14ac:dyDescent="0.55000000000000004">
      <c r="A3604" s="17"/>
    </row>
    <row r="3605" spans="1:1" x14ac:dyDescent="0.55000000000000004">
      <c r="A3605" s="17"/>
    </row>
    <row r="3606" spans="1:1" x14ac:dyDescent="0.55000000000000004">
      <c r="A3606" s="17"/>
    </row>
    <row r="3607" spans="1:1" x14ac:dyDescent="0.55000000000000004">
      <c r="A3607" s="17"/>
    </row>
    <row r="3608" spans="1:1" x14ac:dyDescent="0.55000000000000004">
      <c r="A3608" s="17"/>
    </row>
    <row r="3609" spans="1:1" x14ac:dyDescent="0.55000000000000004">
      <c r="A3609" s="17"/>
    </row>
    <row r="3610" spans="1:1" x14ac:dyDescent="0.55000000000000004">
      <c r="A3610" s="17"/>
    </row>
    <row r="3611" spans="1:1" x14ac:dyDescent="0.55000000000000004">
      <c r="A3611" s="17"/>
    </row>
    <row r="3612" spans="1:1" x14ac:dyDescent="0.55000000000000004">
      <c r="A3612" s="17"/>
    </row>
    <row r="3613" spans="1:1" x14ac:dyDescent="0.55000000000000004">
      <c r="A3613" s="17"/>
    </row>
    <row r="3614" spans="1:1" x14ac:dyDescent="0.55000000000000004">
      <c r="A3614" s="17"/>
    </row>
    <row r="3615" spans="1:1" x14ac:dyDescent="0.55000000000000004">
      <c r="A3615" s="17"/>
    </row>
    <row r="3616" spans="1:1" x14ac:dyDescent="0.55000000000000004">
      <c r="A3616" s="17"/>
    </row>
    <row r="3617" spans="1:1" x14ac:dyDescent="0.55000000000000004">
      <c r="A3617" s="17"/>
    </row>
    <row r="3618" spans="1:1" x14ac:dyDescent="0.55000000000000004">
      <c r="A3618" s="17"/>
    </row>
    <row r="3619" spans="1:1" x14ac:dyDescent="0.55000000000000004">
      <c r="A3619" s="17"/>
    </row>
    <row r="3620" spans="1:1" x14ac:dyDescent="0.55000000000000004">
      <c r="A3620" s="17"/>
    </row>
    <row r="3621" spans="1:1" x14ac:dyDescent="0.55000000000000004">
      <c r="A3621" s="17"/>
    </row>
    <row r="3622" spans="1:1" x14ac:dyDescent="0.55000000000000004">
      <c r="A3622" s="17"/>
    </row>
    <row r="3623" spans="1:1" x14ac:dyDescent="0.55000000000000004">
      <c r="A3623" s="17"/>
    </row>
    <row r="3624" spans="1:1" x14ac:dyDescent="0.55000000000000004">
      <c r="A3624" s="17"/>
    </row>
    <row r="3625" spans="1:1" x14ac:dyDescent="0.55000000000000004">
      <c r="A3625" s="17"/>
    </row>
    <row r="3626" spans="1:1" x14ac:dyDescent="0.55000000000000004">
      <c r="A3626" s="17"/>
    </row>
    <row r="3627" spans="1:1" x14ac:dyDescent="0.55000000000000004">
      <c r="A3627" s="17"/>
    </row>
    <row r="3628" spans="1:1" x14ac:dyDescent="0.55000000000000004">
      <c r="A3628" s="17"/>
    </row>
    <row r="3629" spans="1:1" x14ac:dyDescent="0.55000000000000004">
      <c r="A3629" s="17"/>
    </row>
    <row r="3630" spans="1:1" x14ac:dyDescent="0.55000000000000004">
      <c r="A3630" s="17"/>
    </row>
    <row r="3631" spans="1:1" x14ac:dyDescent="0.55000000000000004">
      <c r="A3631" s="17"/>
    </row>
    <row r="3632" spans="1:1" x14ac:dyDescent="0.55000000000000004">
      <c r="A3632" s="17"/>
    </row>
    <row r="3633" spans="1:1" x14ac:dyDescent="0.55000000000000004">
      <c r="A3633" s="17"/>
    </row>
    <row r="3634" spans="1:1" x14ac:dyDescent="0.55000000000000004">
      <c r="A3634" s="17"/>
    </row>
    <row r="3635" spans="1:1" x14ac:dyDescent="0.55000000000000004">
      <c r="A3635" s="17"/>
    </row>
    <row r="3636" spans="1:1" x14ac:dyDescent="0.55000000000000004">
      <c r="A3636" s="17"/>
    </row>
    <row r="3637" spans="1:1" x14ac:dyDescent="0.55000000000000004">
      <c r="A3637" s="17"/>
    </row>
    <row r="3638" spans="1:1" x14ac:dyDescent="0.55000000000000004">
      <c r="A3638" s="17"/>
    </row>
    <row r="3639" spans="1:1" x14ac:dyDescent="0.55000000000000004">
      <c r="A3639" s="17"/>
    </row>
    <row r="3640" spans="1:1" x14ac:dyDescent="0.55000000000000004">
      <c r="A3640" s="17"/>
    </row>
    <row r="3641" spans="1:1" x14ac:dyDescent="0.55000000000000004">
      <c r="A3641" s="17"/>
    </row>
    <row r="3642" spans="1:1" x14ac:dyDescent="0.55000000000000004">
      <c r="A3642" s="17"/>
    </row>
    <row r="3643" spans="1:1" x14ac:dyDescent="0.55000000000000004">
      <c r="A3643" s="17"/>
    </row>
    <row r="3644" spans="1:1" x14ac:dyDescent="0.55000000000000004">
      <c r="A3644" s="17"/>
    </row>
    <row r="3645" spans="1:1" x14ac:dyDescent="0.55000000000000004">
      <c r="A3645" s="17"/>
    </row>
    <row r="3646" spans="1:1" x14ac:dyDescent="0.55000000000000004">
      <c r="A3646" s="17"/>
    </row>
    <row r="3647" spans="1:1" x14ac:dyDescent="0.55000000000000004">
      <c r="A3647" s="17"/>
    </row>
    <row r="3648" spans="1:1" x14ac:dyDescent="0.55000000000000004">
      <c r="A3648" s="17"/>
    </row>
    <row r="3649" spans="1:1" x14ac:dyDescent="0.55000000000000004">
      <c r="A3649" s="17"/>
    </row>
    <row r="3650" spans="1:1" x14ac:dyDescent="0.55000000000000004">
      <c r="A3650" s="17"/>
    </row>
    <row r="3651" spans="1:1" x14ac:dyDescent="0.55000000000000004">
      <c r="A3651" s="17"/>
    </row>
    <row r="3652" spans="1:1" x14ac:dyDescent="0.55000000000000004">
      <c r="A3652" s="17"/>
    </row>
    <row r="3653" spans="1:1" x14ac:dyDescent="0.55000000000000004">
      <c r="A3653" s="17"/>
    </row>
    <row r="3654" spans="1:1" x14ac:dyDescent="0.55000000000000004">
      <c r="A3654" s="17"/>
    </row>
    <row r="3655" spans="1:1" x14ac:dyDescent="0.55000000000000004">
      <c r="A3655" s="17"/>
    </row>
    <row r="3656" spans="1:1" x14ac:dyDescent="0.55000000000000004">
      <c r="A3656" s="17"/>
    </row>
    <row r="3657" spans="1:1" x14ac:dyDescent="0.55000000000000004">
      <c r="A3657" s="17"/>
    </row>
    <row r="3658" spans="1:1" x14ac:dyDescent="0.55000000000000004">
      <c r="A3658" s="17"/>
    </row>
    <row r="3659" spans="1:1" x14ac:dyDescent="0.55000000000000004">
      <c r="A3659" s="17"/>
    </row>
    <row r="3660" spans="1:1" x14ac:dyDescent="0.55000000000000004">
      <c r="A3660" s="17"/>
    </row>
    <row r="3661" spans="1:1" x14ac:dyDescent="0.55000000000000004">
      <c r="A3661" s="17"/>
    </row>
    <row r="3662" spans="1:1" x14ac:dyDescent="0.55000000000000004">
      <c r="A3662" s="17"/>
    </row>
    <row r="3663" spans="1:1" x14ac:dyDescent="0.55000000000000004">
      <c r="A3663" s="17"/>
    </row>
    <row r="3664" spans="1:1" x14ac:dyDescent="0.55000000000000004">
      <c r="A3664" s="17"/>
    </row>
    <row r="3665" spans="1:1" x14ac:dyDescent="0.55000000000000004">
      <c r="A3665" s="17"/>
    </row>
    <row r="3666" spans="1:1" x14ac:dyDescent="0.55000000000000004">
      <c r="A3666" s="17"/>
    </row>
    <row r="3667" spans="1:1" x14ac:dyDescent="0.55000000000000004">
      <c r="A3667" s="17"/>
    </row>
    <row r="3668" spans="1:1" x14ac:dyDescent="0.55000000000000004">
      <c r="A3668" s="17"/>
    </row>
    <row r="3669" spans="1:1" x14ac:dyDescent="0.55000000000000004">
      <c r="A3669" s="17"/>
    </row>
    <row r="3670" spans="1:1" x14ac:dyDescent="0.55000000000000004">
      <c r="A3670" s="17"/>
    </row>
    <row r="3671" spans="1:1" x14ac:dyDescent="0.55000000000000004">
      <c r="A3671" s="17"/>
    </row>
    <row r="3672" spans="1:1" x14ac:dyDescent="0.55000000000000004">
      <c r="A3672" s="17"/>
    </row>
    <row r="3673" spans="1:1" x14ac:dyDescent="0.55000000000000004">
      <c r="A3673" s="17"/>
    </row>
    <row r="3674" spans="1:1" x14ac:dyDescent="0.55000000000000004">
      <c r="A3674" s="17"/>
    </row>
    <row r="3675" spans="1:1" x14ac:dyDescent="0.55000000000000004">
      <c r="A3675" s="17"/>
    </row>
    <row r="3676" spans="1:1" x14ac:dyDescent="0.55000000000000004">
      <c r="A3676" s="17"/>
    </row>
    <row r="3677" spans="1:1" x14ac:dyDescent="0.55000000000000004">
      <c r="A3677" s="17"/>
    </row>
    <row r="3678" spans="1:1" x14ac:dyDescent="0.55000000000000004">
      <c r="A3678" s="17"/>
    </row>
    <row r="3679" spans="1:1" x14ac:dyDescent="0.55000000000000004">
      <c r="A3679" s="17"/>
    </row>
    <row r="3680" spans="1:1" x14ac:dyDescent="0.55000000000000004">
      <c r="A3680" s="17"/>
    </row>
    <row r="3681" spans="1:1" x14ac:dyDescent="0.55000000000000004">
      <c r="A3681" s="17"/>
    </row>
    <row r="3682" spans="1:1" x14ac:dyDescent="0.55000000000000004">
      <c r="A3682" s="17"/>
    </row>
    <row r="3683" spans="1:1" x14ac:dyDescent="0.55000000000000004">
      <c r="A3683" s="17"/>
    </row>
    <row r="3684" spans="1:1" x14ac:dyDescent="0.55000000000000004">
      <c r="A3684" s="17"/>
    </row>
    <row r="3685" spans="1:1" x14ac:dyDescent="0.55000000000000004">
      <c r="A3685" s="17"/>
    </row>
    <row r="3686" spans="1:1" x14ac:dyDescent="0.55000000000000004">
      <c r="A3686" s="17"/>
    </row>
    <row r="3687" spans="1:1" x14ac:dyDescent="0.55000000000000004">
      <c r="A3687" s="17"/>
    </row>
    <row r="3688" spans="1:1" x14ac:dyDescent="0.55000000000000004">
      <c r="A3688" s="17"/>
    </row>
    <row r="3689" spans="1:1" x14ac:dyDescent="0.55000000000000004">
      <c r="A3689" s="17"/>
    </row>
    <row r="3690" spans="1:1" x14ac:dyDescent="0.55000000000000004">
      <c r="A3690" s="17"/>
    </row>
    <row r="3691" spans="1:1" x14ac:dyDescent="0.55000000000000004">
      <c r="A3691" s="17"/>
    </row>
    <row r="3692" spans="1:1" x14ac:dyDescent="0.55000000000000004">
      <c r="A3692" s="17"/>
    </row>
    <row r="3693" spans="1:1" x14ac:dyDescent="0.55000000000000004">
      <c r="A3693" s="17"/>
    </row>
    <row r="3694" spans="1:1" x14ac:dyDescent="0.55000000000000004">
      <c r="A3694" s="17"/>
    </row>
    <row r="3695" spans="1:1" x14ac:dyDescent="0.55000000000000004">
      <c r="A3695" s="17"/>
    </row>
    <row r="3696" spans="1:1" x14ac:dyDescent="0.55000000000000004">
      <c r="A3696" s="17"/>
    </row>
    <row r="3697" spans="1:1" x14ac:dyDescent="0.55000000000000004">
      <c r="A3697" s="17"/>
    </row>
    <row r="3698" spans="1:1" x14ac:dyDescent="0.55000000000000004">
      <c r="A3698" s="17"/>
    </row>
    <row r="3699" spans="1:1" x14ac:dyDescent="0.55000000000000004">
      <c r="A3699" s="17"/>
    </row>
    <row r="3700" spans="1:1" x14ac:dyDescent="0.55000000000000004">
      <c r="A3700" s="17"/>
    </row>
    <row r="3701" spans="1:1" x14ac:dyDescent="0.55000000000000004">
      <c r="A3701" s="17"/>
    </row>
    <row r="3702" spans="1:1" x14ac:dyDescent="0.55000000000000004">
      <c r="A3702" s="17"/>
    </row>
    <row r="3703" spans="1:1" x14ac:dyDescent="0.55000000000000004">
      <c r="A3703" s="17"/>
    </row>
    <row r="3704" spans="1:1" x14ac:dyDescent="0.55000000000000004">
      <c r="A3704" s="17"/>
    </row>
    <row r="3705" spans="1:1" x14ac:dyDescent="0.55000000000000004">
      <c r="A3705" s="17"/>
    </row>
    <row r="3706" spans="1:1" x14ac:dyDescent="0.55000000000000004">
      <c r="A3706" s="17"/>
    </row>
    <row r="3707" spans="1:1" x14ac:dyDescent="0.55000000000000004">
      <c r="A3707" s="17"/>
    </row>
    <row r="3708" spans="1:1" x14ac:dyDescent="0.55000000000000004">
      <c r="A3708" s="17"/>
    </row>
    <row r="3709" spans="1:1" x14ac:dyDescent="0.55000000000000004">
      <c r="A3709" s="17"/>
    </row>
    <row r="3710" spans="1:1" x14ac:dyDescent="0.55000000000000004">
      <c r="A3710" s="17"/>
    </row>
    <row r="3711" spans="1:1" x14ac:dyDescent="0.55000000000000004">
      <c r="A3711" s="17"/>
    </row>
    <row r="3712" spans="1:1" x14ac:dyDescent="0.55000000000000004">
      <c r="A3712" s="17"/>
    </row>
    <row r="3713" spans="1:1" x14ac:dyDescent="0.55000000000000004">
      <c r="A3713" s="17"/>
    </row>
    <row r="3714" spans="1:1" x14ac:dyDescent="0.55000000000000004">
      <c r="A3714" s="17"/>
    </row>
    <row r="3715" spans="1:1" x14ac:dyDescent="0.55000000000000004">
      <c r="A3715" s="17"/>
    </row>
    <row r="3716" spans="1:1" x14ac:dyDescent="0.55000000000000004">
      <c r="A3716" s="17"/>
    </row>
    <row r="3717" spans="1:1" x14ac:dyDescent="0.55000000000000004">
      <c r="A3717" s="17"/>
    </row>
    <row r="3718" spans="1:1" x14ac:dyDescent="0.55000000000000004">
      <c r="A3718" s="17"/>
    </row>
    <row r="3719" spans="1:1" x14ac:dyDescent="0.55000000000000004">
      <c r="A3719" s="17"/>
    </row>
    <row r="3720" spans="1:1" x14ac:dyDescent="0.55000000000000004">
      <c r="A3720" s="17"/>
    </row>
    <row r="3721" spans="1:1" x14ac:dyDescent="0.55000000000000004">
      <c r="A3721" s="17"/>
    </row>
    <row r="3722" spans="1:1" x14ac:dyDescent="0.55000000000000004">
      <c r="A3722" s="17"/>
    </row>
    <row r="3723" spans="1:1" x14ac:dyDescent="0.55000000000000004">
      <c r="A3723" s="17"/>
    </row>
    <row r="3724" spans="1:1" x14ac:dyDescent="0.55000000000000004">
      <c r="A3724" s="17"/>
    </row>
    <row r="3725" spans="1:1" x14ac:dyDescent="0.55000000000000004">
      <c r="A3725" s="17"/>
    </row>
    <row r="3726" spans="1:1" x14ac:dyDescent="0.55000000000000004">
      <c r="A3726" s="17"/>
    </row>
    <row r="3727" spans="1:1" x14ac:dyDescent="0.55000000000000004">
      <c r="A3727" s="17"/>
    </row>
    <row r="3728" spans="1:1" x14ac:dyDescent="0.55000000000000004">
      <c r="A3728" s="17"/>
    </row>
    <row r="3729" spans="1:1" x14ac:dyDescent="0.55000000000000004">
      <c r="A3729" s="17"/>
    </row>
    <row r="3730" spans="1:1" x14ac:dyDescent="0.55000000000000004">
      <c r="A3730" s="17"/>
    </row>
    <row r="3731" spans="1:1" x14ac:dyDescent="0.55000000000000004">
      <c r="A3731" s="17"/>
    </row>
    <row r="3732" spans="1:1" x14ac:dyDescent="0.55000000000000004">
      <c r="A3732" s="17"/>
    </row>
    <row r="3733" spans="1:1" x14ac:dyDescent="0.55000000000000004">
      <c r="A3733" s="17"/>
    </row>
    <row r="3734" spans="1:1" x14ac:dyDescent="0.55000000000000004">
      <c r="A3734" s="17"/>
    </row>
    <row r="3735" spans="1:1" x14ac:dyDescent="0.55000000000000004">
      <c r="A3735" s="17"/>
    </row>
    <row r="3736" spans="1:1" x14ac:dyDescent="0.55000000000000004">
      <c r="A3736" s="17"/>
    </row>
    <row r="3737" spans="1:1" x14ac:dyDescent="0.55000000000000004">
      <c r="A3737" s="17"/>
    </row>
    <row r="3738" spans="1:1" x14ac:dyDescent="0.55000000000000004">
      <c r="A3738" s="17"/>
    </row>
    <row r="3739" spans="1:1" x14ac:dyDescent="0.55000000000000004">
      <c r="A3739" s="17"/>
    </row>
    <row r="3740" spans="1:1" x14ac:dyDescent="0.55000000000000004">
      <c r="A3740" s="17"/>
    </row>
    <row r="3741" spans="1:1" x14ac:dyDescent="0.55000000000000004">
      <c r="A3741" s="17"/>
    </row>
    <row r="3742" spans="1:1" x14ac:dyDescent="0.55000000000000004">
      <c r="A3742" s="17"/>
    </row>
    <row r="3743" spans="1:1" x14ac:dyDescent="0.55000000000000004">
      <c r="A3743" s="17"/>
    </row>
    <row r="3744" spans="1:1" x14ac:dyDescent="0.55000000000000004">
      <c r="A3744" s="17"/>
    </row>
    <row r="3745" spans="1:1" x14ac:dyDescent="0.55000000000000004">
      <c r="A3745" s="17"/>
    </row>
    <row r="3746" spans="1:1" x14ac:dyDescent="0.55000000000000004">
      <c r="A3746" s="17"/>
    </row>
    <row r="3747" spans="1:1" x14ac:dyDescent="0.55000000000000004">
      <c r="A3747" s="17"/>
    </row>
    <row r="3748" spans="1:1" x14ac:dyDescent="0.55000000000000004">
      <c r="A3748" s="17"/>
    </row>
    <row r="3749" spans="1:1" x14ac:dyDescent="0.55000000000000004">
      <c r="A3749" s="17"/>
    </row>
    <row r="3750" spans="1:1" x14ac:dyDescent="0.55000000000000004">
      <c r="A3750" s="17"/>
    </row>
    <row r="3751" spans="1:1" x14ac:dyDescent="0.55000000000000004">
      <c r="A3751" s="17"/>
    </row>
    <row r="3752" spans="1:1" x14ac:dyDescent="0.55000000000000004">
      <c r="A3752" s="17"/>
    </row>
    <row r="3753" spans="1:1" x14ac:dyDescent="0.55000000000000004">
      <c r="A3753" s="17"/>
    </row>
    <row r="3754" spans="1:1" x14ac:dyDescent="0.55000000000000004">
      <c r="A3754" s="17"/>
    </row>
    <row r="3755" spans="1:1" x14ac:dyDescent="0.55000000000000004">
      <c r="A3755" s="17"/>
    </row>
    <row r="3756" spans="1:1" x14ac:dyDescent="0.55000000000000004">
      <c r="A3756" s="17"/>
    </row>
    <row r="3757" spans="1:1" x14ac:dyDescent="0.55000000000000004">
      <c r="A3757" s="17"/>
    </row>
    <row r="3758" spans="1:1" x14ac:dyDescent="0.55000000000000004">
      <c r="A3758" s="17"/>
    </row>
    <row r="3759" spans="1:1" x14ac:dyDescent="0.55000000000000004">
      <c r="A3759" s="17"/>
    </row>
    <row r="3760" spans="1:1" x14ac:dyDescent="0.55000000000000004">
      <c r="A3760" s="17"/>
    </row>
    <row r="3761" spans="1:1" x14ac:dyDescent="0.55000000000000004">
      <c r="A3761" s="17"/>
    </row>
    <row r="3762" spans="1:1" x14ac:dyDescent="0.55000000000000004">
      <c r="A3762" s="17"/>
    </row>
    <row r="3763" spans="1:1" x14ac:dyDescent="0.55000000000000004">
      <c r="A3763" s="17"/>
    </row>
    <row r="3764" spans="1:1" x14ac:dyDescent="0.55000000000000004">
      <c r="A3764" s="17"/>
    </row>
    <row r="3765" spans="1:1" x14ac:dyDescent="0.55000000000000004">
      <c r="A3765" s="17"/>
    </row>
    <row r="3766" spans="1:1" x14ac:dyDescent="0.55000000000000004">
      <c r="A3766" s="17"/>
    </row>
    <row r="3767" spans="1:1" x14ac:dyDescent="0.55000000000000004">
      <c r="A3767" s="17"/>
    </row>
    <row r="3768" spans="1:1" x14ac:dyDescent="0.55000000000000004">
      <c r="A3768" s="17"/>
    </row>
    <row r="3769" spans="1:1" x14ac:dyDescent="0.55000000000000004">
      <c r="A3769" s="17"/>
    </row>
    <row r="3770" spans="1:1" x14ac:dyDescent="0.55000000000000004">
      <c r="A3770" s="17"/>
    </row>
    <row r="3771" spans="1:1" x14ac:dyDescent="0.55000000000000004">
      <c r="A3771" s="17"/>
    </row>
    <row r="3772" spans="1:1" x14ac:dyDescent="0.55000000000000004">
      <c r="A3772" s="17"/>
    </row>
    <row r="3773" spans="1:1" x14ac:dyDescent="0.55000000000000004">
      <c r="A3773" s="17"/>
    </row>
    <row r="3774" spans="1:1" x14ac:dyDescent="0.55000000000000004">
      <c r="A3774" s="17"/>
    </row>
    <row r="3775" spans="1:1" x14ac:dyDescent="0.55000000000000004">
      <c r="A3775" s="17"/>
    </row>
    <row r="3776" spans="1:1" x14ac:dyDescent="0.55000000000000004">
      <c r="A3776" s="17"/>
    </row>
    <row r="3777" spans="1:1" x14ac:dyDescent="0.55000000000000004">
      <c r="A3777" s="17"/>
    </row>
    <row r="3778" spans="1:1" x14ac:dyDescent="0.55000000000000004">
      <c r="A3778" s="17"/>
    </row>
    <row r="3779" spans="1:1" x14ac:dyDescent="0.55000000000000004">
      <c r="A3779" s="17"/>
    </row>
    <row r="3780" spans="1:1" x14ac:dyDescent="0.55000000000000004">
      <c r="A3780" s="17"/>
    </row>
    <row r="3781" spans="1:1" x14ac:dyDescent="0.55000000000000004">
      <c r="A3781" s="17"/>
    </row>
    <row r="3782" spans="1:1" x14ac:dyDescent="0.55000000000000004">
      <c r="A3782" s="17"/>
    </row>
    <row r="3783" spans="1:1" x14ac:dyDescent="0.55000000000000004">
      <c r="A3783" s="17"/>
    </row>
    <row r="3784" spans="1:1" x14ac:dyDescent="0.55000000000000004">
      <c r="A3784" s="17"/>
    </row>
    <row r="3785" spans="1:1" x14ac:dyDescent="0.55000000000000004">
      <c r="A3785" s="17"/>
    </row>
    <row r="3786" spans="1:1" x14ac:dyDescent="0.55000000000000004">
      <c r="A3786" s="17"/>
    </row>
    <row r="3787" spans="1:1" x14ac:dyDescent="0.55000000000000004">
      <c r="A3787" s="17"/>
    </row>
    <row r="3788" spans="1:1" x14ac:dyDescent="0.55000000000000004">
      <c r="A3788" s="17"/>
    </row>
    <row r="3789" spans="1:1" x14ac:dyDescent="0.55000000000000004">
      <c r="A3789" s="17"/>
    </row>
    <row r="3790" spans="1:1" x14ac:dyDescent="0.55000000000000004">
      <c r="A3790" s="17"/>
    </row>
    <row r="3791" spans="1:1" x14ac:dyDescent="0.55000000000000004">
      <c r="A3791" s="17"/>
    </row>
    <row r="3792" spans="1:1" x14ac:dyDescent="0.55000000000000004">
      <c r="A3792" s="17"/>
    </row>
    <row r="3793" spans="1:1" x14ac:dyDescent="0.55000000000000004">
      <c r="A3793" s="17"/>
    </row>
    <row r="3794" spans="1:1" x14ac:dyDescent="0.55000000000000004">
      <c r="A3794" s="17"/>
    </row>
    <row r="3795" spans="1:1" x14ac:dyDescent="0.55000000000000004">
      <c r="A3795" s="17"/>
    </row>
    <row r="3796" spans="1:1" x14ac:dyDescent="0.55000000000000004">
      <c r="A3796" s="17"/>
    </row>
    <row r="3797" spans="1:1" x14ac:dyDescent="0.55000000000000004">
      <c r="A3797" s="17"/>
    </row>
    <row r="3798" spans="1:1" x14ac:dyDescent="0.55000000000000004">
      <c r="A3798" s="17"/>
    </row>
    <row r="3799" spans="1:1" x14ac:dyDescent="0.55000000000000004">
      <c r="A3799" s="17"/>
    </row>
    <row r="3800" spans="1:1" x14ac:dyDescent="0.55000000000000004">
      <c r="A3800" s="17"/>
    </row>
    <row r="3801" spans="1:1" x14ac:dyDescent="0.55000000000000004">
      <c r="A3801" s="17"/>
    </row>
    <row r="3802" spans="1:1" x14ac:dyDescent="0.55000000000000004">
      <c r="A3802" s="17"/>
    </row>
    <row r="3803" spans="1:1" x14ac:dyDescent="0.55000000000000004">
      <c r="A3803" s="17"/>
    </row>
    <row r="3804" spans="1:1" x14ac:dyDescent="0.55000000000000004">
      <c r="A3804" s="17"/>
    </row>
    <row r="3805" spans="1:1" x14ac:dyDescent="0.55000000000000004">
      <c r="A3805" s="17"/>
    </row>
    <row r="3806" spans="1:1" x14ac:dyDescent="0.55000000000000004">
      <c r="A3806" s="17"/>
    </row>
    <row r="3807" spans="1:1" x14ac:dyDescent="0.55000000000000004">
      <c r="A3807" s="17"/>
    </row>
    <row r="3808" spans="1:1" x14ac:dyDescent="0.55000000000000004">
      <c r="A3808" s="17"/>
    </row>
    <row r="3809" spans="1:1" x14ac:dyDescent="0.55000000000000004">
      <c r="A3809" s="17"/>
    </row>
    <row r="3810" spans="1:1" x14ac:dyDescent="0.55000000000000004">
      <c r="A3810" s="17"/>
    </row>
    <row r="3811" spans="1:1" x14ac:dyDescent="0.55000000000000004">
      <c r="A3811" s="17"/>
    </row>
    <row r="3812" spans="1:1" x14ac:dyDescent="0.55000000000000004">
      <c r="A3812" s="17"/>
    </row>
    <row r="3813" spans="1:1" x14ac:dyDescent="0.55000000000000004">
      <c r="A3813" s="17"/>
    </row>
    <row r="3814" spans="1:1" x14ac:dyDescent="0.55000000000000004">
      <c r="A3814" s="17"/>
    </row>
    <row r="3815" spans="1:1" x14ac:dyDescent="0.55000000000000004">
      <c r="A3815" s="17"/>
    </row>
    <row r="3816" spans="1:1" x14ac:dyDescent="0.55000000000000004">
      <c r="A3816" s="17"/>
    </row>
    <row r="3817" spans="1:1" x14ac:dyDescent="0.55000000000000004">
      <c r="A3817" s="17"/>
    </row>
    <row r="3818" spans="1:1" x14ac:dyDescent="0.55000000000000004">
      <c r="A3818" s="17"/>
    </row>
    <row r="3819" spans="1:1" x14ac:dyDescent="0.55000000000000004">
      <c r="A3819" s="17"/>
    </row>
    <row r="3820" spans="1:1" x14ac:dyDescent="0.55000000000000004">
      <c r="A3820" s="17"/>
    </row>
    <row r="3821" spans="1:1" x14ac:dyDescent="0.55000000000000004">
      <c r="A3821" s="17"/>
    </row>
    <row r="3822" spans="1:1" x14ac:dyDescent="0.55000000000000004">
      <c r="A3822" s="17"/>
    </row>
    <row r="3823" spans="1:1" x14ac:dyDescent="0.55000000000000004">
      <c r="A3823" s="17"/>
    </row>
    <row r="3824" spans="1:1" x14ac:dyDescent="0.55000000000000004">
      <c r="A3824" s="17"/>
    </row>
    <row r="3825" spans="1:1" x14ac:dyDescent="0.55000000000000004">
      <c r="A3825" s="17"/>
    </row>
    <row r="3826" spans="1:1" x14ac:dyDescent="0.55000000000000004">
      <c r="A3826" s="17"/>
    </row>
    <row r="3827" spans="1:1" x14ac:dyDescent="0.55000000000000004">
      <c r="A3827" s="17"/>
    </row>
    <row r="3828" spans="1:1" x14ac:dyDescent="0.55000000000000004">
      <c r="A3828" s="17"/>
    </row>
    <row r="3829" spans="1:1" x14ac:dyDescent="0.55000000000000004">
      <c r="A3829" s="17"/>
    </row>
    <row r="3830" spans="1:1" x14ac:dyDescent="0.55000000000000004">
      <c r="A3830" s="17"/>
    </row>
    <row r="3831" spans="1:1" x14ac:dyDescent="0.55000000000000004">
      <c r="A3831" s="17"/>
    </row>
    <row r="3832" spans="1:1" x14ac:dyDescent="0.55000000000000004">
      <c r="A3832" s="17"/>
    </row>
    <row r="3833" spans="1:1" x14ac:dyDescent="0.55000000000000004">
      <c r="A3833" s="17"/>
    </row>
    <row r="3834" spans="1:1" x14ac:dyDescent="0.55000000000000004">
      <c r="A3834" s="17"/>
    </row>
    <row r="3835" spans="1:1" x14ac:dyDescent="0.55000000000000004">
      <c r="A3835" s="17"/>
    </row>
    <row r="3836" spans="1:1" x14ac:dyDescent="0.55000000000000004">
      <c r="A3836" s="17"/>
    </row>
    <row r="3837" spans="1:1" x14ac:dyDescent="0.55000000000000004">
      <c r="A3837" s="17"/>
    </row>
    <row r="3838" spans="1:1" x14ac:dyDescent="0.55000000000000004">
      <c r="A3838" s="17"/>
    </row>
    <row r="3839" spans="1:1" x14ac:dyDescent="0.55000000000000004">
      <c r="A3839" s="17"/>
    </row>
    <row r="3840" spans="1:1" x14ac:dyDescent="0.55000000000000004">
      <c r="A3840" s="17"/>
    </row>
    <row r="3841" spans="1:1" x14ac:dyDescent="0.55000000000000004">
      <c r="A3841" s="17"/>
    </row>
    <row r="3842" spans="1:1" x14ac:dyDescent="0.55000000000000004">
      <c r="A3842" s="17"/>
    </row>
    <row r="3843" spans="1:1" x14ac:dyDescent="0.55000000000000004">
      <c r="A3843" s="17"/>
    </row>
    <row r="3844" spans="1:1" x14ac:dyDescent="0.55000000000000004">
      <c r="A3844" s="17"/>
    </row>
    <row r="3845" spans="1:1" x14ac:dyDescent="0.55000000000000004">
      <c r="A3845" s="17"/>
    </row>
    <row r="3846" spans="1:1" x14ac:dyDescent="0.55000000000000004">
      <c r="A3846" s="17"/>
    </row>
    <row r="3847" spans="1:1" x14ac:dyDescent="0.55000000000000004">
      <c r="A3847" s="17"/>
    </row>
    <row r="3848" spans="1:1" x14ac:dyDescent="0.55000000000000004">
      <c r="A3848" s="17"/>
    </row>
    <row r="3849" spans="1:1" x14ac:dyDescent="0.55000000000000004">
      <c r="A3849" s="17"/>
    </row>
    <row r="3850" spans="1:1" x14ac:dyDescent="0.55000000000000004">
      <c r="A3850" s="17"/>
    </row>
    <row r="3851" spans="1:1" x14ac:dyDescent="0.55000000000000004">
      <c r="A3851" s="17"/>
    </row>
    <row r="3852" spans="1:1" x14ac:dyDescent="0.55000000000000004">
      <c r="A3852" s="17"/>
    </row>
    <row r="3853" spans="1:1" x14ac:dyDescent="0.55000000000000004">
      <c r="A3853" s="17"/>
    </row>
    <row r="3854" spans="1:1" x14ac:dyDescent="0.55000000000000004">
      <c r="A3854" s="17"/>
    </row>
    <row r="3855" spans="1:1" x14ac:dyDescent="0.55000000000000004">
      <c r="A3855" s="17"/>
    </row>
    <row r="3856" spans="1:1" x14ac:dyDescent="0.55000000000000004">
      <c r="A3856" s="17"/>
    </row>
    <row r="3857" spans="1:1" x14ac:dyDescent="0.55000000000000004">
      <c r="A3857" s="17"/>
    </row>
    <row r="3858" spans="1:1" x14ac:dyDescent="0.55000000000000004">
      <c r="A3858" s="17"/>
    </row>
    <row r="3859" spans="1:1" x14ac:dyDescent="0.55000000000000004">
      <c r="A3859" s="17"/>
    </row>
    <row r="3860" spans="1:1" x14ac:dyDescent="0.55000000000000004">
      <c r="A3860" s="17"/>
    </row>
    <row r="3861" spans="1:1" x14ac:dyDescent="0.55000000000000004">
      <c r="A3861" s="17"/>
    </row>
    <row r="3862" spans="1:1" x14ac:dyDescent="0.55000000000000004">
      <c r="A3862" s="17"/>
    </row>
    <row r="3863" spans="1:1" x14ac:dyDescent="0.55000000000000004">
      <c r="A3863" s="17"/>
    </row>
    <row r="3864" spans="1:1" x14ac:dyDescent="0.55000000000000004">
      <c r="A3864" s="17"/>
    </row>
    <row r="3865" spans="1:1" x14ac:dyDescent="0.55000000000000004">
      <c r="A3865" s="17"/>
    </row>
    <row r="3866" spans="1:1" x14ac:dyDescent="0.55000000000000004">
      <c r="A3866" s="17"/>
    </row>
    <row r="3867" spans="1:1" x14ac:dyDescent="0.55000000000000004">
      <c r="A3867" s="17"/>
    </row>
    <row r="3868" spans="1:1" x14ac:dyDescent="0.55000000000000004">
      <c r="A3868" s="17"/>
    </row>
    <row r="3869" spans="1:1" x14ac:dyDescent="0.55000000000000004">
      <c r="A3869" s="17"/>
    </row>
    <row r="3870" spans="1:1" x14ac:dyDescent="0.55000000000000004">
      <c r="A3870" s="17"/>
    </row>
    <row r="3871" spans="1:1" x14ac:dyDescent="0.55000000000000004">
      <c r="A3871" s="17"/>
    </row>
    <row r="3872" spans="1:1" x14ac:dyDescent="0.55000000000000004">
      <c r="A3872" s="17"/>
    </row>
    <row r="3873" spans="1:1" x14ac:dyDescent="0.55000000000000004">
      <c r="A3873" s="17"/>
    </row>
    <row r="3874" spans="1:1" x14ac:dyDescent="0.55000000000000004">
      <c r="A3874" s="17"/>
    </row>
    <row r="3875" spans="1:1" x14ac:dyDescent="0.55000000000000004">
      <c r="A3875" s="17"/>
    </row>
    <row r="3876" spans="1:1" x14ac:dyDescent="0.55000000000000004">
      <c r="A3876" s="17"/>
    </row>
    <row r="3877" spans="1:1" x14ac:dyDescent="0.55000000000000004">
      <c r="A3877" s="17"/>
    </row>
    <row r="3878" spans="1:1" x14ac:dyDescent="0.55000000000000004">
      <c r="A3878" s="17"/>
    </row>
    <row r="3879" spans="1:1" x14ac:dyDescent="0.55000000000000004">
      <c r="A3879" s="17"/>
    </row>
    <row r="3880" spans="1:1" x14ac:dyDescent="0.55000000000000004">
      <c r="A3880" s="17"/>
    </row>
    <row r="3881" spans="1:1" x14ac:dyDescent="0.55000000000000004">
      <c r="A3881" s="17"/>
    </row>
    <row r="3882" spans="1:1" x14ac:dyDescent="0.55000000000000004">
      <c r="A3882" s="17"/>
    </row>
    <row r="3883" spans="1:1" x14ac:dyDescent="0.55000000000000004">
      <c r="A3883" s="17"/>
    </row>
    <row r="3884" spans="1:1" x14ac:dyDescent="0.55000000000000004">
      <c r="A3884" s="17"/>
    </row>
    <row r="3885" spans="1:1" x14ac:dyDescent="0.55000000000000004">
      <c r="A3885" s="17"/>
    </row>
    <row r="3886" spans="1:1" x14ac:dyDescent="0.55000000000000004">
      <c r="A3886" s="17"/>
    </row>
    <row r="3887" spans="1:1" x14ac:dyDescent="0.55000000000000004">
      <c r="A3887" s="17"/>
    </row>
    <row r="3888" spans="1:1" x14ac:dyDescent="0.55000000000000004">
      <c r="A3888" s="17"/>
    </row>
    <row r="3889" spans="1:1" x14ac:dyDescent="0.55000000000000004">
      <c r="A3889" s="17"/>
    </row>
    <row r="3890" spans="1:1" x14ac:dyDescent="0.55000000000000004">
      <c r="A3890" s="17"/>
    </row>
    <row r="3891" spans="1:1" x14ac:dyDescent="0.55000000000000004">
      <c r="A3891" s="17"/>
    </row>
    <row r="3892" spans="1:1" x14ac:dyDescent="0.55000000000000004">
      <c r="A3892" s="17"/>
    </row>
    <row r="3893" spans="1:1" x14ac:dyDescent="0.55000000000000004">
      <c r="A3893" s="17"/>
    </row>
    <row r="3894" spans="1:1" x14ac:dyDescent="0.55000000000000004">
      <c r="A3894" s="17"/>
    </row>
    <row r="3895" spans="1:1" x14ac:dyDescent="0.55000000000000004">
      <c r="A3895" s="17"/>
    </row>
    <row r="3896" spans="1:1" x14ac:dyDescent="0.55000000000000004">
      <c r="A3896" s="17"/>
    </row>
    <row r="3897" spans="1:1" x14ac:dyDescent="0.55000000000000004">
      <c r="A3897" s="17"/>
    </row>
    <row r="3898" spans="1:1" x14ac:dyDescent="0.55000000000000004">
      <c r="A3898" s="17"/>
    </row>
    <row r="3899" spans="1:1" x14ac:dyDescent="0.55000000000000004">
      <c r="A3899" s="17"/>
    </row>
    <row r="3900" spans="1:1" x14ac:dyDescent="0.55000000000000004">
      <c r="A3900" s="17"/>
    </row>
    <row r="3901" spans="1:1" x14ac:dyDescent="0.55000000000000004">
      <c r="A3901" s="17"/>
    </row>
    <row r="3902" spans="1:1" x14ac:dyDescent="0.55000000000000004">
      <c r="A3902" s="17"/>
    </row>
    <row r="3903" spans="1:1" x14ac:dyDescent="0.55000000000000004">
      <c r="A3903" s="17"/>
    </row>
    <row r="3904" spans="1:1" x14ac:dyDescent="0.55000000000000004">
      <c r="A3904" s="17"/>
    </row>
    <row r="3905" spans="1:1" x14ac:dyDescent="0.55000000000000004">
      <c r="A3905" s="17"/>
    </row>
    <row r="3906" spans="1:1" x14ac:dyDescent="0.55000000000000004">
      <c r="A3906" s="17"/>
    </row>
    <row r="3907" spans="1:1" x14ac:dyDescent="0.55000000000000004">
      <c r="A3907" s="17"/>
    </row>
    <row r="3908" spans="1:1" x14ac:dyDescent="0.55000000000000004">
      <c r="A3908" s="17"/>
    </row>
    <row r="3909" spans="1:1" x14ac:dyDescent="0.55000000000000004">
      <c r="A3909" s="17"/>
    </row>
    <row r="3910" spans="1:1" x14ac:dyDescent="0.55000000000000004">
      <c r="A3910" s="17"/>
    </row>
    <row r="3911" spans="1:1" x14ac:dyDescent="0.55000000000000004">
      <c r="A3911" s="17"/>
    </row>
    <row r="3912" spans="1:1" x14ac:dyDescent="0.55000000000000004">
      <c r="A3912" s="17"/>
    </row>
    <row r="3913" spans="1:1" x14ac:dyDescent="0.55000000000000004">
      <c r="A3913" s="17"/>
    </row>
    <row r="3914" spans="1:1" x14ac:dyDescent="0.55000000000000004">
      <c r="A3914" s="17"/>
    </row>
    <row r="3915" spans="1:1" x14ac:dyDescent="0.55000000000000004">
      <c r="A3915" s="17"/>
    </row>
    <row r="3916" spans="1:1" x14ac:dyDescent="0.55000000000000004">
      <c r="A3916" s="17"/>
    </row>
    <row r="3917" spans="1:1" x14ac:dyDescent="0.55000000000000004">
      <c r="A3917" s="17"/>
    </row>
    <row r="3918" spans="1:1" x14ac:dyDescent="0.55000000000000004">
      <c r="A3918" s="17"/>
    </row>
    <row r="3919" spans="1:1" x14ac:dyDescent="0.55000000000000004">
      <c r="A3919" s="17"/>
    </row>
    <row r="3920" spans="1:1" x14ac:dyDescent="0.55000000000000004">
      <c r="A3920" s="17"/>
    </row>
    <row r="3921" spans="1:1" x14ac:dyDescent="0.55000000000000004">
      <c r="A3921" s="17"/>
    </row>
    <row r="3922" spans="1:1" x14ac:dyDescent="0.55000000000000004">
      <c r="A3922" s="17"/>
    </row>
    <row r="3923" spans="1:1" x14ac:dyDescent="0.55000000000000004">
      <c r="A3923" s="17"/>
    </row>
    <row r="3924" spans="1:1" x14ac:dyDescent="0.55000000000000004">
      <c r="A3924" s="17"/>
    </row>
    <row r="3925" spans="1:1" x14ac:dyDescent="0.55000000000000004">
      <c r="A3925" s="17"/>
    </row>
    <row r="3926" spans="1:1" x14ac:dyDescent="0.55000000000000004">
      <c r="A3926" s="17"/>
    </row>
    <row r="3927" spans="1:1" x14ac:dyDescent="0.55000000000000004">
      <c r="A3927" s="17"/>
    </row>
    <row r="3928" spans="1:1" x14ac:dyDescent="0.55000000000000004">
      <c r="A3928" s="17"/>
    </row>
    <row r="3929" spans="1:1" x14ac:dyDescent="0.55000000000000004">
      <c r="A3929" s="17"/>
    </row>
    <row r="3930" spans="1:1" x14ac:dyDescent="0.55000000000000004">
      <c r="A3930" s="17"/>
    </row>
    <row r="3931" spans="1:1" x14ac:dyDescent="0.55000000000000004">
      <c r="A3931" s="17"/>
    </row>
    <row r="3932" spans="1:1" x14ac:dyDescent="0.55000000000000004">
      <c r="A3932" s="17"/>
    </row>
    <row r="3933" spans="1:1" x14ac:dyDescent="0.55000000000000004">
      <c r="A3933" s="17"/>
    </row>
    <row r="3934" spans="1:1" x14ac:dyDescent="0.55000000000000004">
      <c r="A3934" s="17"/>
    </row>
    <row r="3935" spans="1:1" x14ac:dyDescent="0.55000000000000004">
      <c r="A3935" s="17"/>
    </row>
    <row r="3936" spans="1:1" x14ac:dyDescent="0.55000000000000004">
      <c r="A3936" s="17"/>
    </row>
    <row r="3937" spans="1:1" x14ac:dyDescent="0.55000000000000004">
      <c r="A3937" s="17"/>
    </row>
    <row r="3938" spans="1:1" x14ac:dyDescent="0.55000000000000004">
      <c r="A3938" s="17"/>
    </row>
    <row r="3939" spans="1:1" x14ac:dyDescent="0.55000000000000004">
      <c r="A3939" s="17"/>
    </row>
    <row r="3940" spans="1:1" x14ac:dyDescent="0.55000000000000004">
      <c r="A3940" s="17"/>
    </row>
    <row r="3941" spans="1:1" x14ac:dyDescent="0.55000000000000004">
      <c r="A3941" s="17"/>
    </row>
    <row r="3942" spans="1:1" x14ac:dyDescent="0.55000000000000004">
      <c r="A3942" s="17"/>
    </row>
    <row r="3943" spans="1:1" x14ac:dyDescent="0.55000000000000004">
      <c r="A3943" s="17"/>
    </row>
    <row r="3944" spans="1:1" x14ac:dyDescent="0.55000000000000004">
      <c r="A3944" s="17"/>
    </row>
    <row r="3945" spans="1:1" x14ac:dyDescent="0.55000000000000004">
      <c r="A3945" s="17"/>
    </row>
    <row r="3946" spans="1:1" x14ac:dyDescent="0.55000000000000004">
      <c r="A3946" s="17"/>
    </row>
    <row r="3947" spans="1:1" x14ac:dyDescent="0.55000000000000004">
      <c r="A3947" s="17"/>
    </row>
    <row r="3948" spans="1:1" x14ac:dyDescent="0.55000000000000004">
      <c r="A3948" s="17"/>
    </row>
    <row r="3949" spans="1:1" x14ac:dyDescent="0.55000000000000004">
      <c r="A3949" s="17"/>
    </row>
    <row r="3950" spans="1:1" x14ac:dyDescent="0.55000000000000004">
      <c r="A3950" s="17"/>
    </row>
    <row r="3951" spans="1:1" x14ac:dyDescent="0.55000000000000004">
      <c r="A3951" s="17"/>
    </row>
    <row r="3952" spans="1:1" x14ac:dyDescent="0.55000000000000004">
      <c r="A3952" s="17"/>
    </row>
    <row r="3953" spans="1:1" x14ac:dyDescent="0.55000000000000004">
      <c r="A3953" s="17"/>
    </row>
    <row r="3954" spans="1:1" x14ac:dyDescent="0.55000000000000004">
      <c r="A3954" s="17"/>
    </row>
    <row r="3955" spans="1:1" x14ac:dyDescent="0.55000000000000004">
      <c r="A3955" s="17"/>
    </row>
    <row r="3956" spans="1:1" x14ac:dyDescent="0.55000000000000004">
      <c r="A3956" s="17"/>
    </row>
    <row r="3957" spans="1:1" x14ac:dyDescent="0.55000000000000004">
      <c r="A3957" s="17"/>
    </row>
    <row r="3958" spans="1:1" x14ac:dyDescent="0.55000000000000004">
      <c r="A3958" s="17"/>
    </row>
    <row r="3959" spans="1:1" x14ac:dyDescent="0.55000000000000004">
      <c r="A3959" s="17"/>
    </row>
    <row r="3960" spans="1:1" x14ac:dyDescent="0.55000000000000004">
      <c r="A3960" s="17"/>
    </row>
    <row r="3961" spans="1:1" x14ac:dyDescent="0.55000000000000004">
      <c r="A3961" s="17"/>
    </row>
    <row r="3962" spans="1:1" x14ac:dyDescent="0.55000000000000004">
      <c r="A3962" s="17"/>
    </row>
    <row r="3963" spans="1:1" x14ac:dyDescent="0.55000000000000004">
      <c r="A3963" s="17"/>
    </row>
    <row r="3964" spans="1:1" x14ac:dyDescent="0.55000000000000004">
      <c r="A3964" s="17"/>
    </row>
    <row r="3965" spans="1:1" x14ac:dyDescent="0.55000000000000004">
      <c r="A3965" s="17"/>
    </row>
    <row r="3966" spans="1:1" x14ac:dyDescent="0.55000000000000004">
      <c r="A3966" s="17"/>
    </row>
    <row r="3967" spans="1:1" x14ac:dyDescent="0.55000000000000004">
      <c r="A3967" s="17"/>
    </row>
    <row r="3968" spans="1:1" x14ac:dyDescent="0.55000000000000004">
      <c r="A3968" s="17"/>
    </row>
    <row r="3969" spans="1:1" x14ac:dyDescent="0.55000000000000004">
      <c r="A3969" s="17"/>
    </row>
    <row r="3970" spans="1:1" x14ac:dyDescent="0.55000000000000004">
      <c r="A3970" s="17"/>
    </row>
    <row r="3971" spans="1:1" x14ac:dyDescent="0.55000000000000004">
      <c r="A3971" s="17"/>
    </row>
    <row r="3972" spans="1:1" x14ac:dyDescent="0.55000000000000004">
      <c r="A3972" s="17"/>
    </row>
    <row r="3973" spans="1:1" x14ac:dyDescent="0.55000000000000004">
      <c r="A3973" s="17"/>
    </row>
    <row r="3974" spans="1:1" x14ac:dyDescent="0.55000000000000004">
      <c r="A3974" s="17"/>
    </row>
    <row r="3975" spans="1:1" x14ac:dyDescent="0.55000000000000004">
      <c r="A3975" s="17"/>
    </row>
    <row r="3976" spans="1:1" x14ac:dyDescent="0.55000000000000004">
      <c r="A3976" s="17"/>
    </row>
    <row r="3977" spans="1:1" x14ac:dyDescent="0.55000000000000004">
      <c r="A3977" s="17"/>
    </row>
    <row r="3978" spans="1:1" x14ac:dyDescent="0.55000000000000004">
      <c r="A3978" s="17"/>
    </row>
    <row r="3979" spans="1:1" x14ac:dyDescent="0.55000000000000004">
      <c r="A3979" s="17"/>
    </row>
    <row r="3980" spans="1:1" x14ac:dyDescent="0.55000000000000004">
      <c r="A3980" s="17"/>
    </row>
    <row r="3981" spans="1:1" x14ac:dyDescent="0.55000000000000004">
      <c r="A3981" s="17"/>
    </row>
    <row r="3982" spans="1:1" x14ac:dyDescent="0.55000000000000004">
      <c r="A3982" s="17"/>
    </row>
    <row r="3983" spans="1:1" x14ac:dyDescent="0.55000000000000004">
      <c r="A3983" s="17"/>
    </row>
    <row r="3984" spans="1:1" x14ac:dyDescent="0.55000000000000004">
      <c r="A3984" s="17"/>
    </row>
    <row r="3985" spans="1:1" x14ac:dyDescent="0.55000000000000004">
      <c r="A3985" s="17"/>
    </row>
    <row r="3986" spans="1:1" x14ac:dyDescent="0.55000000000000004">
      <c r="A3986" s="17"/>
    </row>
    <row r="3987" spans="1:1" x14ac:dyDescent="0.55000000000000004">
      <c r="A3987" s="17"/>
    </row>
    <row r="3988" spans="1:1" x14ac:dyDescent="0.55000000000000004">
      <c r="A3988" s="17"/>
    </row>
    <row r="3989" spans="1:1" x14ac:dyDescent="0.55000000000000004">
      <c r="A3989" s="17"/>
    </row>
    <row r="3990" spans="1:1" x14ac:dyDescent="0.55000000000000004">
      <c r="A3990" s="17"/>
    </row>
    <row r="3991" spans="1:1" x14ac:dyDescent="0.55000000000000004">
      <c r="A3991" s="17"/>
    </row>
    <row r="3992" spans="1:1" x14ac:dyDescent="0.55000000000000004">
      <c r="A3992" s="17"/>
    </row>
    <row r="3993" spans="1:1" x14ac:dyDescent="0.55000000000000004">
      <c r="A3993" s="17"/>
    </row>
    <row r="3994" spans="1:1" x14ac:dyDescent="0.55000000000000004">
      <c r="A3994" s="17"/>
    </row>
    <row r="3995" spans="1:1" x14ac:dyDescent="0.55000000000000004">
      <c r="A3995" s="17"/>
    </row>
    <row r="3996" spans="1:1" x14ac:dyDescent="0.55000000000000004">
      <c r="A3996" s="17"/>
    </row>
    <row r="3997" spans="1:1" x14ac:dyDescent="0.55000000000000004">
      <c r="A3997" s="17"/>
    </row>
    <row r="3998" spans="1:1" x14ac:dyDescent="0.55000000000000004">
      <c r="A3998" s="17"/>
    </row>
    <row r="3999" spans="1:1" x14ac:dyDescent="0.55000000000000004">
      <c r="A3999" s="17"/>
    </row>
    <row r="4000" spans="1:1" x14ac:dyDescent="0.55000000000000004">
      <c r="A4000" s="17"/>
    </row>
    <row r="4001" spans="1:1" x14ac:dyDescent="0.55000000000000004">
      <c r="A4001" s="17"/>
    </row>
    <row r="4002" spans="1:1" x14ac:dyDescent="0.55000000000000004">
      <c r="A4002" s="17"/>
    </row>
    <row r="4003" spans="1:1" x14ac:dyDescent="0.55000000000000004">
      <c r="A4003" s="17"/>
    </row>
    <row r="4004" spans="1:1" x14ac:dyDescent="0.55000000000000004">
      <c r="A4004" s="17"/>
    </row>
    <row r="4005" spans="1:1" x14ac:dyDescent="0.55000000000000004">
      <c r="A4005" s="17"/>
    </row>
    <row r="4006" spans="1:1" x14ac:dyDescent="0.55000000000000004">
      <c r="A4006" s="17"/>
    </row>
    <row r="4007" spans="1:1" x14ac:dyDescent="0.55000000000000004">
      <c r="A4007" s="17"/>
    </row>
    <row r="4008" spans="1:1" x14ac:dyDescent="0.55000000000000004">
      <c r="A4008" s="17"/>
    </row>
    <row r="4009" spans="1:1" x14ac:dyDescent="0.55000000000000004">
      <c r="A4009" s="17"/>
    </row>
    <row r="4010" spans="1:1" x14ac:dyDescent="0.55000000000000004">
      <c r="A4010" s="17"/>
    </row>
    <row r="4011" spans="1:1" x14ac:dyDescent="0.55000000000000004">
      <c r="A4011" s="17"/>
    </row>
    <row r="4012" spans="1:1" x14ac:dyDescent="0.55000000000000004">
      <c r="A4012" s="17"/>
    </row>
    <row r="4013" spans="1:1" x14ac:dyDescent="0.55000000000000004">
      <c r="A4013" s="17"/>
    </row>
    <row r="4014" spans="1:1" x14ac:dyDescent="0.55000000000000004">
      <c r="A4014" s="17"/>
    </row>
    <row r="4015" spans="1:1" x14ac:dyDescent="0.55000000000000004">
      <c r="A4015" s="17"/>
    </row>
    <row r="4016" spans="1:1" x14ac:dyDescent="0.55000000000000004">
      <c r="A4016" s="17"/>
    </row>
    <row r="4017" spans="1:1" x14ac:dyDescent="0.55000000000000004">
      <c r="A4017" s="17"/>
    </row>
    <row r="4018" spans="1:1" x14ac:dyDescent="0.55000000000000004">
      <c r="A4018" s="17"/>
    </row>
    <row r="4019" spans="1:1" x14ac:dyDescent="0.55000000000000004">
      <c r="A4019" s="17"/>
    </row>
    <row r="4020" spans="1:1" x14ac:dyDescent="0.55000000000000004">
      <c r="A4020" s="17"/>
    </row>
    <row r="4021" spans="1:1" x14ac:dyDescent="0.55000000000000004">
      <c r="A4021" s="17"/>
    </row>
    <row r="4022" spans="1:1" x14ac:dyDescent="0.55000000000000004">
      <c r="A4022" s="17"/>
    </row>
    <row r="4023" spans="1:1" x14ac:dyDescent="0.55000000000000004">
      <c r="A4023" s="17"/>
    </row>
    <row r="4024" spans="1:1" x14ac:dyDescent="0.55000000000000004">
      <c r="A4024" s="17"/>
    </row>
    <row r="4025" spans="1:1" x14ac:dyDescent="0.55000000000000004">
      <c r="A4025" s="17"/>
    </row>
    <row r="4026" spans="1:1" x14ac:dyDescent="0.55000000000000004">
      <c r="A4026" s="17"/>
    </row>
    <row r="4027" spans="1:1" x14ac:dyDescent="0.55000000000000004">
      <c r="A4027" s="17"/>
    </row>
    <row r="4028" spans="1:1" x14ac:dyDescent="0.55000000000000004">
      <c r="A4028" s="17"/>
    </row>
    <row r="4029" spans="1:1" x14ac:dyDescent="0.55000000000000004">
      <c r="A4029" s="17"/>
    </row>
    <row r="4030" spans="1:1" x14ac:dyDescent="0.55000000000000004">
      <c r="A4030" s="17"/>
    </row>
    <row r="4031" spans="1:1" x14ac:dyDescent="0.55000000000000004">
      <c r="A4031" s="17"/>
    </row>
    <row r="4032" spans="1:1" x14ac:dyDescent="0.55000000000000004">
      <c r="A4032" s="17"/>
    </row>
    <row r="4033" spans="1:1" x14ac:dyDescent="0.55000000000000004">
      <c r="A4033" s="17"/>
    </row>
    <row r="4034" spans="1:1" x14ac:dyDescent="0.55000000000000004">
      <c r="A4034" s="17"/>
    </row>
    <row r="4035" spans="1:1" x14ac:dyDescent="0.55000000000000004">
      <c r="A4035" s="17"/>
    </row>
    <row r="4036" spans="1:1" x14ac:dyDescent="0.55000000000000004">
      <c r="A4036" s="17"/>
    </row>
    <row r="4037" spans="1:1" x14ac:dyDescent="0.55000000000000004">
      <c r="A4037" s="17"/>
    </row>
    <row r="4038" spans="1:1" x14ac:dyDescent="0.55000000000000004">
      <c r="A4038" s="17"/>
    </row>
    <row r="4039" spans="1:1" x14ac:dyDescent="0.55000000000000004">
      <c r="A4039" s="17"/>
    </row>
    <row r="4040" spans="1:1" x14ac:dyDescent="0.55000000000000004">
      <c r="A4040" s="17"/>
    </row>
    <row r="4041" spans="1:1" x14ac:dyDescent="0.55000000000000004">
      <c r="A4041" s="17"/>
    </row>
    <row r="4042" spans="1:1" x14ac:dyDescent="0.55000000000000004">
      <c r="A4042" s="17"/>
    </row>
    <row r="4043" spans="1:1" x14ac:dyDescent="0.55000000000000004">
      <c r="A4043" s="17"/>
    </row>
    <row r="4044" spans="1:1" x14ac:dyDescent="0.55000000000000004">
      <c r="A4044" s="17"/>
    </row>
    <row r="4045" spans="1:1" x14ac:dyDescent="0.55000000000000004">
      <c r="A4045" s="17"/>
    </row>
    <row r="4046" spans="1:1" x14ac:dyDescent="0.55000000000000004">
      <c r="A4046" s="17"/>
    </row>
    <row r="4047" spans="1:1" x14ac:dyDescent="0.55000000000000004">
      <c r="A4047" s="17"/>
    </row>
    <row r="4048" spans="1:1" x14ac:dyDescent="0.55000000000000004">
      <c r="A4048" s="17"/>
    </row>
    <row r="4049" spans="1:1" x14ac:dyDescent="0.55000000000000004">
      <c r="A4049" s="17"/>
    </row>
    <row r="4050" spans="1:1" x14ac:dyDescent="0.55000000000000004">
      <c r="A4050" s="17"/>
    </row>
    <row r="4051" spans="1:1" x14ac:dyDescent="0.55000000000000004">
      <c r="A4051" s="17"/>
    </row>
    <row r="4052" spans="1:1" x14ac:dyDescent="0.55000000000000004">
      <c r="A4052" s="17"/>
    </row>
    <row r="4053" spans="1:1" x14ac:dyDescent="0.55000000000000004">
      <c r="A4053" s="17"/>
    </row>
    <row r="4054" spans="1:1" x14ac:dyDescent="0.55000000000000004">
      <c r="A4054" s="17"/>
    </row>
    <row r="4055" spans="1:1" x14ac:dyDescent="0.55000000000000004">
      <c r="A4055" s="17"/>
    </row>
    <row r="4056" spans="1:1" x14ac:dyDescent="0.55000000000000004">
      <c r="A4056" s="17"/>
    </row>
    <row r="4057" spans="1:1" x14ac:dyDescent="0.55000000000000004">
      <c r="A4057" s="17"/>
    </row>
    <row r="4058" spans="1:1" x14ac:dyDescent="0.55000000000000004">
      <c r="A4058" s="17"/>
    </row>
    <row r="4059" spans="1:1" x14ac:dyDescent="0.55000000000000004">
      <c r="A4059" s="17"/>
    </row>
    <row r="4060" spans="1:1" x14ac:dyDescent="0.55000000000000004">
      <c r="A4060" s="17"/>
    </row>
    <row r="4061" spans="1:1" x14ac:dyDescent="0.55000000000000004">
      <c r="A4061" s="17"/>
    </row>
    <row r="4062" spans="1:1" x14ac:dyDescent="0.55000000000000004">
      <c r="A4062" s="17"/>
    </row>
    <row r="4063" spans="1:1" x14ac:dyDescent="0.55000000000000004">
      <c r="A4063" s="17"/>
    </row>
    <row r="4064" spans="1:1" x14ac:dyDescent="0.55000000000000004">
      <c r="A4064" s="17"/>
    </row>
    <row r="4065" spans="1:1" x14ac:dyDescent="0.55000000000000004">
      <c r="A4065" s="17"/>
    </row>
    <row r="4066" spans="1:1" x14ac:dyDescent="0.55000000000000004">
      <c r="A4066" s="17"/>
    </row>
    <row r="4067" spans="1:1" x14ac:dyDescent="0.55000000000000004">
      <c r="A4067" s="17"/>
    </row>
    <row r="4068" spans="1:1" x14ac:dyDescent="0.55000000000000004">
      <c r="A4068" s="17"/>
    </row>
    <row r="4069" spans="1:1" x14ac:dyDescent="0.55000000000000004">
      <c r="A4069" s="17"/>
    </row>
    <row r="4070" spans="1:1" x14ac:dyDescent="0.55000000000000004">
      <c r="A4070" s="17"/>
    </row>
    <row r="4071" spans="1:1" x14ac:dyDescent="0.55000000000000004">
      <c r="A4071" s="17"/>
    </row>
    <row r="4072" spans="1:1" x14ac:dyDescent="0.55000000000000004">
      <c r="A4072" s="17"/>
    </row>
    <row r="4073" spans="1:1" x14ac:dyDescent="0.55000000000000004">
      <c r="A4073" s="17"/>
    </row>
    <row r="4074" spans="1:1" x14ac:dyDescent="0.55000000000000004">
      <c r="A4074" s="17"/>
    </row>
    <row r="4075" spans="1:1" x14ac:dyDescent="0.55000000000000004">
      <c r="A4075" s="17"/>
    </row>
    <row r="4076" spans="1:1" x14ac:dyDescent="0.55000000000000004">
      <c r="A4076" s="17"/>
    </row>
    <row r="4077" spans="1:1" x14ac:dyDescent="0.55000000000000004">
      <c r="A4077" s="17"/>
    </row>
    <row r="4078" spans="1:1" x14ac:dyDescent="0.55000000000000004">
      <c r="A4078" s="17"/>
    </row>
    <row r="4079" spans="1:1" x14ac:dyDescent="0.55000000000000004">
      <c r="A4079" s="17"/>
    </row>
    <row r="4080" spans="1:1" x14ac:dyDescent="0.55000000000000004">
      <c r="A4080" s="17"/>
    </row>
    <row r="4081" spans="1:1" x14ac:dyDescent="0.55000000000000004">
      <c r="A4081" s="17"/>
    </row>
    <row r="4082" spans="1:1" x14ac:dyDescent="0.55000000000000004">
      <c r="A4082" s="17"/>
    </row>
    <row r="4083" spans="1:1" x14ac:dyDescent="0.55000000000000004">
      <c r="A4083" s="17"/>
    </row>
    <row r="4084" spans="1:1" x14ac:dyDescent="0.55000000000000004">
      <c r="A4084" s="17"/>
    </row>
    <row r="4085" spans="1:1" x14ac:dyDescent="0.55000000000000004">
      <c r="A4085" s="17"/>
    </row>
    <row r="4086" spans="1:1" x14ac:dyDescent="0.55000000000000004">
      <c r="A4086" s="17"/>
    </row>
    <row r="4087" spans="1:1" x14ac:dyDescent="0.55000000000000004">
      <c r="A4087" s="17"/>
    </row>
    <row r="4088" spans="1:1" x14ac:dyDescent="0.55000000000000004">
      <c r="A4088" s="17"/>
    </row>
    <row r="4089" spans="1:1" x14ac:dyDescent="0.55000000000000004">
      <c r="A4089" s="17"/>
    </row>
    <row r="4090" spans="1:1" x14ac:dyDescent="0.55000000000000004">
      <c r="A4090" s="17"/>
    </row>
    <row r="4091" spans="1:1" x14ac:dyDescent="0.55000000000000004">
      <c r="A4091" s="17"/>
    </row>
    <row r="4092" spans="1:1" x14ac:dyDescent="0.55000000000000004">
      <c r="A4092" s="17"/>
    </row>
    <row r="4093" spans="1:1" x14ac:dyDescent="0.55000000000000004">
      <c r="A4093" s="17"/>
    </row>
    <row r="4094" spans="1:1" x14ac:dyDescent="0.55000000000000004">
      <c r="A4094" s="17"/>
    </row>
    <row r="4095" spans="1:1" x14ac:dyDescent="0.55000000000000004">
      <c r="A4095" s="17"/>
    </row>
    <row r="4096" spans="1:1" x14ac:dyDescent="0.55000000000000004">
      <c r="A4096" s="17"/>
    </row>
    <row r="4097" spans="1:1" x14ac:dyDescent="0.55000000000000004">
      <c r="A4097" s="17"/>
    </row>
    <row r="4098" spans="1:1" x14ac:dyDescent="0.55000000000000004">
      <c r="A4098" s="17"/>
    </row>
    <row r="4099" spans="1:1" x14ac:dyDescent="0.55000000000000004">
      <c r="A4099" s="17"/>
    </row>
    <row r="4100" spans="1:1" x14ac:dyDescent="0.55000000000000004">
      <c r="A4100" s="17"/>
    </row>
    <row r="4101" spans="1:1" x14ac:dyDescent="0.55000000000000004">
      <c r="A4101" s="17"/>
    </row>
    <row r="4102" spans="1:1" x14ac:dyDescent="0.55000000000000004">
      <c r="A4102" s="17"/>
    </row>
    <row r="4103" spans="1:1" x14ac:dyDescent="0.55000000000000004">
      <c r="A4103" s="17"/>
    </row>
    <row r="4104" spans="1:1" x14ac:dyDescent="0.55000000000000004">
      <c r="A4104" s="17"/>
    </row>
    <row r="4105" spans="1:1" x14ac:dyDescent="0.55000000000000004">
      <c r="A4105" s="17"/>
    </row>
    <row r="4106" spans="1:1" x14ac:dyDescent="0.55000000000000004">
      <c r="A4106" s="17"/>
    </row>
    <row r="4107" spans="1:1" x14ac:dyDescent="0.55000000000000004">
      <c r="A4107" s="17"/>
    </row>
    <row r="4108" spans="1:1" x14ac:dyDescent="0.55000000000000004">
      <c r="A4108" s="17"/>
    </row>
    <row r="4109" spans="1:1" x14ac:dyDescent="0.55000000000000004">
      <c r="A4109" s="17"/>
    </row>
    <row r="4110" spans="1:1" x14ac:dyDescent="0.55000000000000004">
      <c r="A4110" s="17"/>
    </row>
    <row r="4111" spans="1:1" x14ac:dyDescent="0.55000000000000004">
      <c r="A4111" s="17"/>
    </row>
    <row r="4112" spans="1:1" x14ac:dyDescent="0.55000000000000004">
      <c r="A4112" s="17"/>
    </row>
    <row r="4113" spans="1:1" x14ac:dyDescent="0.55000000000000004">
      <c r="A4113" s="17"/>
    </row>
    <row r="4114" spans="1:1" x14ac:dyDescent="0.55000000000000004">
      <c r="A4114" s="17"/>
    </row>
    <row r="4115" spans="1:1" x14ac:dyDescent="0.55000000000000004">
      <c r="A4115" s="17"/>
    </row>
    <row r="4116" spans="1:1" x14ac:dyDescent="0.55000000000000004">
      <c r="A4116" s="17"/>
    </row>
    <row r="4117" spans="1:1" x14ac:dyDescent="0.55000000000000004">
      <c r="A4117" s="17"/>
    </row>
    <row r="4118" spans="1:1" x14ac:dyDescent="0.55000000000000004">
      <c r="A4118" s="17"/>
    </row>
    <row r="4119" spans="1:1" x14ac:dyDescent="0.55000000000000004">
      <c r="A4119" s="17"/>
    </row>
    <row r="4120" spans="1:1" x14ac:dyDescent="0.55000000000000004">
      <c r="A4120" s="17"/>
    </row>
    <row r="4121" spans="1:1" x14ac:dyDescent="0.55000000000000004">
      <c r="A4121" s="17"/>
    </row>
    <row r="4122" spans="1:1" x14ac:dyDescent="0.55000000000000004">
      <c r="A4122" s="17"/>
    </row>
    <row r="4123" spans="1:1" x14ac:dyDescent="0.55000000000000004">
      <c r="A4123" s="17"/>
    </row>
    <row r="4124" spans="1:1" x14ac:dyDescent="0.55000000000000004">
      <c r="A4124" s="17"/>
    </row>
    <row r="4125" spans="1:1" x14ac:dyDescent="0.55000000000000004">
      <c r="A4125" s="17"/>
    </row>
    <row r="4126" spans="1:1" x14ac:dyDescent="0.55000000000000004">
      <c r="A4126" s="17"/>
    </row>
    <row r="4127" spans="1:1" x14ac:dyDescent="0.55000000000000004">
      <c r="A4127" s="17"/>
    </row>
    <row r="4128" spans="1:1" x14ac:dyDescent="0.55000000000000004">
      <c r="A4128" s="17"/>
    </row>
    <row r="4129" spans="1:1" x14ac:dyDescent="0.55000000000000004">
      <c r="A4129" s="17"/>
    </row>
    <row r="4130" spans="1:1" x14ac:dyDescent="0.55000000000000004">
      <c r="A4130" s="17"/>
    </row>
    <row r="4131" spans="1:1" x14ac:dyDescent="0.55000000000000004">
      <c r="A4131" s="17"/>
    </row>
    <row r="4132" spans="1:1" x14ac:dyDescent="0.55000000000000004">
      <c r="A4132" s="17"/>
    </row>
    <row r="4133" spans="1:1" x14ac:dyDescent="0.55000000000000004">
      <c r="A4133" s="17"/>
    </row>
    <row r="4134" spans="1:1" x14ac:dyDescent="0.55000000000000004">
      <c r="A4134" s="17"/>
    </row>
    <row r="4135" spans="1:1" x14ac:dyDescent="0.55000000000000004">
      <c r="A4135" s="17"/>
    </row>
    <row r="4136" spans="1:1" x14ac:dyDescent="0.55000000000000004">
      <c r="A4136" s="17"/>
    </row>
    <row r="4137" spans="1:1" x14ac:dyDescent="0.55000000000000004">
      <c r="A4137" s="17"/>
    </row>
    <row r="4138" spans="1:1" x14ac:dyDescent="0.55000000000000004">
      <c r="A4138" s="17"/>
    </row>
    <row r="4139" spans="1:1" x14ac:dyDescent="0.55000000000000004">
      <c r="A4139" s="17"/>
    </row>
    <row r="4140" spans="1:1" x14ac:dyDescent="0.55000000000000004">
      <c r="A4140" s="17"/>
    </row>
    <row r="4141" spans="1:1" x14ac:dyDescent="0.55000000000000004">
      <c r="A4141" s="17"/>
    </row>
    <row r="4142" spans="1:1" x14ac:dyDescent="0.55000000000000004">
      <c r="A4142" s="17"/>
    </row>
    <row r="4143" spans="1:1" x14ac:dyDescent="0.55000000000000004">
      <c r="A4143" s="17"/>
    </row>
    <row r="4144" spans="1:1" x14ac:dyDescent="0.55000000000000004">
      <c r="A4144" s="17"/>
    </row>
    <row r="4145" spans="1:1" x14ac:dyDescent="0.55000000000000004">
      <c r="A4145" s="17"/>
    </row>
    <row r="4146" spans="1:1" x14ac:dyDescent="0.55000000000000004">
      <c r="A4146" s="17"/>
    </row>
    <row r="4147" spans="1:1" x14ac:dyDescent="0.55000000000000004">
      <c r="A4147" s="17"/>
    </row>
    <row r="4148" spans="1:1" x14ac:dyDescent="0.55000000000000004">
      <c r="A4148" s="17"/>
    </row>
    <row r="4149" spans="1:1" x14ac:dyDescent="0.55000000000000004">
      <c r="A4149" s="17"/>
    </row>
    <row r="4150" spans="1:1" x14ac:dyDescent="0.55000000000000004">
      <c r="A4150" s="17"/>
    </row>
    <row r="4151" spans="1:1" x14ac:dyDescent="0.55000000000000004">
      <c r="A4151" s="17"/>
    </row>
    <row r="4152" spans="1:1" x14ac:dyDescent="0.55000000000000004">
      <c r="A4152" s="17"/>
    </row>
    <row r="4153" spans="1:1" x14ac:dyDescent="0.55000000000000004">
      <c r="A4153" s="17"/>
    </row>
    <row r="4154" spans="1:1" x14ac:dyDescent="0.55000000000000004">
      <c r="A4154" s="17"/>
    </row>
    <row r="4155" spans="1:1" x14ac:dyDescent="0.55000000000000004">
      <c r="A4155" s="17"/>
    </row>
    <row r="4156" spans="1:1" x14ac:dyDescent="0.55000000000000004">
      <c r="A4156" s="17"/>
    </row>
    <row r="4157" spans="1:1" x14ac:dyDescent="0.55000000000000004">
      <c r="A4157" s="17"/>
    </row>
    <row r="4158" spans="1:1" x14ac:dyDescent="0.55000000000000004">
      <c r="A4158" s="17"/>
    </row>
    <row r="4159" spans="1:1" x14ac:dyDescent="0.55000000000000004">
      <c r="A4159" s="17"/>
    </row>
    <row r="4160" spans="1:1" x14ac:dyDescent="0.55000000000000004">
      <c r="A4160" s="17"/>
    </row>
    <row r="4161" spans="1:1" x14ac:dyDescent="0.55000000000000004">
      <c r="A4161" s="17"/>
    </row>
    <row r="4162" spans="1:1" x14ac:dyDescent="0.55000000000000004">
      <c r="A4162" s="17"/>
    </row>
    <row r="4163" spans="1:1" x14ac:dyDescent="0.55000000000000004">
      <c r="A4163" s="17"/>
    </row>
    <row r="4164" spans="1:1" x14ac:dyDescent="0.55000000000000004">
      <c r="A4164" s="17"/>
    </row>
    <row r="4165" spans="1:1" x14ac:dyDescent="0.55000000000000004">
      <c r="A4165" s="17"/>
    </row>
    <row r="4166" spans="1:1" x14ac:dyDescent="0.55000000000000004">
      <c r="A4166" s="17"/>
    </row>
    <row r="4167" spans="1:1" x14ac:dyDescent="0.55000000000000004">
      <c r="A4167" s="17"/>
    </row>
    <row r="4168" spans="1:1" x14ac:dyDescent="0.55000000000000004">
      <c r="A4168" s="17"/>
    </row>
    <row r="4169" spans="1:1" x14ac:dyDescent="0.55000000000000004">
      <c r="A4169" s="17"/>
    </row>
    <row r="4170" spans="1:1" x14ac:dyDescent="0.55000000000000004">
      <c r="A4170" s="17"/>
    </row>
    <row r="4171" spans="1:1" x14ac:dyDescent="0.55000000000000004">
      <c r="A4171" s="17"/>
    </row>
    <row r="4172" spans="1:1" x14ac:dyDescent="0.55000000000000004">
      <c r="A4172" s="17"/>
    </row>
    <row r="4173" spans="1:1" x14ac:dyDescent="0.55000000000000004">
      <c r="A4173" s="17"/>
    </row>
    <row r="4174" spans="1:1" x14ac:dyDescent="0.55000000000000004">
      <c r="A4174" s="17"/>
    </row>
    <row r="4175" spans="1:1" x14ac:dyDescent="0.55000000000000004">
      <c r="A4175" s="17"/>
    </row>
    <row r="4176" spans="1:1" x14ac:dyDescent="0.55000000000000004">
      <c r="A4176" s="17"/>
    </row>
    <row r="4177" spans="1:1" x14ac:dyDescent="0.55000000000000004">
      <c r="A4177" s="17"/>
    </row>
    <row r="4178" spans="1:1" x14ac:dyDescent="0.55000000000000004">
      <c r="A4178" s="17"/>
    </row>
    <row r="4179" spans="1:1" x14ac:dyDescent="0.55000000000000004">
      <c r="A4179" s="17"/>
    </row>
    <row r="4180" spans="1:1" x14ac:dyDescent="0.55000000000000004">
      <c r="A4180" s="17"/>
    </row>
    <row r="4181" spans="1:1" x14ac:dyDescent="0.55000000000000004">
      <c r="A4181" s="17"/>
    </row>
    <row r="4182" spans="1:1" x14ac:dyDescent="0.55000000000000004">
      <c r="A4182" s="17"/>
    </row>
    <row r="4183" spans="1:1" x14ac:dyDescent="0.55000000000000004">
      <c r="A4183" s="17"/>
    </row>
    <row r="4184" spans="1:1" x14ac:dyDescent="0.55000000000000004">
      <c r="A4184" s="17"/>
    </row>
    <row r="4185" spans="1:1" x14ac:dyDescent="0.55000000000000004">
      <c r="A4185" s="17"/>
    </row>
    <row r="4186" spans="1:1" x14ac:dyDescent="0.55000000000000004">
      <c r="A4186" s="17"/>
    </row>
    <row r="4187" spans="1:1" x14ac:dyDescent="0.55000000000000004">
      <c r="A4187" s="17"/>
    </row>
    <row r="4188" spans="1:1" x14ac:dyDescent="0.55000000000000004">
      <c r="A4188" s="17"/>
    </row>
    <row r="4189" spans="1:1" x14ac:dyDescent="0.55000000000000004">
      <c r="A4189" s="17"/>
    </row>
    <row r="4190" spans="1:1" x14ac:dyDescent="0.55000000000000004">
      <c r="A4190" s="17"/>
    </row>
    <row r="4191" spans="1:1" x14ac:dyDescent="0.55000000000000004">
      <c r="A4191" s="17"/>
    </row>
    <row r="4192" spans="1:1" x14ac:dyDescent="0.55000000000000004">
      <c r="A4192" s="17"/>
    </row>
    <row r="4193" spans="1:1" x14ac:dyDescent="0.55000000000000004">
      <c r="A4193" s="17"/>
    </row>
    <row r="4194" spans="1:1" x14ac:dyDescent="0.55000000000000004">
      <c r="A4194" s="17"/>
    </row>
    <row r="4195" spans="1:1" x14ac:dyDescent="0.55000000000000004">
      <c r="A4195" s="17"/>
    </row>
    <row r="4196" spans="1:1" x14ac:dyDescent="0.55000000000000004">
      <c r="A4196" s="17"/>
    </row>
    <row r="4197" spans="1:1" x14ac:dyDescent="0.55000000000000004">
      <c r="A4197" s="17"/>
    </row>
    <row r="4198" spans="1:1" x14ac:dyDescent="0.55000000000000004">
      <c r="A4198" s="17"/>
    </row>
    <row r="4199" spans="1:1" x14ac:dyDescent="0.55000000000000004">
      <c r="A4199" s="17"/>
    </row>
    <row r="4200" spans="1:1" x14ac:dyDescent="0.55000000000000004">
      <c r="A4200" s="17"/>
    </row>
    <row r="4201" spans="1:1" x14ac:dyDescent="0.55000000000000004">
      <c r="A4201" s="17"/>
    </row>
    <row r="4202" spans="1:1" x14ac:dyDescent="0.55000000000000004">
      <c r="A4202" s="17"/>
    </row>
    <row r="4203" spans="1:1" x14ac:dyDescent="0.55000000000000004">
      <c r="A4203" s="17"/>
    </row>
    <row r="4204" spans="1:1" x14ac:dyDescent="0.55000000000000004">
      <c r="A4204" s="17"/>
    </row>
    <row r="4205" spans="1:1" x14ac:dyDescent="0.55000000000000004">
      <c r="A4205" s="17"/>
    </row>
    <row r="4206" spans="1:1" x14ac:dyDescent="0.55000000000000004">
      <c r="A4206" s="17"/>
    </row>
    <row r="4207" spans="1:1" x14ac:dyDescent="0.55000000000000004">
      <c r="A4207" s="17"/>
    </row>
    <row r="4208" spans="1:1" x14ac:dyDescent="0.55000000000000004">
      <c r="A4208" s="17"/>
    </row>
    <row r="4209" spans="1:1" x14ac:dyDescent="0.55000000000000004">
      <c r="A4209" s="17"/>
    </row>
    <row r="4210" spans="1:1" x14ac:dyDescent="0.55000000000000004">
      <c r="A4210" s="17"/>
    </row>
    <row r="4211" spans="1:1" x14ac:dyDescent="0.55000000000000004">
      <c r="A4211" s="17"/>
    </row>
    <row r="4212" spans="1:1" x14ac:dyDescent="0.55000000000000004">
      <c r="A4212" s="17"/>
    </row>
    <row r="4213" spans="1:1" x14ac:dyDescent="0.55000000000000004">
      <c r="A4213" s="17"/>
    </row>
    <row r="4214" spans="1:1" x14ac:dyDescent="0.55000000000000004">
      <c r="A4214" s="17"/>
    </row>
    <row r="4215" spans="1:1" x14ac:dyDescent="0.55000000000000004">
      <c r="A4215" s="17"/>
    </row>
    <row r="4216" spans="1:1" x14ac:dyDescent="0.55000000000000004">
      <c r="A4216" s="17"/>
    </row>
    <row r="4217" spans="1:1" x14ac:dyDescent="0.55000000000000004">
      <c r="A4217" s="17"/>
    </row>
    <row r="4218" spans="1:1" x14ac:dyDescent="0.55000000000000004">
      <c r="A4218" s="17"/>
    </row>
    <row r="4219" spans="1:1" x14ac:dyDescent="0.55000000000000004">
      <c r="A4219" s="17"/>
    </row>
    <row r="4220" spans="1:1" x14ac:dyDescent="0.55000000000000004">
      <c r="A4220" s="17"/>
    </row>
    <row r="4221" spans="1:1" x14ac:dyDescent="0.55000000000000004">
      <c r="A4221" s="17"/>
    </row>
    <row r="4222" spans="1:1" x14ac:dyDescent="0.55000000000000004">
      <c r="A4222" s="17"/>
    </row>
    <row r="4223" spans="1:1" x14ac:dyDescent="0.55000000000000004">
      <c r="A4223" s="17"/>
    </row>
    <row r="4224" spans="1:1" x14ac:dyDescent="0.55000000000000004">
      <c r="A4224" s="17"/>
    </row>
    <row r="4225" spans="1:1" x14ac:dyDescent="0.55000000000000004">
      <c r="A4225" s="17"/>
    </row>
    <row r="4226" spans="1:1" x14ac:dyDescent="0.55000000000000004">
      <c r="A4226" s="17"/>
    </row>
    <row r="4227" spans="1:1" x14ac:dyDescent="0.55000000000000004">
      <c r="A4227" s="17"/>
    </row>
    <row r="4228" spans="1:1" x14ac:dyDescent="0.55000000000000004">
      <c r="A4228" s="17"/>
    </row>
    <row r="4229" spans="1:1" x14ac:dyDescent="0.55000000000000004">
      <c r="A4229" s="17"/>
    </row>
    <row r="4230" spans="1:1" x14ac:dyDescent="0.55000000000000004">
      <c r="A4230" s="17"/>
    </row>
    <row r="4231" spans="1:1" x14ac:dyDescent="0.55000000000000004">
      <c r="A4231" s="17"/>
    </row>
    <row r="4232" spans="1:1" x14ac:dyDescent="0.55000000000000004">
      <c r="A4232" s="17"/>
    </row>
    <row r="4233" spans="1:1" x14ac:dyDescent="0.55000000000000004">
      <c r="A4233" s="17"/>
    </row>
    <row r="4234" spans="1:1" x14ac:dyDescent="0.55000000000000004">
      <c r="A4234" s="17"/>
    </row>
    <row r="4235" spans="1:1" x14ac:dyDescent="0.55000000000000004">
      <c r="A4235" s="17"/>
    </row>
    <row r="4236" spans="1:1" x14ac:dyDescent="0.55000000000000004">
      <c r="A4236" s="17"/>
    </row>
    <row r="4237" spans="1:1" x14ac:dyDescent="0.55000000000000004">
      <c r="A4237" s="17"/>
    </row>
    <row r="4238" spans="1:1" x14ac:dyDescent="0.55000000000000004">
      <c r="A4238" s="17"/>
    </row>
    <row r="4239" spans="1:1" x14ac:dyDescent="0.55000000000000004">
      <c r="A4239" s="17"/>
    </row>
    <row r="4240" spans="1:1" x14ac:dyDescent="0.55000000000000004">
      <c r="A4240" s="17"/>
    </row>
    <row r="4241" spans="1:1" x14ac:dyDescent="0.55000000000000004">
      <c r="A4241" s="17"/>
    </row>
    <row r="4242" spans="1:1" x14ac:dyDescent="0.55000000000000004">
      <c r="A4242" s="17"/>
    </row>
    <row r="4243" spans="1:1" x14ac:dyDescent="0.55000000000000004">
      <c r="A4243" s="17"/>
    </row>
    <row r="4244" spans="1:1" x14ac:dyDescent="0.55000000000000004">
      <c r="A4244" s="17"/>
    </row>
    <row r="4245" spans="1:1" x14ac:dyDescent="0.55000000000000004">
      <c r="A4245" s="17"/>
    </row>
    <row r="4246" spans="1:1" x14ac:dyDescent="0.55000000000000004">
      <c r="A4246" s="17"/>
    </row>
    <row r="4247" spans="1:1" x14ac:dyDescent="0.55000000000000004">
      <c r="A4247" s="17"/>
    </row>
    <row r="4248" spans="1:1" x14ac:dyDescent="0.55000000000000004">
      <c r="A4248" s="17"/>
    </row>
    <row r="4249" spans="1:1" x14ac:dyDescent="0.55000000000000004">
      <c r="A4249" s="17"/>
    </row>
    <row r="4250" spans="1:1" x14ac:dyDescent="0.55000000000000004">
      <c r="A4250" s="17"/>
    </row>
    <row r="4251" spans="1:1" x14ac:dyDescent="0.55000000000000004">
      <c r="A4251" s="17"/>
    </row>
    <row r="4252" spans="1:1" x14ac:dyDescent="0.55000000000000004">
      <c r="A4252" s="17"/>
    </row>
    <row r="4253" spans="1:1" x14ac:dyDescent="0.55000000000000004">
      <c r="A4253" s="17"/>
    </row>
    <row r="4254" spans="1:1" x14ac:dyDescent="0.55000000000000004">
      <c r="A4254" s="17"/>
    </row>
    <row r="4255" spans="1:1" x14ac:dyDescent="0.55000000000000004">
      <c r="A4255" s="17"/>
    </row>
    <row r="4256" spans="1:1" x14ac:dyDescent="0.55000000000000004">
      <c r="A4256" s="17"/>
    </row>
    <row r="4257" spans="1:1" x14ac:dyDescent="0.55000000000000004">
      <c r="A4257" s="17"/>
    </row>
    <row r="4258" spans="1:1" x14ac:dyDescent="0.55000000000000004">
      <c r="A4258" s="17"/>
    </row>
    <row r="4259" spans="1:1" x14ac:dyDescent="0.55000000000000004">
      <c r="A4259" s="17"/>
    </row>
    <row r="4260" spans="1:1" x14ac:dyDescent="0.55000000000000004">
      <c r="A4260" s="17"/>
    </row>
    <row r="4261" spans="1:1" x14ac:dyDescent="0.55000000000000004">
      <c r="A4261" s="17"/>
    </row>
    <row r="4262" spans="1:1" x14ac:dyDescent="0.55000000000000004">
      <c r="A4262" s="17"/>
    </row>
    <row r="4263" spans="1:1" x14ac:dyDescent="0.55000000000000004">
      <c r="A4263" s="17"/>
    </row>
    <row r="4264" spans="1:1" x14ac:dyDescent="0.55000000000000004">
      <c r="A4264" s="17"/>
    </row>
    <row r="4265" spans="1:1" x14ac:dyDescent="0.55000000000000004">
      <c r="A4265" s="17"/>
    </row>
    <row r="4266" spans="1:1" x14ac:dyDescent="0.55000000000000004">
      <c r="A4266" s="17"/>
    </row>
    <row r="4267" spans="1:1" x14ac:dyDescent="0.55000000000000004">
      <c r="A4267" s="17"/>
    </row>
    <row r="4268" spans="1:1" x14ac:dyDescent="0.55000000000000004">
      <c r="A4268" s="17"/>
    </row>
    <row r="4269" spans="1:1" x14ac:dyDescent="0.55000000000000004">
      <c r="A4269" s="17"/>
    </row>
    <row r="4270" spans="1:1" x14ac:dyDescent="0.55000000000000004">
      <c r="A4270" s="17"/>
    </row>
    <row r="4271" spans="1:1" x14ac:dyDescent="0.55000000000000004">
      <c r="A4271" s="17"/>
    </row>
    <row r="4272" spans="1:1" x14ac:dyDescent="0.55000000000000004">
      <c r="A4272" s="17"/>
    </row>
    <row r="4273" spans="1:1" x14ac:dyDescent="0.55000000000000004">
      <c r="A4273" s="17"/>
    </row>
    <row r="4274" spans="1:1" x14ac:dyDescent="0.55000000000000004">
      <c r="A4274" s="17"/>
    </row>
    <row r="4275" spans="1:1" x14ac:dyDescent="0.55000000000000004">
      <c r="A4275" s="17"/>
    </row>
    <row r="4276" spans="1:1" x14ac:dyDescent="0.55000000000000004">
      <c r="A4276" s="17"/>
    </row>
    <row r="4277" spans="1:1" x14ac:dyDescent="0.55000000000000004">
      <c r="A4277" s="17"/>
    </row>
    <row r="4278" spans="1:1" x14ac:dyDescent="0.55000000000000004">
      <c r="A4278" s="17"/>
    </row>
    <row r="4279" spans="1:1" x14ac:dyDescent="0.55000000000000004">
      <c r="A4279" s="17"/>
    </row>
    <row r="4280" spans="1:1" x14ac:dyDescent="0.55000000000000004">
      <c r="A4280" s="17"/>
    </row>
    <row r="4281" spans="1:1" x14ac:dyDescent="0.55000000000000004">
      <c r="A4281" s="17"/>
    </row>
    <row r="4282" spans="1:1" x14ac:dyDescent="0.55000000000000004">
      <c r="A4282" s="17"/>
    </row>
    <row r="4283" spans="1:1" x14ac:dyDescent="0.55000000000000004">
      <c r="A4283" s="17"/>
    </row>
    <row r="4284" spans="1:1" x14ac:dyDescent="0.55000000000000004">
      <c r="A4284" s="17"/>
    </row>
    <row r="4285" spans="1:1" x14ac:dyDescent="0.55000000000000004">
      <c r="A4285" s="17"/>
    </row>
    <row r="4286" spans="1:1" x14ac:dyDescent="0.55000000000000004">
      <c r="A4286" s="17"/>
    </row>
    <row r="4287" spans="1:1" x14ac:dyDescent="0.55000000000000004">
      <c r="A4287" s="17"/>
    </row>
    <row r="4288" spans="1:1" x14ac:dyDescent="0.55000000000000004">
      <c r="A4288" s="17"/>
    </row>
    <row r="4289" spans="1:1" x14ac:dyDescent="0.55000000000000004">
      <c r="A4289" s="17"/>
    </row>
    <row r="4290" spans="1:1" x14ac:dyDescent="0.55000000000000004">
      <c r="A4290" s="17"/>
    </row>
    <row r="4291" spans="1:1" x14ac:dyDescent="0.55000000000000004">
      <c r="A4291" s="17"/>
    </row>
    <row r="4292" spans="1:1" x14ac:dyDescent="0.55000000000000004">
      <c r="A4292" s="17"/>
    </row>
    <row r="4293" spans="1:1" x14ac:dyDescent="0.55000000000000004">
      <c r="A4293" s="17"/>
    </row>
    <row r="4294" spans="1:1" x14ac:dyDescent="0.55000000000000004">
      <c r="A4294" s="17"/>
    </row>
    <row r="4295" spans="1:1" x14ac:dyDescent="0.55000000000000004">
      <c r="A4295" s="17"/>
    </row>
    <row r="4296" spans="1:1" x14ac:dyDescent="0.55000000000000004">
      <c r="A4296" s="17"/>
    </row>
    <row r="4297" spans="1:1" x14ac:dyDescent="0.55000000000000004">
      <c r="A4297" s="17"/>
    </row>
    <row r="4298" spans="1:1" x14ac:dyDescent="0.55000000000000004">
      <c r="A4298" s="17"/>
    </row>
    <row r="4299" spans="1:1" x14ac:dyDescent="0.55000000000000004">
      <c r="A4299" s="17"/>
    </row>
    <row r="4300" spans="1:1" x14ac:dyDescent="0.55000000000000004">
      <c r="A4300" s="17"/>
    </row>
    <row r="4301" spans="1:1" x14ac:dyDescent="0.55000000000000004">
      <c r="A4301" s="17"/>
    </row>
    <row r="4302" spans="1:1" x14ac:dyDescent="0.55000000000000004">
      <c r="A4302" s="17"/>
    </row>
    <row r="4303" spans="1:1" x14ac:dyDescent="0.55000000000000004">
      <c r="A4303" s="17"/>
    </row>
    <row r="4304" spans="1:1" x14ac:dyDescent="0.55000000000000004">
      <c r="A4304" s="17"/>
    </row>
    <row r="4305" spans="1:1" x14ac:dyDescent="0.55000000000000004">
      <c r="A4305" s="17"/>
    </row>
    <row r="4306" spans="1:1" x14ac:dyDescent="0.55000000000000004">
      <c r="A4306" s="17"/>
    </row>
    <row r="4307" spans="1:1" x14ac:dyDescent="0.55000000000000004">
      <c r="A4307" s="17"/>
    </row>
    <row r="4308" spans="1:1" x14ac:dyDescent="0.55000000000000004">
      <c r="A4308" s="17"/>
    </row>
    <row r="4309" spans="1:1" x14ac:dyDescent="0.55000000000000004">
      <c r="A4309" s="17"/>
    </row>
    <row r="4310" spans="1:1" x14ac:dyDescent="0.55000000000000004">
      <c r="A4310" s="17"/>
    </row>
    <row r="4311" spans="1:1" x14ac:dyDescent="0.55000000000000004">
      <c r="A4311" s="17"/>
    </row>
    <row r="4312" spans="1:1" x14ac:dyDescent="0.55000000000000004">
      <c r="A4312" s="17"/>
    </row>
    <row r="4313" spans="1:1" x14ac:dyDescent="0.55000000000000004">
      <c r="A4313" s="17"/>
    </row>
    <row r="4314" spans="1:1" x14ac:dyDescent="0.55000000000000004">
      <c r="A4314" s="17"/>
    </row>
    <row r="4315" spans="1:1" x14ac:dyDescent="0.55000000000000004">
      <c r="A4315" s="17"/>
    </row>
    <row r="4316" spans="1:1" x14ac:dyDescent="0.55000000000000004">
      <c r="A4316" s="17"/>
    </row>
    <row r="4317" spans="1:1" x14ac:dyDescent="0.55000000000000004">
      <c r="A4317" s="17"/>
    </row>
    <row r="4318" spans="1:1" x14ac:dyDescent="0.55000000000000004">
      <c r="A4318" s="17"/>
    </row>
    <row r="4319" spans="1:1" x14ac:dyDescent="0.55000000000000004">
      <c r="A4319" s="17"/>
    </row>
    <row r="4320" spans="1:1" x14ac:dyDescent="0.55000000000000004">
      <c r="A4320" s="17"/>
    </row>
    <row r="4321" spans="1:1" x14ac:dyDescent="0.55000000000000004">
      <c r="A4321" s="17"/>
    </row>
    <row r="4322" spans="1:1" x14ac:dyDescent="0.55000000000000004">
      <c r="A4322" s="17"/>
    </row>
    <row r="4323" spans="1:1" x14ac:dyDescent="0.55000000000000004">
      <c r="A4323" s="17"/>
    </row>
    <row r="4324" spans="1:1" x14ac:dyDescent="0.55000000000000004">
      <c r="A4324" s="17"/>
    </row>
    <row r="4325" spans="1:1" x14ac:dyDescent="0.55000000000000004">
      <c r="A4325" s="17"/>
    </row>
    <row r="4326" spans="1:1" x14ac:dyDescent="0.55000000000000004">
      <c r="A4326" s="17"/>
    </row>
    <row r="4327" spans="1:1" x14ac:dyDescent="0.55000000000000004">
      <c r="A4327" s="17"/>
    </row>
    <row r="4328" spans="1:1" x14ac:dyDescent="0.55000000000000004">
      <c r="A4328" s="17"/>
    </row>
    <row r="4329" spans="1:1" x14ac:dyDescent="0.55000000000000004">
      <c r="A4329" s="17"/>
    </row>
    <row r="4330" spans="1:1" x14ac:dyDescent="0.55000000000000004">
      <c r="A4330" s="17"/>
    </row>
    <row r="4331" spans="1:1" x14ac:dyDescent="0.55000000000000004">
      <c r="A4331" s="17"/>
    </row>
    <row r="4332" spans="1:1" x14ac:dyDescent="0.55000000000000004">
      <c r="A4332" s="17"/>
    </row>
    <row r="4333" spans="1:1" x14ac:dyDescent="0.55000000000000004">
      <c r="A4333" s="17"/>
    </row>
    <row r="4334" spans="1:1" x14ac:dyDescent="0.55000000000000004">
      <c r="A4334" s="17"/>
    </row>
    <row r="4335" spans="1:1" x14ac:dyDescent="0.55000000000000004">
      <c r="A4335" s="17"/>
    </row>
    <row r="4336" spans="1:1" x14ac:dyDescent="0.55000000000000004">
      <c r="A4336" s="17"/>
    </row>
    <row r="4337" spans="1:1" x14ac:dyDescent="0.55000000000000004">
      <c r="A4337" s="17"/>
    </row>
    <row r="4338" spans="1:1" x14ac:dyDescent="0.55000000000000004">
      <c r="A4338" s="17"/>
    </row>
    <row r="4339" spans="1:1" x14ac:dyDescent="0.55000000000000004">
      <c r="A4339" s="17"/>
    </row>
    <row r="4340" spans="1:1" x14ac:dyDescent="0.55000000000000004">
      <c r="A4340" s="17"/>
    </row>
    <row r="4341" spans="1:1" x14ac:dyDescent="0.55000000000000004">
      <c r="A4341" s="17"/>
    </row>
    <row r="4342" spans="1:1" x14ac:dyDescent="0.55000000000000004">
      <c r="A4342" s="17"/>
    </row>
    <row r="4343" spans="1:1" x14ac:dyDescent="0.55000000000000004">
      <c r="A4343" s="17"/>
    </row>
    <row r="4344" spans="1:1" x14ac:dyDescent="0.55000000000000004">
      <c r="A4344" s="17"/>
    </row>
    <row r="4345" spans="1:1" x14ac:dyDescent="0.55000000000000004">
      <c r="A4345" s="17"/>
    </row>
    <row r="4346" spans="1:1" x14ac:dyDescent="0.55000000000000004">
      <c r="A4346" s="17"/>
    </row>
    <row r="4347" spans="1:1" x14ac:dyDescent="0.55000000000000004">
      <c r="A4347" s="17"/>
    </row>
    <row r="4348" spans="1:1" x14ac:dyDescent="0.55000000000000004">
      <c r="A4348" s="17"/>
    </row>
    <row r="4349" spans="1:1" x14ac:dyDescent="0.55000000000000004">
      <c r="A4349" s="17"/>
    </row>
    <row r="4350" spans="1:1" x14ac:dyDescent="0.55000000000000004">
      <c r="A4350" s="17"/>
    </row>
    <row r="4351" spans="1:1" x14ac:dyDescent="0.55000000000000004">
      <c r="A4351" s="17"/>
    </row>
    <row r="4352" spans="1:1" x14ac:dyDescent="0.55000000000000004">
      <c r="A4352" s="17"/>
    </row>
    <row r="4353" spans="1:1" x14ac:dyDescent="0.55000000000000004">
      <c r="A4353" s="17"/>
    </row>
    <row r="4354" spans="1:1" x14ac:dyDescent="0.55000000000000004">
      <c r="A4354" s="17"/>
    </row>
    <row r="4355" spans="1:1" x14ac:dyDescent="0.55000000000000004">
      <c r="A4355" s="17"/>
    </row>
    <row r="4356" spans="1:1" x14ac:dyDescent="0.55000000000000004">
      <c r="A4356" s="17"/>
    </row>
    <row r="4357" spans="1:1" x14ac:dyDescent="0.55000000000000004">
      <c r="A4357" s="17"/>
    </row>
    <row r="4358" spans="1:1" x14ac:dyDescent="0.55000000000000004">
      <c r="A4358" s="17"/>
    </row>
    <row r="4359" spans="1:1" x14ac:dyDescent="0.55000000000000004">
      <c r="A4359" s="17"/>
    </row>
    <row r="4360" spans="1:1" x14ac:dyDescent="0.55000000000000004">
      <c r="A4360" s="17"/>
    </row>
    <row r="4361" spans="1:1" x14ac:dyDescent="0.55000000000000004">
      <c r="A4361" s="17"/>
    </row>
    <row r="4362" spans="1:1" x14ac:dyDescent="0.55000000000000004">
      <c r="A4362" s="17"/>
    </row>
    <row r="4363" spans="1:1" x14ac:dyDescent="0.55000000000000004">
      <c r="A4363" s="17"/>
    </row>
    <row r="4364" spans="1:1" x14ac:dyDescent="0.55000000000000004">
      <c r="A4364" s="17"/>
    </row>
    <row r="4365" spans="1:1" x14ac:dyDescent="0.55000000000000004">
      <c r="A4365" s="17"/>
    </row>
    <row r="4366" spans="1:1" x14ac:dyDescent="0.55000000000000004">
      <c r="A4366" s="17"/>
    </row>
    <row r="4367" spans="1:1" x14ac:dyDescent="0.55000000000000004">
      <c r="A4367" s="17"/>
    </row>
    <row r="4368" spans="1:1" x14ac:dyDescent="0.55000000000000004">
      <c r="A4368" s="17"/>
    </row>
    <row r="4369" spans="1:1" x14ac:dyDescent="0.55000000000000004">
      <c r="A4369" s="17"/>
    </row>
    <row r="4370" spans="1:1" x14ac:dyDescent="0.55000000000000004">
      <c r="A4370" s="17"/>
    </row>
    <row r="4371" spans="1:1" x14ac:dyDescent="0.55000000000000004">
      <c r="A4371" s="17"/>
    </row>
    <row r="4372" spans="1:1" x14ac:dyDescent="0.55000000000000004">
      <c r="A4372" s="17"/>
    </row>
    <row r="4373" spans="1:1" x14ac:dyDescent="0.55000000000000004">
      <c r="A4373" s="17"/>
    </row>
    <row r="4374" spans="1:1" x14ac:dyDescent="0.55000000000000004">
      <c r="A4374" s="17"/>
    </row>
    <row r="4375" spans="1:1" x14ac:dyDescent="0.55000000000000004">
      <c r="A4375" s="17"/>
    </row>
    <row r="4376" spans="1:1" x14ac:dyDescent="0.55000000000000004">
      <c r="A4376" s="17"/>
    </row>
    <row r="4377" spans="1:1" x14ac:dyDescent="0.55000000000000004">
      <c r="A4377" s="17"/>
    </row>
    <row r="4378" spans="1:1" x14ac:dyDescent="0.55000000000000004">
      <c r="A4378" s="17"/>
    </row>
    <row r="4379" spans="1:1" x14ac:dyDescent="0.55000000000000004">
      <c r="A4379" s="17"/>
    </row>
    <row r="4380" spans="1:1" x14ac:dyDescent="0.55000000000000004">
      <c r="A4380" s="17"/>
    </row>
    <row r="4381" spans="1:1" x14ac:dyDescent="0.55000000000000004">
      <c r="A4381" s="17"/>
    </row>
    <row r="4382" spans="1:1" x14ac:dyDescent="0.55000000000000004">
      <c r="A4382" s="17"/>
    </row>
    <row r="4383" spans="1:1" x14ac:dyDescent="0.55000000000000004">
      <c r="A4383" s="17"/>
    </row>
    <row r="4384" spans="1:1" x14ac:dyDescent="0.55000000000000004">
      <c r="A4384" s="17"/>
    </row>
    <row r="4385" spans="1:1" x14ac:dyDescent="0.55000000000000004">
      <c r="A4385" s="17"/>
    </row>
    <row r="4386" spans="1:1" x14ac:dyDescent="0.55000000000000004">
      <c r="A4386" s="17"/>
    </row>
    <row r="4387" spans="1:1" x14ac:dyDescent="0.55000000000000004">
      <c r="A4387" s="17"/>
    </row>
    <row r="4388" spans="1:1" x14ac:dyDescent="0.55000000000000004">
      <c r="A4388" s="17"/>
    </row>
    <row r="4389" spans="1:1" x14ac:dyDescent="0.55000000000000004">
      <c r="A4389" s="17"/>
    </row>
    <row r="4390" spans="1:1" x14ac:dyDescent="0.55000000000000004">
      <c r="A4390" s="17"/>
    </row>
    <row r="4391" spans="1:1" x14ac:dyDescent="0.55000000000000004">
      <c r="A4391" s="17"/>
    </row>
    <row r="4392" spans="1:1" x14ac:dyDescent="0.55000000000000004">
      <c r="A4392" s="17"/>
    </row>
    <row r="4393" spans="1:1" x14ac:dyDescent="0.55000000000000004">
      <c r="A4393" s="17"/>
    </row>
    <row r="4394" spans="1:1" x14ac:dyDescent="0.55000000000000004">
      <c r="A4394" s="17"/>
    </row>
    <row r="4395" spans="1:1" x14ac:dyDescent="0.55000000000000004">
      <c r="A4395" s="17"/>
    </row>
    <row r="4396" spans="1:1" x14ac:dyDescent="0.55000000000000004">
      <c r="A4396" s="17"/>
    </row>
    <row r="4397" spans="1:1" x14ac:dyDescent="0.55000000000000004">
      <c r="A4397" s="17"/>
    </row>
    <row r="4398" spans="1:1" x14ac:dyDescent="0.55000000000000004">
      <c r="A4398" s="17"/>
    </row>
    <row r="4399" spans="1:1" x14ac:dyDescent="0.55000000000000004">
      <c r="A4399" s="17"/>
    </row>
    <row r="4400" spans="1:1" x14ac:dyDescent="0.55000000000000004">
      <c r="A4400" s="17"/>
    </row>
    <row r="4401" spans="1:1" x14ac:dyDescent="0.55000000000000004">
      <c r="A4401" s="17"/>
    </row>
    <row r="4402" spans="1:1" x14ac:dyDescent="0.55000000000000004">
      <c r="A4402" s="17"/>
    </row>
    <row r="4403" spans="1:1" x14ac:dyDescent="0.55000000000000004">
      <c r="A4403" s="17"/>
    </row>
    <row r="4404" spans="1:1" x14ac:dyDescent="0.55000000000000004">
      <c r="A4404" s="17"/>
    </row>
    <row r="4405" spans="1:1" x14ac:dyDescent="0.55000000000000004">
      <c r="A4405" s="17"/>
    </row>
    <row r="4406" spans="1:1" x14ac:dyDescent="0.55000000000000004">
      <c r="A4406" s="17"/>
    </row>
    <row r="4407" spans="1:1" x14ac:dyDescent="0.55000000000000004">
      <c r="A4407" s="17"/>
    </row>
    <row r="4408" spans="1:1" x14ac:dyDescent="0.55000000000000004">
      <c r="A4408" s="17"/>
    </row>
    <row r="4409" spans="1:1" x14ac:dyDescent="0.55000000000000004">
      <c r="A4409" s="17"/>
    </row>
    <row r="4410" spans="1:1" x14ac:dyDescent="0.55000000000000004">
      <c r="A4410" s="17"/>
    </row>
    <row r="4411" spans="1:1" x14ac:dyDescent="0.55000000000000004">
      <c r="A4411" s="17"/>
    </row>
    <row r="4412" spans="1:1" x14ac:dyDescent="0.55000000000000004">
      <c r="A4412" s="17"/>
    </row>
    <row r="4413" spans="1:1" x14ac:dyDescent="0.55000000000000004">
      <c r="A4413" s="17"/>
    </row>
    <row r="4414" spans="1:1" x14ac:dyDescent="0.55000000000000004">
      <c r="A4414" s="17"/>
    </row>
    <row r="4415" spans="1:1" x14ac:dyDescent="0.55000000000000004">
      <c r="A4415" s="17"/>
    </row>
    <row r="4416" spans="1:1" x14ac:dyDescent="0.55000000000000004">
      <c r="A4416" s="17"/>
    </row>
    <row r="4417" spans="1:1" x14ac:dyDescent="0.55000000000000004">
      <c r="A4417" s="17"/>
    </row>
    <row r="4418" spans="1:1" x14ac:dyDescent="0.55000000000000004">
      <c r="A4418" s="17"/>
    </row>
    <row r="4419" spans="1:1" x14ac:dyDescent="0.55000000000000004">
      <c r="A4419" s="17"/>
    </row>
    <row r="4420" spans="1:1" x14ac:dyDescent="0.55000000000000004">
      <c r="A4420" s="17"/>
    </row>
    <row r="4421" spans="1:1" x14ac:dyDescent="0.55000000000000004">
      <c r="A4421" s="17"/>
    </row>
    <row r="4422" spans="1:1" x14ac:dyDescent="0.55000000000000004">
      <c r="A4422" s="17"/>
    </row>
    <row r="4423" spans="1:1" x14ac:dyDescent="0.55000000000000004">
      <c r="A4423" s="17"/>
    </row>
    <row r="4424" spans="1:1" x14ac:dyDescent="0.55000000000000004">
      <c r="A4424" s="17"/>
    </row>
    <row r="4425" spans="1:1" x14ac:dyDescent="0.55000000000000004">
      <c r="A4425" s="17"/>
    </row>
    <row r="4426" spans="1:1" x14ac:dyDescent="0.55000000000000004">
      <c r="A4426" s="17"/>
    </row>
    <row r="4427" spans="1:1" x14ac:dyDescent="0.55000000000000004">
      <c r="A4427" s="17"/>
    </row>
    <row r="4428" spans="1:1" x14ac:dyDescent="0.55000000000000004">
      <c r="A4428" s="17"/>
    </row>
    <row r="4429" spans="1:1" x14ac:dyDescent="0.55000000000000004">
      <c r="A4429" s="17"/>
    </row>
    <row r="4430" spans="1:1" x14ac:dyDescent="0.55000000000000004">
      <c r="A4430" s="17"/>
    </row>
    <row r="4431" spans="1:1" x14ac:dyDescent="0.55000000000000004">
      <c r="A4431" s="17"/>
    </row>
    <row r="4432" spans="1:1" x14ac:dyDescent="0.55000000000000004">
      <c r="A4432" s="17"/>
    </row>
    <row r="4433" spans="1:1" x14ac:dyDescent="0.55000000000000004">
      <c r="A4433" s="17"/>
    </row>
    <row r="4434" spans="1:1" x14ac:dyDescent="0.55000000000000004">
      <c r="A4434" s="17"/>
    </row>
    <row r="4435" spans="1:1" x14ac:dyDescent="0.55000000000000004">
      <c r="A4435" s="17"/>
    </row>
    <row r="4436" spans="1:1" x14ac:dyDescent="0.55000000000000004">
      <c r="A4436" s="17"/>
    </row>
    <row r="4437" spans="1:1" x14ac:dyDescent="0.55000000000000004">
      <c r="A4437" s="17"/>
    </row>
    <row r="4438" spans="1:1" x14ac:dyDescent="0.55000000000000004">
      <c r="A4438" s="17"/>
    </row>
    <row r="4439" spans="1:1" x14ac:dyDescent="0.55000000000000004">
      <c r="A4439" s="17"/>
    </row>
    <row r="4440" spans="1:1" x14ac:dyDescent="0.55000000000000004">
      <c r="A4440" s="17"/>
    </row>
    <row r="4441" spans="1:1" x14ac:dyDescent="0.55000000000000004">
      <c r="A4441" s="17"/>
    </row>
    <row r="4442" spans="1:1" x14ac:dyDescent="0.55000000000000004">
      <c r="A4442" s="17"/>
    </row>
    <row r="4443" spans="1:1" x14ac:dyDescent="0.55000000000000004">
      <c r="A4443" s="17"/>
    </row>
    <row r="4444" spans="1:1" x14ac:dyDescent="0.55000000000000004">
      <c r="A4444" s="17"/>
    </row>
    <row r="4445" spans="1:1" x14ac:dyDescent="0.55000000000000004">
      <c r="A4445" s="17"/>
    </row>
    <row r="4446" spans="1:1" x14ac:dyDescent="0.55000000000000004">
      <c r="A4446" s="17"/>
    </row>
    <row r="4447" spans="1:1" x14ac:dyDescent="0.55000000000000004">
      <c r="A4447" s="17"/>
    </row>
    <row r="4448" spans="1:1" x14ac:dyDescent="0.55000000000000004">
      <c r="A4448" s="17"/>
    </row>
    <row r="4449" spans="1:1" x14ac:dyDescent="0.55000000000000004">
      <c r="A4449" s="17"/>
    </row>
    <row r="4450" spans="1:1" x14ac:dyDescent="0.55000000000000004">
      <c r="A4450" s="17"/>
    </row>
    <row r="4451" spans="1:1" x14ac:dyDescent="0.55000000000000004">
      <c r="A4451" s="17"/>
    </row>
    <row r="4452" spans="1:1" x14ac:dyDescent="0.55000000000000004">
      <c r="A4452" s="17"/>
    </row>
    <row r="4453" spans="1:1" x14ac:dyDescent="0.55000000000000004">
      <c r="A4453" s="17"/>
    </row>
    <row r="4454" spans="1:1" x14ac:dyDescent="0.55000000000000004">
      <c r="A4454" s="17"/>
    </row>
    <row r="4455" spans="1:1" x14ac:dyDescent="0.55000000000000004">
      <c r="A4455" s="17"/>
    </row>
    <row r="4456" spans="1:1" x14ac:dyDescent="0.55000000000000004">
      <c r="A4456" s="17"/>
    </row>
    <row r="4457" spans="1:1" x14ac:dyDescent="0.55000000000000004">
      <c r="A4457" s="17"/>
    </row>
    <row r="4458" spans="1:1" x14ac:dyDescent="0.55000000000000004">
      <c r="A4458" s="17"/>
    </row>
    <row r="4459" spans="1:1" x14ac:dyDescent="0.55000000000000004">
      <c r="A4459" s="17"/>
    </row>
    <row r="4460" spans="1:1" x14ac:dyDescent="0.55000000000000004">
      <c r="A4460" s="17"/>
    </row>
    <row r="4461" spans="1:1" x14ac:dyDescent="0.55000000000000004">
      <c r="A4461" s="17"/>
    </row>
    <row r="4462" spans="1:1" x14ac:dyDescent="0.55000000000000004">
      <c r="A4462" s="17"/>
    </row>
    <row r="4463" spans="1:1" x14ac:dyDescent="0.55000000000000004">
      <c r="A4463" s="17"/>
    </row>
    <row r="4464" spans="1:1" x14ac:dyDescent="0.55000000000000004">
      <c r="A4464" s="17"/>
    </row>
    <row r="4465" spans="1:1" x14ac:dyDescent="0.55000000000000004">
      <c r="A4465" s="17"/>
    </row>
    <row r="4466" spans="1:1" x14ac:dyDescent="0.55000000000000004">
      <c r="A4466" s="17"/>
    </row>
    <row r="4467" spans="1:1" x14ac:dyDescent="0.55000000000000004">
      <c r="A4467" s="17"/>
    </row>
    <row r="4468" spans="1:1" x14ac:dyDescent="0.55000000000000004">
      <c r="A4468" s="17"/>
    </row>
    <row r="4469" spans="1:1" x14ac:dyDescent="0.55000000000000004">
      <c r="A4469" s="17"/>
    </row>
    <row r="4470" spans="1:1" x14ac:dyDescent="0.55000000000000004">
      <c r="A4470" s="17"/>
    </row>
    <row r="4471" spans="1:1" x14ac:dyDescent="0.55000000000000004">
      <c r="A4471" s="17"/>
    </row>
    <row r="4472" spans="1:1" x14ac:dyDescent="0.55000000000000004">
      <c r="A4472" s="17"/>
    </row>
    <row r="4473" spans="1:1" x14ac:dyDescent="0.55000000000000004">
      <c r="A4473" s="17"/>
    </row>
    <row r="4474" spans="1:1" x14ac:dyDescent="0.55000000000000004">
      <c r="A4474" s="17"/>
    </row>
    <row r="4475" spans="1:1" x14ac:dyDescent="0.55000000000000004">
      <c r="A4475" s="17"/>
    </row>
    <row r="4476" spans="1:1" x14ac:dyDescent="0.55000000000000004">
      <c r="A4476" s="17"/>
    </row>
    <row r="4477" spans="1:1" x14ac:dyDescent="0.55000000000000004">
      <c r="A4477" s="17"/>
    </row>
    <row r="4478" spans="1:1" x14ac:dyDescent="0.55000000000000004">
      <c r="A4478" s="17"/>
    </row>
    <row r="4479" spans="1:1" x14ac:dyDescent="0.55000000000000004">
      <c r="A4479" s="17"/>
    </row>
    <row r="4480" spans="1:1" x14ac:dyDescent="0.55000000000000004">
      <c r="A4480" s="17"/>
    </row>
    <row r="4481" spans="1:1" x14ac:dyDescent="0.55000000000000004">
      <c r="A4481" s="17"/>
    </row>
    <row r="4482" spans="1:1" x14ac:dyDescent="0.55000000000000004">
      <c r="A4482" s="17"/>
    </row>
    <row r="4483" spans="1:1" x14ac:dyDescent="0.55000000000000004">
      <c r="A4483" s="17"/>
    </row>
    <row r="4484" spans="1:1" x14ac:dyDescent="0.55000000000000004">
      <c r="A4484" s="17"/>
    </row>
    <row r="4485" spans="1:1" x14ac:dyDescent="0.55000000000000004">
      <c r="A4485" s="17"/>
    </row>
    <row r="4486" spans="1:1" x14ac:dyDescent="0.55000000000000004">
      <c r="A4486" s="17"/>
    </row>
    <row r="4487" spans="1:1" x14ac:dyDescent="0.55000000000000004">
      <c r="A4487" s="17"/>
    </row>
    <row r="4488" spans="1:1" x14ac:dyDescent="0.55000000000000004">
      <c r="A4488" s="17"/>
    </row>
    <row r="4489" spans="1:1" x14ac:dyDescent="0.55000000000000004">
      <c r="A4489" s="17"/>
    </row>
    <row r="4490" spans="1:1" x14ac:dyDescent="0.55000000000000004">
      <c r="A4490" s="17"/>
    </row>
    <row r="4491" spans="1:1" x14ac:dyDescent="0.55000000000000004">
      <c r="A4491" s="17"/>
    </row>
    <row r="4492" spans="1:1" x14ac:dyDescent="0.55000000000000004">
      <c r="A4492" s="17"/>
    </row>
    <row r="4493" spans="1:1" x14ac:dyDescent="0.55000000000000004">
      <c r="A4493" s="17"/>
    </row>
    <row r="4494" spans="1:1" x14ac:dyDescent="0.55000000000000004">
      <c r="A4494" s="17"/>
    </row>
    <row r="4495" spans="1:1" x14ac:dyDescent="0.55000000000000004">
      <c r="A4495" s="17"/>
    </row>
    <row r="4496" spans="1:1" x14ac:dyDescent="0.55000000000000004">
      <c r="A4496" s="17"/>
    </row>
    <row r="4497" spans="1:1" x14ac:dyDescent="0.55000000000000004">
      <c r="A4497" s="17"/>
    </row>
    <row r="4498" spans="1:1" x14ac:dyDescent="0.55000000000000004">
      <c r="A4498" s="17"/>
    </row>
    <row r="4499" spans="1:1" x14ac:dyDescent="0.55000000000000004">
      <c r="A4499" s="17"/>
    </row>
    <row r="4500" spans="1:1" x14ac:dyDescent="0.55000000000000004">
      <c r="A4500" s="17"/>
    </row>
    <row r="4501" spans="1:1" x14ac:dyDescent="0.55000000000000004">
      <c r="A4501" s="17"/>
    </row>
    <row r="4502" spans="1:1" x14ac:dyDescent="0.55000000000000004">
      <c r="A4502" s="17"/>
    </row>
    <row r="4503" spans="1:1" x14ac:dyDescent="0.55000000000000004">
      <c r="A4503" s="17"/>
    </row>
    <row r="4504" spans="1:1" x14ac:dyDescent="0.55000000000000004">
      <c r="A4504" s="17"/>
    </row>
    <row r="4505" spans="1:1" x14ac:dyDescent="0.55000000000000004">
      <c r="A4505" s="17"/>
    </row>
    <row r="4506" spans="1:1" x14ac:dyDescent="0.55000000000000004">
      <c r="A4506" s="17"/>
    </row>
    <row r="4507" spans="1:1" x14ac:dyDescent="0.55000000000000004">
      <c r="A4507" s="17"/>
    </row>
    <row r="4508" spans="1:1" x14ac:dyDescent="0.55000000000000004">
      <c r="A4508" s="17"/>
    </row>
    <row r="4509" spans="1:1" x14ac:dyDescent="0.55000000000000004">
      <c r="A4509" s="17"/>
    </row>
    <row r="4510" spans="1:1" x14ac:dyDescent="0.55000000000000004">
      <c r="A4510" s="17"/>
    </row>
    <row r="4511" spans="1:1" x14ac:dyDescent="0.55000000000000004">
      <c r="A4511" s="17"/>
    </row>
    <row r="4512" spans="1:1" x14ac:dyDescent="0.55000000000000004">
      <c r="A4512" s="17"/>
    </row>
    <row r="4513" spans="1:1" x14ac:dyDescent="0.55000000000000004">
      <c r="A4513" s="17"/>
    </row>
    <row r="4514" spans="1:1" x14ac:dyDescent="0.55000000000000004">
      <c r="A4514" s="17"/>
    </row>
    <row r="4515" spans="1:1" x14ac:dyDescent="0.55000000000000004">
      <c r="A4515" s="17"/>
    </row>
    <row r="4516" spans="1:1" x14ac:dyDescent="0.55000000000000004">
      <c r="A4516" s="17"/>
    </row>
    <row r="4517" spans="1:1" x14ac:dyDescent="0.55000000000000004">
      <c r="A4517" s="17"/>
    </row>
    <row r="4518" spans="1:1" x14ac:dyDescent="0.55000000000000004">
      <c r="A4518" s="17"/>
    </row>
    <row r="4519" spans="1:1" x14ac:dyDescent="0.55000000000000004">
      <c r="A4519" s="17"/>
    </row>
    <row r="4520" spans="1:1" x14ac:dyDescent="0.55000000000000004">
      <c r="A4520" s="17"/>
    </row>
    <row r="4521" spans="1:1" x14ac:dyDescent="0.55000000000000004">
      <c r="A4521" s="17"/>
    </row>
    <row r="4522" spans="1:1" x14ac:dyDescent="0.55000000000000004">
      <c r="A4522" s="17"/>
    </row>
    <row r="4523" spans="1:1" x14ac:dyDescent="0.55000000000000004">
      <c r="A4523" s="17"/>
    </row>
    <row r="4524" spans="1:1" x14ac:dyDescent="0.55000000000000004">
      <c r="A4524" s="17"/>
    </row>
    <row r="4525" spans="1:1" x14ac:dyDescent="0.55000000000000004">
      <c r="A4525" s="17"/>
    </row>
    <row r="4526" spans="1:1" x14ac:dyDescent="0.55000000000000004">
      <c r="A4526" s="17"/>
    </row>
    <row r="4527" spans="1:1" x14ac:dyDescent="0.55000000000000004">
      <c r="A4527" s="17"/>
    </row>
    <row r="4528" spans="1:1" x14ac:dyDescent="0.55000000000000004">
      <c r="A4528" s="17"/>
    </row>
    <row r="4529" spans="1:1" x14ac:dyDescent="0.55000000000000004">
      <c r="A4529" s="17"/>
    </row>
    <row r="4530" spans="1:1" x14ac:dyDescent="0.55000000000000004">
      <c r="A4530" s="17"/>
    </row>
    <row r="4531" spans="1:1" x14ac:dyDescent="0.55000000000000004">
      <c r="A4531" s="17"/>
    </row>
    <row r="4532" spans="1:1" x14ac:dyDescent="0.55000000000000004">
      <c r="A4532" s="17"/>
    </row>
    <row r="4533" spans="1:1" x14ac:dyDescent="0.55000000000000004">
      <c r="A4533" s="17"/>
    </row>
    <row r="4534" spans="1:1" x14ac:dyDescent="0.55000000000000004">
      <c r="A4534" s="17"/>
    </row>
    <row r="4535" spans="1:1" x14ac:dyDescent="0.55000000000000004">
      <c r="A4535" s="17"/>
    </row>
    <row r="4536" spans="1:1" x14ac:dyDescent="0.55000000000000004">
      <c r="A4536" s="17"/>
    </row>
    <row r="4537" spans="1:1" x14ac:dyDescent="0.55000000000000004">
      <c r="A4537" s="17"/>
    </row>
    <row r="4538" spans="1:1" x14ac:dyDescent="0.55000000000000004">
      <c r="A4538" s="17"/>
    </row>
    <row r="4539" spans="1:1" x14ac:dyDescent="0.55000000000000004">
      <c r="A4539" s="17"/>
    </row>
    <row r="4540" spans="1:1" x14ac:dyDescent="0.55000000000000004">
      <c r="A4540" s="17"/>
    </row>
    <row r="4541" spans="1:1" x14ac:dyDescent="0.55000000000000004">
      <c r="A4541" s="17"/>
    </row>
    <row r="4542" spans="1:1" x14ac:dyDescent="0.55000000000000004">
      <c r="A4542" s="17"/>
    </row>
    <row r="4543" spans="1:1" x14ac:dyDescent="0.55000000000000004">
      <c r="A4543" s="17"/>
    </row>
    <row r="4544" spans="1:1" x14ac:dyDescent="0.55000000000000004">
      <c r="A4544" s="17"/>
    </row>
    <row r="4545" spans="1:1" x14ac:dyDescent="0.55000000000000004">
      <c r="A4545" s="17"/>
    </row>
    <row r="4546" spans="1:1" x14ac:dyDescent="0.55000000000000004">
      <c r="A4546" s="17"/>
    </row>
    <row r="4547" spans="1:1" x14ac:dyDescent="0.55000000000000004">
      <c r="A4547" s="17"/>
    </row>
    <row r="4548" spans="1:1" x14ac:dyDescent="0.55000000000000004">
      <c r="A4548" s="17"/>
    </row>
    <row r="4549" spans="1:1" x14ac:dyDescent="0.55000000000000004">
      <c r="A4549" s="17"/>
    </row>
    <row r="4550" spans="1:1" x14ac:dyDescent="0.55000000000000004">
      <c r="A4550" s="17"/>
    </row>
    <row r="4551" spans="1:1" x14ac:dyDescent="0.55000000000000004">
      <c r="A4551" s="17"/>
    </row>
    <row r="4552" spans="1:1" x14ac:dyDescent="0.55000000000000004">
      <c r="A4552" s="17"/>
    </row>
    <row r="4553" spans="1:1" x14ac:dyDescent="0.55000000000000004">
      <c r="A4553" s="17"/>
    </row>
    <row r="4554" spans="1:1" x14ac:dyDescent="0.55000000000000004">
      <c r="A4554" s="17"/>
    </row>
    <row r="4555" spans="1:1" x14ac:dyDescent="0.55000000000000004">
      <c r="A4555" s="17"/>
    </row>
    <row r="4556" spans="1:1" x14ac:dyDescent="0.55000000000000004">
      <c r="A4556" s="17"/>
    </row>
    <row r="4557" spans="1:1" x14ac:dyDescent="0.55000000000000004">
      <c r="A4557" s="17"/>
    </row>
    <row r="4558" spans="1:1" x14ac:dyDescent="0.55000000000000004">
      <c r="A4558" s="17"/>
    </row>
    <row r="4559" spans="1:1" x14ac:dyDescent="0.55000000000000004">
      <c r="A4559" s="17"/>
    </row>
    <row r="4560" spans="1:1" x14ac:dyDescent="0.55000000000000004">
      <c r="A4560" s="17"/>
    </row>
    <row r="4561" spans="1:1" x14ac:dyDescent="0.55000000000000004">
      <c r="A4561" s="17"/>
    </row>
    <row r="4562" spans="1:1" x14ac:dyDescent="0.55000000000000004">
      <c r="A4562" s="17"/>
    </row>
    <row r="4563" spans="1:1" x14ac:dyDescent="0.55000000000000004">
      <c r="A4563" s="17"/>
    </row>
    <row r="4564" spans="1:1" x14ac:dyDescent="0.55000000000000004">
      <c r="A4564" s="17"/>
    </row>
    <row r="4565" spans="1:1" x14ac:dyDescent="0.55000000000000004">
      <c r="A4565" s="17"/>
    </row>
    <row r="4566" spans="1:1" x14ac:dyDescent="0.55000000000000004">
      <c r="A4566" s="17"/>
    </row>
    <row r="4567" spans="1:1" x14ac:dyDescent="0.55000000000000004">
      <c r="A4567" s="17"/>
    </row>
    <row r="4568" spans="1:1" x14ac:dyDescent="0.55000000000000004">
      <c r="A4568" s="17"/>
    </row>
    <row r="4569" spans="1:1" x14ac:dyDescent="0.55000000000000004">
      <c r="A4569" s="17"/>
    </row>
    <row r="4570" spans="1:1" x14ac:dyDescent="0.55000000000000004">
      <c r="A4570" s="17"/>
    </row>
    <row r="4571" spans="1:1" x14ac:dyDescent="0.55000000000000004">
      <c r="A4571" s="17"/>
    </row>
    <row r="4572" spans="1:1" x14ac:dyDescent="0.55000000000000004">
      <c r="A4572" s="17"/>
    </row>
    <row r="4573" spans="1:1" x14ac:dyDescent="0.55000000000000004">
      <c r="A4573" s="17"/>
    </row>
    <row r="4574" spans="1:1" x14ac:dyDescent="0.55000000000000004">
      <c r="A4574" s="17"/>
    </row>
    <row r="4575" spans="1:1" x14ac:dyDescent="0.55000000000000004">
      <c r="A4575" s="17"/>
    </row>
    <row r="4576" spans="1:1" x14ac:dyDescent="0.55000000000000004">
      <c r="A4576" s="17"/>
    </row>
    <row r="4577" spans="1:1" x14ac:dyDescent="0.55000000000000004">
      <c r="A4577" s="17"/>
    </row>
    <row r="4578" spans="1:1" x14ac:dyDescent="0.55000000000000004">
      <c r="A4578" s="17"/>
    </row>
    <row r="4579" spans="1:1" x14ac:dyDescent="0.55000000000000004">
      <c r="A4579" s="17"/>
    </row>
    <row r="4580" spans="1:1" x14ac:dyDescent="0.55000000000000004">
      <c r="A4580" s="17"/>
    </row>
    <row r="4581" spans="1:1" x14ac:dyDescent="0.55000000000000004">
      <c r="A4581" s="17"/>
    </row>
    <row r="4582" spans="1:1" x14ac:dyDescent="0.55000000000000004">
      <c r="A4582" s="17"/>
    </row>
    <row r="4583" spans="1:1" x14ac:dyDescent="0.55000000000000004">
      <c r="A4583" s="17"/>
    </row>
    <row r="4584" spans="1:1" x14ac:dyDescent="0.55000000000000004">
      <c r="A4584" s="17"/>
    </row>
    <row r="4585" spans="1:1" x14ac:dyDescent="0.55000000000000004">
      <c r="A4585" s="17"/>
    </row>
    <row r="4586" spans="1:1" x14ac:dyDescent="0.55000000000000004">
      <c r="A4586" s="17"/>
    </row>
    <row r="4587" spans="1:1" x14ac:dyDescent="0.55000000000000004">
      <c r="A4587" s="17"/>
    </row>
    <row r="4588" spans="1:1" x14ac:dyDescent="0.55000000000000004">
      <c r="A4588" s="17"/>
    </row>
    <row r="4589" spans="1:1" x14ac:dyDescent="0.55000000000000004">
      <c r="A4589" s="17"/>
    </row>
    <row r="4590" spans="1:1" x14ac:dyDescent="0.55000000000000004">
      <c r="A4590" s="17"/>
    </row>
    <row r="4591" spans="1:1" x14ac:dyDescent="0.55000000000000004">
      <c r="A4591" s="17"/>
    </row>
    <row r="4592" spans="1:1" x14ac:dyDescent="0.55000000000000004">
      <c r="A4592" s="17"/>
    </row>
    <row r="4593" spans="1:1" x14ac:dyDescent="0.55000000000000004">
      <c r="A4593" s="17"/>
    </row>
    <row r="4594" spans="1:1" x14ac:dyDescent="0.55000000000000004">
      <c r="A4594" s="17"/>
    </row>
    <row r="4595" spans="1:1" x14ac:dyDescent="0.55000000000000004">
      <c r="A4595" s="17"/>
    </row>
    <row r="4596" spans="1:1" x14ac:dyDescent="0.55000000000000004">
      <c r="A4596" s="17"/>
    </row>
    <row r="4597" spans="1:1" x14ac:dyDescent="0.55000000000000004">
      <c r="A4597" s="17"/>
    </row>
    <row r="4598" spans="1:1" x14ac:dyDescent="0.55000000000000004">
      <c r="A4598" s="17"/>
    </row>
    <row r="4599" spans="1:1" x14ac:dyDescent="0.55000000000000004">
      <c r="A4599" s="17"/>
    </row>
    <row r="4600" spans="1:1" x14ac:dyDescent="0.55000000000000004">
      <c r="A4600" s="17"/>
    </row>
    <row r="4601" spans="1:1" x14ac:dyDescent="0.55000000000000004">
      <c r="A4601" s="17"/>
    </row>
    <row r="4602" spans="1:1" x14ac:dyDescent="0.55000000000000004">
      <c r="A4602" s="17"/>
    </row>
    <row r="4603" spans="1:1" x14ac:dyDescent="0.55000000000000004">
      <c r="A4603" s="17"/>
    </row>
    <row r="4604" spans="1:1" x14ac:dyDescent="0.55000000000000004">
      <c r="A4604" s="17"/>
    </row>
    <row r="4605" spans="1:1" x14ac:dyDescent="0.55000000000000004">
      <c r="A4605" s="17"/>
    </row>
    <row r="4606" spans="1:1" x14ac:dyDescent="0.55000000000000004">
      <c r="A4606" s="17"/>
    </row>
    <row r="4607" spans="1:1" x14ac:dyDescent="0.55000000000000004">
      <c r="A4607" s="17"/>
    </row>
    <row r="4608" spans="1:1" x14ac:dyDescent="0.55000000000000004">
      <c r="A4608" s="17"/>
    </row>
    <row r="4609" spans="1:1" x14ac:dyDescent="0.55000000000000004">
      <c r="A4609" s="17"/>
    </row>
    <row r="4610" spans="1:1" x14ac:dyDescent="0.55000000000000004">
      <c r="A4610" s="17"/>
    </row>
    <row r="4611" spans="1:1" x14ac:dyDescent="0.55000000000000004">
      <c r="A4611" s="17"/>
    </row>
    <row r="4612" spans="1:1" x14ac:dyDescent="0.55000000000000004">
      <c r="A4612" s="17"/>
    </row>
    <row r="4613" spans="1:1" x14ac:dyDescent="0.55000000000000004">
      <c r="A4613" s="17"/>
    </row>
    <row r="4614" spans="1:1" x14ac:dyDescent="0.55000000000000004">
      <c r="A4614" s="17"/>
    </row>
    <row r="4615" spans="1:1" x14ac:dyDescent="0.55000000000000004">
      <c r="A4615" s="17"/>
    </row>
    <row r="4616" spans="1:1" x14ac:dyDescent="0.55000000000000004">
      <c r="A4616" s="17"/>
    </row>
    <row r="4617" spans="1:1" x14ac:dyDescent="0.55000000000000004">
      <c r="A4617" s="17"/>
    </row>
    <row r="4618" spans="1:1" x14ac:dyDescent="0.55000000000000004">
      <c r="A4618" s="17"/>
    </row>
    <row r="4619" spans="1:1" x14ac:dyDescent="0.55000000000000004">
      <c r="A4619" s="17"/>
    </row>
    <row r="4620" spans="1:1" x14ac:dyDescent="0.55000000000000004">
      <c r="A4620" s="17"/>
    </row>
    <row r="4621" spans="1:1" x14ac:dyDescent="0.55000000000000004">
      <c r="A4621" s="17"/>
    </row>
    <row r="4622" spans="1:1" x14ac:dyDescent="0.55000000000000004">
      <c r="A4622" s="17"/>
    </row>
    <row r="4623" spans="1:1" x14ac:dyDescent="0.55000000000000004">
      <c r="A4623" s="17"/>
    </row>
    <row r="4624" spans="1:1" x14ac:dyDescent="0.55000000000000004">
      <c r="A4624" s="17"/>
    </row>
    <row r="4625" spans="1:1" x14ac:dyDescent="0.55000000000000004">
      <c r="A4625" s="17"/>
    </row>
    <row r="4626" spans="1:1" x14ac:dyDescent="0.55000000000000004">
      <c r="A4626" s="17"/>
    </row>
    <row r="4627" spans="1:1" x14ac:dyDescent="0.55000000000000004">
      <c r="A4627" s="17"/>
    </row>
    <row r="4628" spans="1:1" x14ac:dyDescent="0.55000000000000004">
      <c r="A4628" s="17"/>
    </row>
    <row r="4629" spans="1:1" x14ac:dyDescent="0.55000000000000004">
      <c r="A4629" s="17"/>
    </row>
    <row r="4630" spans="1:1" x14ac:dyDescent="0.55000000000000004">
      <c r="A4630" s="17"/>
    </row>
    <row r="4631" spans="1:1" x14ac:dyDescent="0.55000000000000004">
      <c r="A4631" s="17"/>
    </row>
    <row r="4632" spans="1:1" x14ac:dyDescent="0.55000000000000004">
      <c r="A4632" s="17"/>
    </row>
    <row r="4633" spans="1:1" x14ac:dyDescent="0.55000000000000004">
      <c r="A4633" s="17"/>
    </row>
    <row r="4634" spans="1:1" x14ac:dyDescent="0.55000000000000004">
      <c r="A4634" s="17"/>
    </row>
    <row r="4635" spans="1:1" x14ac:dyDescent="0.55000000000000004">
      <c r="A4635" s="17"/>
    </row>
    <row r="4636" spans="1:1" x14ac:dyDescent="0.55000000000000004">
      <c r="A4636" s="17"/>
    </row>
    <row r="4637" spans="1:1" x14ac:dyDescent="0.55000000000000004">
      <c r="A4637" s="17"/>
    </row>
    <row r="4638" spans="1:1" x14ac:dyDescent="0.55000000000000004">
      <c r="A4638" s="17"/>
    </row>
    <row r="4639" spans="1:1" x14ac:dyDescent="0.55000000000000004">
      <c r="A4639" s="17"/>
    </row>
    <row r="4640" spans="1:1" x14ac:dyDescent="0.55000000000000004">
      <c r="A4640" s="17"/>
    </row>
    <row r="4641" spans="1:1" x14ac:dyDescent="0.55000000000000004">
      <c r="A4641" s="17"/>
    </row>
    <row r="4642" spans="1:1" x14ac:dyDescent="0.55000000000000004">
      <c r="A4642" s="17"/>
    </row>
    <row r="4643" spans="1:1" x14ac:dyDescent="0.55000000000000004">
      <c r="A4643" s="17"/>
    </row>
    <row r="4644" spans="1:1" x14ac:dyDescent="0.55000000000000004">
      <c r="A4644" s="17"/>
    </row>
    <row r="4645" spans="1:1" x14ac:dyDescent="0.55000000000000004">
      <c r="A4645" s="17"/>
    </row>
    <row r="4646" spans="1:1" x14ac:dyDescent="0.55000000000000004">
      <c r="A4646" s="17"/>
    </row>
    <row r="4647" spans="1:1" x14ac:dyDescent="0.55000000000000004">
      <c r="A4647" s="17"/>
    </row>
    <row r="4648" spans="1:1" x14ac:dyDescent="0.55000000000000004">
      <c r="A4648" s="17"/>
    </row>
    <row r="4649" spans="1:1" x14ac:dyDescent="0.55000000000000004">
      <c r="A4649" s="17"/>
    </row>
    <row r="4650" spans="1:1" x14ac:dyDescent="0.55000000000000004">
      <c r="A4650" s="17"/>
    </row>
    <row r="4651" spans="1:1" x14ac:dyDescent="0.55000000000000004">
      <c r="A4651" s="17"/>
    </row>
    <row r="4652" spans="1:1" x14ac:dyDescent="0.55000000000000004">
      <c r="A4652" s="17"/>
    </row>
    <row r="4653" spans="1:1" x14ac:dyDescent="0.55000000000000004">
      <c r="A4653" s="17"/>
    </row>
    <row r="4654" spans="1:1" x14ac:dyDescent="0.55000000000000004">
      <c r="A4654" s="17"/>
    </row>
    <row r="4655" spans="1:1" x14ac:dyDescent="0.55000000000000004">
      <c r="A4655" s="17"/>
    </row>
    <row r="4656" spans="1:1" x14ac:dyDescent="0.55000000000000004">
      <c r="A4656" s="17"/>
    </row>
    <row r="4657" spans="1:1" x14ac:dyDescent="0.55000000000000004">
      <c r="A4657" s="17"/>
    </row>
    <row r="4658" spans="1:1" x14ac:dyDescent="0.55000000000000004">
      <c r="A4658" s="17"/>
    </row>
    <row r="4659" spans="1:1" x14ac:dyDescent="0.55000000000000004">
      <c r="A4659" s="17"/>
    </row>
    <row r="4660" spans="1:1" x14ac:dyDescent="0.55000000000000004">
      <c r="A4660" s="17"/>
    </row>
    <row r="4661" spans="1:1" x14ac:dyDescent="0.55000000000000004">
      <c r="A4661" s="17"/>
    </row>
    <row r="4662" spans="1:1" x14ac:dyDescent="0.55000000000000004">
      <c r="A4662" s="17"/>
    </row>
    <row r="4663" spans="1:1" x14ac:dyDescent="0.55000000000000004">
      <c r="A4663" s="17"/>
    </row>
    <row r="4664" spans="1:1" x14ac:dyDescent="0.55000000000000004">
      <c r="A4664" s="17"/>
    </row>
    <row r="4665" spans="1:1" x14ac:dyDescent="0.55000000000000004">
      <c r="A4665" s="17"/>
    </row>
    <row r="4666" spans="1:1" x14ac:dyDescent="0.55000000000000004">
      <c r="A4666" s="17"/>
    </row>
    <row r="4667" spans="1:1" x14ac:dyDescent="0.55000000000000004">
      <c r="A4667" s="17"/>
    </row>
    <row r="4668" spans="1:1" x14ac:dyDescent="0.55000000000000004">
      <c r="A4668" s="17"/>
    </row>
    <row r="4669" spans="1:1" x14ac:dyDescent="0.55000000000000004">
      <c r="A4669" s="17"/>
    </row>
    <row r="4670" spans="1:1" x14ac:dyDescent="0.55000000000000004">
      <c r="A4670" s="17"/>
    </row>
    <row r="4671" spans="1:1" x14ac:dyDescent="0.55000000000000004">
      <c r="A4671" s="17"/>
    </row>
    <row r="4672" spans="1:1" x14ac:dyDescent="0.55000000000000004">
      <c r="A4672" s="17"/>
    </row>
    <row r="4673" spans="1:1" x14ac:dyDescent="0.55000000000000004">
      <c r="A4673" s="17"/>
    </row>
    <row r="4674" spans="1:1" x14ac:dyDescent="0.55000000000000004">
      <c r="A4674" s="17"/>
    </row>
    <row r="4675" spans="1:1" x14ac:dyDescent="0.55000000000000004">
      <c r="A4675" s="17"/>
    </row>
    <row r="4676" spans="1:1" x14ac:dyDescent="0.55000000000000004">
      <c r="A4676" s="17"/>
    </row>
    <row r="4677" spans="1:1" x14ac:dyDescent="0.55000000000000004">
      <c r="A4677" s="17"/>
    </row>
    <row r="4678" spans="1:1" x14ac:dyDescent="0.55000000000000004">
      <c r="A4678" s="17"/>
    </row>
    <row r="4679" spans="1:1" x14ac:dyDescent="0.55000000000000004">
      <c r="A4679" s="17"/>
    </row>
    <row r="4680" spans="1:1" x14ac:dyDescent="0.55000000000000004">
      <c r="A4680" s="17"/>
    </row>
    <row r="4681" spans="1:1" x14ac:dyDescent="0.55000000000000004">
      <c r="A4681" s="17"/>
    </row>
    <row r="4682" spans="1:1" x14ac:dyDescent="0.55000000000000004">
      <c r="A4682" s="17"/>
    </row>
    <row r="4683" spans="1:1" x14ac:dyDescent="0.55000000000000004">
      <c r="A4683" s="17"/>
    </row>
    <row r="4684" spans="1:1" x14ac:dyDescent="0.55000000000000004">
      <c r="A4684" s="17"/>
    </row>
    <row r="4685" spans="1:1" x14ac:dyDescent="0.55000000000000004">
      <c r="A4685" s="17"/>
    </row>
    <row r="4686" spans="1:1" x14ac:dyDescent="0.55000000000000004">
      <c r="A4686" s="17"/>
    </row>
    <row r="4687" spans="1:1" x14ac:dyDescent="0.55000000000000004">
      <c r="A4687" s="17"/>
    </row>
    <row r="4688" spans="1:1" x14ac:dyDescent="0.55000000000000004">
      <c r="A4688" s="17"/>
    </row>
    <row r="4689" spans="1:1" x14ac:dyDescent="0.55000000000000004">
      <c r="A4689" s="17"/>
    </row>
    <row r="4690" spans="1:1" x14ac:dyDescent="0.55000000000000004">
      <c r="A4690" s="17"/>
    </row>
    <row r="4691" spans="1:1" x14ac:dyDescent="0.55000000000000004">
      <c r="A4691" s="17"/>
    </row>
    <row r="4692" spans="1:1" x14ac:dyDescent="0.55000000000000004">
      <c r="A4692" s="17"/>
    </row>
    <row r="4693" spans="1:1" x14ac:dyDescent="0.55000000000000004">
      <c r="A4693" s="17"/>
    </row>
    <row r="4694" spans="1:1" x14ac:dyDescent="0.55000000000000004">
      <c r="A4694" s="17"/>
    </row>
    <row r="4695" spans="1:1" x14ac:dyDescent="0.55000000000000004">
      <c r="A4695" s="17"/>
    </row>
    <row r="4696" spans="1:1" x14ac:dyDescent="0.55000000000000004">
      <c r="A4696" s="17"/>
    </row>
    <row r="4697" spans="1:1" x14ac:dyDescent="0.55000000000000004">
      <c r="A4697" s="17"/>
    </row>
    <row r="4698" spans="1:1" x14ac:dyDescent="0.55000000000000004">
      <c r="A4698" s="17"/>
    </row>
    <row r="4699" spans="1:1" x14ac:dyDescent="0.55000000000000004">
      <c r="A4699" s="17"/>
    </row>
    <row r="4700" spans="1:1" x14ac:dyDescent="0.55000000000000004">
      <c r="A4700" s="17"/>
    </row>
    <row r="4701" spans="1:1" x14ac:dyDescent="0.55000000000000004">
      <c r="A4701" s="17"/>
    </row>
    <row r="4702" spans="1:1" x14ac:dyDescent="0.55000000000000004">
      <c r="A4702" s="17"/>
    </row>
    <row r="4703" spans="1:1" x14ac:dyDescent="0.55000000000000004">
      <c r="A4703" s="17"/>
    </row>
    <row r="4704" spans="1:1" x14ac:dyDescent="0.55000000000000004">
      <c r="A4704" s="17"/>
    </row>
    <row r="4705" spans="1:1" x14ac:dyDescent="0.55000000000000004">
      <c r="A4705" s="17"/>
    </row>
    <row r="4706" spans="1:1" x14ac:dyDescent="0.55000000000000004">
      <c r="A4706" s="17"/>
    </row>
    <row r="4707" spans="1:1" x14ac:dyDescent="0.55000000000000004">
      <c r="A4707" s="17"/>
    </row>
    <row r="4708" spans="1:1" x14ac:dyDescent="0.55000000000000004">
      <c r="A4708" s="17"/>
    </row>
    <row r="4709" spans="1:1" x14ac:dyDescent="0.55000000000000004">
      <c r="A4709" s="17"/>
    </row>
    <row r="4710" spans="1:1" x14ac:dyDescent="0.55000000000000004">
      <c r="A4710" s="17"/>
    </row>
    <row r="4711" spans="1:1" x14ac:dyDescent="0.55000000000000004">
      <c r="A4711" s="17"/>
    </row>
    <row r="4712" spans="1:1" x14ac:dyDescent="0.55000000000000004">
      <c r="A4712" s="17"/>
    </row>
    <row r="4713" spans="1:1" x14ac:dyDescent="0.55000000000000004">
      <c r="A4713" s="17"/>
    </row>
    <row r="4714" spans="1:1" x14ac:dyDescent="0.55000000000000004">
      <c r="A4714" s="17"/>
    </row>
    <row r="4715" spans="1:1" x14ac:dyDescent="0.55000000000000004">
      <c r="A4715" s="17"/>
    </row>
    <row r="4716" spans="1:1" x14ac:dyDescent="0.55000000000000004">
      <c r="A4716" s="17"/>
    </row>
    <row r="4717" spans="1:1" x14ac:dyDescent="0.55000000000000004">
      <c r="A4717" s="17"/>
    </row>
    <row r="4718" spans="1:1" x14ac:dyDescent="0.55000000000000004">
      <c r="A4718" s="17"/>
    </row>
    <row r="4719" spans="1:1" x14ac:dyDescent="0.55000000000000004">
      <c r="A4719" s="17"/>
    </row>
    <row r="4720" spans="1:1" x14ac:dyDescent="0.55000000000000004">
      <c r="A4720" s="17"/>
    </row>
    <row r="4721" spans="1:1" x14ac:dyDescent="0.55000000000000004">
      <c r="A4721" s="17"/>
    </row>
    <row r="4722" spans="1:1" x14ac:dyDescent="0.55000000000000004">
      <c r="A4722" s="17"/>
    </row>
    <row r="4723" spans="1:1" x14ac:dyDescent="0.55000000000000004">
      <c r="A4723" s="17"/>
    </row>
    <row r="4724" spans="1:1" x14ac:dyDescent="0.55000000000000004">
      <c r="A4724" s="17"/>
    </row>
    <row r="4725" spans="1:1" x14ac:dyDescent="0.55000000000000004">
      <c r="A4725" s="17"/>
    </row>
    <row r="4726" spans="1:1" x14ac:dyDescent="0.55000000000000004">
      <c r="A4726" s="17"/>
    </row>
    <row r="4727" spans="1:1" x14ac:dyDescent="0.55000000000000004">
      <c r="A4727" s="17"/>
    </row>
    <row r="4728" spans="1:1" x14ac:dyDescent="0.55000000000000004">
      <c r="A4728" s="17"/>
    </row>
    <row r="4729" spans="1:1" x14ac:dyDescent="0.55000000000000004">
      <c r="A4729" s="17"/>
    </row>
    <row r="4730" spans="1:1" x14ac:dyDescent="0.55000000000000004">
      <c r="A4730" s="17"/>
    </row>
    <row r="4731" spans="1:1" x14ac:dyDescent="0.55000000000000004">
      <c r="A4731" s="17"/>
    </row>
    <row r="4732" spans="1:1" x14ac:dyDescent="0.55000000000000004">
      <c r="A4732" s="17"/>
    </row>
    <row r="4733" spans="1:1" x14ac:dyDescent="0.55000000000000004">
      <c r="A4733" s="17"/>
    </row>
    <row r="4734" spans="1:1" x14ac:dyDescent="0.55000000000000004">
      <c r="A4734" s="17"/>
    </row>
    <row r="4735" spans="1:1" x14ac:dyDescent="0.55000000000000004">
      <c r="A4735" s="17"/>
    </row>
    <row r="4736" spans="1:1" x14ac:dyDescent="0.55000000000000004">
      <c r="A4736" s="17"/>
    </row>
    <row r="4737" spans="1:1" x14ac:dyDescent="0.55000000000000004">
      <c r="A4737" s="17"/>
    </row>
    <row r="4738" spans="1:1" x14ac:dyDescent="0.55000000000000004">
      <c r="A4738" s="17"/>
    </row>
    <row r="4739" spans="1:1" x14ac:dyDescent="0.55000000000000004">
      <c r="A4739" s="17"/>
    </row>
    <row r="4740" spans="1:1" x14ac:dyDescent="0.55000000000000004">
      <c r="A4740" s="17"/>
    </row>
    <row r="4741" spans="1:1" x14ac:dyDescent="0.55000000000000004">
      <c r="A4741" s="17"/>
    </row>
    <row r="4742" spans="1:1" x14ac:dyDescent="0.55000000000000004">
      <c r="A4742" s="17"/>
    </row>
    <row r="4743" spans="1:1" x14ac:dyDescent="0.55000000000000004">
      <c r="A4743" s="17"/>
    </row>
    <row r="4744" spans="1:1" x14ac:dyDescent="0.55000000000000004">
      <c r="A4744" s="17"/>
    </row>
    <row r="4745" spans="1:1" x14ac:dyDescent="0.55000000000000004">
      <c r="A4745" s="17"/>
    </row>
    <row r="4746" spans="1:1" x14ac:dyDescent="0.55000000000000004">
      <c r="A4746" s="17"/>
    </row>
    <row r="4747" spans="1:1" x14ac:dyDescent="0.55000000000000004">
      <c r="A4747" s="17"/>
    </row>
    <row r="4748" spans="1:1" x14ac:dyDescent="0.55000000000000004">
      <c r="A4748" s="17"/>
    </row>
    <row r="4749" spans="1:1" x14ac:dyDescent="0.55000000000000004">
      <c r="A4749" s="17"/>
    </row>
    <row r="4750" spans="1:1" x14ac:dyDescent="0.55000000000000004">
      <c r="A4750" s="17"/>
    </row>
    <row r="4751" spans="1:1" x14ac:dyDescent="0.55000000000000004">
      <c r="A4751" s="17"/>
    </row>
    <row r="4752" spans="1:1" x14ac:dyDescent="0.55000000000000004">
      <c r="A4752" s="17"/>
    </row>
    <row r="4753" spans="1:1" x14ac:dyDescent="0.55000000000000004">
      <c r="A4753" s="17"/>
    </row>
    <row r="4754" spans="1:1" x14ac:dyDescent="0.55000000000000004">
      <c r="A4754" s="17"/>
    </row>
    <row r="4755" spans="1:1" x14ac:dyDescent="0.55000000000000004">
      <c r="A4755" s="17"/>
    </row>
    <row r="4756" spans="1:1" x14ac:dyDescent="0.55000000000000004">
      <c r="A4756" s="17"/>
    </row>
    <row r="4757" spans="1:1" x14ac:dyDescent="0.55000000000000004">
      <c r="A4757" s="17"/>
    </row>
    <row r="4758" spans="1:1" x14ac:dyDescent="0.55000000000000004">
      <c r="A4758" s="17"/>
    </row>
    <row r="4759" spans="1:1" x14ac:dyDescent="0.55000000000000004">
      <c r="A4759" s="17"/>
    </row>
    <row r="4760" spans="1:1" x14ac:dyDescent="0.55000000000000004">
      <c r="A4760" s="17"/>
    </row>
    <row r="4761" spans="1:1" x14ac:dyDescent="0.55000000000000004">
      <c r="A4761" s="17"/>
    </row>
    <row r="4762" spans="1:1" x14ac:dyDescent="0.55000000000000004">
      <c r="A4762" s="17"/>
    </row>
    <row r="4763" spans="1:1" x14ac:dyDescent="0.55000000000000004">
      <c r="A4763" s="17"/>
    </row>
    <row r="4764" spans="1:1" x14ac:dyDescent="0.55000000000000004">
      <c r="A4764" s="17"/>
    </row>
    <row r="4765" spans="1:1" x14ac:dyDescent="0.55000000000000004">
      <c r="A4765" s="17"/>
    </row>
    <row r="4766" spans="1:1" x14ac:dyDescent="0.55000000000000004">
      <c r="A4766" s="17"/>
    </row>
    <row r="4767" spans="1:1" x14ac:dyDescent="0.55000000000000004">
      <c r="A4767" s="17"/>
    </row>
    <row r="4768" spans="1:1" x14ac:dyDescent="0.55000000000000004">
      <c r="A4768" s="17"/>
    </row>
    <row r="4769" spans="1:1" x14ac:dyDescent="0.55000000000000004">
      <c r="A4769" s="17"/>
    </row>
    <row r="4770" spans="1:1" x14ac:dyDescent="0.55000000000000004">
      <c r="A4770" s="17"/>
    </row>
    <row r="4771" spans="1:1" x14ac:dyDescent="0.55000000000000004">
      <c r="A4771" s="17"/>
    </row>
    <row r="4772" spans="1:1" x14ac:dyDescent="0.55000000000000004">
      <c r="A4772" s="17"/>
    </row>
    <row r="4773" spans="1:1" x14ac:dyDescent="0.55000000000000004">
      <c r="A4773" s="17"/>
    </row>
    <row r="4774" spans="1:1" x14ac:dyDescent="0.55000000000000004">
      <c r="A4774" s="17"/>
    </row>
    <row r="4775" spans="1:1" x14ac:dyDescent="0.55000000000000004">
      <c r="A4775" s="17"/>
    </row>
    <row r="4776" spans="1:1" x14ac:dyDescent="0.55000000000000004">
      <c r="A4776" s="17"/>
    </row>
    <row r="4777" spans="1:1" x14ac:dyDescent="0.55000000000000004">
      <c r="A4777" s="17"/>
    </row>
    <row r="4778" spans="1:1" x14ac:dyDescent="0.55000000000000004">
      <c r="A4778" s="17"/>
    </row>
    <row r="4779" spans="1:1" x14ac:dyDescent="0.55000000000000004">
      <c r="A4779" s="17"/>
    </row>
    <row r="4780" spans="1:1" x14ac:dyDescent="0.55000000000000004">
      <c r="A4780" s="17"/>
    </row>
    <row r="4781" spans="1:1" x14ac:dyDescent="0.55000000000000004">
      <c r="A4781" s="17"/>
    </row>
    <row r="4782" spans="1:1" x14ac:dyDescent="0.55000000000000004">
      <c r="A4782" s="17"/>
    </row>
    <row r="4783" spans="1:1" x14ac:dyDescent="0.55000000000000004">
      <c r="A4783" s="17"/>
    </row>
    <row r="4784" spans="1:1" x14ac:dyDescent="0.55000000000000004">
      <c r="A4784" s="17"/>
    </row>
    <row r="4785" spans="1:1" x14ac:dyDescent="0.55000000000000004">
      <c r="A4785" s="17"/>
    </row>
    <row r="4786" spans="1:1" x14ac:dyDescent="0.55000000000000004">
      <c r="A4786" s="17"/>
    </row>
    <row r="4787" spans="1:1" x14ac:dyDescent="0.55000000000000004">
      <c r="A4787" s="17"/>
    </row>
    <row r="4788" spans="1:1" x14ac:dyDescent="0.55000000000000004">
      <c r="A4788" s="17"/>
    </row>
    <row r="4789" spans="1:1" x14ac:dyDescent="0.55000000000000004">
      <c r="A4789" s="17"/>
    </row>
    <row r="4790" spans="1:1" x14ac:dyDescent="0.55000000000000004">
      <c r="A4790" s="17"/>
    </row>
    <row r="4791" spans="1:1" x14ac:dyDescent="0.55000000000000004">
      <c r="A4791" s="17"/>
    </row>
    <row r="4792" spans="1:1" x14ac:dyDescent="0.55000000000000004">
      <c r="A4792" s="17"/>
    </row>
    <row r="4793" spans="1:1" x14ac:dyDescent="0.55000000000000004">
      <c r="A4793" s="17"/>
    </row>
    <row r="4794" spans="1:1" x14ac:dyDescent="0.55000000000000004">
      <c r="A4794" s="17"/>
    </row>
    <row r="4795" spans="1:1" x14ac:dyDescent="0.55000000000000004">
      <c r="A4795" s="17"/>
    </row>
    <row r="4796" spans="1:1" x14ac:dyDescent="0.55000000000000004">
      <c r="A4796" s="17"/>
    </row>
    <row r="4797" spans="1:1" x14ac:dyDescent="0.55000000000000004">
      <c r="A4797" s="17"/>
    </row>
    <row r="4798" spans="1:1" x14ac:dyDescent="0.55000000000000004">
      <c r="A4798" s="17"/>
    </row>
    <row r="4799" spans="1:1" x14ac:dyDescent="0.55000000000000004">
      <c r="A4799" s="17"/>
    </row>
    <row r="4800" spans="1:1" x14ac:dyDescent="0.55000000000000004">
      <c r="A4800" s="17"/>
    </row>
    <row r="4801" spans="1:1" x14ac:dyDescent="0.55000000000000004">
      <c r="A4801" s="17"/>
    </row>
    <row r="4802" spans="1:1" x14ac:dyDescent="0.55000000000000004">
      <c r="A4802" s="17"/>
    </row>
    <row r="4803" spans="1:1" x14ac:dyDescent="0.55000000000000004">
      <c r="A4803" s="17"/>
    </row>
    <row r="4804" spans="1:1" x14ac:dyDescent="0.55000000000000004">
      <c r="A4804" s="17"/>
    </row>
    <row r="4805" spans="1:1" x14ac:dyDescent="0.55000000000000004">
      <c r="A4805" s="17"/>
    </row>
    <row r="4806" spans="1:1" x14ac:dyDescent="0.55000000000000004">
      <c r="A4806" s="17"/>
    </row>
    <row r="4807" spans="1:1" x14ac:dyDescent="0.55000000000000004">
      <c r="A4807" s="17"/>
    </row>
    <row r="4808" spans="1:1" x14ac:dyDescent="0.55000000000000004">
      <c r="A4808" s="17"/>
    </row>
    <row r="4809" spans="1:1" x14ac:dyDescent="0.55000000000000004">
      <c r="A4809" s="17"/>
    </row>
    <row r="4810" spans="1:1" x14ac:dyDescent="0.55000000000000004">
      <c r="A4810" s="17"/>
    </row>
    <row r="4811" spans="1:1" x14ac:dyDescent="0.55000000000000004">
      <c r="A4811" s="17"/>
    </row>
    <row r="4812" spans="1:1" x14ac:dyDescent="0.55000000000000004">
      <c r="A4812" s="17"/>
    </row>
    <row r="4813" spans="1:1" x14ac:dyDescent="0.55000000000000004">
      <c r="A4813" s="17"/>
    </row>
    <row r="4814" spans="1:1" x14ac:dyDescent="0.55000000000000004">
      <c r="A4814" s="17"/>
    </row>
    <row r="4815" spans="1:1" x14ac:dyDescent="0.55000000000000004">
      <c r="A4815" s="17"/>
    </row>
    <row r="4816" spans="1:1" x14ac:dyDescent="0.55000000000000004">
      <c r="A4816" s="17"/>
    </row>
    <row r="4817" spans="1:1" x14ac:dyDescent="0.55000000000000004">
      <c r="A4817" s="17"/>
    </row>
    <row r="4818" spans="1:1" x14ac:dyDescent="0.55000000000000004">
      <c r="A4818" s="17"/>
    </row>
    <row r="4819" spans="1:1" x14ac:dyDescent="0.55000000000000004">
      <c r="A4819" s="17"/>
    </row>
    <row r="4820" spans="1:1" x14ac:dyDescent="0.55000000000000004">
      <c r="A4820" s="17"/>
    </row>
    <row r="4821" spans="1:1" x14ac:dyDescent="0.55000000000000004">
      <c r="A4821" s="17"/>
    </row>
    <row r="4822" spans="1:1" x14ac:dyDescent="0.55000000000000004">
      <c r="A4822" s="17"/>
    </row>
    <row r="4823" spans="1:1" x14ac:dyDescent="0.55000000000000004">
      <c r="A4823" s="17"/>
    </row>
    <row r="4824" spans="1:1" x14ac:dyDescent="0.55000000000000004">
      <c r="A4824" s="17"/>
    </row>
    <row r="4825" spans="1:1" x14ac:dyDescent="0.55000000000000004">
      <c r="A4825" s="17"/>
    </row>
    <row r="4826" spans="1:1" x14ac:dyDescent="0.55000000000000004">
      <c r="A4826" s="17"/>
    </row>
    <row r="4827" spans="1:1" x14ac:dyDescent="0.55000000000000004">
      <c r="A4827" s="17"/>
    </row>
    <row r="4828" spans="1:1" x14ac:dyDescent="0.55000000000000004">
      <c r="A4828" s="17"/>
    </row>
    <row r="4829" spans="1:1" x14ac:dyDescent="0.55000000000000004">
      <c r="A4829" s="17"/>
    </row>
    <row r="4830" spans="1:1" x14ac:dyDescent="0.55000000000000004">
      <c r="A4830" s="17"/>
    </row>
    <row r="4831" spans="1:1" x14ac:dyDescent="0.55000000000000004">
      <c r="A4831" s="17"/>
    </row>
    <row r="4832" spans="1:1" x14ac:dyDescent="0.55000000000000004">
      <c r="A4832" s="17"/>
    </row>
    <row r="4833" spans="1:1" x14ac:dyDescent="0.55000000000000004">
      <c r="A4833" s="17"/>
    </row>
    <row r="4834" spans="1:1" x14ac:dyDescent="0.55000000000000004">
      <c r="A4834" s="17"/>
    </row>
    <row r="4835" spans="1:1" x14ac:dyDescent="0.55000000000000004">
      <c r="A4835" s="17"/>
    </row>
    <row r="4836" spans="1:1" x14ac:dyDescent="0.55000000000000004">
      <c r="A4836" s="17"/>
    </row>
    <row r="4837" spans="1:1" x14ac:dyDescent="0.55000000000000004">
      <c r="A4837" s="17"/>
    </row>
    <row r="4838" spans="1:1" x14ac:dyDescent="0.55000000000000004">
      <c r="A4838" s="17"/>
    </row>
    <row r="4839" spans="1:1" x14ac:dyDescent="0.55000000000000004">
      <c r="A4839" s="17"/>
    </row>
    <row r="4840" spans="1:1" x14ac:dyDescent="0.55000000000000004">
      <c r="A4840" s="17"/>
    </row>
    <row r="4841" spans="1:1" x14ac:dyDescent="0.55000000000000004">
      <c r="A4841" s="17"/>
    </row>
    <row r="4842" spans="1:1" x14ac:dyDescent="0.55000000000000004">
      <c r="A4842" s="17"/>
    </row>
    <row r="4843" spans="1:1" x14ac:dyDescent="0.55000000000000004">
      <c r="A4843" s="17"/>
    </row>
    <row r="4844" spans="1:1" x14ac:dyDescent="0.55000000000000004">
      <c r="A4844" s="17"/>
    </row>
    <row r="4845" spans="1:1" x14ac:dyDescent="0.55000000000000004">
      <c r="A4845" s="17"/>
    </row>
    <row r="4846" spans="1:1" x14ac:dyDescent="0.55000000000000004">
      <c r="A4846" s="17"/>
    </row>
    <row r="4847" spans="1:1" x14ac:dyDescent="0.55000000000000004">
      <c r="A4847" s="17"/>
    </row>
    <row r="4848" spans="1:1" x14ac:dyDescent="0.55000000000000004">
      <c r="A4848" s="17"/>
    </row>
    <row r="4849" spans="1:1" x14ac:dyDescent="0.55000000000000004">
      <c r="A4849" s="17"/>
    </row>
    <row r="4850" spans="1:1" x14ac:dyDescent="0.55000000000000004">
      <c r="A4850" s="17"/>
    </row>
    <row r="4851" spans="1:1" x14ac:dyDescent="0.55000000000000004">
      <c r="A4851" s="17"/>
    </row>
    <row r="4852" spans="1:1" x14ac:dyDescent="0.55000000000000004">
      <c r="A4852" s="17"/>
    </row>
    <row r="4853" spans="1:1" x14ac:dyDescent="0.55000000000000004">
      <c r="A4853" s="17"/>
    </row>
    <row r="4854" spans="1:1" x14ac:dyDescent="0.55000000000000004">
      <c r="A4854" s="17"/>
    </row>
    <row r="4855" spans="1:1" x14ac:dyDescent="0.55000000000000004">
      <c r="A4855" s="17"/>
    </row>
    <row r="4856" spans="1:1" x14ac:dyDescent="0.55000000000000004">
      <c r="A4856" s="17"/>
    </row>
    <row r="4857" spans="1:1" x14ac:dyDescent="0.55000000000000004">
      <c r="A4857" s="17"/>
    </row>
    <row r="4858" spans="1:1" x14ac:dyDescent="0.55000000000000004">
      <c r="A4858" s="17"/>
    </row>
    <row r="4859" spans="1:1" x14ac:dyDescent="0.55000000000000004">
      <c r="A4859" s="17"/>
    </row>
    <row r="4860" spans="1:1" x14ac:dyDescent="0.55000000000000004">
      <c r="A4860" s="17"/>
    </row>
    <row r="4861" spans="1:1" x14ac:dyDescent="0.55000000000000004">
      <c r="A4861" s="17"/>
    </row>
    <row r="4862" spans="1:1" x14ac:dyDescent="0.55000000000000004">
      <c r="A4862" s="17"/>
    </row>
    <row r="4863" spans="1:1" x14ac:dyDescent="0.55000000000000004">
      <c r="A4863" s="17"/>
    </row>
    <row r="4864" spans="1:1" x14ac:dyDescent="0.55000000000000004">
      <c r="A4864" s="17"/>
    </row>
    <row r="4865" spans="1:1" x14ac:dyDescent="0.55000000000000004">
      <c r="A4865" s="17"/>
    </row>
    <row r="4866" spans="1:1" x14ac:dyDescent="0.55000000000000004">
      <c r="A4866" s="17"/>
    </row>
    <row r="4867" spans="1:1" x14ac:dyDescent="0.55000000000000004">
      <c r="A4867" s="17"/>
    </row>
    <row r="4868" spans="1:1" x14ac:dyDescent="0.55000000000000004">
      <c r="A4868" s="17"/>
    </row>
    <row r="4869" spans="1:1" x14ac:dyDescent="0.55000000000000004">
      <c r="A4869" s="17"/>
    </row>
    <row r="4870" spans="1:1" x14ac:dyDescent="0.55000000000000004">
      <c r="A4870" s="17"/>
    </row>
    <row r="4871" spans="1:1" x14ac:dyDescent="0.55000000000000004">
      <c r="A4871" s="17"/>
    </row>
    <row r="4872" spans="1:1" x14ac:dyDescent="0.55000000000000004">
      <c r="A4872" s="17"/>
    </row>
    <row r="4873" spans="1:1" x14ac:dyDescent="0.55000000000000004">
      <c r="A4873" s="17"/>
    </row>
    <row r="4874" spans="1:1" x14ac:dyDescent="0.55000000000000004">
      <c r="A4874" s="17"/>
    </row>
    <row r="4875" spans="1:1" x14ac:dyDescent="0.55000000000000004">
      <c r="A4875" s="17"/>
    </row>
    <row r="4876" spans="1:1" x14ac:dyDescent="0.55000000000000004">
      <c r="A4876" s="17"/>
    </row>
    <row r="4877" spans="1:1" x14ac:dyDescent="0.55000000000000004">
      <c r="A4877" s="17"/>
    </row>
    <row r="4878" spans="1:1" x14ac:dyDescent="0.55000000000000004">
      <c r="A4878" s="17"/>
    </row>
    <row r="4879" spans="1:1" x14ac:dyDescent="0.55000000000000004">
      <c r="A4879" s="17"/>
    </row>
    <row r="4880" spans="1:1" x14ac:dyDescent="0.55000000000000004">
      <c r="A4880" s="17"/>
    </row>
    <row r="4881" spans="1:1" x14ac:dyDescent="0.55000000000000004">
      <c r="A4881" s="17"/>
    </row>
    <row r="4882" spans="1:1" x14ac:dyDescent="0.55000000000000004">
      <c r="A4882" s="17"/>
    </row>
    <row r="4883" spans="1:1" x14ac:dyDescent="0.55000000000000004">
      <c r="A4883" s="17"/>
    </row>
    <row r="4884" spans="1:1" x14ac:dyDescent="0.55000000000000004">
      <c r="A4884" s="17"/>
    </row>
    <row r="4885" spans="1:1" x14ac:dyDescent="0.55000000000000004">
      <c r="A4885" s="17"/>
    </row>
    <row r="4886" spans="1:1" x14ac:dyDescent="0.55000000000000004">
      <c r="A4886" s="17"/>
    </row>
    <row r="4887" spans="1:1" x14ac:dyDescent="0.55000000000000004">
      <c r="A4887" s="17"/>
    </row>
    <row r="4888" spans="1:1" x14ac:dyDescent="0.55000000000000004">
      <c r="A4888" s="17"/>
    </row>
    <row r="4889" spans="1:1" x14ac:dyDescent="0.55000000000000004">
      <c r="A4889" s="17"/>
    </row>
    <row r="4890" spans="1:1" x14ac:dyDescent="0.55000000000000004">
      <c r="A4890" s="17"/>
    </row>
    <row r="4891" spans="1:1" x14ac:dyDescent="0.55000000000000004">
      <c r="A4891" s="17"/>
    </row>
    <row r="4892" spans="1:1" x14ac:dyDescent="0.55000000000000004">
      <c r="A4892" s="17"/>
    </row>
    <row r="4893" spans="1:1" x14ac:dyDescent="0.55000000000000004">
      <c r="A4893" s="17"/>
    </row>
    <row r="4894" spans="1:1" x14ac:dyDescent="0.55000000000000004">
      <c r="A4894" s="17"/>
    </row>
    <row r="4895" spans="1:1" x14ac:dyDescent="0.55000000000000004">
      <c r="A4895" s="17"/>
    </row>
    <row r="4896" spans="1:1" x14ac:dyDescent="0.55000000000000004">
      <c r="A4896" s="17"/>
    </row>
    <row r="4897" spans="1:1" x14ac:dyDescent="0.55000000000000004">
      <c r="A4897" s="17"/>
    </row>
    <row r="4898" spans="1:1" x14ac:dyDescent="0.55000000000000004">
      <c r="A4898" s="17"/>
    </row>
    <row r="4899" spans="1:1" x14ac:dyDescent="0.55000000000000004">
      <c r="A4899" s="17"/>
    </row>
    <row r="4900" spans="1:1" x14ac:dyDescent="0.55000000000000004">
      <c r="A4900" s="17"/>
    </row>
    <row r="4901" spans="1:1" x14ac:dyDescent="0.55000000000000004">
      <c r="A4901" s="17"/>
    </row>
    <row r="4902" spans="1:1" x14ac:dyDescent="0.55000000000000004">
      <c r="A4902" s="17"/>
    </row>
    <row r="4903" spans="1:1" x14ac:dyDescent="0.55000000000000004">
      <c r="A4903" s="17"/>
    </row>
    <row r="4904" spans="1:1" x14ac:dyDescent="0.55000000000000004">
      <c r="A4904" s="17"/>
    </row>
    <row r="4905" spans="1:1" x14ac:dyDescent="0.55000000000000004">
      <c r="A4905" s="17"/>
    </row>
    <row r="4906" spans="1:1" x14ac:dyDescent="0.55000000000000004">
      <c r="A4906" s="17"/>
    </row>
    <row r="4907" spans="1:1" x14ac:dyDescent="0.55000000000000004">
      <c r="A4907" s="17"/>
    </row>
    <row r="4908" spans="1:1" x14ac:dyDescent="0.55000000000000004">
      <c r="A4908" s="17"/>
    </row>
    <row r="4909" spans="1:1" x14ac:dyDescent="0.55000000000000004">
      <c r="A4909" s="17"/>
    </row>
    <row r="4910" spans="1:1" x14ac:dyDescent="0.55000000000000004">
      <c r="A4910" s="17"/>
    </row>
    <row r="4911" spans="1:1" x14ac:dyDescent="0.55000000000000004">
      <c r="A4911" s="17"/>
    </row>
    <row r="4912" spans="1:1" x14ac:dyDescent="0.55000000000000004">
      <c r="A4912" s="17"/>
    </row>
    <row r="4913" spans="1:1" x14ac:dyDescent="0.55000000000000004">
      <c r="A4913" s="17"/>
    </row>
    <row r="4914" spans="1:1" x14ac:dyDescent="0.55000000000000004">
      <c r="A4914" s="17"/>
    </row>
    <row r="4915" spans="1:1" x14ac:dyDescent="0.55000000000000004">
      <c r="A4915" s="17"/>
    </row>
    <row r="4916" spans="1:1" x14ac:dyDescent="0.55000000000000004">
      <c r="A4916" s="17"/>
    </row>
    <row r="4917" spans="1:1" x14ac:dyDescent="0.55000000000000004">
      <c r="A4917" s="17"/>
    </row>
    <row r="4918" spans="1:1" x14ac:dyDescent="0.55000000000000004">
      <c r="A4918" s="17"/>
    </row>
    <row r="4919" spans="1:1" x14ac:dyDescent="0.55000000000000004">
      <c r="A4919" s="17"/>
    </row>
    <row r="4920" spans="1:1" x14ac:dyDescent="0.55000000000000004">
      <c r="A4920" s="17"/>
    </row>
    <row r="4921" spans="1:1" x14ac:dyDescent="0.55000000000000004">
      <c r="A4921" s="17"/>
    </row>
    <row r="4922" spans="1:1" x14ac:dyDescent="0.55000000000000004">
      <c r="A4922" s="17"/>
    </row>
    <row r="4923" spans="1:1" x14ac:dyDescent="0.55000000000000004">
      <c r="A4923" s="17"/>
    </row>
    <row r="4924" spans="1:1" x14ac:dyDescent="0.55000000000000004">
      <c r="A4924" s="17"/>
    </row>
    <row r="4925" spans="1:1" x14ac:dyDescent="0.55000000000000004">
      <c r="A4925" s="17"/>
    </row>
    <row r="4926" spans="1:1" x14ac:dyDescent="0.55000000000000004">
      <c r="A4926" s="17"/>
    </row>
    <row r="4927" spans="1:1" x14ac:dyDescent="0.55000000000000004">
      <c r="A4927" s="17"/>
    </row>
    <row r="4928" spans="1:1" x14ac:dyDescent="0.55000000000000004">
      <c r="A4928" s="17"/>
    </row>
    <row r="4929" spans="1:1" x14ac:dyDescent="0.55000000000000004">
      <c r="A4929" s="17"/>
    </row>
    <row r="4930" spans="1:1" x14ac:dyDescent="0.55000000000000004">
      <c r="A4930" s="17"/>
    </row>
    <row r="4931" spans="1:1" x14ac:dyDescent="0.55000000000000004">
      <c r="A4931" s="17"/>
    </row>
    <row r="4932" spans="1:1" x14ac:dyDescent="0.55000000000000004">
      <c r="A4932" s="17"/>
    </row>
    <row r="4933" spans="1:1" x14ac:dyDescent="0.55000000000000004">
      <c r="A4933" s="17"/>
    </row>
    <row r="4934" spans="1:1" x14ac:dyDescent="0.55000000000000004">
      <c r="A4934" s="17"/>
    </row>
    <row r="4935" spans="1:1" x14ac:dyDescent="0.55000000000000004">
      <c r="A4935" s="17"/>
    </row>
    <row r="4936" spans="1:1" x14ac:dyDescent="0.55000000000000004">
      <c r="A4936" s="17"/>
    </row>
    <row r="4937" spans="1:1" x14ac:dyDescent="0.55000000000000004">
      <c r="A4937" s="17"/>
    </row>
    <row r="4938" spans="1:1" x14ac:dyDescent="0.55000000000000004">
      <c r="A4938" s="17"/>
    </row>
    <row r="4939" spans="1:1" x14ac:dyDescent="0.55000000000000004">
      <c r="A4939" s="17"/>
    </row>
    <row r="4940" spans="1:1" x14ac:dyDescent="0.55000000000000004">
      <c r="A4940" s="17"/>
    </row>
    <row r="4941" spans="1:1" x14ac:dyDescent="0.55000000000000004">
      <c r="A4941" s="17"/>
    </row>
    <row r="4942" spans="1:1" x14ac:dyDescent="0.55000000000000004">
      <c r="A4942" s="17"/>
    </row>
    <row r="4943" spans="1:1" x14ac:dyDescent="0.55000000000000004">
      <c r="A4943" s="17"/>
    </row>
    <row r="4944" spans="1:1" x14ac:dyDescent="0.55000000000000004">
      <c r="A4944" s="17"/>
    </row>
    <row r="4945" spans="1:1" x14ac:dyDescent="0.55000000000000004">
      <c r="A4945" s="17"/>
    </row>
    <row r="4946" spans="1:1" x14ac:dyDescent="0.55000000000000004">
      <c r="A4946" s="17"/>
    </row>
    <row r="4947" spans="1:1" x14ac:dyDescent="0.55000000000000004">
      <c r="A4947" s="17"/>
    </row>
    <row r="4948" spans="1:1" x14ac:dyDescent="0.55000000000000004">
      <c r="A4948" s="17"/>
    </row>
    <row r="4949" spans="1:1" x14ac:dyDescent="0.55000000000000004">
      <c r="A4949" s="17"/>
    </row>
    <row r="4950" spans="1:1" x14ac:dyDescent="0.55000000000000004">
      <c r="A4950" s="17"/>
    </row>
    <row r="4951" spans="1:1" x14ac:dyDescent="0.55000000000000004">
      <c r="A4951" s="17"/>
    </row>
    <row r="4952" spans="1:1" x14ac:dyDescent="0.55000000000000004">
      <c r="A4952" s="17"/>
    </row>
    <row r="4953" spans="1:1" x14ac:dyDescent="0.55000000000000004">
      <c r="A4953" s="17"/>
    </row>
    <row r="4954" spans="1:1" x14ac:dyDescent="0.55000000000000004">
      <c r="A4954" s="17"/>
    </row>
    <row r="4955" spans="1:1" x14ac:dyDescent="0.55000000000000004">
      <c r="A4955" s="17"/>
    </row>
    <row r="4956" spans="1:1" x14ac:dyDescent="0.55000000000000004">
      <c r="A4956" s="17"/>
    </row>
    <row r="4957" spans="1:1" x14ac:dyDescent="0.55000000000000004">
      <c r="A4957" s="17"/>
    </row>
    <row r="4958" spans="1:1" x14ac:dyDescent="0.55000000000000004">
      <c r="A4958" s="17"/>
    </row>
    <row r="4959" spans="1:1" x14ac:dyDescent="0.55000000000000004">
      <c r="A4959" s="17"/>
    </row>
    <row r="4960" spans="1:1" x14ac:dyDescent="0.55000000000000004">
      <c r="A4960" s="17"/>
    </row>
    <row r="4961" spans="1:1" x14ac:dyDescent="0.55000000000000004">
      <c r="A4961" s="17"/>
    </row>
    <row r="4962" spans="1:1" x14ac:dyDescent="0.55000000000000004">
      <c r="A4962" s="17"/>
    </row>
    <row r="4963" spans="1:1" x14ac:dyDescent="0.55000000000000004">
      <c r="A4963" s="17"/>
    </row>
    <row r="4964" spans="1:1" x14ac:dyDescent="0.55000000000000004">
      <c r="A4964" s="17"/>
    </row>
    <row r="4965" spans="1:1" x14ac:dyDescent="0.55000000000000004">
      <c r="A4965" s="17"/>
    </row>
    <row r="4966" spans="1:1" x14ac:dyDescent="0.55000000000000004">
      <c r="A4966" s="17"/>
    </row>
    <row r="4967" spans="1:1" x14ac:dyDescent="0.55000000000000004">
      <c r="A4967" s="17"/>
    </row>
    <row r="4968" spans="1:1" x14ac:dyDescent="0.55000000000000004">
      <c r="A4968" s="17"/>
    </row>
    <row r="4969" spans="1:1" x14ac:dyDescent="0.55000000000000004">
      <c r="A4969" s="17"/>
    </row>
    <row r="4970" spans="1:1" x14ac:dyDescent="0.55000000000000004">
      <c r="A4970" s="17"/>
    </row>
    <row r="4971" spans="1:1" x14ac:dyDescent="0.55000000000000004">
      <c r="A4971" s="17"/>
    </row>
    <row r="4972" spans="1:1" x14ac:dyDescent="0.55000000000000004">
      <c r="A4972" s="17"/>
    </row>
    <row r="4973" spans="1:1" x14ac:dyDescent="0.55000000000000004">
      <c r="A4973" s="17"/>
    </row>
    <row r="4974" spans="1:1" x14ac:dyDescent="0.55000000000000004">
      <c r="A4974" s="17"/>
    </row>
    <row r="4975" spans="1:1" x14ac:dyDescent="0.55000000000000004">
      <c r="A4975" s="17"/>
    </row>
    <row r="4976" spans="1:1" x14ac:dyDescent="0.55000000000000004">
      <c r="A4976" s="17"/>
    </row>
    <row r="4977" spans="1:1" x14ac:dyDescent="0.55000000000000004">
      <c r="A4977" s="17"/>
    </row>
    <row r="4978" spans="1:1" x14ac:dyDescent="0.55000000000000004">
      <c r="A4978" s="17"/>
    </row>
    <row r="4979" spans="1:1" x14ac:dyDescent="0.55000000000000004">
      <c r="A4979" s="17"/>
    </row>
    <row r="4980" spans="1:1" x14ac:dyDescent="0.55000000000000004">
      <c r="A4980" s="17"/>
    </row>
    <row r="4981" spans="1:1" x14ac:dyDescent="0.55000000000000004">
      <c r="A4981" s="17"/>
    </row>
    <row r="4982" spans="1:1" x14ac:dyDescent="0.55000000000000004">
      <c r="A4982" s="17"/>
    </row>
    <row r="4983" spans="1:1" x14ac:dyDescent="0.55000000000000004">
      <c r="A4983" s="17"/>
    </row>
    <row r="4984" spans="1:1" x14ac:dyDescent="0.55000000000000004">
      <c r="A4984" s="17"/>
    </row>
    <row r="4985" spans="1:1" x14ac:dyDescent="0.55000000000000004">
      <c r="A4985" s="17"/>
    </row>
    <row r="4986" spans="1:1" x14ac:dyDescent="0.55000000000000004">
      <c r="A4986" s="17"/>
    </row>
    <row r="4987" spans="1:1" x14ac:dyDescent="0.55000000000000004">
      <c r="A4987" s="17"/>
    </row>
    <row r="4988" spans="1:1" x14ac:dyDescent="0.55000000000000004">
      <c r="A4988" s="17"/>
    </row>
    <row r="4989" spans="1:1" x14ac:dyDescent="0.55000000000000004">
      <c r="A4989" s="17"/>
    </row>
    <row r="4990" spans="1:1" x14ac:dyDescent="0.55000000000000004">
      <c r="A4990" s="17"/>
    </row>
    <row r="4991" spans="1:1" x14ac:dyDescent="0.55000000000000004">
      <c r="A4991" s="17"/>
    </row>
    <row r="4992" spans="1:1" x14ac:dyDescent="0.55000000000000004">
      <c r="A4992" s="17"/>
    </row>
    <row r="4993" spans="1:1" x14ac:dyDescent="0.55000000000000004">
      <c r="A4993" s="17"/>
    </row>
    <row r="4994" spans="1:1" x14ac:dyDescent="0.55000000000000004">
      <c r="A4994" s="17"/>
    </row>
    <row r="4995" spans="1:1" x14ac:dyDescent="0.55000000000000004">
      <c r="A4995" s="17"/>
    </row>
    <row r="4996" spans="1:1" x14ac:dyDescent="0.55000000000000004">
      <c r="A4996" s="17"/>
    </row>
    <row r="4997" spans="1:1" x14ac:dyDescent="0.55000000000000004">
      <c r="A4997" s="17"/>
    </row>
    <row r="4998" spans="1:1" x14ac:dyDescent="0.55000000000000004">
      <c r="A4998" s="17"/>
    </row>
    <row r="4999" spans="1:1" x14ac:dyDescent="0.55000000000000004">
      <c r="A4999" s="17"/>
    </row>
    <row r="5000" spans="1:1" x14ac:dyDescent="0.55000000000000004">
      <c r="A5000" s="17"/>
    </row>
    <row r="5001" spans="1:1" x14ac:dyDescent="0.55000000000000004">
      <c r="A5001" s="17"/>
    </row>
    <row r="5002" spans="1:1" x14ac:dyDescent="0.55000000000000004">
      <c r="A5002" s="17"/>
    </row>
    <row r="5003" spans="1:1" x14ac:dyDescent="0.55000000000000004">
      <c r="A5003" s="17"/>
    </row>
    <row r="5004" spans="1:1" x14ac:dyDescent="0.55000000000000004">
      <c r="A5004" s="17"/>
    </row>
    <row r="5005" spans="1:1" x14ac:dyDescent="0.55000000000000004">
      <c r="A5005" s="17"/>
    </row>
    <row r="5006" spans="1:1" x14ac:dyDescent="0.55000000000000004">
      <c r="A5006" s="17"/>
    </row>
    <row r="5007" spans="1:1" x14ac:dyDescent="0.55000000000000004">
      <c r="A5007" s="17"/>
    </row>
    <row r="5008" spans="1:1" x14ac:dyDescent="0.55000000000000004">
      <c r="A5008" s="17"/>
    </row>
    <row r="5009" spans="1:1" x14ac:dyDescent="0.55000000000000004">
      <c r="A5009" s="17"/>
    </row>
    <row r="5010" spans="1:1" x14ac:dyDescent="0.55000000000000004">
      <c r="A5010" s="17"/>
    </row>
    <row r="5011" spans="1:1" x14ac:dyDescent="0.55000000000000004">
      <c r="A5011" s="17"/>
    </row>
    <row r="5012" spans="1:1" x14ac:dyDescent="0.55000000000000004">
      <c r="A5012" s="17"/>
    </row>
    <row r="5013" spans="1:1" x14ac:dyDescent="0.55000000000000004">
      <c r="A5013" s="17"/>
    </row>
    <row r="5014" spans="1:1" x14ac:dyDescent="0.55000000000000004">
      <c r="A5014" s="17"/>
    </row>
    <row r="5015" spans="1:1" x14ac:dyDescent="0.55000000000000004">
      <c r="A5015" s="17"/>
    </row>
    <row r="5016" spans="1:1" x14ac:dyDescent="0.55000000000000004">
      <c r="A5016" s="17"/>
    </row>
    <row r="5017" spans="1:1" x14ac:dyDescent="0.55000000000000004">
      <c r="A5017" s="17"/>
    </row>
    <row r="5018" spans="1:1" x14ac:dyDescent="0.55000000000000004">
      <c r="A5018" s="17"/>
    </row>
    <row r="5019" spans="1:1" x14ac:dyDescent="0.55000000000000004">
      <c r="A5019" s="17"/>
    </row>
    <row r="5020" spans="1:1" x14ac:dyDescent="0.55000000000000004">
      <c r="A5020" s="17"/>
    </row>
    <row r="5021" spans="1:1" x14ac:dyDescent="0.55000000000000004">
      <c r="A5021" s="17"/>
    </row>
    <row r="5022" spans="1:1" x14ac:dyDescent="0.55000000000000004">
      <c r="A5022" s="17"/>
    </row>
    <row r="5023" spans="1:1" x14ac:dyDescent="0.55000000000000004">
      <c r="A5023" s="17"/>
    </row>
    <row r="5024" spans="1:1" x14ac:dyDescent="0.55000000000000004">
      <c r="A5024" s="17"/>
    </row>
    <row r="5025" spans="1:1" x14ac:dyDescent="0.55000000000000004">
      <c r="A5025" s="17"/>
    </row>
    <row r="5026" spans="1:1" x14ac:dyDescent="0.55000000000000004">
      <c r="A5026" s="17"/>
    </row>
    <row r="5027" spans="1:1" x14ac:dyDescent="0.55000000000000004">
      <c r="A5027" s="17"/>
    </row>
    <row r="5028" spans="1:1" x14ac:dyDescent="0.55000000000000004">
      <c r="A5028" s="17"/>
    </row>
    <row r="5029" spans="1:1" x14ac:dyDescent="0.55000000000000004">
      <c r="A5029" s="17"/>
    </row>
    <row r="5030" spans="1:1" x14ac:dyDescent="0.55000000000000004">
      <c r="A5030" s="17"/>
    </row>
    <row r="5031" spans="1:1" x14ac:dyDescent="0.55000000000000004">
      <c r="A5031" s="17"/>
    </row>
    <row r="5032" spans="1:1" x14ac:dyDescent="0.55000000000000004">
      <c r="A5032" s="17"/>
    </row>
    <row r="5033" spans="1:1" x14ac:dyDescent="0.55000000000000004">
      <c r="A5033" s="17"/>
    </row>
    <row r="5034" spans="1:1" x14ac:dyDescent="0.55000000000000004">
      <c r="A5034" s="17"/>
    </row>
    <row r="5035" spans="1:1" x14ac:dyDescent="0.55000000000000004">
      <c r="A5035" s="17"/>
    </row>
    <row r="5036" spans="1:1" x14ac:dyDescent="0.55000000000000004">
      <c r="A5036" s="17"/>
    </row>
    <row r="5037" spans="1:1" x14ac:dyDescent="0.55000000000000004">
      <c r="A5037" s="17"/>
    </row>
    <row r="5038" spans="1:1" x14ac:dyDescent="0.55000000000000004">
      <c r="A5038" s="17"/>
    </row>
    <row r="5039" spans="1:1" x14ac:dyDescent="0.55000000000000004">
      <c r="A5039" s="17"/>
    </row>
    <row r="5040" spans="1:1" x14ac:dyDescent="0.55000000000000004">
      <c r="A5040" s="17"/>
    </row>
    <row r="5041" spans="1:1" x14ac:dyDescent="0.55000000000000004">
      <c r="A5041" s="17"/>
    </row>
    <row r="5042" spans="1:1" x14ac:dyDescent="0.55000000000000004">
      <c r="A5042" s="17"/>
    </row>
    <row r="5043" spans="1:1" x14ac:dyDescent="0.55000000000000004">
      <c r="A5043" s="17"/>
    </row>
    <row r="5044" spans="1:1" x14ac:dyDescent="0.55000000000000004">
      <c r="A5044" s="17"/>
    </row>
    <row r="5045" spans="1:1" x14ac:dyDescent="0.55000000000000004">
      <c r="A5045" s="17"/>
    </row>
    <row r="5046" spans="1:1" x14ac:dyDescent="0.55000000000000004">
      <c r="A5046" s="17"/>
    </row>
    <row r="5047" spans="1:1" x14ac:dyDescent="0.55000000000000004">
      <c r="A5047" s="17"/>
    </row>
    <row r="5048" spans="1:1" x14ac:dyDescent="0.55000000000000004">
      <c r="A5048" s="17"/>
    </row>
    <row r="5049" spans="1:1" x14ac:dyDescent="0.55000000000000004">
      <c r="A5049" s="17"/>
    </row>
    <row r="5050" spans="1:1" x14ac:dyDescent="0.55000000000000004">
      <c r="A5050" s="17"/>
    </row>
    <row r="5051" spans="1:1" x14ac:dyDescent="0.55000000000000004">
      <c r="A5051" s="17"/>
    </row>
    <row r="5052" spans="1:1" x14ac:dyDescent="0.55000000000000004">
      <c r="A5052" s="17"/>
    </row>
    <row r="5053" spans="1:1" x14ac:dyDescent="0.55000000000000004">
      <c r="A5053" s="17"/>
    </row>
    <row r="5054" spans="1:1" x14ac:dyDescent="0.55000000000000004">
      <c r="A5054" s="17"/>
    </row>
    <row r="5055" spans="1:1" x14ac:dyDescent="0.55000000000000004">
      <c r="A5055" s="17"/>
    </row>
    <row r="5056" spans="1:1" x14ac:dyDescent="0.55000000000000004">
      <c r="A5056" s="17"/>
    </row>
    <row r="5057" spans="1:1" x14ac:dyDescent="0.55000000000000004">
      <c r="A5057" s="17"/>
    </row>
    <row r="5058" spans="1:1" x14ac:dyDescent="0.55000000000000004">
      <c r="A5058" s="17"/>
    </row>
    <row r="5059" spans="1:1" x14ac:dyDescent="0.55000000000000004">
      <c r="A5059" s="17"/>
    </row>
    <row r="5060" spans="1:1" x14ac:dyDescent="0.55000000000000004">
      <c r="A5060" s="17"/>
    </row>
    <row r="5061" spans="1:1" x14ac:dyDescent="0.55000000000000004">
      <c r="A5061" s="17"/>
    </row>
    <row r="5062" spans="1:1" x14ac:dyDescent="0.55000000000000004">
      <c r="A5062" s="17"/>
    </row>
    <row r="5063" spans="1:1" x14ac:dyDescent="0.55000000000000004">
      <c r="A5063" s="17"/>
    </row>
    <row r="5064" spans="1:1" x14ac:dyDescent="0.55000000000000004">
      <c r="A5064" s="17"/>
    </row>
    <row r="5065" spans="1:1" x14ac:dyDescent="0.55000000000000004">
      <c r="A5065" s="17"/>
    </row>
    <row r="5066" spans="1:1" x14ac:dyDescent="0.55000000000000004">
      <c r="A5066" s="17"/>
    </row>
    <row r="5067" spans="1:1" x14ac:dyDescent="0.55000000000000004">
      <c r="A5067" s="17"/>
    </row>
    <row r="5068" spans="1:1" x14ac:dyDescent="0.55000000000000004">
      <c r="A5068" s="17"/>
    </row>
    <row r="5069" spans="1:1" x14ac:dyDescent="0.55000000000000004">
      <c r="A5069" s="17"/>
    </row>
    <row r="5070" spans="1:1" x14ac:dyDescent="0.55000000000000004">
      <c r="A5070" s="17"/>
    </row>
    <row r="5071" spans="1:1" x14ac:dyDescent="0.55000000000000004">
      <c r="A5071" s="17"/>
    </row>
    <row r="5072" spans="1:1" x14ac:dyDescent="0.55000000000000004">
      <c r="A5072" s="17"/>
    </row>
    <row r="5073" spans="1:1" x14ac:dyDescent="0.55000000000000004">
      <c r="A5073" s="17"/>
    </row>
    <row r="5074" spans="1:1" x14ac:dyDescent="0.55000000000000004">
      <c r="A5074" s="17"/>
    </row>
    <row r="5075" spans="1:1" x14ac:dyDescent="0.55000000000000004">
      <c r="A5075" s="17"/>
    </row>
    <row r="5076" spans="1:1" x14ac:dyDescent="0.55000000000000004">
      <c r="A5076" s="17"/>
    </row>
    <row r="5077" spans="1:1" x14ac:dyDescent="0.55000000000000004">
      <c r="A5077" s="17"/>
    </row>
    <row r="5078" spans="1:1" x14ac:dyDescent="0.55000000000000004">
      <c r="A5078" s="17"/>
    </row>
    <row r="5079" spans="1:1" x14ac:dyDescent="0.55000000000000004">
      <c r="A5079" s="17"/>
    </row>
    <row r="5080" spans="1:1" x14ac:dyDescent="0.55000000000000004">
      <c r="A5080" s="17"/>
    </row>
    <row r="5081" spans="1:1" x14ac:dyDescent="0.55000000000000004">
      <c r="A5081" s="17"/>
    </row>
    <row r="5082" spans="1:1" x14ac:dyDescent="0.55000000000000004">
      <c r="A5082" s="17"/>
    </row>
    <row r="5083" spans="1:1" x14ac:dyDescent="0.55000000000000004">
      <c r="A5083" s="17"/>
    </row>
    <row r="5084" spans="1:1" x14ac:dyDescent="0.55000000000000004">
      <c r="A5084" s="17"/>
    </row>
    <row r="5085" spans="1:1" x14ac:dyDescent="0.55000000000000004">
      <c r="A5085" s="17"/>
    </row>
    <row r="5086" spans="1:1" x14ac:dyDescent="0.55000000000000004">
      <c r="A5086" s="17"/>
    </row>
    <row r="5087" spans="1:1" x14ac:dyDescent="0.55000000000000004">
      <c r="A5087" s="17"/>
    </row>
    <row r="5088" spans="1:1" x14ac:dyDescent="0.55000000000000004">
      <c r="A5088" s="17"/>
    </row>
    <row r="5089" spans="1:1" x14ac:dyDescent="0.55000000000000004">
      <c r="A5089" s="17"/>
    </row>
    <row r="5090" spans="1:1" x14ac:dyDescent="0.55000000000000004">
      <c r="A5090" s="17"/>
    </row>
    <row r="5091" spans="1:1" x14ac:dyDescent="0.55000000000000004">
      <c r="A5091" s="17"/>
    </row>
    <row r="5092" spans="1:1" x14ac:dyDescent="0.55000000000000004">
      <c r="A5092" s="17"/>
    </row>
    <row r="5093" spans="1:1" x14ac:dyDescent="0.55000000000000004">
      <c r="A5093" s="17"/>
    </row>
    <row r="5094" spans="1:1" x14ac:dyDescent="0.55000000000000004">
      <c r="A5094" s="17"/>
    </row>
    <row r="5095" spans="1:1" x14ac:dyDescent="0.55000000000000004">
      <c r="A5095" s="17"/>
    </row>
    <row r="5096" spans="1:1" x14ac:dyDescent="0.55000000000000004">
      <c r="A5096" s="17"/>
    </row>
    <row r="5097" spans="1:1" x14ac:dyDescent="0.55000000000000004">
      <c r="A5097" s="17"/>
    </row>
    <row r="5098" spans="1:1" x14ac:dyDescent="0.55000000000000004">
      <c r="A5098" s="17"/>
    </row>
    <row r="5099" spans="1:1" x14ac:dyDescent="0.55000000000000004">
      <c r="A5099" s="17"/>
    </row>
    <row r="5100" spans="1:1" x14ac:dyDescent="0.55000000000000004">
      <c r="A5100" s="17"/>
    </row>
    <row r="5101" spans="1:1" x14ac:dyDescent="0.55000000000000004">
      <c r="A5101" s="17"/>
    </row>
    <row r="5102" spans="1:1" x14ac:dyDescent="0.55000000000000004">
      <c r="A5102" s="17"/>
    </row>
    <row r="5103" spans="1:1" x14ac:dyDescent="0.55000000000000004">
      <c r="A5103" s="17"/>
    </row>
    <row r="5104" spans="1:1" x14ac:dyDescent="0.55000000000000004">
      <c r="A5104" s="17"/>
    </row>
    <row r="5105" spans="1:1" x14ac:dyDescent="0.55000000000000004">
      <c r="A5105" s="17"/>
    </row>
    <row r="5106" spans="1:1" x14ac:dyDescent="0.55000000000000004">
      <c r="A5106" s="17"/>
    </row>
    <row r="5107" spans="1:1" x14ac:dyDescent="0.55000000000000004">
      <c r="A5107" s="17"/>
    </row>
    <row r="5108" spans="1:1" x14ac:dyDescent="0.55000000000000004">
      <c r="A5108" s="17"/>
    </row>
    <row r="5109" spans="1:1" x14ac:dyDescent="0.55000000000000004">
      <c r="A5109" s="17"/>
    </row>
    <row r="5110" spans="1:1" x14ac:dyDescent="0.55000000000000004">
      <c r="A5110" s="17"/>
    </row>
    <row r="5111" spans="1:1" x14ac:dyDescent="0.55000000000000004">
      <c r="A5111" s="17"/>
    </row>
    <row r="5112" spans="1:1" x14ac:dyDescent="0.55000000000000004">
      <c r="A5112" s="17"/>
    </row>
    <row r="5113" spans="1:1" x14ac:dyDescent="0.55000000000000004">
      <c r="A5113" s="17"/>
    </row>
    <row r="5114" spans="1:1" x14ac:dyDescent="0.55000000000000004">
      <c r="A5114" s="17"/>
    </row>
    <row r="5115" spans="1:1" x14ac:dyDescent="0.55000000000000004">
      <c r="A5115" s="17"/>
    </row>
    <row r="5116" spans="1:1" x14ac:dyDescent="0.55000000000000004">
      <c r="A5116" s="17"/>
    </row>
    <row r="5117" spans="1:1" x14ac:dyDescent="0.55000000000000004">
      <c r="A5117" s="17"/>
    </row>
    <row r="5118" spans="1:1" x14ac:dyDescent="0.55000000000000004">
      <c r="A5118" s="17"/>
    </row>
    <row r="5119" spans="1:1" x14ac:dyDescent="0.55000000000000004">
      <c r="A5119" s="17"/>
    </row>
    <row r="5120" spans="1:1" x14ac:dyDescent="0.55000000000000004">
      <c r="A5120" s="17"/>
    </row>
    <row r="5121" spans="1:1" x14ac:dyDescent="0.55000000000000004">
      <c r="A5121" s="17"/>
    </row>
    <row r="5122" spans="1:1" x14ac:dyDescent="0.55000000000000004">
      <c r="A5122" s="17"/>
    </row>
    <row r="5123" spans="1:1" x14ac:dyDescent="0.55000000000000004">
      <c r="A5123" s="17"/>
    </row>
    <row r="5124" spans="1:1" x14ac:dyDescent="0.55000000000000004">
      <c r="A5124" s="17"/>
    </row>
    <row r="5125" spans="1:1" x14ac:dyDescent="0.55000000000000004">
      <c r="A5125" s="17"/>
    </row>
    <row r="5126" spans="1:1" x14ac:dyDescent="0.55000000000000004">
      <c r="A5126" s="17"/>
    </row>
    <row r="5127" spans="1:1" x14ac:dyDescent="0.55000000000000004">
      <c r="A5127" s="17"/>
    </row>
    <row r="5128" spans="1:1" x14ac:dyDescent="0.55000000000000004">
      <c r="A5128" s="17"/>
    </row>
    <row r="5129" spans="1:1" x14ac:dyDescent="0.55000000000000004">
      <c r="A5129" s="17"/>
    </row>
    <row r="5130" spans="1:1" x14ac:dyDescent="0.55000000000000004">
      <c r="A5130" s="17"/>
    </row>
    <row r="5131" spans="1:1" x14ac:dyDescent="0.55000000000000004">
      <c r="A5131" s="17"/>
    </row>
    <row r="5132" spans="1:1" x14ac:dyDescent="0.55000000000000004">
      <c r="A5132" s="17"/>
    </row>
    <row r="5133" spans="1:1" x14ac:dyDescent="0.55000000000000004">
      <c r="A5133" s="17"/>
    </row>
    <row r="5134" spans="1:1" x14ac:dyDescent="0.55000000000000004">
      <c r="A5134" s="17"/>
    </row>
    <row r="5135" spans="1:1" x14ac:dyDescent="0.55000000000000004">
      <c r="A5135" s="17"/>
    </row>
    <row r="5136" spans="1:1" x14ac:dyDescent="0.55000000000000004">
      <c r="A5136" s="17"/>
    </row>
    <row r="5137" spans="1:1" x14ac:dyDescent="0.55000000000000004">
      <c r="A5137" s="17"/>
    </row>
    <row r="5138" spans="1:1" x14ac:dyDescent="0.55000000000000004">
      <c r="A5138" s="17"/>
    </row>
    <row r="5139" spans="1:1" x14ac:dyDescent="0.55000000000000004">
      <c r="A5139" s="17"/>
    </row>
    <row r="5140" spans="1:1" x14ac:dyDescent="0.55000000000000004">
      <c r="A5140" s="17"/>
    </row>
    <row r="5141" spans="1:1" x14ac:dyDescent="0.55000000000000004">
      <c r="A5141" s="17"/>
    </row>
    <row r="5142" spans="1:1" x14ac:dyDescent="0.55000000000000004">
      <c r="A5142" s="17"/>
    </row>
    <row r="5143" spans="1:1" x14ac:dyDescent="0.55000000000000004">
      <c r="A5143" s="17"/>
    </row>
    <row r="5144" spans="1:1" x14ac:dyDescent="0.55000000000000004">
      <c r="A5144" s="17"/>
    </row>
    <row r="5145" spans="1:1" x14ac:dyDescent="0.55000000000000004">
      <c r="A5145" s="17"/>
    </row>
    <row r="5146" spans="1:1" x14ac:dyDescent="0.55000000000000004">
      <c r="A5146" s="17"/>
    </row>
    <row r="5147" spans="1:1" x14ac:dyDescent="0.55000000000000004">
      <c r="A5147" s="17"/>
    </row>
    <row r="5148" spans="1:1" x14ac:dyDescent="0.55000000000000004">
      <c r="A5148" s="17"/>
    </row>
    <row r="5149" spans="1:1" x14ac:dyDescent="0.55000000000000004">
      <c r="A5149" s="17"/>
    </row>
    <row r="5150" spans="1:1" x14ac:dyDescent="0.55000000000000004">
      <c r="A5150" s="17"/>
    </row>
    <row r="5151" spans="1:1" x14ac:dyDescent="0.55000000000000004">
      <c r="A5151" s="17"/>
    </row>
    <row r="5152" spans="1:1" x14ac:dyDescent="0.55000000000000004">
      <c r="A5152" s="17"/>
    </row>
    <row r="5153" spans="1:1" x14ac:dyDescent="0.55000000000000004">
      <c r="A5153" s="17"/>
    </row>
    <row r="5154" spans="1:1" x14ac:dyDescent="0.55000000000000004">
      <c r="A5154" s="17"/>
    </row>
    <row r="5155" spans="1:1" x14ac:dyDescent="0.55000000000000004">
      <c r="A5155" s="17"/>
    </row>
    <row r="5156" spans="1:1" x14ac:dyDescent="0.55000000000000004">
      <c r="A5156" s="17"/>
    </row>
    <row r="5157" spans="1:1" x14ac:dyDescent="0.55000000000000004">
      <c r="A5157" s="17"/>
    </row>
    <row r="5158" spans="1:1" x14ac:dyDescent="0.55000000000000004">
      <c r="A5158" s="17"/>
    </row>
    <row r="5159" spans="1:1" x14ac:dyDescent="0.55000000000000004">
      <c r="A5159" s="17"/>
    </row>
    <row r="5160" spans="1:1" x14ac:dyDescent="0.55000000000000004">
      <c r="A5160" s="17"/>
    </row>
    <row r="5161" spans="1:1" x14ac:dyDescent="0.55000000000000004">
      <c r="A5161" s="17"/>
    </row>
    <row r="5162" spans="1:1" x14ac:dyDescent="0.55000000000000004">
      <c r="A5162" s="17"/>
    </row>
    <row r="5163" spans="1:1" x14ac:dyDescent="0.55000000000000004">
      <c r="A5163" s="17"/>
    </row>
    <row r="5164" spans="1:1" x14ac:dyDescent="0.55000000000000004">
      <c r="A5164" s="17"/>
    </row>
    <row r="5165" spans="1:1" x14ac:dyDescent="0.55000000000000004">
      <c r="A5165" s="17"/>
    </row>
    <row r="5166" spans="1:1" x14ac:dyDescent="0.55000000000000004">
      <c r="A5166" s="17"/>
    </row>
    <row r="5167" spans="1:1" x14ac:dyDescent="0.55000000000000004">
      <c r="A5167" s="17"/>
    </row>
    <row r="5168" spans="1:1" x14ac:dyDescent="0.55000000000000004">
      <c r="A5168" s="17"/>
    </row>
    <row r="5169" spans="1:1" x14ac:dyDescent="0.55000000000000004">
      <c r="A5169" s="17"/>
    </row>
    <row r="5170" spans="1:1" x14ac:dyDescent="0.55000000000000004">
      <c r="A5170" s="17"/>
    </row>
    <row r="5171" spans="1:1" x14ac:dyDescent="0.55000000000000004">
      <c r="A5171" s="17"/>
    </row>
    <row r="5172" spans="1:1" x14ac:dyDescent="0.55000000000000004">
      <c r="A5172" s="17"/>
    </row>
    <row r="5173" spans="1:1" x14ac:dyDescent="0.55000000000000004">
      <c r="A5173" s="17"/>
    </row>
    <row r="5174" spans="1:1" x14ac:dyDescent="0.55000000000000004">
      <c r="A5174" s="17"/>
    </row>
    <row r="5175" spans="1:1" x14ac:dyDescent="0.55000000000000004">
      <c r="A5175" s="17"/>
    </row>
    <row r="5176" spans="1:1" x14ac:dyDescent="0.55000000000000004">
      <c r="A5176" s="17"/>
    </row>
    <row r="5177" spans="1:1" x14ac:dyDescent="0.55000000000000004">
      <c r="A5177" s="17"/>
    </row>
    <row r="5178" spans="1:1" x14ac:dyDescent="0.55000000000000004">
      <c r="A5178" s="17"/>
    </row>
    <row r="5179" spans="1:1" x14ac:dyDescent="0.55000000000000004">
      <c r="A5179" s="17"/>
    </row>
    <row r="5180" spans="1:1" x14ac:dyDescent="0.55000000000000004">
      <c r="A5180" s="17"/>
    </row>
    <row r="5181" spans="1:1" x14ac:dyDescent="0.55000000000000004">
      <c r="A5181" s="17"/>
    </row>
    <row r="5182" spans="1:1" x14ac:dyDescent="0.55000000000000004">
      <c r="A5182" s="17"/>
    </row>
    <row r="5183" spans="1:1" x14ac:dyDescent="0.55000000000000004">
      <c r="A5183" s="17"/>
    </row>
    <row r="5184" spans="1:1" x14ac:dyDescent="0.55000000000000004">
      <c r="A5184" s="17"/>
    </row>
    <row r="5185" spans="1:1" x14ac:dyDescent="0.55000000000000004">
      <c r="A5185" s="17"/>
    </row>
    <row r="5186" spans="1:1" x14ac:dyDescent="0.55000000000000004">
      <c r="A5186" s="17"/>
    </row>
    <row r="5187" spans="1:1" x14ac:dyDescent="0.55000000000000004">
      <c r="A5187" s="17"/>
    </row>
    <row r="5188" spans="1:1" x14ac:dyDescent="0.55000000000000004">
      <c r="A5188" s="17"/>
    </row>
    <row r="5189" spans="1:1" x14ac:dyDescent="0.55000000000000004">
      <c r="A5189" s="17"/>
    </row>
    <row r="5190" spans="1:1" x14ac:dyDescent="0.55000000000000004">
      <c r="A5190" s="17"/>
    </row>
    <row r="5191" spans="1:1" x14ac:dyDescent="0.55000000000000004">
      <c r="A5191" s="17"/>
    </row>
    <row r="5192" spans="1:1" x14ac:dyDescent="0.55000000000000004">
      <c r="A5192" s="17"/>
    </row>
    <row r="5193" spans="1:1" x14ac:dyDescent="0.55000000000000004">
      <c r="A5193" s="17"/>
    </row>
    <row r="5194" spans="1:1" x14ac:dyDescent="0.55000000000000004">
      <c r="A5194" s="17"/>
    </row>
    <row r="5195" spans="1:1" x14ac:dyDescent="0.55000000000000004">
      <c r="A5195" s="17"/>
    </row>
    <row r="5196" spans="1:1" x14ac:dyDescent="0.55000000000000004">
      <c r="A5196" s="17"/>
    </row>
    <row r="5197" spans="1:1" x14ac:dyDescent="0.55000000000000004">
      <c r="A5197" s="17"/>
    </row>
    <row r="5198" spans="1:1" x14ac:dyDescent="0.55000000000000004">
      <c r="A5198" s="17"/>
    </row>
    <row r="5199" spans="1:1" x14ac:dyDescent="0.55000000000000004">
      <c r="A5199" s="17"/>
    </row>
    <row r="5200" spans="1:1" x14ac:dyDescent="0.55000000000000004">
      <c r="A5200" s="17"/>
    </row>
    <row r="5201" spans="1:1" x14ac:dyDescent="0.55000000000000004">
      <c r="A5201" s="17"/>
    </row>
    <row r="5202" spans="1:1" x14ac:dyDescent="0.55000000000000004">
      <c r="A5202" s="17"/>
    </row>
    <row r="5203" spans="1:1" x14ac:dyDescent="0.55000000000000004">
      <c r="A5203" s="17"/>
    </row>
    <row r="5204" spans="1:1" x14ac:dyDescent="0.55000000000000004">
      <c r="A5204" s="17"/>
    </row>
    <row r="5205" spans="1:1" x14ac:dyDescent="0.55000000000000004">
      <c r="A5205" s="17"/>
    </row>
    <row r="5206" spans="1:1" x14ac:dyDescent="0.55000000000000004">
      <c r="A5206" s="17"/>
    </row>
    <row r="5207" spans="1:1" x14ac:dyDescent="0.55000000000000004">
      <c r="A5207" s="17"/>
    </row>
    <row r="5208" spans="1:1" x14ac:dyDescent="0.55000000000000004">
      <c r="A5208" s="17"/>
    </row>
    <row r="5209" spans="1:1" x14ac:dyDescent="0.55000000000000004">
      <c r="A5209" s="17"/>
    </row>
    <row r="5210" spans="1:1" x14ac:dyDescent="0.55000000000000004">
      <c r="A5210" s="17"/>
    </row>
    <row r="5211" spans="1:1" x14ac:dyDescent="0.55000000000000004">
      <c r="A5211" s="17"/>
    </row>
    <row r="5212" spans="1:1" x14ac:dyDescent="0.55000000000000004">
      <c r="A5212" s="17"/>
    </row>
    <row r="5213" spans="1:1" x14ac:dyDescent="0.55000000000000004">
      <c r="A5213" s="17"/>
    </row>
    <row r="5214" spans="1:1" x14ac:dyDescent="0.55000000000000004">
      <c r="A5214" s="17"/>
    </row>
    <row r="5215" spans="1:1" x14ac:dyDescent="0.55000000000000004">
      <c r="A5215" s="17"/>
    </row>
    <row r="5216" spans="1:1" x14ac:dyDescent="0.55000000000000004">
      <c r="A5216" s="17"/>
    </row>
    <row r="5217" spans="1:1" x14ac:dyDescent="0.55000000000000004">
      <c r="A5217" s="17"/>
    </row>
    <row r="5218" spans="1:1" x14ac:dyDescent="0.55000000000000004">
      <c r="A5218" s="17"/>
    </row>
    <row r="5219" spans="1:1" x14ac:dyDescent="0.55000000000000004">
      <c r="A5219" s="17"/>
    </row>
    <row r="5220" spans="1:1" x14ac:dyDescent="0.55000000000000004">
      <c r="A5220" s="17"/>
    </row>
    <row r="5221" spans="1:1" x14ac:dyDescent="0.55000000000000004">
      <c r="A5221" s="17"/>
    </row>
    <row r="5222" spans="1:1" x14ac:dyDescent="0.55000000000000004">
      <c r="A5222" s="17"/>
    </row>
    <row r="5223" spans="1:1" x14ac:dyDescent="0.55000000000000004">
      <c r="A5223" s="17"/>
    </row>
    <row r="5224" spans="1:1" x14ac:dyDescent="0.55000000000000004">
      <c r="A5224" s="17"/>
    </row>
    <row r="5225" spans="1:1" x14ac:dyDescent="0.55000000000000004">
      <c r="A5225" s="17"/>
    </row>
    <row r="5226" spans="1:1" x14ac:dyDescent="0.55000000000000004">
      <c r="A5226" s="17"/>
    </row>
    <row r="5227" spans="1:1" x14ac:dyDescent="0.55000000000000004">
      <c r="A5227" s="17"/>
    </row>
    <row r="5228" spans="1:1" x14ac:dyDescent="0.55000000000000004">
      <c r="A5228" s="17"/>
    </row>
    <row r="5229" spans="1:1" x14ac:dyDescent="0.55000000000000004">
      <c r="A5229" s="17"/>
    </row>
    <row r="5230" spans="1:1" x14ac:dyDescent="0.55000000000000004">
      <c r="A5230" s="17"/>
    </row>
    <row r="5231" spans="1:1" x14ac:dyDescent="0.55000000000000004">
      <c r="A5231" s="17"/>
    </row>
    <row r="5232" spans="1:1" x14ac:dyDescent="0.55000000000000004">
      <c r="A5232" s="17"/>
    </row>
    <row r="5233" spans="1:1" x14ac:dyDescent="0.55000000000000004">
      <c r="A5233" s="17"/>
    </row>
    <row r="5234" spans="1:1" x14ac:dyDescent="0.55000000000000004">
      <c r="A5234" s="17"/>
    </row>
    <row r="5235" spans="1:1" x14ac:dyDescent="0.55000000000000004">
      <c r="A5235" s="17"/>
    </row>
    <row r="5236" spans="1:1" x14ac:dyDescent="0.55000000000000004">
      <c r="A5236" s="17"/>
    </row>
    <row r="5237" spans="1:1" x14ac:dyDescent="0.55000000000000004">
      <c r="A5237" s="17"/>
    </row>
    <row r="5238" spans="1:1" x14ac:dyDescent="0.55000000000000004">
      <c r="A5238" s="17"/>
    </row>
    <row r="5239" spans="1:1" x14ac:dyDescent="0.55000000000000004">
      <c r="A5239" s="17"/>
    </row>
    <row r="5240" spans="1:1" x14ac:dyDescent="0.55000000000000004">
      <c r="A5240" s="17"/>
    </row>
    <row r="5241" spans="1:1" x14ac:dyDescent="0.55000000000000004">
      <c r="A5241" s="17"/>
    </row>
    <row r="5242" spans="1:1" x14ac:dyDescent="0.55000000000000004">
      <c r="A5242" s="17"/>
    </row>
    <row r="5243" spans="1:1" x14ac:dyDescent="0.55000000000000004">
      <c r="A5243" s="17"/>
    </row>
    <row r="5244" spans="1:1" x14ac:dyDescent="0.55000000000000004">
      <c r="A5244" s="17"/>
    </row>
    <row r="5245" spans="1:1" x14ac:dyDescent="0.55000000000000004">
      <c r="A5245" s="17"/>
    </row>
    <row r="5246" spans="1:1" x14ac:dyDescent="0.55000000000000004">
      <c r="A5246" s="17"/>
    </row>
    <row r="5247" spans="1:1" x14ac:dyDescent="0.55000000000000004">
      <c r="A5247" s="17"/>
    </row>
    <row r="5248" spans="1:1" x14ac:dyDescent="0.55000000000000004">
      <c r="A5248" s="17"/>
    </row>
    <row r="5249" spans="1:1" x14ac:dyDescent="0.55000000000000004">
      <c r="A5249" s="17"/>
    </row>
    <row r="5250" spans="1:1" x14ac:dyDescent="0.55000000000000004">
      <c r="A5250" s="17"/>
    </row>
    <row r="5251" spans="1:1" x14ac:dyDescent="0.55000000000000004">
      <c r="A5251" s="17"/>
    </row>
    <row r="5252" spans="1:1" x14ac:dyDescent="0.55000000000000004">
      <c r="A5252" s="17"/>
    </row>
    <row r="5253" spans="1:1" x14ac:dyDescent="0.55000000000000004">
      <c r="A5253" s="17"/>
    </row>
    <row r="5254" spans="1:1" x14ac:dyDescent="0.55000000000000004">
      <c r="A5254" s="17"/>
    </row>
    <row r="5255" spans="1:1" x14ac:dyDescent="0.55000000000000004">
      <c r="A5255" s="17"/>
    </row>
    <row r="5256" spans="1:1" x14ac:dyDescent="0.55000000000000004">
      <c r="A5256" s="17"/>
    </row>
    <row r="5257" spans="1:1" x14ac:dyDescent="0.55000000000000004">
      <c r="A5257" s="17"/>
    </row>
    <row r="5258" spans="1:1" x14ac:dyDescent="0.55000000000000004">
      <c r="A5258" s="17"/>
    </row>
    <row r="5259" spans="1:1" x14ac:dyDescent="0.55000000000000004">
      <c r="A5259" s="17"/>
    </row>
    <row r="5260" spans="1:1" x14ac:dyDescent="0.55000000000000004">
      <c r="A5260" s="17"/>
    </row>
    <row r="5261" spans="1:1" x14ac:dyDescent="0.55000000000000004">
      <c r="A5261" s="17"/>
    </row>
    <row r="5262" spans="1:1" x14ac:dyDescent="0.55000000000000004">
      <c r="A5262" s="17"/>
    </row>
    <row r="5263" spans="1:1" x14ac:dyDescent="0.55000000000000004">
      <c r="A5263" s="17"/>
    </row>
    <row r="5264" spans="1:1" x14ac:dyDescent="0.55000000000000004">
      <c r="A5264" s="17"/>
    </row>
    <row r="5265" spans="1:1" x14ac:dyDescent="0.55000000000000004">
      <c r="A5265" s="17"/>
    </row>
    <row r="5266" spans="1:1" x14ac:dyDescent="0.55000000000000004">
      <c r="A5266" s="17"/>
    </row>
    <row r="5267" spans="1:1" x14ac:dyDescent="0.55000000000000004">
      <c r="A5267" s="17"/>
    </row>
    <row r="5268" spans="1:1" x14ac:dyDescent="0.55000000000000004">
      <c r="A5268" s="17"/>
    </row>
    <row r="5269" spans="1:1" x14ac:dyDescent="0.55000000000000004">
      <c r="A5269" s="17"/>
    </row>
    <row r="5270" spans="1:1" x14ac:dyDescent="0.55000000000000004">
      <c r="A5270" s="17"/>
    </row>
    <row r="5271" spans="1:1" x14ac:dyDescent="0.55000000000000004">
      <c r="A5271" s="17"/>
    </row>
    <row r="5272" spans="1:1" x14ac:dyDescent="0.55000000000000004">
      <c r="A5272" s="17"/>
    </row>
    <row r="5273" spans="1:1" x14ac:dyDescent="0.55000000000000004">
      <c r="A5273" s="17"/>
    </row>
    <row r="5274" spans="1:1" x14ac:dyDescent="0.55000000000000004">
      <c r="A5274" s="17"/>
    </row>
    <row r="5275" spans="1:1" x14ac:dyDescent="0.55000000000000004">
      <c r="A5275" s="17"/>
    </row>
    <row r="5276" spans="1:1" x14ac:dyDescent="0.55000000000000004">
      <c r="A5276" s="17"/>
    </row>
    <row r="5277" spans="1:1" x14ac:dyDescent="0.55000000000000004">
      <c r="A5277" s="17"/>
    </row>
    <row r="5278" spans="1:1" x14ac:dyDescent="0.55000000000000004">
      <c r="A5278" s="17"/>
    </row>
    <row r="5279" spans="1:1" x14ac:dyDescent="0.55000000000000004">
      <c r="A5279" s="17"/>
    </row>
    <row r="5280" spans="1:1" x14ac:dyDescent="0.55000000000000004">
      <c r="A5280" s="17"/>
    </row>
    <row r="5281" spans="1:1" x14ac:dyDescent="0.55000000000000004">
      <c r="A5281" s="17"/>
    </row>
    <row r="5282" spans="1:1" x14ac:dyDescent="0.55000000000000004">
      <c r="A5282" s="17"/>
    </row>
    <row r="5283" spans="1:1" x14ac:dyDescent="0.55000000000000004">
      <c r="A5283" s="17"/>
    </row>
    <row r="5284" spans="1:1" x14ac:dyDescent="0.55000000000000004">
      <c r="A5284" s="17"/>
    </row>
    <row r="5285" spans="1:1" x14ac:dyDescent="0.55000000000000004">
      <c r="A5285" s="17"/>
    </row>
    <row r="5286" spans="1:1" x14ac:dyDescent="0.55000000000000004">
      <c r="A5286" s="17"/>
    </row>
    <row r="5287" spans="1:1" x14ac:dyDescent="0.55000000000000004">
      <c r="A5287" s="17"/>
    </row>
    <row r="5288" spans="1:1" x14ac:dyDescent="0.55000000000000004">
      <c r="A5288" s="17"/>
    </row>
    <row r="5289" spans="1:1" x14ac:dyDescent="0.55000000000000004">
      <c r="A5289" s="17"/>
    </row>
    <row r="5290" spans="1:1" x14ac:dyDescent="0.55000000000000004">
      <c r="A5290" s="17"/>
    </row>
    <row r="5291" spans="1:1" x14ac:dyDescent="0.55000000000000004">
      <c r="A5291" s="17"/>
    </row>
    <row r="5292" spans="1:1" x14ac:dyDescent="0.55000000000000004">
      <c r="A5292" s="17"/>
    </row>
    <row r="5293" spans="1:1" x14ac:dyDescent="0.55000000000000004">
      <c r="A5293" s="17"/>
    </row>
    <row r="5294" spans="1:1" x14ac:dyDescent="0.55000000000000004">
      <c r="A5294" s="17"/>
    </row>
    <row r="5295" spans="1:1" x14ac:dyDescent="0.55000000000000004">
      <c r="A5295" s="17"/>
    </row>
    <row r="5296" spans="1:1" x14ac:dyDescent="0.55000000000000004">
      <c r="A5296" s="17"/>
    </row>
    <row r="5297" spans="1:1" x14ac:dyDescent="0.55000000000000004">
      <c r="A5297" s="17"/>
    </row>
    <row r="5298" spans="1:1" x14ac:dyDescent="0.55000000000000004">
      <c r="A5298" s="17"/>
    </row>
    <row r="5299" spans="1:1" x14ac:dyDescent="0.55000000000000004">
      <c r="A5299" s="17"/>
    </row>
    <row r="5300" spans="1:1" x14ac:dyDescent="0.55000000000000004">
      <c r="A5300" s="17"/>
    </row>
    <row r="5301" spans="1:1" x14ac:dyDescent="0.55000000000000004">
      <c r="A5301" s="17"/>
    </row>
    <row r="5302" spans="1:1" x14ac:dyDescent="0.55000000000000004">
      <c r="A5302" s="17"/>
    </row>
    <row r="5303" spans="1:1" x14ac:dyDescent="0.55000000000000004">
      <c r="A5303" s="17"/>
    </row>
    <row r="5304" spans="1:1" x14ac:dyDescent="0.55000000000000004">
      <c r="A5304" s="17"/>
    </row>
    <row r="5305" spans="1:1" x14ac:dyDescent="0.55000000000000004">
      <c r="A5305" s="17"/>
    </row>
    <row r="5306" spans="1:1" x14ac:dyDescent="0.55000000000000004">
      <c r="A5306" s="17"/>
    </row>
    <row r="5307" spans="1:1" x14ac:dyDescent="0.55000000000000004">
      <c r="A5307" s="17"/>
    </row>
    <row r="5308" spans="1:1" x14ac:dyDescent="0.55000000000000004">
      <c r="A5308" s="17"/>
    </row>
    <row r="5309" spans="1:1" x14ac:dyDescent="0.55000000000000004">
      <c r="A5309" s="17"/>
    </row>
    <row r="5310" spans="1:1" x14ac:dyDescent="0.55000000000000004">
      <c r="A5310" s="17"/>
    </row>
    <row r="5311" spans="1:1" x14ac:dyDescent="0.55000000000000004">
      <c r="A5311" s="17"/>
    </row>
    <row r="5312" spans="1:1" x14ac:dyDescent="0.55000000000000004">
      <c r="A5312" s="17"/>
    </row>
    <row r="5313" spans="1:1" x14ac:dyDescent="0.55000000000000004">
      <c r="A5313" s="17"/>
    </row>
    <row r="5314" spans="1:1" x14ac:dyDescent="0.55000000000000004">
      <c r="A5314" s="17"/>
    </row>
    <row r="5315" spans="1:1" x14ac:dyDescent="0.55000000000000004">
      <c r="A5315" s="17"/>
    </row>
    <row r="5316" spans="1:1" x14ac:dyDescent="0.55000000000000004">
      <c r="A5316" s="17"/>
    </row>
    <row r="5317" spans="1:1" x14ac:dyDescent="0.55000000000000004">
      <c r="A5317" s="17"/>
    </row>
    <row r="5318" spans="1:1" x14ac:dyDescent="0.55000000000000004">
      <c r="A5318" s="17"/>
    </row>
    <row r="5319" spans="1:1" x14ac:dyDescent="0.55000000000000004">
      <c r="A5319" s="17"/>
    </row>
    <row r="5320" spans="1:1" x14ac:dyDescent="0.55000000000000004">
      <c r="A5320" s="17"/>
    </row>
    <row r="5321" spans="1:1" x14ac:dyDescent="0.55000000000000004">
      <c r="A5321" s="17"/>
    </row>
    <row r="5322" spans="1:1" x14ac:dyDescent="0.55000000000000004">
      <c r="A5322" s="17"/>
    </row>
    <row r="5323" spans="1:1" x14ac:dyDescent="0.55000000000000004">
      <c r="A5323" s="17"/>
    </row>
    <row r="5324" spans="1:1" x14ac:dyDescent="0.55000000000000004">
      <c r="A5324" s="17"/>
    </row>
    <row r="5325" spans="1:1" x14ac:dyDescent="0.55000000000000004">
      <c r="A5325" s="17"/>
    </row>
    <row r="5326" spans="1:1" x14ac:dyDescent="0.55000000000000004">
      <c r="A5326" s="17"/>
    </row>
    <row r="5327" spans="1:1" x14ac:dyDescent="0.55000000000000004">
      <c r="A5327" s="17"/>
    </row>
    <row r="5328" spans="1:1" x14ac:dyDescent="0.55000000000000004">
      <c r="A5328" s="17"/>
    </row>
    <row r="5329" spans="1:1" x14ac:dyDescent="0.55000000000000004">
      <c r="A5329" s="17"/>
    </row>
    <row r="5330" spans="1:1" x14ac:dyDescent="0.55000000000000004">
      <c r="A5330" s="17"/>
    </row>
    <row r="5331" spans="1:1" x14ac:dyDescent="0.55000000000000004">
      <c r="A5331" s="17"/>
    </row>
    <row r="5332" spans="1:1" x14ac:dyDescent="0.55000000000000004">
      <c r="A5332" s="17"/>
    </row>
    <row r="5333" spans="1:1" x14ac:dyDescent="0.55000000000000004">
      <c r="A5333" s="17"/>
    </row>
    <row r="5334" spans="1:1" x14ac:dyDescent="0.55000000000000004">
      <c r="A5334" s="17"/>
    </row>
    <row r="5335" spans="1:1" x14ac:dyDescent="0.55000000000000004">
      <c r="A5335" s="17"/>
    </row>
    <row r="5336" spans="1:1" x14ac:dyDescent="0.55000000000000004">
      <c r="A5336" s="17"/>
    </row>
    <row r="5337" spans="1:1" x14ac:dyDescent="0.55000000000000004">
      <c r="A5337" s="17"/>
    </row>
    <row r="5338" spans="1:1" x14ac:dyDescent="0.55000000000000004">
      <c r="A5338" s="17"/>
    </row>
    <row r="5339" spans="1:1" x14ac:dyDescent="0.55000000000000004">
      <c r="A5339" s="17"/>
    </row>
    <row r="5340" spans="1:1" x14ac:dyDescent="0.55000000000000004">
      <c r="A5340" s="17"/>
    </row>
    <row r="5341" spans="1:1" x14ac:dyDescent="0.55000000000000004">
      <c r="A5341" s="17"/>
    </row>
    <row r="5342" spans="1:1" x14ac:dyDescent="0.55000000000000004">
      <c r="A5342" s="17"/>
    </row>
    <row r="5343" spans="1:1" x14ac:dyDescent="0.55000000000000004">
      <c r="A5343" s="17"/>
    </row>
    <row r="5344" spans="1:1" x14ac:dyDescent="0.55000000000000004">
      <c r="A5344" s="17"/>
    </row>
    <row r="5345" spans="1:1" x14ac:dyDescent="0.55000000000000004">
      <c r="A5345" s="17"/>
    </row>
    <row r="5346" spans="1:1" x14ac:dyDescent="0.55000000000000004">
      <c r="A5346" s="17"/>
    </row>
    <row r="5347" spans="1:1" x14ac:dyDescent="0.55000000000000004">
      <c r="A5347" s="17"/>
    </row>
    <row r="5348" spans="1:1" x14ac:dyDescent="0.55000000000000004">
      <c r="A5348" s="17"/>
    </row>
    <row r="5349" spans="1:1" x14ac:dyDescent="0.55000000000000004">
      <c r="A5349" s="17"/>
    </row>
    <row r="5350" spans="1:1" x14ac:dyDescent="0.55000000000000004">
      <c r="A5350" s="17"/>
    </row>
    <row r="5351" spans="1:1" x14ac:dyDescent="0.55000000000000004">
      <c r="A5351" s="17"/>
    </row>
    <row r="5352" spans="1:1" x14ac:dyDescent="0.55000000000000004">
      <c r="A5352" s="17"/>
    </row>
    <row r="5353" spans="1:1" x14ac:dyDescent="0.55000000000000004">
      <c r="A5353" s="17"/>
    </row>
    <row r="5354" spans="1:1" x14ac:dyDescent="0.55000000000000004">
      <c r="A5354" s="17"/>
    </row>
    <row r="5355" spans="1:1" x14ac:dyDescent="0.55000000000000004">
      <c r="A5355" s="17"/>
    </row>
    <row r="5356" spans="1:1" x14ac:dyDescent="0.55000000000000004">
      <c r="A5356" s="17"/>
    </row>
    <row r="5357" spans="1:1" x14ac:dyDescent="0.55000000000000004">
      <c r="A5357" s="17"/>
    </row>
    <row r="5358" spans="1:1" x14ac:dyDescent="0.55000000000000004">
      <c r="A5358" s="17"/>
    </row>
    <row r="5359" spans="1:1" x14ac:dyDescent="0.55000000000000004">
      <c r="A5359" s="17"/>
    </row>
    <row r="5360" spans="1:1" x14ac:dyDescent="0.55000000000000004">
      <c r="A5360" s="17"/>
    </row>
    <row r="5361" spans="1:1" x14ac:dyDescent="0.55000000000000004">
      <c r="A5361" s="17"/>
    </row>
    <row r="5362" spans="1:1" x14ac:dyDescent="0.55000000000000004">
      <c r="A5362" s="17"/>
    </row>
    <row r="5363" spans="1:1" x14ac:dyDescent="0.55000000000000004">
      <c r="A5363" s="17"/>
    </row>
    <row r="5364" spans="1:1" x14ac:dyDescent="0.55000000000000004">
      <c r="A5364" s="17"/>
    </row>
    <row r="5365" spans="1:1" x14ac:dyDescent="0.55000000000000004">
      <c r="A5365" s="17"/>
    </row>
    <row r="5366" spans="1:1" x14ac:dyDescent="0.55000000000000004">
      <c r="A5366" s="17"/>
    </row>
    <row r="5367" spans="1:1" x14ac:dyDescent="0.55000000000000004">
      <c r="A5367" s="17"/>
    </row>
    <row r="5368" spans="1:1" x14ac:dyDescent="0.55000000000000004">
      <c r="A5368" s="17"/>
    </row>
    <row r="5369" spans="1:1" x14ac:dyDescent="0.55000000000000004">
      <c r="A5369" s="17"/>
    </row>
    <row r="5370" spans="1:1" x14ac:dyDescent="0.55000000000000004">
      <c r="A5370" s="17"/>
    </row>
    <row r="5371" spans="1:1" x14ac:dyDescent="0.55000000000000004">
      <c r="A5371" s="17"/>
    </row>
    <row r="5372" spans="1:1" x14ac:dyDescent="0.55000000000000004">
      <c r="A5372" s="17"/>
    </row>
    <row r="5373" spans="1:1" x14ac:dyDescent="0.55000000000000004">
      <c r="A5373" s="17"/>
    </row>
    <row r="5374" spans="1:1" x14ac:dyDescent="0.55000000000000004">
      <c r="A5374" s="17"/>
    </row>
    <row r="5375" spans="1:1" x14ac:dyDescent="0.55000000000000004">
      <c r="A5375" s="17"/>
    </row>
    <row r="5376" spans="1:1" x14ac:dyDescent="0.55000000000000004">
      <c r="A5376" s="17"/>
    </row>
    <row r="5377" spans="1:1" x14ac:dyDescent="0.55000000000000004">
      <c r="A5377" s="17"/>
    </row>
    <row r="5378" spans="1:1" x14ac:dyDescent="0.55000000000000004">
      <c r="A5378" s="17"/>
    </row>
    <row r="5379" spans="1:1" x14ac:dyDescent="0.55000000000000004">
      <c r="A5379" s="17"/>
    </row>
    <row r="5380" spans="1:1" x14ac:dyDescent="0.55000000000000004">
      <c r="A5380" s="17"/>
    </row>
    <row r="5381" spans="1:1" x14ac:dyDescent="0.55000000000000004">
      <c r="A5381" s="17"/>
    </row>
    <row r="5382" spans="1:1" x14ac:dyDescent="0.55000000000000004">
      <c r="A5382" s="17"/>
    </row>
    <row r="5383" spans="1:1" x14ac:dyDescent="0.55000000000000004">
      <c r="A5383" s="17"/>
    </row>
    <row r="5384" spans="1:1" x14ac:dyDescent="0.55000000000000004">
      <c r="A5384" s="17"/>
    </row>
    <row r="5385" spans="1:1" x14ac:dyDescent="0.55000000000000004">
      <c r="A5385" s="17"/>
    </row>
    <row r="5386" spans="1:1" x14ac:dyDescent="0.55000000000000004">
      <c r="A5386" s="17"/>
    </row>
    <row r="5387" spans="1:1" x14ac:dyDescent="0.55000000000000004">
      <c r="A5387" s="17"/>
    </row>
    <row r="5388" spans="1:1" x14ac:dyDescent="0.55000000000000004">
      <c r="A5388" s="17"/>
    </row>
    <row r="5389" spans="1:1" x14ac:dyDescent="0.55000000000000004">
      <c r="A5389" s="17"/>
    </row>
    <row r="5390" spans="1:1" x14ac:dyDescent="0.55000000000000004">
      <c r="A5390" s="17"/>
    </row>
    <row r="5391" spans="1:1" x14ac:dyDescent="0.55000000000000004">
      <c r="A5391" s="17"/>
    </row>
    <row r="5392" spans="1:1" x14ac:dyDescent="0.55000000000000004">
      <c r="A5392" s="17"/>
    </row>
    <row r="5393" spans="1:1" x14ac:dyDescent="0.55000000000000004">
      <c r="A5393" s="17"/>
    </row>
    <row r="5394" spans="1:1" x14ac:dyDescent="0.55000000000000004">
      <c r="A5394" s="17"/>
    </row>
    <row r="5395" spans="1:1" x14ac:dyDescent="0.55000000000000004">
      <c r="A5395" s="17"/>
    </row>
    <row r="5396" spans="1:1" x14ac:dyDescent="0.55000000000000004">
      <c r="A5396" s="17"/>
    </row>
    <row r="5397" spans="1:1" x14ac:dyDescent="0.55000000000000004">
      <c r="A5397" s="17"/>
    </row>
    <row r="5398" spans="1:1" x14ac:dyDescent="0.55000000000000004">
      <c r="A5398" s="17"/>
    </row>
    <row r="5399" spans="1:1" x14ac:dyDescent="0.55000000000000004">
      <c r="A5399" s="17"/>
    </row>
    <row r="5400" spans="1:1" x14ac:dyDescent="0.55000000000000004">
      <c r="A5400" s="17"/>
    </row>
    <row r="5401" spans="1:1" x14ac:dyDescent="0.55000000000000004">
      <c r="A5401" s="17"/>
    </row>
    <row r="5402" spans="1:1" x14ac:dyDescent="0.55000000000000004">
      <c r="A5402" s="17"/>
    </row>
    <row r="5403" spans="1:1" x14ac:dyDescent="0.55000000000000004">
      <c r="A5403" s="17"/>
    </row>
    <row r="5404" spans="1:1" x14ac:dyDescent="0.55000000000000004">
      <c r="A5404" s="17"/>
    </row>
    <row r="5405" spans="1:1" x14ac:dyDescent="0.55000000000000004">
      <c r="A5405" s="17"/>
    </row>
    <row r="5406" spans="1:1" x14ac:dyDescent="0.55000000000000004">
      <c r="A5406" s="17"/>
    </row>
    <row r="5407" spans="1:1" x14ac:dyDescent="0.55000000000000004">
      <c r="A5407" s="17"/>
    </row>
    <row r="5408" spans="1:1" x14ac:dyDescent="0.55000000000000004">
      <c r="A5408" s="17"/>
    </row>
    <row r="5409" spans="1:1" x14ac:dyDescent="0.55000000000000004">
      <c r="A5409" s="17"/>
    </row>
    <row r="5410" spans="1:1" x14ac:dyDescent="0.55000000000000004">
      <c r="A5410" s="17"/>
    </row>
    <row r="5411" spans="1:1" x14ac:dyDescent="0.55000000000000004">
      <c r="A5411" s="17"/>
    </row>
    <row r="5412" spans="1:1" x14ac:dyDescent="0.55000000000000004">
      <c r="A5412" s="17"/>
    </row>
    <row r="5413" spans="1:1" x14ac:dyDescent="0.55000000000000004">
      <c r="A5413" s="17"/>
    </row>
    <row r="5414" spans="1:1" x14ac:dyDescent="0.55000000000000004">
      <c r="A5414" s="17"/>
    </row>
    <row r="5415" spans="1:1" x14ac:dyDescent="0.55000000000000004">
      <c r="A5415" s="17"/>
    </row>
    <row r="5416" spans="1:1" x14ac:dyDescent="0.55000000000000004">
      <c r="A5416" s="17"/>
    </row>
    <row r="5417" spans="1:1" x14ac:dyDescent="0.55000000000000004">
      <c r="A5417" s="17"/>
    </row>
    <row r="5418" spans="1:1" x14ac:dyDescent="0.55000000000000004">
      <c r="A5418" s="17"/>
    </row>
    <row r="5419" spans="1:1" x14ac:dyDescent="0.55000000000000004">
      <c r="A5419" s="17"/>
    </row>
    <row r="5420" spans="1:1" x14ac:dyDescent="0.55000000000000004">
      <c r="A5420" s="17"/>
    </row>
    <row r="5421" spans="1:1" x14ac:dyDescent="0.55000000000000004">
      <c r="A5421" s="17"/>
    </row>
    <row r="5422" spans="1:1" x14ac:dyDescent="0.55000000000000004">
      <c r="A5422" s="17"/>
    </row>
    <row r="5423" spans="1:1" x14ac:dyDescent="0.55000000000000004">
      <c r="A5423" s="17"/>
    </row>
    <row r="5424" spans="1:1" x14ac:dyDescent="0.55000000000000004">
      <c r="A5424" s="17"/>
    </row>
    <row r="5425" spans="1:1" x14ac:dyDescent="0.55000000000000004">
      <c r="A5425" s="17"/>
    </row>
    <row r="5426" spans="1:1" x14ac:dyDescent="0.55000000000000004">
      <c r="A5426" s="17"/>
    </row>
    <row r="5427" spans="1:1" x14ac:dyDescent="0.55000000000000004">
      <c r="A5427" s="17"/>
    </row>
    <row r="5428" spans="1:1" x14ac:dyDescent="0.55000000000000004">
      <c r="A5428" s="17"/>
    </row>
    <row r="5429" spans="1:1" x14ac:dyDescent="0.55000000000000004">
      <c r="A5429" s="17"/>
    </row>
    <row r="5430" spans="1:1" x14ac:dyDescent="0.55000000000000004">
      <c r="A5430" s="17"/>
    </row>
    <row r="5431" spans="1:1" x14ac:dyDescent="0.55000000000000004">
      <c r="A5431" s="17"/>
    </row>
    <row r="5432" spans="1:1" x14ac:dyDescent="0.55000000000000004">
      <c r="A5432" s="17"/>
    </row>
    <row r="5433" spans="1:1" x14ac:dyDescent="0.55000000000000004">
      <c r="A5433" s="17"/>
    </row>
    <row r="5434" spans="1:1" x14ac:dyDescent="0.55000000000000004">
      <c r="A5434" s="17"/>
    </row>
    <row r="5435" spans="1:1" x14ac:dyDescent="0.55000000000000004">
      <c r="A5435" s="17"/>
    </row>
    <row r="5436" spans="1:1" x14ac:dyDescent="0.55000000000000004">
      <c r="A5436" s="17"/>
    </row>
    <row r="5437" spans="1:1" x14ac:dyDescent="0.55000000000000004">
      <c r="A5437" s="17"/>
    </row>
    <row r="5438" spans="1:1" x14ac:dyDescent="0.55000000000000004">
      <c r="A5438" s="17"/>
    </row>
    <row r="5439" spans="1:1" x14ac:dyDescent="0.55000000000000004">
      <c r="A5439" s="17"/>
    </row>
    <row r="5440" spans="1:1" x14ac:dyDescent="0.55000000000000004">
      <c r="A5440" s="17"/>
    </row>
    <row r="5441" spans="1:1" x14ac:dyDescent="0.55000000000000004">
      <c r="A5441" s="17"/>
    </row>
    <row r="5442" spans="1:1" x14ac:dyDescent="0.55000000000000004">
      <c r="A5442" s="17"/>
    </row>
    <row r="5443" spans="1:1" x14ac:dyDescent="0.55000000000000004">
      <c r="A5443" s="17"/>
    </row>
    <row r="5444" spans="1:1" x14ac:dyDescent="0.55000000000000004">
      <c r="A5444" s="17"/>
    </row>
    <row r="5445" spans="1:1" x14ac:dyDescent="0.55000000000000004">
      <c r="A5445" s="17"/>
    </row>
    <row r="5446" spans="1:1" x14ac:dyDescent="0.55000000000000004">
      <c r="A5446" s="17"/>
    </row>
    <row r="5447" spans="1:1" x14ac:dyDescent="0.55000000000000004">
      <c r="A5447" s="17"/>
    </row>
    <row r="5448" spans="1:1" x14ac:dyDescent="0.55000000000000004">
      <c r="A5448" s="17"/>
    </row>
    <row r="5449" spans="1:1" x14ac:dyDescent="0.55000000000000004">
      <c r="A5449" s="17"/>
    </row>
    <row r="5450" spans="1:1" x14ac:dyDescent="0.55000000000000004">
      <c r="A5450" s="17"/>
    </row>
    <row r="5451" spans="1:1" x14ac:dyDescent="0.55000000000000004">
      <c r="A5451" s="17"/>
    </row>
    <row r="5452" spans="1:1" x14ac:dyDescent="0.55000000000000004">
      <c r="A5452" s="17"/>
    </row>
    <row r="5453" spans="1:1" x14ac:dyDescent="0.55000000000000004">
      <c r="A5453" s="17"/>
    </row>
    <row r="5454" spans="1:1" x14ac:dyDescent="0.55000000000000004">
      <c r="A5454" s="17"/>
    </row>
    <row r="5455" spans="1:1" x14ac:dyDescent="0.55000000000000004">
      <c r="A5455" s="17"/>
    </row>
    <row r="5456" spans="1:1" x14ac:dyDescent="0.55000000000000004">
      <c r="A5456" s="17"/>
    </row>
    <row r="5457" spans="1:1" x14ac:dyDescent="0.55000000000000004">
      <c r="A5457" s="17"/>
    </row>
    <row r="5458" spans="1:1" x14ac:dyDescent="0.55000000000000004">
      <c r="A5458" s="17"/>
    </row>
    <row r="5459" spans="1:1" x14ac:dyDescent="0.55000000000000004">
      <c r="A5459" s="17"/>
    </row>
    <row r="5460" spans="1:1" x14ac:dyDescent="0.55000000000000004">
      <c r="A5460" s="17"/>
    </row>
    <row r="5461" spans="1:1" x14ac:dyDescent="0.55000000000000004">
      <c r="A5461" s="17"/>
    </row>
    <row r="5462" spans="1:1" x14ac:dyDescent="0.55000000000000004">
      <c r="A5462" s="17"/>
    </row>
    <row r="5463" spans="1:1" x14ac:dyDescent="0.55000000000000004">
      <c r="A5463" s="17"/>
    </row>
    <row r="5464" spans="1:1" x14ac:dyDescent="0.55000000000000004">
      <c r="A5464" s="17"/>
    </row>
    <row r="5465" spans="1:1" x14ac:dyDescent="0.55000000000000004">
      <c r="A5465" s="17"/>
    </row>
    <row r="5466" spans="1:1" x14ac:dyDescent="0.55000000000000004">
      <c r="A5466" s="17"/>
    </row>
    <row r="5467" spans="1:1" x14ac:dyDescent="0.55000000000000004">
      <c r="A5467" s="17"/>
    </row>
    <row r="5468" spans="1:1" x14ac:dyDescent="0.55000000000000004">
      <c r="A5468" s="17"/>
    </row>
    <row r="5469" spans="1:1" x14ac:dyDescent="0.55000000000000004">
      <c r="A5469" s="17"/>
    </row>
    <row r="5470" spans="1:1" x14ac:dyDescent="0.55000000000000004">
      <c r="A5470" s="17"/>
    </row>
    <row r="5471" spans="1:1" x14ac:dyDescent="0.55000000000000004">
      <c r="A5471" s="17"/>
    </row>
    <row r="5472" spans="1:1" x14ac:dyDescent="0.55000000000000004">
      <c r="A5472" s="17"/>
    </row>
    <row r="5473" spans="1:1" x14ac:dyDescent="0.55000000000000004">
      <c r="A5473" s="17"/>
    </row>
    <row r="5474" spans="1:1" x14ac:dyDescent="0.55000000000000004">
      <c r="A5474" s="17"/>
    </row>
    <row r="5475" spans="1:1" x14ac:dyDescent="0.55000000000000004">
      <c r="A5475" s="17"/>
    </row>
    <row r="5476" spans="1:1" x14ac:dyDescent="0.55000000000000004">
      <c r="A5476" s="17"/>
    </row>
    <row r="5477" spans="1:1" x14ac:dyDescent="0.55000000000000004">
      <c r="A5477" s="17"/>
    </row>
    <row r="5478" spans="1:1" x14ac:dyDescent="0.55000000000000004">
      <c r="A5478" s="17"/>
    </row>
    <row r="5479" spans="1:1" x14ac:dyDescent="0.55000000000000004">
      <c r="A5479" s="17"/>
    </row>
    <row r="5480" spans="1:1" x14ac:dyDescent="0.55000000000000004">
      <c r="A5480" s="17"/>
    </row>
    <row r="5481" spans="1:1" x14ac:dyDescent="0.55000000000000004">
      <c r="A5481" s="17"/>
    </row>
    <row r="5482" spans="1:1" x14ac:dyDescent="0.55000000000000004">
      <c r="A5482" s="17"/>
    </row>
    <row r="5483" spans="1:1" x14ac:dyDescent="0.55000000000000004">
      <c r="A5483" s="17"/>
    </row>
    <row r="5484" spans="1:1" x14ac:dyDescent="0.55000000000000004">
      <c r="A5484" s="17"/>
    </row>
    <row r="5485" spans="1:1" x14ac:dyDescent="0.55000000000000004">
      <c r="A5485" s="17"/>
    </row>
    <row r="5486" spans="1:1" x14ac:dyDescent="0.55000000000000004">
      <c r="A5486" s="17"/>
    </row>
    <row r="5487" spans="1:1" x14ac:dyDescent="0.55000000000000004">
      <c r="A5487" s="17"/>
    </row>
    <row r="5488" spans="1:1" x14ac:dyDescent="0.55000000000000004">
      <c r="A5488" s="17"/>
    </row>
    <row r="5489" spans="1:1" x14ac:dyDescent="0.55000000000000004">
      <c r="A5489" s="17"/>
    </row>
    <row r="5490" spans="1:1" x14ac:dyDescent="0.55000000000000004">
      <c r="A5490" s="17"/>
    </row>
    <row r="5491" spans="1:1" x14ac:dyDescent="0.55000000000000004">
      <c r="A5491" s="17"/>
    </row>
    <row r="5492" spans="1:1" x14ac:dyDescent="0.55000000000000004">
      <c r="A5492" s="17"/>
    </row>
    <row r="5493" spans="1:1" x14ac:dyDescent="0.55000000000000004">
      <c r="A5493" s="17"/>
    </row>
    <row r="5494" spans="1:1" x14ac:dyDescent="0.55000000000000004">
      <c r="A5494" s="17"/>
    </row>
    <row r="5495" spans="1:1" x14ac:dyDescent="0.55000000000000004">
      <c r="A5495" s="17"/>
    </row>
    <row r="5496" spans="1:1" x14ac:dyDescent="0.55000000000000004">
      <c r="A5496" s="17"/>
    </row>
    <row r="5497" spans="1:1" x14ac:dyDescent="0.55000000000000004">
      <c r="A5497" s="17"/>
    </row>
    <row r="5498" spans="1:1" x14ac:dyDescent="0.55000000000000004">
      <c r="A5498" s="17"/>
    </row>
    <row r="5499" spans="1:1" x14ac:dyDescent="0.55000000000000004">
      <c r="A5499" s="17"/>
    </row>
    <row r="5500" spans="1:1" x14ac:dyDescent="0.55000000000000004">
      <c r="A5500" s="17"/>
    </row>
    <row r="5501" spans="1:1" x14ac:dyDescent="0.55000000000000004">
      <c r="A5501" s="17"/>
    </row>
    <row r="5502" spans="1:1" x14ac:dyDescent="0.55000000000000004">
      <c r="A5502" s="17"/>
    </row>
    <row r="5503" spans="1:1" x14ac:dyDescent="0.55000000000000004">
      <c r="A5503" s="17"/>
    </row>
    <row r="5504" spans="1:1" x14ac:dyDescent="0.55000000000000004">
      <c r="A5504" s="17"/>
    </row>
    <row r="5505" spans="1:1" x14ac:dyDescent="0.55000000000000004">
      <c r="A5505" s="17"/>
    </row>
    <row r="5506" spans="1:1" x14ac:dyDescent="0.55000000000000004">
      <c r="A5506" s="17"/>
    </row>
    <row r="5507" spans="1:1" x14ac:dyDescent="0.55000000000000004">
      <c r="A5507" s="17"/>
    </row>
    <row r="5508" spans="1:1" x14ac:dyDescent="0.55000000000000004">
      <c r="A5508" s="17"/>
    </row>
    <row r="5509" spans="1:1" x14ac:dyDescent="0.55000000000000004">
      <c r="A5509" s="17"/>
    </row>
    <row r="5510" spans="1:1" x14ac:dyDescent="0.55000000000000004">
      <c r="A5510" s="17"/>
    </row>
    <row r="5511" spans="1:1" x14ac:dyDescent="0.55000000000000004">
      <c r="A5511" s="17"/>
    </row>
    <row r="5512" spans="1:1" x14ac:dyDescent="0.55000000000000004">
      <c r="A5512" s="17"/>
    </row>
    <row r="5513" spans="1:1" x14ac:dyDescent="0.55000000000000004">
      <c r="A5513" s="17"/>
    </row>
    <row r="5514" spans="1:1" x14ac:dyDescent="0.55000000000000004">
      <c r="A5514" s="17"/>
    </row>
    <row r="5515" spans="1:1" x14ac:dyDescent="0.55000000000000004">
      <c r="A5515" s="17"/>
    </row>
    <row r="5516" spans="1:1" x14ac:dyDescent="0.55000000000000004">
      <c r="A5516" s="17"/>
    </row>
    <row r="5517" spans="1:1" x14ac:dyDescent="0.55000000000000004">
      <c r="A5517" s="17"/>
    </row>
    <row r="5518" spans="1:1" x14ac:dyDescent="0.55000000000000004">
      <c r="A5518" s="17"/>
    </row>
    <row r="5519" spans="1:1" x14ac:dyDescent="0.55000000000000004">
      <c r="A5519" s="17"/>
    </row>
    <row r="5520" spans="1:1" x14ac:dyDescent="0.55000000000000004">
      <c r="A5520" s="17"/>
    </row>
    <row r="5521" spans="1:1" x14ac:dyDescent="0.55000000000000004">
      <c r="A5521" s="17"/>
    </row>
    <row r="5522" spans="1:1" x14ac:dyDescent="0.55000000000000004">
      <c r="A5522" s="17"/>
    </row>
    <row r="5523" spans="1:1" x14ac:dyDescent="0.55000000000000004">
      <c r="A5523" s="17"/>
    </row>
    <row r="5524" spans="1:1" x14ac:dyDescent="0.55000000000000004">
      <c r="A5524" s="17"/>
    </row>
    <row r="5525" spans="1:1" x14ac:dyDescent="0.55000000000000004">
      <c r="A5525" s="17"/>
    </row>
    <row r="5526" spans="1:1" x14ac:dyDescent="0.55000000000000004">
      <c r="A5526" s="17"/>
    </row>
    <row r="5527" spans="1:1" x14ac:dyDescent="0.55000000000000004">
      <c r="A5527" s="17"/>
    </row>
    <row r="5528" spans="1:1" x14ac:dyDescent="0.55000000000000004">
      <c r="A5528" s="17"/>
    </row>
    <row r="5529" spans="1:1" x14ac:dyDescent="0.55000000000000004">
      <c r="A5529" s="17"/>
    </row>
    <row r="5530" spans="1:1" x14ac:dyDescent="0.55000000000000004">
      <c r="A5530" s="17"/>
    </row>
    <row r="5531" spans="1:1" x14ac:dyDescent="0.55000000000000004">
      <c r="A5531" s="17"/>
    </row>
    <row r="5532" spans="1:1" x14ac:dyDescent="0.55000000000000004">
      <c r="A5532" s="17"/>
    </row>
    <row r="5533" spans="1:1" x14ac:dyDescent="0.55000000000000004">
      <c r="A5533" s="17"/>
    </row>
    <row r="5534" spans="1:1" x14ac:dyDescent="0.55000000000000004">
      <c r="A5534" s="17"/>
    </row>
    <row r="5535" spans="1:1" x14ac:dyDescent="0.55000000000000004">
      <c r="A5535" s="17"/>
    </row>
    <row r="5536" spans="1:1" x14ac:dyDescent="0.55000000000000004">
      <c r="A5536" s="17"/>
    </row>
    <row r="5537" spans="1:1" x14ac:dyDescent="0.55000000000000004">
      <c r="A5537" s="17"/>
    </row>
    <row r="5538" spans="1:1" x14ac:dyDescent="0.55000000000000004">
      <c r="A5538" s="17"/>
    </row>
    <row r="5539" spans="1:1" x14ac:dyDescent="0.55000000000000004">
      <c r="A5539" s="17"/>
    </row>
    <row r="5540" spans="1:1" x14ac:dyDescent="0.55000000000000004">
      <c r="A5540" s="17"/>
    </row>
    <row r="5541" spans="1:1" x14ac:dyDescent="0.55000000000000004">
      <c r="A5541" s="17"/>
    </row>
    <row r="5542" spans="1:1" x14ac:dyDescent="0.55000000000000004">
      <c r="A5542" s="17"/>
    </row>
    <row r="5543" spans="1:1" x14ac:dyDescent="0.55000000000000004">
      <c r="A5543" s="17"/>
    </row>
    <row r="5544" spans="1:1" x14ac:dyDescent="0.55000000000000004">
      <c r="A5544" s="17"/>
    </row>
    <row r="5545" spans="1:1" x14ac:dyDescent="0.55000000000000004">
      <c r="A5545" s="17"/>
    </row>
    <row r="5546" spans="1:1" x14ac:dyDescent="0.55000000000000004">
      <c r="A5546" s="17"/>
    </row>
    <row r="5547" spans="1:1" x14ac:dyDescent="0.55000000000000004">
      <c r="A5547" s="17"/>
    </row>
    <row r="5548" spans="1:1" x14ac:dyDescent="0.55000000000000004">
      <c r="A5548" s="17"/>
    </row>
    <row r="5549" spans="1:1" x14ac:dyDescent="0.55000000000000004">
      <c r="A5549" s="17"/>
    </row>
    <row r="5550" spans="1:1" x14ac:dyDescent="0.55000000000000004">
      <c r="A5550" s="17"/>
    </row>
    <row r="5551" spans="1:1" x14ac:dyDescent="0.55000000000000004">
      <c r="A5551" s="17"/>
    </row>
    <row r="5552" spans="1:1" x14ac:dyDescent="0.55000000000000004">
      <c r="A5552" s="17"/>
    </row>
    <row r="5553" spans="1:1" x14ac:dyDescent="0.55000000000000004">
      <c r="A5553" s="17"/>
    </row>
    <row r="5554" spans="1:1" x14ac:dyDescent="0.55000000000000004">
      <c r="A5554" s="17"/>
    </row>
    <row r="5555" spans="1:1" x14ac:dyDescent="0.55000000000000004">
      <c r="A5555" s="17"/>
    </row>
    <row r="5556" spans="1:1" x14ac:dyDescent="0.55000000000000004">
      <c r="A5556" s="17"/>
    </row>
    <row r="5557" spans="1:1" x14ac:dyDescent="0.55000000000000004">
      <c r="A5557" s="17"/>
    </row>
    <row r="5558" spans="1:1" x14ac:dyDescent="0.55000000000000004">
      <c r="A5558" s="17"/>
    </row>
    <row r="5559" spans="1:1" x14ac:dyDescent="0.55000000000000004">
      <c r="A5559" s="17"/>
    </row>
    <row r="5560" spans="1:1" x14ac:dyDescent="0.55000000000000004">
      <c r="A5560" s="17"/>
    </row>
    <row r="5561" spans="1:1" x14ac:dyDescent="0.55000000000000004">
      <c r="A5561" s="17"/>
    </row>
    <row r="5562" spans="1:1" x14ac:dyDescent="0.55000000000000004">
      <c r="A5562" s="17"/>
    </row>
    <row r="5563" spans="1:1" x14ac:dyDescent="0.55000000000000004">
      <c r="A5563" s="17"/>
    </row>
    <row r="5564" spans="1:1" x14ac:dyDescent="0.55000000000000004">
      <c r="A5564" s="17"/>
    </row>
    <row r="5565" spans="1:1" x14ac:dyDescent="0.55000000000000004">
      <c r="A5565" s="17"/>
    </row>
    <row r="5566" spans="1:1" x14ac:dyDescent="0.55000000000000004">
      <c r="A5566" s="17"/>
    </row>
    <row r="5567" spans="1:1" x14ac:dyDescent="0.55000000000000004">
      <c r="A5567" s="17"/>
    </row>
    <row r="5568" spans="1:1" x14ac:dyDescent="0.55000000000000004">
      <c r="A5568" s="17"/>
    </row>
    <row r="5569" spans="1:1" x14ac:dyDescent="0.55000000000000004">
      <c r="A5569" s="17"/>
    </row>
    <row r="5570" spans="1:1" x14ac:dyDescent="0.55000000000000004">
      <c r="A5570" s="17"/>
    </row>
    <row r="5571" spans="1:1" x14ac:dyDescent="0.55000000000000004">
      <c r="A5571" s="17"/>
    </row>
    <row r="5572" spans="1:1" x14ac:dyDescent="0.55000000000000004">
      <c r="A5572" s="17"/>
    </row>
    <row r="5573" spans="1:1" x14ac:dyDescent="0.55000000000000004">
      <c r="A5573" s="17"/>
    </row>
    <row r="5574" spans="1:1" x14ac:dyDescent="0.55000000000000004">
      <c r="A5574" s="17"/>
    </row>
    <row r="5575" spans="1:1" x14ac:dyDescent="0.55000000000000004">
      <c r="A5575" s="17"/>
    </row>
    <row r="5576" spans="1:1" x14ac:dyDescent="0.55000000000000004">
      <c r="A5576" s="17"/>
    </row>
    <row r="5577" spans="1:1" x14ac:dyDescent="0.55000000000000004">
      <c r="A5577" s="17"/>
    </row>
    <row r="5578" spans="1:1" x14ac:dyDescent="0.55000000000000004">
      <c r="A5578" s="17"/>
    </row>
    <row r="5579" spans="1:1" x14ac:dyDescent="0.55000000000000004">
      <c r="A5579" s="17"/>
    </row>
    <row r="5580" spans="1:1" x14ac:dyDescent="0.55000000000000004">
      <c r="A5580" s="17"/>
    </row>
    <row r="5581" spans="1:1" x14ac:dyDescent="0.55000000000000004">
      <c r="A5581" s="17"/>
    </row>
    <row r="5582" spans="1:1" x14ac:dyDescent="0.55000000000000004">
      <c r="A5582" s="17"/>
    </row>
    <row r="5583" spans="1:1" x14ac:dyDescent="0.55000000000000004">
      <c r="A5583" s="17"/>
    </row>
    <row r="5584" spans="1:1" x14ac:dyDescent="0.55000000000000004">
      <c r="A5584" s="17"/>
    </row>
    <row r="5585" spans="1:1" x14ac:dyDescent="0.55000000000000004">
      <c r="A5585" s="17"/>
    </row>
    <row r="5586" spans="1:1" x14ac:dyDescent="0.55000000000000004">
      <c r="A5586" s="17"/>
    </row>
    <row r="5587" spans="1:1" x14ac:dyDescent="0.55000000000000004">
      <c r="A5587" s="17"/>
    </row>
    <row r="5588" spans="1:1" x14ac:dyDescent="0.55000000000000004">
      <c r="A5588" s="17"/>
    </row>
    <row r="5589" spans="1:1" x14ac:dyDescent="0.55000000000000004">
      <c r="A5589" s="17"/>
    </row>
    <row r="5590" spans="1:1" x14ac:dyDescent="0.55000000000000004">
      <c r="A5590" s="17"/>
    </row>
    <row r="5591" spans="1:1" x14ac:dyDescent="0.55000000000000004">
      <c r="A5591" s="17"/>
    </row>
    <row r="5592" spans="1:1" x14ac:dyDescent="0.55000000000000004">
      <c r="A5592" s="17"/>
    </row>
    <row r="5593" spans="1:1" x14ac:dyDescent="0.55000000000000004">
      <c r="A5593" s="17"/>
    </row>
    <row r="5594" spans="1:1" x14ac:dyDescent="0.55000000000000004">
      <c r="A5594" s="17"/>
    </row>
    <row r="5595" spans="1:1" x14ac:dyDescent="0.55000000000000004">
      <c r="A5595" s="17"/>
    </row>
    <row r="5596" spans="1:1" x14ac:dyDescent="0.55000000000000004">
      <c r="A5596" s="17"/>
    </row>
    <row r="5597" spans="1:1" x14ac:dyDescent="0.55000000000000004">
      <c r="A5597" s="17"/>
    </row>
    <row r="5598" spans="1:1" x14ac:dyDescent="0.55000000000000004">
      <c r="A5598" s="17"/>
    </row>
    <row r="5599" spans="1:1" x14ac:dyDescent="0.55000000000000004">
      <c r="A5599" s="17"/>
    </row>
    <row r="5600" spans="1:1" x14ac:dyDescent="0.55000000000000004">
      <c r="A5600" s="17"/>
    </row>
    <row r="5601" spans="1:1" x14ac:dyDescent="0.55000000000000004">
      <c r="A5601" s="17"/>
    </row>
    <row r="5602" spans="1:1" x14ac:dyDescent="0.55000000000000004">
      <c r="A5602" s="17"/>
    </row>
    <row r="5603" spans="1:1" x14ac:dyDescent="0.55000000000000004">
      <c r="A5603" s="17"/>
    </row>
    <row r="5604" spans="1:1" x14ac:dyDescent="0.55000000000000004">
      <c r="A5604" s="17"/>
    </row>
    <row r="5605" spans="1:1" x14ac:dyDescent="0.55000000000000004">
      <c r="A5605" s="17"/>
    </row>
    <row r="5606" spans="1:1" x14ac:dyDescent="0.55000000000000004">
      <c r="A5606" s="17"/>
    </row>
    <row r="5607" spans="1:1" x14ac:dyDescent="0.55000000000000004">
      <c r="A5607" s="17"/>
    </row>
    <row r="5608" spans="1:1" x14ac:dyDescent="0.55000000000000004">
      <c r="A5608" s="17"/>
    </row>
    <row r="5609" spans="1:1" x14ac:dyDescent="0.55000000000000004">
      <c r="A5609" s="17"/>
    </row>
    <row r="5610" spans="1:1" x14ac:dyDescent="0.55000000000000004">
      <c r="A5610" s="17"/>
    </row>
    <row r="5611" spans="1:1" x14ac:dyDescent="0.55000000000000004">
      <c r="A5611" s="17"/>
    </row>
    <row r="5612" spans="1:1" x14ac:dyDescent="0.55000000000000004">
      <c r="A5612" s="17"/>
    </row>
    <row r="5613" spans="1:1" x14ac:dyDescent="0.55000000000000004">
      <c r="A5613" s="17"/>
    </row>
    <row r="5614" spans="1:1" x14ac:dyDescent="0.55000000000000004">
      <c r="A5614" s="17"/>
    </row>
    <row r="5615" spans="1:1" x14ac:dyDescent="0.55000000000000004">
      <c r="A5615" s="17"/>
    </row>
    <row r="5616" spans="1:1" x14ac:dyDescent="0.55000000000000004">
      <c r="A5616" s="17"/>
    </row>
    <row r="5617" spans="1:1" x14ac:dyDescent="0.55000000000000004">
      <c r="A5617" s="17"/>
    </row>
    <row r="5618" spans="1:1" x14ac:dyDescent="0.55000000000000004">
      <c r="A5618" s="17"/>
    </row>
    <row r="5619" spans="1:1" x14ac:dyDescent="0.55000000000000004">
      <c r="A5619" s="17"/>
    </row>
    <row r="5620" spans="1:1" x14ac:dyDescent="0.55000000000000004">
      <c r="A5620" s="17"/>
    </row>
    <row r="5621" spans="1:1" x14ac:dyDescent="0.55000000000000004">
      <c r="A5621" s="17"/>
    </row>
    <row r="5622" spans="1:1" x14ac:dyDescent="0.55000000000000004">
      <c r="A5622" s="17"/>
    </row>
    <row r="5623" spans="1:1" x14ac:dyDescent="0.55000000000000004">
      <c r="A5623" s="17"/>
    </row>
    <row r="5624" spans="1:1" x14ac:dyDescent="0.55000000000000004">
      <c r="A5624" s="17"/>
    </row>
    <row r="5625" spans="1:1" x14ac:dyDescent="0.55000000000000004">
      <c r="A5625" s="17"/>
    </row>
    <row r="5626" spans="1:1" x14ac:dyDescent="0.55000000000000004">
      <c r="A5626" s="17"/>
    </row>
    <row r="5627" spans="1:1" x14ac:dyDescent="0.55000000000000004">
      <c r="A5627" s="17"/>
    </row>
    <row r="5628" spans="1:1" x14ac:dyDescent="0.55000000000000004">
      <c r="A5628" s="17"/>
    </row>
    <row r="5629" spans="1:1" x14ac:dyDescent="0.55000000000000004">
      <c r="A5629" s="17"/>
    </row>
    <row r="5630" spans="1:1" x14ac:dyDescent="0.55000000000000004">
      <c r="A5630" s="17"/>
    </row>
    <row r="5631" spans="1:1" x14ac:dyDescent="0.55000000000000004">
      <c r="A5631" s="17"/>
    </row>
    <row r="5632" spans="1:1" x14ac:dyDescent="0.55000000000000004">
      <c r="A5632" s="17"/>
    </row>
    <row r="5633" spans="1:1" x14ac:dyDescent="0.55000000000000004">
      <c r="A5633" s="17"/>
    </row>
    <row r="5634" spans="1:1" x14ac:dyDescent="0.55000000000000004">
      <c r="A5634" s="17"/>
    </row>
    <row r="5635" spans="1:1" x14ac:dyDescent="0.55000000000000004">
      <c r="A5635" s="17"/>
    </row>
    <row r="5636" spans="1:1" x14ac:dyDescent="0.55000000000000004">
      <c r="A5636" s="17"/>
    </row>
    <row r="5637" spans="1:1" x14ac:dyDescent="0.55000000000000004">
      <c r="A5637" s="17"/>
    </row>
    <row r="5638" spans="1:1" x14ac:dyDescent="0.55000000000000004">
      <c r="A5638" s="17"/>
    </row>
    <row r="5639" spans="1:1" x14ac:dyDescent="0.55000000000000004">
      <c r="A5639" s="17"/>
    </row>
    <row r="5640" spans="1:1" x14ac:dyDescent="0.55000000000000004">
      <c r="A5640" s="17"/>
    </row>
    <row r="5641" spans="1:1" x14ac:dyDescent="0.55000000000000004">
      <c r="A5641" s="17"/>
    </row>
    <row r="5642" spans="1:1" x14ac:dyDescent="0.55000000000000004">
      <c r="A5642" s="17"/>
    </row>
    <row r="5643" spans="1:1" x14ac:dyDescent="0.55000000000000004">
      <c r="A5643" s="17"/>
    </row>
    <row r="5644" spans="1:1" x14ac:dyDescent="0.55000000000000004">
      <c r="A5644" s="17"/>
    </row>
    <row r="5645" spans="1:1" x14ac:dyDescent="0.55000000000000004">
      <c r="A5645" s="17"/>
    </row>
    <row r="5646" spans="1:1" x14ac:dyDescent="0.55000000000000004">
      <c r="A5646" s="17"/>
    </row>
    <row r="5647" spans="1:1" x14ac:dyDescent="0.55000000000000004">
      <c r="A5647" s="17"/>
    </row>
    <row r="5648" spans="1:1" x14ac:dyDescent="0.55000000000000004">
      <c r="A5648" s="17"/>
    </row>
    <row r="5649" spans="1:1" x14ac:dyDescent="0.55000000000000004">
      <c r="A5649" s="17"/>
    </row>
    <row r="5650" spans="1:1" x14ac:dyDescent="0.55000000000000004">
      <c r="A5650" s="17"/>
    </row>
    <row r="5651" spans="1:1" x14ac:dyDescent="0.55000000000000004">
      <c r="A5651" s="17"/>
    </row>
    <row r="5652" spans="1:1" x14ac:dyDescent="0.55000000000000004">
      <c r="A5652" s="17"/>
    </row>
    <row r="5653" spans="1:1" x14ac:dyDescent="0.55000000000000004">
      <c r="A5653" s="17"/>
    </row>
    <row r="5654" spans="1:1" x14ac:dyDescent="0.55000000000000004">
      <c r="A5654" s="17"/>
    </row>
    <row r="5655" spans="1:1" x14ac:dyDescent="0.55000000000000004">
      <c r="A5655" s="17"/>
    </row>
    <row r="5656" spans="1:1" x14ac:dyDescent="0.55000000000000004">
      <c r="A5656" s="17"/>
    </row>
    <row r="5657" spans="1:1" x14ac:dyDescent="0.55000000000000004">
      <c r="A5657" s="17"/>
    </row>
    <row r="5658" spans="1:1" x14ac:dyDescent="0.55000000000000004">
      <c r="A5658" s="17"/>
    </row>
    <row r="5659" spans="1:1" x14ac:dyDescent="0.55000000000000004">
      <c r="A5659" s="17"/>
    </row>
    <row r="5660" spans="1:1" x14ac:dyDescent="0.55000000000000004">
      <c r="A5660" s="17"/>
    </row>
    <row r="5661" spans="1:1" x14ac:dyDescent="0.55000000000000004">
      <c r="A5661" s="17"/>
    </row>
    <row r="5662" spans="1:1" x14ac:dyDescent="0.55000000000000004">
      <c r="A5662" s="17"/>
    </row>
    <row r="5663" spans="1:1" x14ac:dyDescent="0.55000000000000004">
      <c r="A5663" s="17"/>
    </row>
    <row r="5664" spans="1:1" x14ac:dyDescent="0.55000000000000004">
      <c r="A5664" s="17"/>
    </row>
    <row r="5665" spans="1:1" x14ac:dyDescent="0.55000000000000004">
      <c r="A5665" s="17"/>
    </row>
    <row r="5666" spans="1:1" x14ac:dyDescent="0.55000000000000004">
      <c r="A5666" s="17"/>
    </row>
    <row r="5667" spans="1:1" x14ac:dyDescent="0.55000000000000004">
      <c r="A5667" s="17"/>
    </row>
    <row r="5668" spans="1:1" x14ac:dyDescent="0.55000000000000004">
      <c r="A5668" s="17"/>
    </row>
    <row r="5669" spans="1:1" x14ac:dyDescent="0.55000000000000004">
      <c r="A5669" s="17"/>
    </row>
    <row r="5670" spans="1:1" x14ac:dyDescent="0.55000000000000004">
      <c r="A5670" s="17"/>
    </row>
    <row r="5671" spans="1:1" x14ac:dyDescent="0.55000000000000004">
      <c r="A5671" s="17"/>
    </row>
    <row r="5672" spans="1:1" x14ac:dyDescent="0.55000000000000004">
      <c r="A5672" s="17"/>
    </row>
    <row r="5673" spans="1:1" x14ac:dyDescent="0.55000000000000004">
      <c r="A5673" s="17"/>
    </row>
    <row r="5674" spans="1:1" x14ac:dyDescent="0.55000000000000004">
      <c r="A5674" s="17"/>
    </row>
    <row r="5675" spans="1:1" x14ac:dyDescent="0.55000000000000004">
      <c r="A5675" s="17"/>
    </row>
    <row r="5676" spans="1:1" x14ac:dyDescent="0.55000000000000004">
      <c r="A5676" s="17"/>
    </row>
    <row r="5677" spans="1:1" x14ac:dyDescent="0.55000000000000004">
      <c r="A5677" s="17"/>
    </row>
    <row r="5678" spans="1:1" x14ac:dyDescent="0.55000000000000004">
      <c r="A5678" s="17"/>
    </row>
    <row r="5679" spans="1:1" x14ac:dyDescent="0.55000000000000004">
      <c r="A5679" s="17"/>
    </row>
    <row r="5680" spans="1:1" x14ac:dyDescent="0.55000000000000004">
      <c r="A5680" s="17"/>
    </row>
    <row r="5681" spans="1:1" x14ac:dyDescent="0.55000000000000004">
      <c r="A5681" s="17"/>
    </row>
    <row r="5682" spans="1:1" x14ac:dyDescent="0.55000000000000004">
      <c r="A5682" s="17"/>
    </row>
    <row r="5683" spans="1:1" x14ac:dyDescent="0.55000000000000004">
      <c r="A5683" s="17"/>
    </row>
    <row r="5684" spans="1:1" x14ac:dyDescent="0.55000000000000004">
      <c r="A5684" s="17"/>
    </row>
    <row r="5685" spans="1:1" x14ac:dyDescent="0.55000000000000004">
      <c r="A5685" s="17"/>
    </row>
    <row r="5686" spans="1:1" x14ac:dyDescent="0.55000000000000004">
      <c r="A5686" s="17"/>
    </row>
    <row r="5687" spans="1:1" x14ac:dyDescent="0.55000000000000004">
      <c r="A5687" s="17"/>
    </row>
    <row r="5688" spans="1:1" x14ac:dyDescent="0.55000000000000004">
      <c r="A5688" s="17"/>
    </row>
    <row r="5689" spans="1:1" x14ac:dyDescent="0.55000000000000004">
      <c r="A5689" s="17"/>
    </row>
    <row r="5690" spans="1:1" x14ac:dyDescent="0.55000000000000004">
      <c r="A5690" s="17"/>
    </row>
    <row r="5691" spans="1:1" x14ac:dyDescent="0.55000000000000004">
      <c r="A5691" s="17"/>
    </row>
    <row r="5692" spans="1:1" x14ac:dyDescent="0.55000000000000004">
      <c r="A5692" s="17"/>
    </row>
    <row r="5693" spans="1:1" x14ac:dyDescent="0.55000000000000004">
      <c r="A5693" s="17"/>
    </row>
    <row r="5694" spans="1:1" x14ac:dyDescent="0.55000000000000004">
      <c r="A5694" s="17"/>
    </row>
    <row r="5695" spans="1:1" x14ac:dyDescent="0.55000000000000004">
      <c r="A5695" s="17"/>
    </row>
    <row r="5696" spans="1:1" x14ac:dyDescent="0.55000000000000004">
      <c r="A5696" s="17"/>
    </row>
    <row r="5697" spans="1:1" x14ac:dyDescent="0.55000000000000004">
      <c r="A5697" s="17"/>
    </row>
    <row r="5698" spans="1:1" x14ac:dyDescent="0.55000000000000004">
      <c r="A5698" s="17"/>
    </row>
    <row r="5699" spans="1:1" x14ac:dyDescent="0.55000000000000004">
      <c r="A5699" s="17"/>
    </row>
    <row r="5700" spans="1:1" x14ac:dyDescent="0.55000000000000004">
      <c r="A5700" s="17"/>
    </row>
    <row r="5701" spans="1:1" x14ac:dyDescent="0.55000000000000004">
      <c r="A5701" s="17"/>
    </row>
    <row r="5702" spans="1:1" x14ac:dyDescent="0.55000000000000004">
      <c r="A5702" s="17"/>
    </row>
    <row r="5703" spans="1:1" x14ac:dyDescent="0.55000000000000004">
      <c r="A5703" s="17"/>
    </row>
    <row r="5704" spans="1:1" x14ac:dyDescent="0.55000000000000004">
      <c r="A5704" s="17"/>
    </row>
    <row r="5705" spans="1:1" x14ac:dyDescent="0.55000000000000004">
      <c r="A5705" s="17"/>
    </row>
    <row r="5706" spans="1:1" x14ac:dyDescent="0.55000000000000004">
      <c r="A5706" s="17"/>
    </row>
    <row r="5707" spans="1:1" x14ac:dyDescent="0.55000000000000004">
      <c r="A5707" s="17"/>
    </row>
    <row r="5708" spans="1:1" x14ac:dyDescent="0.55000000000000004">
      <c r="A5708" s="17"/>
    </row>
    <row r="5709" spans="1:1" x14ac:dyDescent="0.55000000000000004">
      <c r="A5709" s="17"/>
    </row>
    <row r="5710" spans="1:1" x14ac:dyDescent="0.55000000000000004">
      <c r="A5710" s="17"/>
    </row>
    <row r="5711" spans="1:1" x14ac:dyDescent="0.55000000000000004">
      <c r="A5711" s="17"/>
    </row>
    <row r="5712" spans="1:1" x14ac:dyDescent="0.55000000000000004">
      <c r="A5712" s="17"/>
    </row>
    <row r="5713" spans="1:1" x14ac:dyDescent="0.55000000000000004">
      <c r="A5713" s="17"/>
    </row>
    <row r="5714" spans="1:1" x14ac:dyDescent="0.55000000000000004">
      <c r="A5714" s="17"/>
    </row>
    <row r="5715" spans="1:1" x14ac:dyDescent="0.55000000000000004">
      <c r="A5715" s="17"/>
    </row>
    <row r="5716" spans="1:1" x14ac:dyDescent="0.55000000000000004">
      <c r="A5716" s="17"/>
    </row>
    <row r="5717" spans="1:1" x14ac:dyDescent="0.55000000000000004">
      <c r="A5717" s="17"/>
    </row>
    <row r="5718" spans="1:1" x14ac:dyDescent="0.55000000000000004">
      <c r="A5718" s="17"/>
    </row>
    <row r="5719" spans="1:1" x14ac:dyDescent="0.55000000000000004">
      <c r="A5719" s="17"/>
    </row>
    <row r="5720" spans="1:1" x14ac:dyDescent="0.55000000000000004">
      <c r="A5720" s="17"/>
    </row>
    <row r="5721" spans="1:1" x14ac:dyDescent="0.55000000000000004">
      <c r="A5721" s="17"/>
    </row>
    <row r="5722" spans="1:1" x14ac:dyDescent="0.55000000000000004">
      <c r="A5722" s="17"/>
    </row>
    <row r="5723" spans="1:1" x14ac:dyDescent="0.55000000000000004">
      <c r="A5723" s="17"/>
    </row>
    <row r="5724" spans="1:1" x14ac:dyDescent="0.55000000000000004">
      <c r="A5724" s="17"/>
    </row>
    <row r="5725" spans="1:1" x14ac:dyDescent="0.55000000000000004">
      <c r="A5725" s="17"/>
    </row>
    <row r="5726" spans="1:1" x14ac:dyDescent="0.55000000000000004">
      <c r="A5726" s="17"/>
    </row>
    <row r="5727" spans="1:1" x14ac:dyDescent="0.55000000000000004">
      <c r="A5727" s="17"/>
    </row>
    <row r="5728" spans="1:1" x14ac:dyDescent="0.55000000000000004">
      <c r="A5728" s="17"/>
    </row>
    <row r="5729" spans="1:1" x14ac:dyDescent="0.55000000000000004">
      <c r="A5729" s="17"/>
    </row>
    <row r="5730" spans="1:1" x14ac:dyDescent="0.55000000000000004">
      <c r="A5730" s="17"/>
    </row>
    <row r="5731" spans="1:1" x14ac:dyDescent="0.55000000000000004">
      <c r="A5731" s="17"/>
    </row>
    <row r="5732" spans="1:1" x14ac:dyDescent="0.55000000000000004">
      <c r="A5732" s="17"/>
    </row>
    <row r="5733" spans="1:1" x14ac:dyDescent="0.55000000000000004">
      <c r="A5733" s="17"/>
    </row>
    <row r="5734" spans="1:1" x14ac:dyDescent="0.55000000000000004">
      <c r="A5734" s="17"/>
    </row>
    <row r="5735" spans="1:1" x14ac:dyDescent="0.55000000000000004">
      <c r="A5735" s="17"/>
    </row>
    <row r="5736" spans="1:1" x14ac:dyDescent="0.55000000000000004">
      <c r="A5736" s="17"/>
    </row>
    <row r="5737" spans="1:1" x14ac:dyDescent="0.55000000000000004">
      <c r="A5737" s="17"/>
    </row>
    <row r="5738" spans="1:1" x14ac:dyDescent="0.55000000000000004">
      <c r="A5738" s="17"/>
    </row>
    <row r="5739" spans="1:1" x14ac:dyDescent="0.55000000000000004">
      <c r="A5739" s="17"/>
    </row>
    <row r="5740" spans="1:1" x14ac:dyDescent="0.55000000000000004">
      <c r="A5740" s="17"/>
    </row>
    <row r="5741" spans="1:1" x14ac:dyDescent="0.55000000000000004">
      <c r="A5741" s="17"/>
    </row>
    <row r="5742" spans="1:1" x14ac:dyDescent="0.55000000000000004">
      <c r="A5742" s="17"/>
    </row>
    <row r="5743" spans="1:1" x14ac:dyDescent="0.55000000000000004">
      <c r="A5743" s="17"/>
    </row>
    <row r="5744" spans="1:1" x14ac:dyDescent="0.55000000000000004">
      <c r="A5744" s="17"/>
    </row>
    <row r="5745" spans="1:1" x14ac:dyDescent="0.55000000000000004">
      <c r="A5745" s="17"/>
    </row>
    <row r="5746" spans="1:1" x14ac:dyDescent="0.55000000000000004">
      <c r="A5746" s="17"/>
    </row>
    <row r="5747" spans="1:1" x14ac:dyDescent="0.55000000000000004">
      <c r="A5747" s="17"/>
    </row>
    <row r="5748" spans="1:1" x14ac:dyDescent="0.55000000000000004">
      <c r="A5748" s="17"/>
    </row>
    <row r="5749" spans="1:1" x14ac:dyDescent="0.55000000000000004">
      <c r="A5749" s="17"/>
    </row>
    <row r="5750" spans="1:1" x14ac:dyDescent="0.55000000000000004">
      <c r="A5750" s="17"/>
    </row>
    <row r="5751" spans="1:1" x14ac:dyDescent="0.55000000000000004">
      <c r="A5751" s="17"/>
    </row>
    <row r="5752" spans="1:1" x14ac:dyDescent="0.55000000000000004">
      <c r="A5752" s="17"/>
    </row>
    <row r="5753" spans="1:1" x14ac:dyDescent="0.55000000000000004">
      <c r="A5753" s="17"/>
    </row>
    <row r="5754" spans="1:1" x14ac:dyDescent="0.55000000000000004">
      <c r="A5754" s="17"/>
    </row>
    <row r="5755" spans="1:1" x14ac:dyDescent="0.55000000000000004">
      <c r="A5755" s="17"/>
    </row>
    <row r="5756" spans="1:1" x14ac:dyDescent="0.55000000000000004">
      <c r="A5756" s="17"/>
    </row>
    <row r="5757" spans="1:1" x14ac:dyDescent="0.55000000000000004">
      <c r="A5757" s="17"/>
    </row>
    <row r="5758" spans="1:1" x14ac:dyDescent="0.55000000000000004">
      <c r="A5758" s="17"/>
    </row>
    <row r="5759" spans="1:1" x14ac:dyDescent="0.55000000000000004">
      <c r="A5759" s="17"/>
    </row>
    <row r="5760" spans="1:1" x14ac:dyDescent="0.55000000000000004">
      <c r="A5760" s="17"/>
    </row>
    <row r="5761" spans="1:1" x14ac:dyDescent="0.55000000000000004">
      <c r="A5761" s="17"/>
    </row>
    <row r="5762" spans="1:1" x14ac:dyDescent="0.55000000000000004">
      <c r="A5762" s="17"/>
    </row>
    <row r="5763" spans="1:1" x14ac:dyDescent="0.55000000000000004">
      <c r="A5763" s="17"/>
    </row>
    <row r="5764" spans="1:1" x14ac:dyDescent="0.55000000000000004">
      <c r="A5764" s="17"/>
    </row>
    <row r="5765" spans="1:1" x14ac:dyDescent="0.55000000000000004">
      <c r="A5765" s="17"/>
    </row>
    <row r="5766" spans="1:1" x14ac:dyDescent="0.55000000000000004">
      <c r="A5766" s="17"/>
    </row>
    <row r="5767" spans="1:1" x14ac:dyDescent="0.55000000000000004">
      <c r="A5767" s="17"/>
    </row>
    <row r="5768" spans="1:1" x14ac:dyDescent="0.55000000000000004">
      <c r="A5768" s="17"/>
    </row>
    <row r="5769" spans="1:1" x14ac:dyDescent="0.55000000000000004">
      <c r="A5769" s="17"/>
    </row>
    <row r="5770" spans="1:1" x14ac:dyDescent="0.55000000000000004">
      <c r="A5770" s="17"/>
    </row>
    <row r="5771" spans="1:1" x14ac:dyDescent="0.55000000000000004">
      <c r="A5771" s="17"/>
    </row>
    <row r="5772" spans="1:1" x14ac:dyDescent="0.55000000000000004">
      <c r="A5772" s="17"/>
    </row>
    <row r="5773" spans="1:1" x14ac:dyDescent="0.55000000000000004">
      <c r="A5773" s="17"/>
    </row>
    <row r="5774" spans="1:1" x14ac:dyDescent="0.55000000000000004">
      <c r="A5774" s="17"/>
    </row>
    <row r="5775" spans="1:1" x14ac:dyDescent="0.55000000000000004">
      <c r="A5775" s="17"/>
    </row>
    <row r="5776" spans="1:1" x14ac:dyDescent="0.55000000000000004">
      <c r="A5776" s="17"/>
    </row>
    <row r="5777" spans="1:1" x14ac:dyDescent="0.55000000000000004">
      <c r="A5777" s="17"/>
    </row>
    <row r="5778" spans="1:1" x14ac:dyDescent="0.55000000000000004">
      <c r="A5778" s="17"/>
    </row>
    <row r="5779" spans="1:1" x14ac:dyDescent="0.55000000000000004">
      <c r="A5779" s="17"/>
    </row>
    <row r="5780" spans="1:1" x14ac:dyDescent="0.55000000000000004">
      <c r="A5780" s="17"/>
    </row>
    <row r="5781" spans="1:1" x14ac:dyDescent="0.55000000000000004">
      <c r="A5781" s="17"/>
    </row>
    <row r="5782" spans="1:1" x14ac:dyDescent="0.55000000000000004">
      <c r="A5782" s="17"/>
    </row>
    <row r="5783" spans="1:1" x14ac:dyDescent="0.55000000000000004">
      <c r="A5783" s="17"/>
    </row>
    <row r="5784" spans="1:1" x14ac:dyDescent="0.55000000000000004">
      <c r="A5784" s="17"/>
    </row>
    <row r="5785" spans="1:1" x14ac:dyDescent="0.55000000000000004">
      <c r="A5785" s="17"/>
    </row>
    <row r="5786" spans="1:1" x14ac:dyDescent="0.55000000000000004">
      <c r="A5786" s="17"/>
    </row>
    <row r="5787" spans="1:1" x14ac:dyDescent="0.55000000000000004">
      <c r="A5787" s="17"/>
    </row>
    <row r="5788" spans="1:1" x14ac:dyDescent="0.55000000000000004">
      <c r="A5788" s="17"/>
    </row>
    <row r="5789" spans="1:1" x14ac:dyDescent="0.55000000000000004">
      <c r="A5789" s="17"/>
    </row>
    <row r="5790" spans="1:1" x14ac:dyDescent="0.55000000000000004">
      <c r="A5790" s="17"/>
    </row>
    <row r="5791" spans="1:1" x14ac:dyDescent="0.55000000000000004">
      <c r="A5791" s="17"/>
    </row>
    <row r="5792" spans="1:1" x14ac:dyDescent="0.55000000000000004">
      <c r="A5792" s="17"/>
    </row>
    <row r="5793" spans="1:1" x14ac:dyDescent="0.55000000000000004">
      <c r="A5793" s="17"/>
    </row>
    <row r="5794" spans="1:1" x14ac:dyDescent="0.55000000000000004">
      <c r="A5794" s="17"/>
    </row>
    <row r="5795" spans="1:1" x14ac:dyDescent="0.55000000000000004">
      <c r="A5795" s="17"/>
    </row>
    <row r="5796" spans="1:1" x14ac:dyDescent="0.55000000000000004">
      <c r="A5796" s="17"/>
    </row>
    <row r="5797" spans="1:1" x14ac:dyDescent="0.55000000000000004">
      <c r="A5797" s="17"/>
    </row>
    <row r="5798" spans="1:1" x14ac:dyDescent="0.55000000000000004">
      <c r="A5798" s="17"/>
    </row>
    <row r="5799" spans="1:1" x14ac:dyDescent="0.55000000000000004">
      <c r="A5799" s="17"/>
    </row>
    <row r="5800" spans="1:1" x14ac:dyDescent="0.55000000000000004">
      <c r="A5800" s="17"/>
    </row>
    <row r="5801" spans="1:1" x14ac:dyDescent="0.55000000000000004">
      <c r="A5801" s="17"/>
    </row>
    <row r="5802" spans="1:1" x14ac:dyDescent="0.55000000000000004">
      <c r="A5802" s="17"/>
    </row>
    <row r="5803" spans="1:1" x14ac:dyDescent="0.55000000000000004">
      <c r="A5803" s="17"/>
    </row>
    <row r="5804" spans="1:1" x14ac:dyDescent="0.55000000000000004">
      <c r="A5804" s="17"/>
    </row>
    <row r="5805" spans="1:1" x14ac:dyDescent="0.55000000000000004">
      <c r="A5805" s="17"/>
    </row>
    <row r="5806" spans="1:1" x14ac:dyDescent="0.55000000000000004">
      <c r="A5806" s="17"/>
    </row>
    <row r="5807" spans="1:1" x14ac:dyDescent="0.55000000000000004">
      <c r="A5807" s="17"/>
    </row>
    <row r="5808" spans="1:1" x14ac:dyDescent="0.55000000000000004">
      <c r="A5808" s="17"/>
    </row>
    <row r="5809" spans="1:1" x14ac:dyDescent="0.55000000000000004">
      <c r="A5809" s="17"/>
    </row>
    <row r="5810" spans="1:1" x14ac:dyDescent="0.55000000000000004">
      <c r="A5810" s="17"/>
    </row>
    <row r="5811" spans="1:1" x14ac:dyDescent="0.55000000000000004">
      <c r="A5811" s="17"/>
    </row>
    <row r="5812" spans="1:1" x14ac:dyDescent="0.55000000000000004">
      <c r="A5812" s="17"/>
    </row>
    <row r="5813" spans="1:1" x14ac:dyDescent="0.55000000000000004">
      <c r="A5813" s="17"/>
    </row>
    <row r="5814" spans="1:1" x14ac:dyDescent="0.55000000000000004">
      <c r="A5814" s="17"/>
    </row>
    <row r="5815" spans="1:1" x14ac:dyDescent="0.55000000000000004">
      <c r="A5815" s="17"/>
    </row>
    <row r="5816" spans="1:1" x14ac:dyDescent="0.55000000000000004">
      <c r="A5816" s="17"/>
    </row>
    <row r="5817" spans="1:1" x14ac:dyDescent="0.55000000000000004">
      <c r="A5817" s="17"/>
    </row>
    <row r="5818" spans="1:1" x14ac:dyDescent="0.55000000000000004">
      <c r="A5818" s="17"/>
    </row>
    <row r="5819" spans="1:1" x14ac:dyDescent="0.55000000000000004">
      <c r="A5819" s="17"/>
    </row>
    <row r="5820" spans="1:1" x14ac:dyDescent="0.55000000000000004">
      <c r="A5820" s="17"/>
    </row>
    <row r="5821" spans="1:1" x14ac:dyDescent="0.55000000000000004">
      <c r="A5821" s="17"/>
    </row>
    <row r="5822" spans="1:1" x14ac:dyDescent="0.55000000000000004">
      <c r="A5822" s="17"/>
    </row>
    <row r="5823" spans="1:1" x14ac:dyDescent="0.55000000000000004">
      <c r="A5823" s="17"/>
    </row>
    <row r="5824" spans="1:1" x14ac:dyDescent="0.55000000000000004">
      <c r="A5824" s="17"/>
    </row>
    <row r="5825" spans="1:1" x14ac:dyDescent="0.55000000000000004">
      <c r="A5825" s="17"/>
    </row>
    <row r="5826" spans="1:1" x14ac:dyDescent="0.55000000000000004">
      <c r="A5826" s="17"/>
    </row>
    <row r="5827" spans="1:1" x14ac:dyDescent="0.55000000000000004">
      <c r="A5827" s="17"/>
    </row>
    <row r="5828" spans="1:1" x14ac:dyDescent="0.55000000000000004">
      <c r="A5828" s="17"/>
    </row>
    <row r="5829" spans="1:1" x14ac:dyDescent="0.55000000000000004">
      <c r="A5829" s="17"/>
    </row>
    <row r="5830" spans="1:1" x14ac:dyDescent="0.55000000000000004">
      <c r="A5830" s="17"/>
    </row>
    <row r="5831" spans="1:1" x14ac:dyDescent="0.55000000000000004">
      <c r="A5831" s="17"/>
    </row>
    <row r="5832" spans="1:1" x14ac:dyDescent="0.55000000000000004">
      <c r="A5832" s="17"/>
    </row>
    <row r="5833" spans="1:1" x14ac:dyDescent="0.55000000000000004">
      <c r="A5833" s="17"/>
    </row>
    <row r="5834" spans="1:1" x14ac:dyDescent="0.55000000000000004">
      <c r="A5834" s="17"/>
    </row>
    <row r="5835" spans="1:1" x14ac:dyDescent="0.55000000000000004">
      <c r="A5835" s="17"/>
    </row>
    <row r="5836" spans="1:1" x14ac:dyDescent="0.55000000000000004">
      <c r="A5836" s="17"/>
    </row>
    <row r="5837" spans="1:1" x14ac:dyDescent="0.55000000000000004">
      <c r="A5837" s="17"/>
    </row>
    <row r="5838" spans="1:1" x14ac:dyDescent="0.55000000000000004">
      <c r="A5838" s="17"/>
    </row>
    <row r="5839" spans="1:1" x14ac:dyDescent="0.55000000000000004">
      <c r="A5839" s="17"/>
    </row>
    <row r="5840" spans="1:1" x14ac:dyDescent="0.55000000000000004">
      <c r="A5840" s="17"/>
    </row>
    <row r="5841" spans="1:1" x14ac:dyDescent="0.55000000000000004">
      <c r="A5841" s="17"/>
    </row>
    <row r="5842" spans="1:1" x14ac:dyDescent="0.55000000000000004">
      <c r="A5842" s="17"/>
    </row>
    <row r="5843" spans="1:1" x14ac:dyDescent="0.55000000000000004">
      <c r="A5843" s="17"/>
    </row>
    <row r="5844" spans="1:1" x14ac:dyDescent="0.55000000000000004">
      <c r="A5844" s="17"/>
    </row>
    <row r="5845" spans="1:1" x14ac:dyDescent="0.55000000000000004">
      <c r="A5845" s="17"/>
    </row>
    <row r="5846" spans="1:1" x14ac:dyDescent="0.55000000000000004">
      <c r="A5846" s="17"/>
    </row>
    <row r="5847" spans="1:1" x14ac:dyDescent="0.55000000000000004">
      <c r="A5847" s="17"/>
    </row>
    <row r="5848" spans="1:1" x14ac:dyDescent="0.55000000000000004">
      <c r="A5848" s="17"/>
    </row>
    <row r="5849" spans="1:1" x14ac:dyDescent="0.55000000000000004">
      <c r="A5849" s="17"/>
    </row>
    <row r="5850" spans="1:1" x14ac:dyDescent="0.55000000000000004">
      <c r="A5850" s="17"/>
    </row>
    <row r="5851" spans="1:1" x14ac:dyDescent="0.55000000000000004">
      <c r="A5851" s="17"/>
    </row>
    <row r="5852" spans="1:1" x14ac:dyDescent="0.55000000000000004">
      <c r="A5852" s="17"/>
    </row>
    <row r="5853" spans="1:1" x14ac:dyDescent="0.55000000000000004">
      <c r="A5853" s="17"/>
    </row>
    <row r="5854" spans="1:1" x14ac:dyDescent="0.55000000000000004">
      <c r="A5854" s="17"/>
    </row>
    <row r="5855" spans="1:1" x14ac:dyDescent="0.55000000000000004">
      <c r="A5855" s="17"/>
    </row>
    <row r="5856" spans="1:1" x14ac:dyDescent="0.55000000000000004">
      <c r="A5856" s="17"/>
    </row>
    <row r="5857" spans="1:1" x14ac:dyDescent="0.55000000000000004">
      <c r="A5857" s="17"/>
    </row>
    <row r="5858" spans="1:1" x14ac:dyDescent="0.55000000000000004">
      <c r="A5858" s="17"/>
    </row>
    <row r="5859" spans="1:1" x14ac:dyDescent="0.55000000000000004">
      <c r="A5859" s="17"/>
    </row>
    <row r="5860" spans="1:1" x14ac:dyDescent="0.55000000000000004">
      <c r="A5860" s="17"/>
    </row>
    <row r="5861" spans="1:1" x14ac:dyDescent="0.55000000000000004">
      <c r="A5861" s="17"/>
    </row>
    <row r="5862" spans="1:1" x14ac:dyDescent="0.55000000000000004">
      <c r="A5862" s="17"/>
    </row>
    <row r="5863" spans="1:1" x14ac:dyDescent="0.55000000000000004">
      <c r="A5863" s="17"/>
    </row>
    <row r="5864" spans="1:1" x14ac:dyDescent="0.55000000000000004">
      <c r="A5864" s="17"/>
    </row>
    <row r="5865" spans="1:1" x14ac:dyDescent="0.55000000000000004">
      <c r="A5865" s="17"/>
    </row>
    <row r="5866" spans="1:1" x14ac:dyDescent="0.55000000000000004">
      <c r="A5866" s="17"/>
    </row>
    <row r="5867" spans="1:1" x14ac:dyDescent="0.55000000000000004">
      <c r="A5867" s="17"/>
    </row>
    <row r="5868" spans="1:1" x14ac:dyDescent="0.55000000000000004">
      <c r="A5868" s="17"/>
    </row>
    <row r="5869" spans="1:1" x14ac:dyDescent="0.55000000000000004">
      <c r="A5869" s="17"/>
    </row>
    <row r="5870" spans="1:1" x14ac:dyDescent="0.55000000000000004">
      <c r="A5870" s="17"/>
    </row>
    <row r="5871" spans="1:1" x14ac:dyDescent="0.55000000000000004">
      <c r="A5871" s="17"/>
    </row>
    <row r="5872" spans="1:1" x14ac:dyDescent="0.55000000000000004">
      <c r="A5872" s="17"/>
    </row>
    <row r="5873" spans="1:1" x14ac:dyDescent="0.55000000000000004">
      <c r="A5873" s="17"/>
    </row>
    <row r="5874" spans="1:1" x14ac:dyDescent="0.55000000000000004">
      <c r="A5874" s="17"/>
    </row>
    <row r="5875" spans="1:1" x14ac:dyDescent="0.55000000000000004">
      <c r="A5875" s="17"/>
    </row>
    <row r="5876" spans="1:1" x14ac:dyDescent="0.55000000000000004">
      <c r="A5876" s="17"/>
    </row>
    <row r="5877" spans="1:1" x14ac:dyDescent="0.55000000000000004">
      <c r="A5877" s="17"/>
    </row>
    <row r="5878" spans="1:1" x14ac:dyDescent="0.55000000000000004">
      <c r="A5878" s="17"/>
    </row>
    <row r="5879" spans="1:1" x14ac:dyDescent="0.55000000000000004">
      <c r="A5879" s="17"/>
    </row>
    <row r="5880" spans="1:1" x14ac:dyDescent="0.55000000000000004">
      <c r="A5880" s="17"/>
    </row>
    <row r="5881" spans="1:1" x14ac:dyDescent="0.55000000000000004">
      <c r="A5881" s="17"/>
    </row>
    <row r="5882" spans="1:1" x14ac:dyDescent="0.55000000000000004">
      <c r="A5882" s="17"/>
    </row>
    <row r="5883" spans="1:1" x14ac:dyDescent="0.55000000000000004">
      <c r="A5883" s="17"/>
    </row>
    <row r="5884" spans="1:1" x14ac:dyDescent="0.55000000000000004">
      <c r="A5884" s="17"/>
    </row>
    <row r="5885" spans="1:1" x14ac:dyDescent="0.55000000000000004">
      <c r="A5885" s="17"/>
    </row>
    <row r="5886" spans="1:1" x14ac:dyDescent="0.55000000000000004">
      <c r="A5886" s="17"/>
    </row>
    <row r="5887" spans="1:1" x14ac:dyDescent="0.55000000000000004">
      <c r="A5887" s="17"/>
    </row>
    <row r="5888" spans="1:1" x14ac:dyDescent="0.55000000000000004">
      <c r="A5888" s="17"/>
    </row>
    <row r="5889" spans="1:1" x14ac:dyDescent="0.55000000000000004">
      <c r="A5889" s="17"/>
    </row>
    <row r="5890" spans="1:1" x14ac:dyDescent="0.55000000000000004">
      <c r="A5890" s="17"/>
    </row>
    <row r="5891" spans="1:1" x14ac:dyDescent="0.55000000000000004">
      <c r="A5891" s="17"/>
    </row>
    <row r="5892" spans="1:1" x14ac:dyDescent="0.55000000000000004">
      <c r="A5892" s="17"/>
    </row>
    <row r="5893" spans="1:1" x14ac:dyDescent="0.55000000000000004">
      <c r="A5893" s="17"/>
    </row>
    <row r="5894" spans="1:1" x14ac:dyDescent="0.55000000000000004">
      <c r="A5894" s="17"/>
    </row>
    <row r="5895" spans="1:1" x14ac:dyDescent="0.55000000000000004">
      <c r="A5895" s="17"/>
    </row>
    <row r="5896" spans="1:1" x14ac:dyDescent="0.55000000000000004">
      <c r="A5896" s="17"/>
    </row>
    <row r="5897" spans="1:1" x14ac:dyDescent="0.55000000000000004">
      <c r="A5897" s="17"/>
    </row>
    <row r="5898" spans="1:1" x14ac:dyDescent="0.55000000000000004">
      <c r="A5898" s="17"/>
    </row>
    <row r="5899" spans="1:1" x14ac:dyDescent="0.55000000000000004">
      <c r="A5899" s="17"/>
    </row>
    <row r="5900" spans="1:1" x14ac:dyDescent="0.55000000000000004">
      <c r="A5900" s="17"/>
    </row>
    <row r="5901" spans="1:1" x14ac:dyDescent="0.55000000000000004">
      <c r="A5901" s="17"/>
    </row>
    <row r="5902" spans="1:1" x14ac:dyDescent="0.55000000000000004">
      <c r="A5902" s="17"/>
    </row>
    <row r="5903" spans="1:1" x14ac:dyDescent="0.55000000000000004">
      <c r="A5903" s="17"/>
    </row>
    <row r="5904" spans="1:1" x14ac:dyDescent="0.55000000000000004">
      <c r="A5904" s="17"/>
    </row>
    <row r="5905" spans="1:1" x14ac:dyDescent="0.55000000000000004">
      <c r="A5905" s="17"/>
    </row>
    <row r="5906" spans="1:1" x14ac:dyDescent="0.55000000000000004">
      <c r="A5906" s="17"/>
    </row>
    <row r="5907" spans="1:1" x14ac:dyDescent="0.55000000000000004">
      <c r="A5907" s="17"/>
    </row>
    <row r="5908" spans="1:1" x14ac:dyDescent="0.55000000000000004">
      <c r="A5908" s="17"/>
    </row>
    <row r="5909" spans="1:1" x14ac:dyDescent="0.55000000000000004">
      <c r="A5909" s="17"/>
    </row>
    <row r="5910" spans="1:1" x14ac:dyDescent="0.55000000000000004">
      <c r="A5910" s="17"/>
    </row>
    <row r="5911" spans="1:1" x14ac:dyDescent="0.55000000000000004">
      <c r="A5911" s="17"/>
    </row>
    <row r="5912" spans="1:1" x14ac:dyDescent="0.55000000000000004">
      <c r="A5912" s="17"/>
    </row>
    <row r="5913" spans="1:1" x14ac:dyDescent="0.55000000000000004">
      <c r="A5913" s="17"/>
    </row>
    <row r="5914" spans="1:1" x14ac:dyDescent="0.55000000000000004">
      <c r="A5914" s="17"/>
    </row>
    <row r="5915" spans="1:1" x14ac:dyDescent="0.55000000000000004">
      <c r="A5915" s="17"/>
    </row>
    <row r="5916" spans="1:1" x14ac:dyDescent="0.55000000000000004">
      <c r="A5916" s="17"/>
    </row>
    <row r="5917" spans="1:1" x14ac:dyDescent="0.55000000000000004">
      <c r="A5917" s="17"/>
    </row>
    <row r="5918" spans="1:1" x14ac:dyDescent="0.55000000000000004">
      <c r="A5918" s="17"/>
    </row>
    <row r="5919" spans="1:1" x14ac:dyDescent="0.55000000000000004">
      <c r="A5919" s="17"/>
    </row>
    <row r="5920" spans="1:1" x14ac:dyDescent="0.55000000000000004">
      <c r="A5920" s="17"/>
    </row>
    <row r="5921" spans="1:1" x14ac:dyDescent="0.55000000000000004">
      <c r="A5921" s="17"/>
    </row>
    <row r="5922" spans="1:1" x14ac:dyDescent="0.55000000000000004">
      <c r="A5922" s="17"/>
    </row>
    <row r="5923" spans="1:1" x14ac:dyDescent="0.55000000000000004">
      <c r="A5923" s="17"/>
    </row>
    <row r="5924" spans="1:1" x14ac:dyDescent="0.55000000000000004">
      <c r="A5924" s="17"/>
    </row>
    <row r="5925" spans="1:1" x14ac:dyDescent="0.55000000000000004">
      <c r="A5925" s="17"/>
    </row>
    <row r="5926" spans="1:1" x14ac:dyDescent="0.55000000000000004">
      <c r="A5926" s="17"/>
    </row>
    <row r="5927" spans="1:1" x14ac:dyDescent="0.55000000000000004">
      <c r="A5927" s="17"/>
    </row>
    <row r="5928" spans="1:1" x14ac:dyDescent="0.55000000000000004">
      <c r="A5928" s="17"/>
    </row>
    <row r="5929" spans="1:1" x14ac:dyDescent="0.55000000000000004">
      <c r="A5929" s="17"/>
    </row>
    <row r="5930" spans="1:1" x14ac:dyDescent="0.55000000000000004">
      <c r="A5930" s="17"/>
    </row>
    <row r="5931" spans="1:1" x14ac:dyDescent="0.55000000000000004">
      <c r="A5931" s="17"/>
    </row>
    <row r="5932" spans="1:1" x14ac:dyDescent="0.55000000000000004">
      <c r="A5932" s="17"/>
    </row>
    <row r="5933" spans="1:1" x14ac:dyDescent="0.55000000000000004">
      <c r="A5933" s="17"/>
    </row>
    <row r="5934" spans="1:1" x14ac:dyDescent="0.55000000000000004">
      <c r="A5934" s="17"/>
    </row>
    <row r="5935" spans="1:1" x14ac:dyDescent="0.55000000000000004">
      <c r="A5935" s="17"/>
    </row>
    <row r="5936" spans="1:1" x14ac:dyDescent="0.55000000000000004">
      <c r="A5936" s="17"/>
    </row>
    <row r="5937" spans="1:1" x14ac:dyDescent="0.55000000000000004">
      <c r="A5937" s="17"/>
    </row>
    <row r="5938" spans="1:1" x14ac:dyDescent="0.55000000000000004">
      <c r="A5938" s="17"/>
    </row>
    <row r="5939" spans="1:1" x14ac:dyDescent="0.55000000000000004">
      <c r="A5939" s="17"/>
    </row>
    <row r="5940" spans="1:1" x14ac:dyDescent="0.55000000000000004">
      <c r="A5940" s="17"/>
    </row>
    <row r="5941" spans="1:1" x14ac:dyDescent="0.55000000000000004">
      <c r="A5941" s="17"/>
    </row>
    <row r="5942" spans="1:1" x14ac:dyDescent="0.55000000000000004">
      <c r="A5942" s="17"/>
    </row>
    <row r="5943" spans="1:1" x14ac:dyDescent="0.55000000000000004">
      <c r="A5943" s="17"/>
    </row>
    <row r="5944" spans="1:1" x14ac:dyDescent="0.55000000000000004">
      <c r="A5944" s="17"/>
    </row>
    <row r="5945" spans="1:1" x14ac:dyDescent="0.55000000000000004">
      <c r="A5945" s="17"/>
    </row>
    <row r="5946" spans="1:1" x14ac:dyDescent="0.55000000000000004">
      <c r="A5946" s="17"/>
    </row>
    <row r="5947" spans="1:1" x14ac:dyDescent="0.55000000000000004">
      <c r="A5947" s="17"/>
    </row>
    <row r="5948" spans="1:1" x14ac:dyDescent="0.55000000000000004">
      <c r="A5948" s="17"/>
    </row>
    <row r="5949" spans="1:1" x14ac:dyDescent="0.55000000000000004">
      <c r="A5949" s="17"/>
    </row>
    <row r="5950" spans="1:1" x14ac:dyDescent="0.55000000000000004">
      <c r="A5950" s="17"/>
    </row>
    <row r="5951" spans="1:1" x14ac:dyDescent="0.55000000000000004">
      <c r="A5951" s="17"/>
    </row>
    <row r="5952" spans="1:1" x14ac:dyDescent="0.55000000000000004">
      <c r="A5952" s="17"/>
    </row>
    <row r="5953" spans="1:1" x14ac:dyDescent="0.55000000000000004">
      <c r="A5953" s="17"/>
    </row>
    <row r="5954" spans="1:1" x14ac:dyDescent="0.55000000000000004">
      <c r="A5954" s="17"/>
    </row>
    <row r="5955" spans="1:1" x14ac:dyDescent="0.55000000000000004">
      <c r="A5955" s="17"/>
    </row>
    <row r="5956" spans="1:1" x14ac:dyDescent="0.55000000000000004">
      <c r="A5956" s="17"/>
    </row>
    <row r="5957" spans="1:1" x14ac:dyDescent="0.55000000000000004">
      <c r="A5957" s="17"/>
    </row>
    <row r="5958" spans="1:1" x14ac:dyDescent="0.55000000000000004">
      <c r="A5958" s="17"/>
    </row>
    <row r="5959" spans="1:1" x14ac:dyDescent="0.55000000000000004">
      <c r="A5959" s="17"/>
    </row>
    <row r="5960" spans="1:1" x14ac:dyDescent="0.55000000000000004">
      <c r="A5960" s="17"/>
    </row>
    <row r="5961" spans="1:1" x14ac:dyDescent="0.55000000000000004">
      <c r="A5961" s="17"/>
    </row>
    <row r="5962" spans="1:1" x14ac:dyDescent="0.55000000000000004">
      <c r="A5962" s="17"/>
    </row>
    <row r="5963" spans="1:1" x14ac:dyDescent="0.55000000000000004">
      <c r="A5963" s="17"/>
    </row>
    <row r="5964" spans="1:1" x14ac:dyDescent="0.55000000000000004">
      <c r="A5964" s="17"/>
    </row>
    <row r="5965" spans="1:1" x14ac:dyDescent="0.55000000000000004">
      <c r="A5965" s="17"/>
    </row>
    <row r="5966" spans="1:1" x14ac:dyDescent="0.55000000000000004">
      <c r="A5966" s="17"/>
    </row>
    <row r="5967" spans="1:1" x14ac:dyDescent="0.55000000000000004">
      <c r="A5967" s="17"/>
    </row>
    <row r="5968" spans="1:1" x14ac:dyDescent="0.55000000000000004">
      <c r="A5968" s="17"/>
    </row>
    <row r="5969" spans="1:1" x14ac:dyDescent="0.55000000000000004">
      <c r="A5969" s="17"/>
    </row>
    <row r="5970" spans="1:1" x14ac:dyDescent="0.55000000000000004">
      <c r="A5970" s="17"/>
    </row>
    <row r="5971" spans="1:1" x14ac:dyDescent="0.55000000000000004">
      <c r="A5971" s="17"/>
    </row>
    <row r="5972" spans="1:1" x14ac:dyDescent="0.55000000000000004">
      <c r="A5972" s="17"/>
    </row>
    <row r="5973" spans="1:1" x14ac:dyDescent="0.55000000000000004">
      <c r="A5973" s="17"/>
    </row>
    <row r="5974" spans="1:1" x14ac:dyDescent="0.55000000000000004">
      <c r="A5974" s="17"/>
    </row>
    <row r="5975" spans="1:1" x14ac:dyDescent="0.55000000000000004">
      <c r="A5975" s="17"/>
    </row>
    <row r="5976" spans="1:1" x14ac:dyDescent="0.55000000000000004">
      <c r="A5976" s="17"/>
    </row>
    <row r="5977" spans="1:1" x14ac:dyDescent="0.55000000000000004">
      <c r="A5977" s="17"/>
    </row>
    <row r="5978" spans="1:1" x14ac:dyDescent="0.55000000000000004">
      <c r="A5978" s="17"/>
    </row>
    <row r="5979" spans="1:1" x14ac:dyDescent="0.55000000000000004">
      <c r="A5979" s="17"/>
    </row>
    <row r="5980" spans="1:1" x14ac:dyDescent="0.55000000000000004">
      <c r="A5980" s="17"/>
    </row>
    <row r="5981" spans="1:1" x14ac:dyDescent="0.55000000000000004">
      <c r="A5981" s="17"/>
    </row>
    <row r="5982" spans="1:1" x14ac:dyDescent="0.55000000000000004">
      <c r="A5982" s="17"/>
    </row>
    <row r="5983" spans="1:1" x14ac:dyDescent="0.55000000000000004">
      <c r="A5983" s="17"/>
    </row>
    <row r="5984" spans="1:1" x14ac:dyDescent="0.55000000000000004">
      <c r="A5984" s="17"/>
    </row>
    <row r="5985" spans="1:1" x14ac:dyDescent="0.55000000000000004">
      <c r="A5985" s="17"/>
    </row>
    <row r="5986" spans="1:1" x14ac:dyDescent="0.55000000000000004">
      <c r="A5986" s="17"/>
    </row>
    <row r="5987" spans="1:1" x14ac:dyDescent="0.55000000000000004">
      <c r="A5987" s="17"/>
    </row>
    <row r="5988" spans="1:1" x14ac:dyDescent="0.55000000000000004">
      <c r="A5988" s="17"/>
    </row>
    <row r="5989" spans="1:1" x14ac:dyDescent="0.55000000000000004">
      <c r="A5989" s="17"/>
    </row>
    <row r="5990" spans="1:1" x14ac:dyDescent="0.55000000000000004">
      <c r="A5990" s="17"/>
    </row>
    <row r="5991" spans="1:1" x14ac:dyDescent="0.55000000000000004">
      <c r="A5991" s="17"/>
    </row>
    <row r="5992" spans="1:1" x14ac:dyDescent="0.55000000000000004">
      <c r="A5992" s="17"/>
    </row>
    <row r="5993" spans="1:1" x14ac:dyDescent="0.55000000000000004">
      <c r="A5993" s="17"/>
    </row>
    <row r="5994" spans="1:1" x14ac:dyDescent="0.55000000000000004">
      <c r="A5994" s="17"/>
    </row>
    <row r="5995" spans="1:1" x14ac:dyDescent="0.55000000000000004">
      <c r="A5995" s="17"/>
    </row>
    <row r="5996" spans="1:1" x14ac:dyDescent="0.55000000000000004">
      <c r="A5996" s="17"/>
    </row>
    <row r="5997" spans="1:1" x14ac:dyDescent="0.55000000000000004">
      <c r="A5997" s="17"/>
    </row>
    <row r="5998" spans="1:1" x14ac:dyDescent="0.55000000000000004">
      <c r="A5998" s="17"/>
    </row>
    <row r="5999" spans="1:1" x14ac:dyDescent="0.55000000000000004">
      <c r="A5999" s="17"/>
    </row>
    <row r="6000" spans="1:1" x14ac:dyDescent="0.55000000000000004">
      <c r="A6000" s="17"/>
    </row>
    <row r="6001" spans="1:1" x14ac:dyDescent="0.55000000000000004">
      <c r="A6001" s="17"/>
    </row>
    <row r="6002" spans="1:1" x14ac:dyDescent="0.55000000000000004">
      <c r="A6002" s="17"/>
    </row>
    <row r="6003" spans="1:1" x14ac:dyDescent="0.55000000000000004">
      <c r="A6003" s="17"/>
    </row>
    <row r="6004" spans="1:1" x14ac:dyDescent="0.55000000000000004">
      <c r="A6004" s="17"/>
    </row>
    <row r="6005" spans="1:1" x14ac:dyDescent="0.55000000000000004">
      <c r="A6005" s="17"/>
    </row>
    <row r="6006" spans="1:1" x14ac:dyDescent="0.55000000000000004">
      <c r="A6006" s="17"/>
    </row>
    <row r="6007" spans="1:1" x14ac:dyDescent="0.55000000000000004">
      <c r="A6007" s="17"/>
    </row>
    <row r="6008" spans="1:1" x14ac:dyDescent="0.55000000000000004">
      <c r="A6008" s="17"/>
    </row>
    <row r="6009" spans="1:1" x14ac:dyDescent="0.55000000000000004">
      <c r="A6009" s="17"/>
    </row>
    <row r="6010" spans="1:1" x14ac:dyDescent="0.55000000000000004">
      <c r="A6010" s="17"/>
    </row>
    <row r="6011" spans="1:1" x14ac:dyDescent="0.55000000000000004">
      <c r="A6011" s="17"/>
    </row>
    <row r="6012" spans="1:1" x14ac:dyDescent="0.55000000000000004">
      <c r="A6012" s="17"/>
    </row>
    <row r="6013" spans="1:1" x14ac:dyDescent="0.55000000000000004">
      <c r="A6013" s="17"/>
    </row>
    <row r="6014" spans="1:1" x14ac:dyDescent="0.55000000000000004">
      <c r="A6014" s="17"/>
    </row>
    <row r="6015" spans="1:1" x14ac:dyDescent="0.55000000000000004">
      <c r="A6015" s="17"/>
    </row>
    <row r="6016" spans="1:1" x14ac:dyDescent="0.55000000000000004">
      <c r="A6016" s="17"/>
    </row>
    <row r="6017" spans="1:1" x14ac:dyDescent="0.55000000000000004">
      <c r="A6017" s="17"/>
    </row>
    <row r="6018" spans="1:1" x14ac:dyDescent="0.55000000000000004">
      <c r="A6018" s="17"/>
    </row>
    <row r="6019" spans="1:1" x14ac:dyDescent="0.55000000000000004">
      <c r="A6019" s="17"/>
    </row>
    <row r="6020" spans="1:1" x14ac:dyDescent="0.55000000000000004">
      <c r="A6020" s="17"/>
    </row>
    <row r="6021" spans="1:1" x14ac:dyDescent="0.55000000000000004">
      <c r="A6021" s="17"/>
    </row>
    <row r="6022" spans="1:1" x14ac:dyDescent="0.55000000000000004">
      <c r="A6022" s="17"/>
    </row>
    <row r="6023" spans="1:1" x14ac:dyDescent="0.55000000000000004">
      <c r="A6023" s="17"/>
    </row>
    <row r="6024" spans="1:1" x14ac:dyDescent="0.55000000000000004">
      <c r="A6024" s="17"/>
    </row>
    <row r="6025" spans="1:1" x14ac:dyDescent="0.55000000000000004">
      <c r="A6025" s="17"/>
    </row>
    <row r="6026" spans="1:1" x14ac:dyDescent="0.55000000000000004">
      <c r="A6026" s="17"/>
    </row>
    <row r="6027" spans="1:1" x14ac:dyDescent="0.55000000000000004">
      <c r="A6027" s="17"/>
    </row>
    <row r="6028" spans="1:1" x14ac:dyDescent="0.55000000000000004">
      <c r="A6028" s="17"/>
    </row>
    <row r="6029" spans="1:1" x14ac:dyDescent="0.55000000000000004">
      <c r="A6029" s="17"/>
    </row>
    <row r="6030" spans="1:1" x14ac:dyDescent="0.55000000000000004">
      <c r="A6030" s="17"/>
    </row>
    <row r="6031" spans="1:1" x14ac:dyDescent="0.55000000000000004">
      <c r="A6031" s="17"/>
    </row>
    <row r="6032" spans="1:1" x14ac:dyDescent="0.55000000000000004">
      <c r="A6032" s="17"/>
    </row>
    <row r="6033" spans="1:1" x14ac:dyDescent="0.55000000000000004">
      <c r="A6033" s="17"/>
    </row>
    <row r="6034" spans="1:1" x14ac:dyDescent="0.55000000000000004">
      <c r="A6034" s="17"/>
    </row>
    <row r="6035" spans="1:1" x14ac:dyDescent="0.55000000000000004">
      <c r="A6035" s="17"/>
    </row>
    <row r="6036" spans="1:1" x14ac:dyDescent="0.55000000000000004">
      <c r="A6036" s="17"/>
    </row>
    <row r="6037" spans="1:1" x14ac:dyDescent="0.55000000000000004">
      <c r="A6037" s="17"/>
    </row>
    <row r="6038" spans="1:1" x14ac:dyDescent="0.55000000000000004">
      <c r="A6038" s="17"/>
    </row>
    <row r="6039" spans="1:1" x14ac:dyDescent="0.55000000000000004">
      <c r="A6039" s="17"/>
    </row>
    <row r="6040" spans="1:1" x14ac:dyDescent="0.55000000000000004">
      <c r="A6040" s="17"/>
    </row>
    <row r="6041" spans="1:1" x14ac:dyDescent="0.55000000000000004">
      <c r="A6041" s="17"/>
    </row>
    <row r="6042" spans="1:1" x14ac:dyDescent="0.55000000000000004">
      <c r="A6042" s="17"/>
    </row>
    <row r="6043" spans="1:1" x14ac:dyDescent="0.55000000000000004">
      <c r="A6043" s="17"/>
    </row>
    <row r="6044" spans="1:1" x14ac:dyDescent="0.55000000000000004">
      <c r="A6044" s="17"/>
    </row>
    <row r="6045" spans="1:1" x14ac:dyDescent="0.55000000000000004">
      <c r="A6045" s="17"/>
    </row>
    <row r="6046" spans="1:1" x14ac:dyDescent="0.55000000000000004">
      <c r="A6046" s="17"/>
    </row>
    <row r="6047" spans="1:1" x14ac:dyDescent="0.55000000000000004">
      <c r="A6047" s="17"/>
    </row>
    <row r="6048" spans="1:1" x14ac:dyDescent="0.55000000000000004">
      <c r="A6048" s="17"/>
    </row>
    <row r="6049" spans="1:1" x14ac:dyDescent="0.55000000000000004">
      <c r="A6049" s="17"/>
    </row>
    <row r="6050" spans="1:1" x14ac:dyDescent="0.55000000000000004">
      <c r="A6050" s="17"/>
    </row>
    <row r="6051" spans="1:1" x14ac:dyDescent="0.55000000000000004">
      <c r="A6051" s="17"/>
    </row>
    <row r="6052" spans="1:1" x14ac:dyDescent="0.55000000000000004">
      <c r="A6052" s="17"/>
    </row>
    <row r="6053" spans="1:1" x14ac:dyDescent="0.55000000000000004">
      <c r="A6053" s="17"/>
    </row>
    <row r="6054" spans="1:1" x14ac:dyDescent="0.55000000000000004">
      <c r="A6054" s="17"/>
    </row>
    <row r="6055" spans="1:1" x14ac:dyDescent="0.55000000000000004">
      <c r="A6055" s="17"/>
    </row>
    <row r="6056" spans="1:1" x14ac:dyDescent="0.55000000000000004">
      <c r="A6056" s="17"/>
    </row>
    <row r="6057" spans="1:1" x14ac:dyDescent="0.55000000000000004">
      <c r="A6057" s="17"/>
    </row>
    <row r="6058" spans="1:1" x14ac:dyDescent="0.55000000000000004">
      <c r="A6058" s="17"/>
    </row>
    <row r="6059" spans="1:1" x14ac:dyDescent="0.55000000000000004">
      <c r="A6059" s="17"/>
    </row>
    <row r="6060" spans="1:1" x14ac:dyDescent="0.55000000000000004">
      <c r="A6060" s="17"/>
    </row>
    <row r="6061" spans="1:1" x14ac:dyDescent="0.55000000000000004">
      <c r="A6061" s="17"/>
    </row>
    <row r="6062" spans="1:1" x14ac:dyDescent="0.55000000000000004">
      <c r="A6062" s="17"/>
    </row>
    <row r="6063" spans="1:1" x14ac:dyDescent="0.55000000000000004">
      <c r="A6063" s="17"/>
    </row>
    <row r="6064" spans="1:1" x14ac:dyDescent="0.55000000000000004">
      <c r="A6064" s="17"/>
    </row>
    <row r="6065" spans="1:1" x14ac:dyDescent="0.55000000000000004">
      <c r="A6065" s="17"/>
    </row>
    <row r="6066" spans="1:1" x14ac:dyDescent="0.55000000000000004">
      <c r="A6066" s="17"/>
    </row>
    <row r="6067" spans="1:1" x14ac:dyDescent="0.55000000000000004">
      <c r="A6067" s="17"/>
    </row>
    <row r="6068" spans="1:1" x14ac:dyDescent="0.55000000000000004">
      <c r="A6068" s="17"/>
    </row>
    <row r="6069" spans="1:1" x14ac:dyDescent="0.55000000000000004">
      <c r="A6069" s="17"/>
    </row>
    <row r="6070" spans="1:1" x14ac:dyDescent="0.55000000000000004">
      <c r="A6070" s="17"/>
    </row>
    <row r="6071" spans="1:1" x14ac:dyDescent="0.55000000000000004">
      <c r="A6071" s="17"/>
    </row>
    <row r="6072" spans="1:1" x14ac:dyDescent="0.55000000000000004">
      <c r="A6072" s="17"/>
    </row>
    <row r="6073" spans="1:1" x14ac:dyDescent="0.55000000000000004">
      <c r="A6073" s="17"/>
    </row>
    <row r="6074" spans="1:1" x14ac:dyDescent="0.55000000000000004">
      <c r="A6074" s="17"/>
    </row>
    <row r="6075" spans="1:1" x14ac:dyDescent="0.55000000000000004">
      <c r="A6075" s="17"/>
    </row>
    <row r="6076" spans="1:1" x14ac:dyDescent="0.55000000000000004">
      <c r="A6076" s="17"/>
    </row>
    <row r="6077" spans="1:1" x14ac:dyDescent="0.55000000000000004">
      <c r="A6077" s="17"/>
    </row>
    <row r="6078" spans="1:1" x14ac:dyDescent="0.55000000000000004">
      <c r="A6078" s="17"/>
    </row>
    <row r="6079" spans="1:1" x14ac:dyDescent="0.55000000000000004">
      <c r="A6079" s="17"/>
    </row>
    <row r="6080" spans="1:1" x14ac:dyDescent="0.55000000000000004">
      <c r="A6080" s="17"/>
    </row>
    <row r="6081" spans="1:1" x14ac:dyDescent="0.55000000000000004">
      <c r="A6081" s="17"/>
    </row>
    <row r="6082" spans="1:1" x14ac:dyDescent="0.55000000000000004">
      <c r="A6082" s="17"/>
    </row>
    <row r="6083" spans="1:1" x14ac:dyDescent="0.55000000000000004">
      <c r="A6083" s="17"/>
    </row>
    <row r="6084" spans="1:1" x14ac:dyDescent="0.55000000000000004">
      <c r="A6084" s="17"/>
    </row>
    <row r="6085" spans="1:1" x14ac:dyDescent="0.55000000000000004">
      <c r="A6085" s="17"/>
    </row>
    <row r="6086" spans="1:1" x14ac:dyDescent="0.55000000000000004">
      <c r="A6086" s="17"/>
    </row>
    <row r="6087" spans="1:1" x14ac:dyDescent="0.55000000000000004">
      <c r="A6087" s="17"/>
    </row>
    <row r="6088" spans="1:1" x14ac:dyDescent="0.55000000000000004">
      <c r="A6088" s="17"/>
    </row>
    <row r="6089" spans="1:1" x14ac:dyDescent="0.55000000000000004">
      <c r="A6089" s="17"/>
    </row>
    <row r="6090" spans="1:1" x14ac:dyDescent="0.55000000000000004">
      <c r="A6090" s="17"/>
    </row>
    <row r="6091" spans="1:1" x14ac:dyDescent="0.55000000000000004">
      <c r="A6091" s="17"/>
    </row>
    <row r="6092" spans="1:1" x14ac:dyDescent="0.55000000000000004">
      <c r="A6092" s="17"/>
    </row>
    <row r="6093" spans="1:1" x14ac:dyDescent="0.55000000000000004">
      <c r="A6093" s="17"/>
    </row>
    <row r="6094" spans="1:1" x14ac:dyDescent="0.55000000000000004">
      <c r="A6094" s="17"/>
    </row>
    <row r="6095" spans="1:1" x14ac:dyDescent="0.55000000000000004">
      <c r="A6095" s="17"/>
    </row>
    <row r="6096" spans="1:1" x14ac:dyDescent="0.55000000000000004">
      <c r="A6096" s="17"/>
    </row>
    <row r="6097" spans="1:1" x14ac:dyDescent="0.55000000000000004">
      <c r="A6097" s="17"/>
    </row>
    <row r="6098" spans="1:1" x14ac:dyDescent="0.55000000000000004">
      <c r="A6098" s="17"/>
    </row>
    <row r="6099" spans="1:1" x14ac:dyDescent="0.55000000000000004">
      <c r="A6099" s="17"/>
    </row>
    <row r="6100" spans="1:1" x14ac:dyDescent="0.55000000000000004">
      <c r="A6100" s="17"/>
    </row>
    <row r="6101" spans="1:1" x14ac:dyDescent="0.55000000000000004">
      <c r="A6101" s="17"/>
    </row>
    <row r="6102" spans="1:1" x14ac:dyDescent="0.55000000000000004">
      <c r="A6102" s="17"/>
    </row>
    <row r="6103" spans="1:1" x14ac:dyDescent="0.55000000000000004">
      <c r="A6103" s="17"/>
    </row>
    <row r="6104" spans="1:1" x14ac:dyDescent="0.55000000000000004">
      <c r="A6104" s="17"/>
    </row>
    <row r="6105" spans="1:1" x14ac:dyDescent="0.55000000000000004">
      <c r="A6105" s="17"/>
    </row>
    <row r="6106" spans="1:1" x14ac:dyDescent="0.55000000000000004">
      <c r="A6106" s="17"/>
    </row>
    <row r="6107" spans="1:1" x14ac:dyDescent="0.55000000000000004">
      <c r="A6107" s="17"/>
    </row>
    <row r="6108" spans="1:1" x14ac:dyDescent="0.55000000000000004">
      <c r="A6108" s="17"/>
    </row>
    <row r="6109" spans="1:1" x14ac:dyDescent="0.55000000000000004">
      <c r="A6109" s="17"/>
    </row>
    <row r="6110" spans="1:1" x14ac:dyDescent="0.55000000000000004">
      <c r="A6110" s="17"/>
    </row>
    <row r="6111" spans="1:1" x14ac:dyDescent="0.55000000000000004">
      <c r="A6111" s="17"/>
    </row>
    <row r="6112" spans="1:1" x14ac:dyDescent="0.55000000000000004">
      <c r="A6112" s="17"/>
    </row>
    <row r="6113" spans="1:1" x14ac:dyDescent="0.55000000000000004">
      <c r="A6113" s="17"/>
    </row>
    <row r="6114" spans="1:1" x14ac:dyDescent="0.55000000000000004">
      <c r="A6114" s="17"/>
    </row>
    <row r="6115" spans="1:1" x14ac:dyDescent="0.55000000000000004">
      <c r="A6115" s="17"/>
    </row>
    <row r="6116" spans="1:1" x14ac:dyDescent="0.55000000000000004">
      <c r="A6116" s="17"/>
    </row>
    <row r="6117" spans="1:1" x14ac:dyDescent="0.55000000000000004">
      <c r="A6117" s="17"/>
    </row>
    <row r="6118" spans="1:1" x14ac:dyDescent="0.55000000000000004">
      <c r="A6118" s="17"/>
    </row>
    <row r="6119" spans="1:1" x14ac:dyDescent="0.55000000000000004">
      <c r="A6119" s="17"/>
    </row>
    <row r="6120" spans="1:1" x14ac:dyDescent="0.55000000000000004">
      <c r="A6120" s="17"/>
    </row>
    <row r="6121" spans="1:1" x14ac:dyDescent="0.55000000000000004">
      <c r="A6121" s="17"/>
    </row>
    <row r="6122" spans="1:1" x14ac:dyDescent="0.55000000000000004">
      <c r="A6122" s="17"/>
    </row>
    <row r="6123" spans="1:1" x14ac:dyDescent="0.55000000000000004">
      <c r="A6123" s="17"/>
    </row>
    <row r="6124" spans="1:1" x14ac:dyDescent="0.55000000000000004">
      <c r="A6124" s="17"/>
    </row>
    <row r="6125" spans="1:1" x14ac:dyDescent="0.55000000000000004">
      <c r="A6125" s="17"/>
    </row>
    <row r="6126" spans="1:1" x14ac:dyDescent="0.55000000000000004">
      <c r="A6126" s="17"/>
    </row>
    <row r="6127" spans="1:1" x14ac:dyDescent="0.55000000000000004">
      <c r="A6127" s="17"/>
    </row>
    <row r="6128" spans="1:1" x14ac:dyDescent="0.55000000000000004">
      <c r="A6128" s="17"/>
    </row>
    <row r="6129" spans="1:1" x14ac:dyDescent="0.55000000000000004">
      <c r="A6129" s="17"/>
    </row>
    <row r="6130" spans="1:1" x14ac:dyDescent="0.55000000000000004">
      <c r="A6130" s="17"/>
    </row>
    <row r="6131" spans="1:1" x14ac:dyDescent="0.55000000000000004">
      <c r="A6131" s="17"/>
    </row>
    <row r="6132" spans="1:1" x14ac:dyDescent="0.55000000000000004">
      <c r="A6132" s="17"/>
    </row>
    <row r="6133" spans="1:1" x14ac:dyDescent="0.55000000000000004">
      <c r="A6133" s="17"/>
    </row>
    <row r="6134" spans="1:1" x14ac:dyDescent="0.55000000000000004">
      <c r="A6134" s="17"/>
    </row>
    <row r="6135" spans="1:1" x14ac:dyDescent="0.55000000000000004">
      <c r="A6135" s="17"/>
    </row>
    <row r="6136" spans="1:1" x14ac:dyDescent="0.55000000000000004">
      <c r="A6136" s="17"/>
    </row>
    <row r="6137" spans="1:1" x14ac:dyDescent="0.55000000000000004">
      <c r="A6137" s="17"/>
    </row>
    <row r="6138" spans="1:1" x14ac:dyDescent="0.55000000000000004">
      <c r="A6138" s="17"/>
    </row>
    <row r="6139" spans="1:1" x14ac:dyDescent="0.55000000000000004">
      <c r="A6139" s="17"/>
    </row>
    <row r="6140" spans="1:1" x14ac:dyDescent="0.55000000000000004">
      <c r="A6140" s="17"/>
    </row>
    <row r="6141" spans="1:1" x14ac:dyDescent="0.55000000000000004">
      <c r="A6141" s="17"/>
    </row>
    <row r="6142" spans="1:1" x14ac:dyDescent="0.55000000000000004">
      <c r="A6142" s="17"/>
    </row>
    <row r="6143" spans="1:1" x14ac:dyDescent="0.55000000000000004">
      <c r="A6143" s="17"/>
    </row>
    <row r="6144" spans="1:1" x14ac:dyDescent="0.55000000000000004">
      <c r="A6144" s="17"/>
    </row>
    <row r="6145" spans="1:1" x14ac:dyDescent="0.55000000000000004">
      <c r="A6145" s="17"/>
    </row>
    <row r="6146" spans="1:1" x14ac:dyDescent="0.55000000000000004">
      <c r="A6146" s="17"/>
    </row>
    <row r="6147" spans="1:1" x14ac:dyDescent="0.55000000000000004">
      <c r="A6147" s="17"/>
    </row>
    <row r="6148" spans="1:1" x14ac:dyDescent="0.55000000000000004">
      <c r="A6148" s="17"/>
    </row>
    <row r="6149" spans="1:1" x14ac:dyDescent="0.55000000000000004">
      <c r="A6149" s="17"/>
    </row>
    <row r="6150" spans="1:1" x14ac:dyDescent="0.55000000000000004">
      <c r="A6150" s="17"/>
    </row>
    <row r="6151" spans="1:1" x14ac:dyDescent="0.55000000000000004">
      <c r="A6151" s="17"/>
    </row>
    <row r="6152" spans="1:1" x14ac:dyDescent="0.55000000000000004">
      <c r="A6152" s="17"/>
    </row>
    <row r="6153" spans="1:1" x14ac:dyDescent="0.55000000000000004">
      <c r="A6153" s="17"/>
    </row>
    <row r="6154" spans="1:1" x14ac:dyDescent="0.55000000000000004">
      <c r="A6154" s="17"/>
    </row>
    <row r="6155" spans="1:1" x14ac:dyDescent="0.55000000000000004">
      <c r="A6155" s="17"/>
    </row>
    <row r="6156" spans="1:1" x14ac:dyDescent="0.55000000000000004">
      <c r="A6156" s="17"/>
    </row>
    <row r="6157" spans="1:1" x14ac:dyDescent="0.55000000000000004">
      <c r="A6157" s="17"/>
    </row>
    <row r="6158" spans="1:1" x14ac:dyDescent="0.55000000000000004">
      <c r="A6158" s="17"/>
    </row>
    <row r="6159" spans="1:1" x14ac:dyDescent="0.55000000000000004">
      <c r="A6159" s="17"/>
    </row>
    <row r="6160" spans="1:1" x14ac:dyDescent="0.55000000000000004">
      <c r="A6160" s="17"/>
    </row>
    <row r="6161" spans="1:1" x14ac:dyDescent="0.55000000000000004">
      <c r="A6161" s="17"/>
    </row>
    <row r="6162" spans="1:1" x14ac:dyDescent="0.55000000000000004">
      <c r="A6162" s="17"/>
    </row>
    <row r="6163" spans="1:1" x14ac:dyDescent="0.55000000000000004">
      <c r="A6163" s="17"/>
    </row>
    <row r="6164" spans="1:1" x14ac:dyDescent="0.55000000000000004">
      <c r="A6164" s="17"/>
    </row>
    <row r="6165" spans="1:1" x14ac:dyDescent="0.55000000000000004">
      <c r="A6165" s="17"/>
    </row>
    <row r="6166" spans="1:1" x14ac:dyDescent="0.55000000000000004">
      <c r="A6166" s="17"/>
    </row>
    <row r="6167" spans="1:1" x14ac:dyDescent="0.55000000000000004">
      <c r="A6167" s="17"/>
    </row>
    <row r="6168" spans="1:1" x14ac:dyDescent="0.55000000000000004">
      <c r="A6168" s="17"/>
    </row>
    <row r="6169" spans="1:1" x14ac:dyDescent="0.55000000000000004">
      <c r="A6169" s="17"/>
    </row>
    <row r="6170" spans="1:1" x14ac:dyDescent="0.55000000000000004">
      <c r="A6170" s="17"/>
    </row>
    <row r="6171" spans="1:1" x14ac:dyDescent="0.55000000000000004">
      <c r="A6171" s="17"/>
    </row>
    <row r="6172" spans="1:1" x14ac:dyDescent="0.55000000000000004">
      <c r="A6172" s="17"/>
    </row>
    <row r="6173" spans="1:1" x14ac:dyDescent="0.55000000000000004">
      <c r="A6173" s="17"/>
    </row>
    <row r="6174" spans="1:1" x14ac:dyDescent="0.55000000000000004">
      <c r="A6174" s="17"/>
    </row>
    <row r="6175" spans="1:1" x14ac:dyDescent="0.55000000000000004">
      <c r="A6175" s="17"/>
    </row>
    <row r="6176" spans="1:1" x14ac:dyDescent="0.55000000000000004">
      <c r="A6176" s="17"/>
    </row>
    <row r="6177" spans="1:1" x14ac:dyDescent="0.55000000000000004">
      <c r="A6177" s="17"/>
    </row>
    <row r="6178" spans="1:1" x14ac:dyDescent="0.55000000000000004">
      <c r="A6178" s="17"/>
    </row>
    <row r="6179" spans="1:1" x14ac:dyDescent="0.55000000000000004">
      <c r="A6179" s="17"/>
    </row>
    <row r="6180" spans="1:1" x14ac:dyDescent="0.55000000000000004">
      <c r="A6180" s="17"/>
    </row>
    <row r="6181" spans="1:1" x14ac:dyDescent="0.55000000000000004">
      <c r="A6181" s="17"/>
    </row>
    <row r="6182" spans="1:1" x14ac:dyDescent="0.55000000000000004">
      <c r="A6182" s="17"/>
    </row>
    <row r="6183" spans="1:1" x14ac:dyDescent="0.55000000000000004">
      <c r="A6183" s="17"/>
    </row>
    <row r="6184" spans="1:1" x14ac:dyDescent="0.55000000000000004">
      <c r="A6184" s="17"/>
    </row>
    <row r="6185" spans="1:1" x14ac:dyDescent="0.55000000000000004">
      <c r="A6185" s="17"/>
    </row>
    <row r="6186" spans="1:1" x14ac:dyDescent="0.55000000000000004">
      <c r="A6186" s="17"/>
    </row>
    <row r="6187" spans="1:1" x14ac:dyDescent="0.55000000000000004">
      <c r="A6187" s="17"/>
    </row>
    <row r="6188" spans="1:1" x14ac:dyDescent="0.55000000000000004">
      <c r="A6188" s="17"/>
    </row>
    <row r="6189" spans="1:1" x14ac:dyDescent="0.55000000000000004">
      <c r="A6189" s="17"/>
    </row>
    <row r="6190" spans="1:1" x14ac:dyDescent="0.55000000000000004">
      <c r="A6190" s="17"/>
    </row>
    <row r="6191" spans="1:1" x14ac:dyDescent="0.55000000000000004">
      <c r="A6191" s="17"/>
    </row>
    <row r="6192" spans="1:1" x14ac:dyDescent="0.55000000000000004">
      <c r="A6192" s="17"/>
    </row>
    <row r="6193" spans="1:1" x14ac:dyDescent="0.55000000000000004">
      <c r="A6193" s="17"/>
    </row>
    <row r="6194" spans="1:1" x14ac:dyDescent="0.55000000000000004">
      <c r="A6194" s="17"/>
    </row>
    <row r="6195" spans="1:1" x14ac:dyDescent="0.55000000000000004">
      <c r="A6195" s="17"/>
    </row>
    <row r="6196" spans="1:1" x14ac:dyDescent="0.55000000000000004">
      <c r="A6196" s="17"/>
    </row>
    <row r="6197" spans="1:1" x14ac:dyDescent="0.55000000000000004">
      <c r="A6197" s="17"/>
    </row>
    <row r="6198" spans="1:1" x14ac:dyDescent="0.55000000000000004">
      <c r="A6198" s="17"/>
    </row>
    <row r="6199" spans="1:1" x14ac:dyDescent="0.55000000000000004">
      <c r="A6199" s="17"/>
    </row>
    <row r="6200" spans="1:1" x14ac:dyDescent="0.55000000000000004">
      <c r="A6200" s="17"/>
    </row>
    <row r="6201" spans="1:1" x14ac:dyDescent="0.55000000000000004">
      <c r="A6201" s="17"/>
    </row>
    <row r="6202" spans="1:1" x14ac:dyDescent="0.55000000000000004">
      <c r="A6202" s="17"/>
    </row>
    <row r="6203" spans="1:1" x14ac:dyDescent="0.55000000000000004">
      <c r="A6203" s="17"/>
    </row>
    <row r="6204" spans="1:1" x14ac:dyDescent="0.55000000000000004">
      <c r="A6204" s="17"/>
    </row>
    <row r="6205" spans="1:1" x14ac:dyDescent="0.55000000000000004">
      <c r="A6205" s="17"/>
    </row>
    <row r="6206" spans="1:1" x14ac:dyDescent="0.55000000000000004">
      <c r="A6206" s="17"/>
    </row>
    <row r="6207" spans="1:1" x14ac:dyDescent="0.55000000000000004">
      <c r="A6207" s="17"/>
    </row>
    <row r="6208" spans="1:1" x14ac:dyDescent="0.55000000000000004">
      <c r="A6208" s="17"/>
    </row>
    <row r="6209" spans="1:1" x14ac:dyDescent="0.55000000000000004">
      <c r="A6209" s="17"/>
    </row>
    <row r="6210" spans="1:1" x14ac:dyDescent="0.55000000000000004">
      <c r="A6210" s="17"/>
    </row>
    <row r="6211" spans="1:1" x14ac:dyDescent="0.55000000000000004">
      <c r="A6211" s="17"/>
    </row>
    <row r="6212" spans="1:1" x14ac:dyDescent="0.55000000000000004">
      <c r="A6212" s="17"/>
    </row>
    <row r="6213" spans="1:1" x14ac:dyDescent="0.55000000000000004">
      <c r="A6213" s="17"/>
    </row>
    <row r="6214" spans="1:1" x14ac:dyDescent="0.55000000000000004">
      <c r="A6214" s="17"/>
    </row>
    <row r="6215" spans="1:1" x14ac:dyDescent="0.55000000000000004">
      <c r="A6215" s="17"/>
    </row>
    <row r="6216" spans="1:1" x14ac:dyDescent="0.55000000000000004">
      <c r="A6216" s="17"/>
    </row>
    <row r="6217" spans="1:1" x14ac:dyDescent="0.55000000000000004">
      <c r="A6217" s="17"/>
    </row>
    <row r="6218" spans="1:1" x14ac:dyDescent="0.55000000000000004">
      <c r="A6218" s="17"/>
    </row>
    <row r="6219" spans="1:1" x14ac:dyDescent="0.55000000000000004">
      <c r="A6219" s="17"/>
    </row>
    <row r="6220" spans="1:1" x14ac:dyDescent="0.55000000000000004">
      <c r="A6220" s="17"/>
    </row>
    <row r="6221" spans="1:1" x14ac:dyDescent="0.55000000000000004">
      <c r="A6221" s="17"/>
    </row>
    <row r="6222" spans="1:1" x14ac:dyDescent="0.55000000000000004">
      <c r="A6222" s="17"/>
    </row>
    <row r="6223" spans="1:1" x14ac:dyDescent="0.55000000000000004">
      <c r="A6223" s="17"/>
    </row>
    <row r="6224" spans="1:1" x14ac:dyDescent="0.55000000000000004">
      <c r="A6224" s="17"/>
    </row>
    <row r="6225" spans="1:1" x14ac:dyDescent="0.55000000000000004">
      <c r="A6225" s="17"/>
    </row>
    <row r="6226" spans="1:1" x14ac:dyDescent="0.55000000000000004">
      <c r="A6226" s="17"/>
    </row>
    <row r="6227" spans="1:1" x14ac:dyDescent="0.55000000000000004">
      <c r="A6227" s="17"/>
    </row>
    <row r="6228" spans="1:1" x14ac:dyDescent="0.55000000000000004">
      <c r="A6228" s="17"/>
    </row>
    <row r="6229" spans="1:1" x14ac:dyDescent="0.55000000000000004">
      <c r="A6229" s="17"/>
    </row>
    <row r="6230" spans="1:1" x14ac:dyDescent="0.55000000000000004">
      <c r="A6230" s="17"/>
    </row>
    <row r="6231" spans="1:1" x14ac:dyDescent="0.55000000000000004">
      <c r="A6231" s="17"/>
    </row>
    <row r="6232" spans="1:1" x14ac:dyDescent="0.55000000000000004">
      <c r="A6232" s="17"/>
    </row>
    <row r="6233" spans="1:1" x14ac:dyDescent="0.55000000000000004">
      <c r="A6233" s="17"/>
    </row>
    <row r="6234" spans="1:1" x14ac:dyDescent="0.55000000000000004">
      <c r="A6234" s="17"/>
    </row>
    <row r="6235" spans="1:1" x14ac:dyDescent="0.55000000000000004">
      <c r="A6235" s="17"/>
    </row>
    <row r="6236" spans="1:1" x14ac:dyDescent="0.55000000000000004">
      <c r="A6236" s="17"/>
    </row>
    <row r="6237" spans="1:1" x14ac:dyDescent="0.55000000000000004">
      <c r="A6237" s="17"/>
    </row>
    <row r="6238" spans="1:1" x14ac:dyDescent="0.55000000000000004">
      <c r="A6238" s="17"/>
    </row>
    <row r="6239" spans="1:1" x14ac:dyDescent="0.55000000000000004">
      <c r="A6239" s="17"/>
    </row>
    <row r="6240" spans="1:1" x14ac:dyDescent="0.55000000000000004">
      <c r="A6240" s="17"/>
    </row>
    <row r="6241" spans="1:1" x14ac:dyDescent="0.55000000000000004">
      <c r="A6241" s="17"/>
    </row>
    <row r="6242" spans="1:1" x14ac:dyDescent="0.55000000000000004">
      <c r="A6242" s="17"/>
    </row>
    <row r="6243" spans="1:1" x14ac:dyDescent="0.55000000000000004">
      <c r="A6243" s="17"/>
    </row>
    <row r="6244" spans="1:1" x14ac:dyDescent="0.55000000000000004">
      <c r="A6244" s="17"/>
    </row>
    <row r="6245" spans="1:1" x14ac:dyDescent="0.55000000000000004">
      <c r="A6245" s="17"/>
    </row>
    <row r="6246" spans="1:1" x14ac:dyDescent="0.55000000000000004">
      <c r="A6246" s="17"/>
    </row>
    <row r="6247" spans="1:1" x14ac:dyDescent="0.55000000000000004">
      <c r="A6247" s="17"/>
    </row>
    <row r="6248" spans="1:1" x14ac:dyDescent="0.55000000000000004">
      <c r="A6248" s="17"/>
    </row>
    <row r="6249" spans="1:1" x14ac:dyDescent="0.55000000000000004">
      <c r="A6249" s="17"/>
    </row>
    <row r="6250" spans="1:1" x14ac:dyDescent="0.55000000000000004">
      <c r="A6250" s="17"/>
    </row>
    <row r="6251" spans="1:1" x14ac:dyDescent="0.55000000000000004">
      <c r="A6251" s="17"/>
    </row>
    <row r="6252" spans="1:1" x14ac:dyDescent="0.55000000000000004">
      <c r="A6252" s="17"/>
    </row>
    <row r="6253" spans="1:1" x14ac:dyDescent="0.55000000000000004">
      <c r="A6253" s="17"/>
    </row>
    <row r="6254" spans="1:1" x14ac:dyDescent="0.55000000000000004">
      <c r="A6254" s="17"/>
    </row>
    <row r="6255" spans="1:1" x14ac:dyDescent="0.55000000000000004">
      <c r="A6255" s="17"/>
    </row>
    <row r="6256" spans="1:1" x14ac:dyDescent="0.55000000000000004">
      <c r="A6256" s="17"/>
    </row>
    <row r="6257" spans="1:1" x14ac:dyDescent="0.55000000000000004">
      <c r="A6257" s="17"/>
    </row>
    <row r="6258" spans="1:1" x14ac:dyDescent="0.55000000000000004">
      <c r="A6258" s="17"/>
    </row>
    <row r="6259" spans="1:1" x14ac:dyDescent="0.55000000000000004">
      <c r="A6259" s="17"/>
    </row>
    <row r="6260" spans="1:1" x14ac:dyDescent="0.55000000000000004">
      <c r="A6260" s="17"/>
    </row>
    <row r="6261" spans="1:1" x14ac:dyDescent="0.55000000000000004">
      <c r="A6261" s="17"/>
    </row>
    <row r="6262" spans="1:1" x14ac:dyDescent="0.55000000000000004">
      <c r="A6262" s="17"/>
    </row>
    <row r="6263" spans="1:1" x14ac:dyDescent="0.55000000000000004">
      <c r="A6263" s="17"/>
    </row>
    <row r="6264" spans="1:1" x14ac:dyDescent="0.55000000000000004">
      <c r="A6264" s="17"/>
    </row>
    <row r="6265" spans="1:1" x14ac:dyDescent="0.55000000000000004">
      <c r="A6265" s="17"/>
    </row>
    <row r="6266" spans="1:1" x14ac:dyDescent="0.55000000000000004">
      <c r="A6266" s="17"/>
    </row>
    <row r="6267" spans="1:1" x14ac:dyDescent="0.55000000000000004">
      <c r="A6267" s="17"/>
    </row>
    <row r="6268" spans="1:1" x14ac:dyDescent="0.55000000000000004">
      <c r="A6268" s="17"/>
    </row>
    <row r="6269" spans="1:1" x14ac:dyDescent="0.55000000000000004">
      <c r="A6269" s="17"/>
    </row>
    <row r="6270" spans="1:1" x14ac:dyDescent="0.55000000000000004">
      <c r="A6270" s="17"/>
    </row>
    <row r="6271" spans="1:1" x14ac:dyDescent="0.55000000000000004">
      <c r="A6271" s="17"/>
    </row>
    <row r="6272" spans="1:1" x14ac:dyDescent="0.55000000000000004">
      <c r="A6272" s="17"/>
    </row>
    <row r="6273" spans="1:1" x14ac:dyDescent="0.55000000000000004">
      <c r="A6273" s="17"/>
    </row>
    <row r="6274" spans="1:1" x14ac:dyDescent="0.55000000000000004">
      <c r="A6274" s="17"/>
    </row>
    <row r="6275" spans="1:1" x14ac:dyDescent="0.55000000000000004">
      <c r="A6275" s="17"/>
    </row>
    <row r="6276" spans="1:1" x14ac:dyDescent="0.55000000000000004">
      <c r="A6276" s="17"/>
    </row>
    <row r="6277" spans="1:1" x14ac:dyDescent="0.55000000000000004">
      <c r="A6277" s="17"/>
    </row>
    <row r="6278" spans="1:1" x14ac:dyDescent="0.55000000000000004">
      <c r="A6278" s="17"/>
    </row>
    <row r="6279" spans="1:1" x14ac:dyDescent="0.55000000000000004">
      <c r="A6279" s="17"/>
    </row>
    <row r="6280" spans="1:1" x14ac:dyDescent="0.55000000000000004">
      <c r="A6280" s="17"/>
    </row>
    <row r="6281" spans="1:1" x14ac:dyDescent="0.55000000000000004">
      <c r="A6281" s="17"/>
    </row>
    <row r="6282" spans="1:1" x14ac:dyDescent="0.55000000000000004">
      <c r="A6282" s="17"/>
    </row>
    <row r="6283" spans="1:1" x14ac:dyDescent="0.55000000000000004">
      <c r="A6283" s="17"/>
    </row>
    <row r="6284" spans="1:1" x14ac:dyDescent="0.55000000000000004">
      <c r="A6284" s="17"/>
    </row>
    <row r="6285" spans="1:1" x14ac:dyDescent="0.55000000000000004">
      <c r="A6285" s="17"/>
    </row>
    <row r="6286" spans="1:1" x14ac:dyDescent="0.55000000000000004">
      <c r="A6286" s="17"/>
    </row>
    <row r="6287" spans="1:1" x14ac:dyDescent="0.55000000000000004">
      <c r="A6287" s="17"/>
    </row>
    <row r="6288" spans="1:1" x14ac:dyDescent="0.55000000000000004">
      <c r="A6288" s="17"/>
    </row>
    <row r="6289" spans="1:1" x14ac:dyDescent="0.55000000000000004">
      <c r="A6289" s="17"/>
    </row>
    <row r="6290" spans="1:1" x14ac:dyDescent="0.55000000000000004">
      <c r="A6290" s="17"/>
    </row>
    <row r="6291" spans="1:1" x14ac:dyDescent="0.55000000000000004">
      <c r="A6291" s="17"/>
    </row>
    <row r="6292" spans="1:1" x14ac:dyDescent="0.55000000000000004">
      <c r="A6292" s="17"/>
    </row>
    <row r="6293" spans="1:1" x14ac:dyDescent="0.55000000000000004">
      <c r="A6293" s="17"/>
    </row>
    <row r="6294" spans="1:1" x14ac:dyDescent="0.55000000000000004">
      <c r="A6294" s="17"/>
    </row>
    <row r="6295" spans="1:1" x14ac:dyDescent="0.55000000000000004">
      <c r="A6295" s="17"/>
    </row>
    <row r="6296" spans="1:1" x14ac:dyDescent="0.55000000000000004">
      <c r="A6296" s="17"/>
    </row>
    <row r="6297" spans="1:1" x14ac:dyDescent="0.55000000000000004">
      <c r="A6297" s="17"/>
    </row>
    <row r="6298" spans="1:1" x14ac:dyDescent="0.55000000000000004">
      <c r="A6298" s="17"/>
    </row>
    <row r="6299" spans="1:1" x14ac:dyDescent="0.55000000000000004">
      <c r="A6299" s="17"/>
    </row>
    <row r="6300" spans="1:1" x14ac:dyDescent="0.55000000000000004">
      <c r="A6300" s="17"/>
    </row>
    <row r="6301" spans="1:1" x14ac:dyDescent="0.55000000000000004">
      <c r="A6301" s="17"/>
    </row>
    <row r="6302" spans="1:1" x14ac:dyDescent="0.55000000000000004">
      <c r="A6302" s="17"/>
    </row>
    <row r="6303" spans="1:1" x14ac:dyDescent="0.55000000000000004">
      <c r="A6303" s="17"/>
    </row>
    <row r="6304" spans="1:1" x14ac:dyDescent="0.55000000000000004">
      <c r="A6304" s="17"/>
    </row>
    <row r="6305" spans="1:1" x14ac:dyDescent="0.55000000000000004">
      <c r="A6305" s="17"/>
    </row>
    <row r="6306" spans="1:1" x14ac:dyDescent="0.55000000000000004">
      <c r="A6306" s="17"/>
    </row>
    <row r="6307" spans="1:1" x14ac:dyDescent="0.55000000000000004">
      <c r="A6307" s="17"/>
    </row>
    <row r="6308" spans="1:1" x14ac:dyDescent="0.55000000000000004">
      <c r="A6308" s="17"/>
    </row>
    <row r="6309" spans="1:1" x14ac:dyDescent="0.55000000000000004">
      <c r="A6309" s="17"/>
    </row>
    <row r="6310" spans="1:1" x14ac:dyDescent="0.55000000000000004">
      <c r="A6310" s="17"/>
    </row>
    <row r="6311" spans="1:1" x14ac:dyDescent="0.55000000000000004">
      <c r="A6311" s="17"/>
    </row>
    <row r="6312" spans="1:1" x14ac:dyDescent="0.55000000000000004">
      <c r="A6312" s="17"/>
    </row>
    <row r="6313" spans="1:1" x14ac:dyDescent="0.55000000000000004">
      <c r="A6313" s="17"/>
    </row>
    <row r="6314" spans="1:1" x14ac:dyDescent="0.55000000000000004">
      <c r="A6314" s="17"/>
    </row>
    <row r="6315" spans="1:1" x14ac:dyDescent="0.55000000000000004">
      <c r="A6315" s="17"/>
    </row>
    <row r="6316" spans="1:1" x14ac:dyDescent="0.55000000000000004">
      <c r="A6316" s="17"/>
    </row>
    <row r="6317" spans="1:1" x14ac:dyDescent="0.55000000000000004">
      <c r="A6317" s="17"/>
    </row>
    <row r="6318" spans="1:1" x14ac:dyDescent="0.55000000000000004">
      <c r="A6318" s="17"/>
    </row>
    <row r="6319" spans="1:1" x14ac:dyDescent="0.55000000000000004">
      <c r="A6319" s="17"/>
    </row>
    <row r="6320" spans="1:1" x14ac:dyDescent="0.55000000000000004">
      <c r="A6320" s="17"/>
    </row>
    <row r="6321" spans="1:1" x14ac:dyDescent="0.55000000000000004">
      <c r="A6321" s="17"/>
    </row>
    <row r="6322" spans="1:1" x14ac:dyDescent="0.55000000000000004">
      <c r="A6322" s="17"/>
    </row>
    <row r="6323" spans="1:1" x14ac:dyDescent="0.55000000000000004">
      <c r="A6323" s="17"/>
    </row>
    <row r="6324" spans="1:1" x14ac:dyDescent="0.55000000000000004">
      <c r="A6324" s="17"/>
    </row>
    <row r="6325" spans="1:1" x14ac:dyDescent="0.55000000000000004">
      <c r="A6325" s="17"/>
    </row>
    <row r="6326" spans="1:1" x14ac:dyDescent="0.55000000000000004">
      <c r="A6326" s="17"/>
    </row>
    <row r="6327" spans="1:1" x14ac:dyDescent="0.55000000000000004">
      <c r="A6327" s="17"/>
    </row>
    <row r="6328" spans="1:1" x14ac:dyDescent="0.55000000000000004">
      <c r="A6328" s="17"/>
    </row>
    <row r="6329" spans="1:1" x14ac:dyDescent="0.55000000000000004">
      <c r="A6329" s="17"/>
    </row>
    <row r="6330" spans="1:1" x14ac:dyDescent="0.55000000000000004">
      <c r="A6330" s="17"/>
    </row>
    <row r="6331" spans="1:1" x14ac:dyDescent="0.55000000000000004">
      <c r="A6331" s="17"/>
    </row>
    <row r="6332" spans="1:1" x14ac:dyDescent="0.55000000000000004">
      <c r="A6332" s="17"/>
    </row>
    <row r="6333" spans="1:1" x14ac:dyDescent="0.55000000000000004">
      <c r="A6333" s="17"/>
    </row>
    <row r="6334" spans="1:1" x14ac:dyDescent="0.55000000000000004">
      <c r="A6334" s="17"/>
    </row>
    <row r="6335" spans="1:1" x14ac:dyDescent="0.55000000000000004">
      <c r="A6335" s="17"/>
    </row>
    <row r="6336" spans="1:1" x14ac:dyDescent="0.55000000000000004">
      <c r="A6336" s="17"/>
    </row>
    <row r="6337" spans="1:1" x14ac:dyDescent="0.55000000000000004">
      <c r="A6337" s="17"/>
    </row>
    <row r="6338" spans="1:1" x14ac:dyDescent="0.55000000000000004">
      <c r="A6338" s="17"/>
    </row>
    <row r="6339" spans="1:1" x14ac:dyDescent="0.55000000000000004">
      <c r="A6339" s="17"/>
    </row>
    <row r="6340" spans="1:1" x14ac:dyDescent="0.55000000000000004">
      <c r="A6340" s="17"/>
    </row>
    <row r="6341" spans="1:1" x14ac:dyDescent="0.55000000000000004">
      <c r="A6341" s="17"/>
    </row>
    <row r="6342" spans="1:1" x14ac:dyDescent="0.55000000000000004">
      <c r="A6342" s="17"/>
    </row>
    <row r="6343" spans="1:1" x14ac:dyDescent="0.55000000000000004">
      <c r="A6343" s="17"/>
    </row>
    <row r="6344" spans="1:1" x14ac:dyDescent="0.55000000000000004">
      <c r="A6344" s="17"/>
    </row>
    <row r="6345" spans="1:1" x14ac:dyDescent="0.55000000000000004">
      <c r="A6345" s="17"/>
    </row>
    <row r="6346" spans="1:1" x14ac:dyDescent="0.55000000000000004">
      <c r="A6346" s="17"/>
    </row>
    <row r="6347" spans="1:1" x14ac:dyDescent="0.55000000000000004">
      <c r="A6347" s="17"/>
    </row>
    <row r="6348" spans="1:1" x14ac:dyDescent="0.55000000000000004">
      <c r="A6348" s="17"/>
    </row>
    <row r="6349" spans="1:1" x14ac:dyDescent="0.55000000000000004">
      <c r="A6349" s="17"/>
    </row>
    <row r="6350" spans="1:1" x14ac:dyDescent="0.55000000000000004">
      <c r="A6350" s="17"/>
    </row>
    <row r="6351" spans="1:1" x14ac:dyDescent="0.55000000000000004">
      <c r="A6351" s="17"/>
    </row>
    <row r="6352" spans="1:1" x14ac:dyDescent="0.55000000000000004">
      <c r="A6352" s="17"/>
    </row>
    <row r="6353" spans="1:1" x14ac:dyDescent="0.55000000000000004">
      <c r="A6353" s="17"/>
    </row>
    <row r="6354" spans="1:1" x14ac:dyDescent="0.55000000000000004">
      <c r="A6354" s="17"/>
    </row>
    <row r="6355" spans="1:1" x14ac:dyDescent="0.55000000000000004">
      <c r="A6355" s="17"/>
    </row>
    <row r="6356" spans="1:1" x14ac:dyDescent="0.55000000000000004">
      <c r="A6356" s="17"/>
    </row>
    <row r="6357" spans="1:1" x14ac:dyDescent="0.55000000000000004">
      <c r="A6357" s="17"/>
    </row>
    <row r="6358" spans="1:1" x14ac:dyDescent="0.55000000000000004">
      <c r="A6358" s="17"/>
    </row>
    <row r="6359" spans="1:1" x14ac:dyDescent="0.55000000000000004">
      <c r="A6359" s="17"/>
    </row>
    <row r="6360" spans="1:1" x14ac:dyDescent="0.55000000000000004">
      <c r="A6360" s="17"/>
    </row>
    <row r="6361" spans="1:1" x14ac:dyDescent="0.55000000000000004">
      <c r="A6361" s="17"/>
    </row>
    <row r="6362" spans="1:1" x14ac:dyDescent="0.55000000000000004">
      <c r="A6362" s="17"/>
    </row>
    <row r="6363" spans="1:1" x14ac:dyDescent="0.55000000000000004">
      <c r="A6363" s="17"/>
    </row>
    <row r="6364" spans="1:1" x14ac:dyDescent="0.55000000000000004">
      <c r="A6364" s="17"/>
    </row>
    <row r="6365" spans="1:1" x14ac:dyDescent="0.55000000000000004">
      <c r="A6365" s="17"/>
    </row>
    <row r="6366" spans="1:1" x14ac:dyDescent="0.55000000000000004">
      <c r="A6366" s="17"/>
    </row>
    <row r="6367" spans="1:1" x14ac:dyDescent="0.55000000000000004">
      <c r="A6367" s="17"/>
    </row>
    <row r="6368" spans="1:1" x14ac:dyDescent="0.55000000000000004">
      <c r="A6368" s="17"/>
    </row>
    <row r="6369" spans="1:1" x14ac:dyDescent="0.55000000000000004">
      <c r="A6369" s="17"/>
    </row>
    <row r="6370" spans="1:1" x14ac:dyDescent="0.55000000000000004">
      <c r="A6370" s="17"/>
    </row>
    <row r="6371" spans="1:1" x14ac:dyDescent="0.55000000000000004">
      <c r="A6371" s="17"/>
    </row>
    <row r="6372" spans="1:1" x14ac:dyDescent="0.55000000000000004">
      <c r="A6372" s="17"/>
    </row>
    <row r="6373" spans="1:1" x14ac:dyDescent="0.55000000000000004">
      <c r="A6373" s="17"/>
    </row>
    <row r="6374" spans="1:1" x14ac:dyDescent="0.55000000000000004">
      <c r="A6374" s="17"/>
    </row>
    <row r="6375" spans="1:1" x14ac:dyDescent="0.55000000000000004">
      <c r="A6375" s="17"/>
    </row>
    <row r="6376" spans="1:1" x14ac:dyDescent="0.55000000000000004">
      <c r="A6376" s="17"/>
    </row>
    <row r="6377" spans="1:1" x14ac:dyDescent="0.55000000000000004">
      <c r="A6377" s="17"/>
    </row>
    <row r="6378" spans="1:1" x14ac:dyDescent="0.55000000000000004">
      <c r="A6378" s="17"/>
    </row>
    <row r="6379" spans="1:1" x14ac:dyDescent="0.55000000000000004">
      <c r="A6379" s="17"/>
    </row>
    <row r="6380" spans="1:1" x14ac:dyDescent="0.55000000000000004">
      <c r="A6380" s="17"/>
    </row>
    <row r="6381" spans="1:1" x14ac:dyDescent="0.55000000000000004">
      <c r="A6381" s="17"/>
    </row>
    <row r="6382" spans="1:1" x14ac:dyDescent="0.55000000000000004">
      <c r="A6382" s="17"/>
    </row>
    <row r="6383" spans="1:1" x14ac:dyDescent="0.55000000000000004">
      <c r="A6383" s="17"/>
    </row>
    <row r="6384" spans="1:1" x14ac:dyDescent="0.55000000000000004">
      <c r="A6384" s="17"/>
    </row>
    <row r="6385" spans="1:1" x14ac:dyDescent="0.55000000000000004">
      <c r="A6385" s="17"/>
    </row>
    <row r="6386" spans="1:1" x14ac:dyDescent="0.55000000000000004">
      <c r="A6386" s="17"/>
    </row>
    <row r="6387" spans="1:1" x14ac:dyDescent="0.55000000000000004">
      <c r="A6387" s="17"/>
    </row>
    <row r="6388" spans="1:1" x14ac:dyDescent="0.55000000000000004">
      <c r="A6388" s="17"/>
    </row>
    <row r="6389" spans="1:1" x14ac:dyDescent="0.55000000000000004">
      <c r="A6389" s="17"/>
    </row>
    <row r="6390" spans="1:1" x14ac:dyDescent="0.55000000000000004">
      <c r="A6390" s="17"/>
    </row>
    <row r="6391" spans="1:1" x14ac:dyDescent="0.55000000000000004">
      <c r="A6391" s="17"/>
    </row>
    <row r="6392" spans="1:1" x14ac:dyDescent="0.55000000000000004">
      <c r="A6392" s="17"/>
    </row>
    <row r="6393" spans="1:1" x14ac:dyDescent="0.55000000000000004">
      <c r="A6393" s="17"/>
    </row>
    <row r="6394" spans="1:1" x14ac:dyDescent="0.55000000000000004">
      <c r="A6394" s="17"/>
    </row>
    <row r="6395" spans="1:1" x14ac:dyDescent="0.55000000000000004">
      <c r="A6395" s="17"/>
    </row>
    <row r="6396" spans="1:1" x14ac:dyDescent="0.55000000000000004">
      <c r="A6396" s="17"/>
    </row>
    <row r="6397" spans="1:1" x14ac:dyDescent="0.55000000000000004">
      <c r="A6397" s="17"/>
    </row>
    <row r="6398" spans="1:1" x14ac:dyDescent="0.55000000000000004">
      <c r="A6398" s="17"/>
    </row>
    <row r="6399" spans="1:1" x14ac:dyDescent="0.55000000000000004">
      <c r="A6399" s="17"/>
    </row>
    <row r="6400" spans="1:1" x14ac:dyDescent="0.55000000000000004">
      <c r="A6400" s="17"/>
    </row>
    <row r="6401" spans="1:1" x14ac:dyDescent="0.55000000000000004">
      <c r="A6401" s="17"/>
    </row>
    <row r="6402" spans="1:1" x14ac:dyDescent="0.55000000000000004">
      <c r="A6402" s="17"/>
    </row>
    <row r="6403" spans="1:1" x14ac:dyDescent="0.55000000000000004">
      <c r="A6403" s="17"/>
    </row>
    <row r="6404" spans="1:1" x14ac:dyDescent="0.55000000000000004">
      <c r="A6404" s="17"/>
    </row>
    <row r="6405" spans="1:1" x14ac:dyDescent="0.55000000000000004">
      <c r="A6405" s="17"/>
    </row>
    <row r="6406" spans="1:1" x14ac:dyDescent="0.55000000000000004">
      <c r="A6406" s="17"/>
    </row>
    <row r="6407" spans="1:1" x14ac:dyDescent="0.55000000000000004">
      <c r="A6407" s="17"/>
    </row>
    <row r="6408" spans="1:1" x14ac:dyDescent="0.55000000000000004">
      <c r="A6408" s="17"/>
    </row>
    <row r="6409" spans="1:1" x14ac:dyDescent="0.55000000000000004">
      <c r="A6409" s="17"/>
    </row>
    <row r="6410" spans="1:1" x14ac:dyDescent="0.55000000000000004">
      <c r="A6410" s="17"/>
    </row>
    <row r="6411" spans="1:1" x14ac:dyDescent="0.55000000000000004">
      <c r="A6411" s="17"/>
    </row>
    <row r="6412" spans="1:1" x14ac:dyDescent="0.55000000000000004">
      <c r="A6412" s="17"/>
    </row>
    <row r="6413" spans="1:1" x14ac:dyDescent="0.55000000000000004">
      <c r="A6413" s="17"/>
    </row>
    <row r="6414" spans="1:1" x14ac:dyDescent="0.55000000000000004">
      <c r="A6414" s="17"/>
    </row>
    <row r="6415" spans="1:1" x14ac:dyDescent="0.55000000000000004">
      <c r="A6415" s="17"/>
    </row>
    <row r="6416" spans="1:1" x14ac:dyDescent="0.55000000000000004">
      <c r="A6416" s="17"/>
    </row>
    <row r="6417" spans="1:1" x14ac:dyDescent="0.55000000000000004">
      <c r="A6417" s="17"/>
    </row>
    <row r="6418" spans="1:1" x14ac:dyDescent="0.55000000000000004">
      <c r="A6418" s="17"/>
    </row>
    <row r="6419" spans="1:1" x14ac:dyDescent="0.55000000000000004">
      <c r="A6419" s="17"/>
    </row>
    <row r="6420" spans="1:1" x14ac:dyDescent="0.55000000000000004">
      <c r="A6420" s="17"/>
    </row>
    <row r="6421" spans="1:1" x14ac:dyDescent="0.55000000000000004">
      <c r="A6421" s="17"/>
    </row>
    <row r="6422" spans="1:1" x14ac:dyDescent="0.55000000000000004">
      <c r="A6422" s="17"/>
    </row>
    <row r="6423" spans="1:1" x14ac:dyDescent="0.55000000000000004">
      <c r="A6423" s="17"/>
    </row>
    <row r="6424" spans="1:1" x14ac:dyDescent="0.55000000000000004">
      <c r="A6424" s="17"/>
    </row>
    <row r="6425" spans="1:1" x14ac:dyDescent="0.55000000000000004">
      <c r="A6425" s="17"/>
    </row>
    <row r="6426" spans="1:1" x14ac:dyDescent="0.55000000000000004">
      <c r="A6426" s="17"/>
    </row>
    <row r="6427" spans="1:1" x14ac:dyDescent="0.55000000000000004">
      <c r="A6427" s="17"/>
    </row>
    <row r="6428" spans="1:1" x14ac:dyDescent="0.55000000000000004">
      <c r="A6428" s="17"/>
    </row>
    <row r="6429" spans="1:1" x14ac:dyDescent="0.55000000000000004">
      <c r="A6429" s="17"/>
    </row>
    <row r="6430" spans="1:1" x14ac:dyDescent="0.55000000000000004">
      <c r="A6430" s="17"/>
    </row>
    <row r="6431" spans="1:1" x14ac:dyDescent="0.55000000000000004">
      <c r="A6431" s="17"/>
    </row>
    <row r="6432" spans="1:1" x14ac:dyDescent="0.55000000000000004">
      <c r="A6432" s="17"/>
    </row>
    <row r="6433" spans="1:1" x14ac:dyDescent="0.55000000000000004">
      <c r="A6433" s="17"/>
    </row>
    <row r="6434" spans="1:1" x14ac:dyDescent="0.55000000000000004">
      <c r="A6434" s="17"/>
    </row>
    <row r="6435" spans="1:1" x14ac:dyDescent="0.55000000000000004">
      <c r="A6435" s="17"/>
    </row>
    <row r="6436" spans="1:1" x14ac:dyDescent="0.55000000000000004">
      <c r="A6436" s="17"/>
    </row>
    <row r="6437" spans="1:1" x14ac:dyDescent="0.55000000000000004">
      <c r="A6437" s="17"/>
    </row>
    <row r="6438" spans="1:1" x14ac:dyDescent="0.55000000000000004">
      <c r="A6438" s="17"/>
    </row>
    <row r="6439" spans="1:1" x14ac:dyDescent="0.55000000000000004">
      <c r="A6439" s="17"/>
    </row>
    <row r="6440" spans="1:1" x14ac:dyDescent="0.55000000000000004">
      <c r="A6440" s="17"/>
    </row>
    <row r="6441" spans="1:1" x14ac:dyDescent="0.55000000000000004">
      <c r="A6441" s="17"/>
    </row>
    <row r="6442" spans="1:1" x14ac:dyDescent="0.55000000000000004">
      <c r="A6442" s="17"/>
    </row>
    <row r="6443" spans="1:1" x14ac:dyDescent="0.55000000000000004">
      <c r="A6443" s="17"/>
    </row>
    <row r="6444" spans="1:1" x14ac:dyDescent="0.55000000000000004">
      <c r="A6444" s="17"/>
    </row>
    <row r="6445" spans="1:1" x14ac:dyDescent="0.55000000000000004">
      <c r="A6445" s="17"/>
    </row>
    <row r="6446" spans="1:1" x14ac:dyDescent="0.55000000000000004">
      <c r="A6446" s="17"/>
    </row>
    <row r="6447" spans="1:1" x14ac:dyDescent="0.55000000000000004">
      <c r="A6447" s="17"/>
    </row>
    <row r="6448" spans="1:1" x14ac:dyDescent="0.55000000000000004">
      <c r="A6448" s="17"/>
    </row>
    <row r="6449" spans="1:1" x14ac:dyDescent="0.55000000000000004">
      <c r="A6449" s="17"/>
    </row>
    <row r="6450" spans="1:1" x14ac:dyDescent="0.55000000000000004">
      <c r="A6450" s="17"/>
    </row>
    <row r="6451" spans="1:1" x14ac:dyDescent="0.55000000000000004">
      <c r="A6451" s="17"/>
    </row>
    <row r="6452" spans="1:1" x14ac:dyDescent="0.55000000000000004">
      <c r="A6452" s="17"/>
    </row>
    <row r="6453" spans="1:1" x14ac:dyDescent="0.55000000000000004">
      <c r="A6453" s="17"/>
    </row>
    <row r="6454" spans="1:1" x14ac:dyDescent="0.55000000000000004">
      <c r="A6454" s="17"/>
    </row>
    <row r="6455" spans="1:1" x14ac:dyDescent="0.55000000000000004">
      <c r="A6455" s="17"/>
    </row>
    <row r="6456" spans="1:1" x14ac:dyDescent="0.55000000000000004">
      <c r="A6456" s="17"/>
    </row>
    <row r="6457" spans="1:1" x14ac:dyDescent="0.55000000000000004">
      <c r="A6457" s="17"/>
    </row>
    <row r="6458" spans="1:1" x14ac:dyDescent="0.55000000000000004">
      <c r="A6458" s="17"/>
    </row>
    <row r="6459" spans="1:1" x14ac:dyDescent="0.55000000000000004">
      <c r="A6459" s="17"/>
    </row>
    <row r="6460" spans="1:1" x14ac:dyDescent="0.55000000000000004">
      <c r="A6460" s="17"/>
    </row>
    <row r="6461" spans="1:1" x14ac:dyDescent="0.55000000000000004">
      <c r="A6461" s="17"/>
    </row>
    <row r="6462" spans="1:1" x14ac:dyDescent="0.55000000000000004">
      <c r="A6462" s="17"/>
    </row>
    <row r="6463" spans="1:1" x14ac:dyDescent="0.55000000000000004">
      <c r="A6463" s="17"/>
    </row>
    <row r="6464" spans="1:1" x14ac:dyDescent="0.55000000000000004">
      <c r="A6464" s="17"/>
    </row>
    <row r="6465" spans="1:1" x14ac:dyDescent="0.55000000000000004">
      <c r="A6465" s="17"/>
    </row>
    <row r="6466" spans="1:1" x14ac:dyDescent="0.55000000000000004">
      <c r="A6466" s="17"/>
    </row>
    <row r="6467" spans="1:1" x14ac:dyDescent="0.55000000000000004">
      <c r="A6467" s="17"/>
    </row>
    <row r="6468" spans="1:1" x14ac:dyDescent="0.55000000000000004">
      <c r="A6468" s="17"/>
    </row>
    <row r="6469" spans="1:1" x14ac:dyDescent="0.55000000000000004">
      <c r="A6469" s="17"/>
    </row>
    <row r="6470" spans="1:1" x14ac:dyDescent="0.55000000000000004">
      <c r="A6470" s="17"/>
    </row>
    <row r="6471" spans="1:1" x14ac:dyDescent="0.55000000000000004">
      <c r="A6471" s="17"/>
    </row>
    <row r="6472" spans="1:1" x14ac:dyDescent="0.55000000000000004">
      <c r="A6472" s="17"/>
    </row>
    <row r="6473" spans="1:1" x14ac:dyDescent="0.55000000000000004">
      <c r="A6473" s="17"/>
    </row>
    <row r="6474" spans="1:1" x14ac:dyDescent="0.55000000000000004">
      <c r="A6474" s="17"/>
    </row>
    <row r="6475" spans="1:1" x14ac:dyDescent="0.55000000000000004">
      <c r="A6475" s="17"/>
    </row>
    <row r="6476" spans="1:1" x14ac:dyDescent="0.55000000000000004">
      <c r="A6476" s="17"/>
    </row>
    <row r="6477" spans="1:1" x14ac:dyDescent="0.55000000000000004">
      <c r="A6477" s="17"/>
    </row>
    <row r="6478" spans="1:1" x14ac:dyDescent="0.55000000000000004">
      <c r="A6478" s="17"/>
    </row>
    <row r="6479" spans="1:1" x14ac:dyDescent="0.55000000000000004">
      <c r="A6479" s="17"/>
    </row>
    <row r="6480" spans="1:1" x14ac:dyDescent="0.55000000000000004">
      <c r="A6480" s="17"/>
    </row>
    <row r="6481" spans="1:1" x14ac:dyDescent="0.55000000000000004">
      <c r="A6481" s="17"/>
    </row>
    <row r="6482" spans="1:1" x14ac:dyDescent="0.55000000000000004">
      <c r="A6482" s="17"/>
    </row>
    <row r="6483" spans="1:1" x14ac:dyDescent="0.55000000000000004">
      <c r="A6483" s="17"/>
    </row>
    <row r="6484" spans="1:1" x14ac:dyDescent="0.55000000000000004">
      <c r="A6484" s="17"/>
    </row>
    <row r="6485" spans="1:1" x14ac:dyDescent="0.55000000000000004">
      <c r="A6485" s="17"/>
    </row>
    <row r="6486" spans="1:1" x14ac:dyDescent="0.55000000000000004">
      <c r="A6486" s="17"/>
    </row>
    <row r="6487" spans="1:1" x14ac:dyDescent="0.55000000000000004">
      <c r="A6487" s="17"/>
    </row>
    <row r="6488" spans="1:1" x14ac:dyDescent="0.55000000000000004">
      <c r="A6488" s="17"/>
    </row>
    <row r="6489" spans="1:1" x14ac:dyDescent="0.55000000000000004">
      <c r="A6489" s="17"/>
    </row>
    <row r="6490" spans="1:1" x14ac:dyDescent="0.55000000000000004">
      <c r="A6490" s="17"/>
    </row>
    <row r="6491" spans="1:1" x14ac:dyDescent="0.55000000000000004">
      <c r="A6491" s="17"/>
    </row>
    <row r="6492" spans="1:1" x14ac:dyDescent="0.55000000000000004">
      <c r="A6492" s="17"/>
    </row>
    <row r="6493" spans="1:1" x14ac:dyDescent="0.55000000000000004">
      <c r="A6493" s="17"/>
    </row>
    <row r="6494" spans="1:1" x14ac:dyDescent="0.55000000000000004">
      <c r="A6494" s="17"/>
    </row>
    <row r="6495" spans="1:1" x14ac:dyDescent="0.55000000000000004">
      <c r="A6495" s="17"/>
    </row>
    <row r="6496" spans="1:1" x14ac:dyDescent="0.55000000000000004">
      <c r="A6496" s="17"/>
    </row>
    <row r="6497" spans="1:1" x14ac:dyDescent="0.55000000000000004">
      <c r="A6497" s="17"/>
    </row>
    <row r="6498" spans="1:1" x14ac:dyDescent="0.55000000000000004">
      <c r="A6498" s="17"/>
    </row>
    <row r="6499" spans="1:1" x14ac:dyDescent="0.55000000000000004">
      <c r="A6499" s="17"/>
    </row>
    <row r="6500" spans="1:1" x14ac:dyDescent="0.55000000000000004">
      <c r="A6500" s="17"/>
    </row>
    <row r="6501" spans="1:1" x14ac:dyDescent="0.55000000000000004">
      <c r="A6501" s="17"/>
    </row>
    <row r="6502" spans="1:1" x14ac:dyDescent="0.55000000000000004">
      <c r="A6502" s="17"/>
    </row>
    <row r="6503" spans="1:1" x14ac:dyDescent="0.55000000000000004">
      <c r="A6503" s="17"/>
    </row>
    <row r="6504" spans="1:1" x14ac:dyDescent="0.55000000000000004">
      <c r="A6504" s="17"/>
    </row>
    <row r="6505" spans="1:1" x14ac:dyDescent="0.55000000000000004">
      <c r="A6505" s="17"/>
    </row>
    <row r="6506" spans="1:1" x14ac:dyDescent="0.55000000000000004">
      <c r="A6506" s="17"/>
    </row>
    <row r="6507" spans="1:1" x14ac:dyDescent="0.55000000000000004">
      <c r="A6507" s="17"/>
    </row>
    <row r="6508" spans="1:1" x14ac:dyDescent="0.55000000000000004">
      <c r="A6508" s="17"/>
    </row>
    <row r="6509" spans="1:1" x14ac:dyDescent="0.55000000000000004">
      <c r="A6509" s="17"/>
    </row>
    <row r="6510" spans="1:1" x14ac:dyDescent="0.55000000000000004">
      <c r="A6510" s="17"/>
    </row>
    <row r="6511" spans="1:1" x14ac:dyDescent="0.55000000000000004">
      <c r="A6511" s="17"/>
    </row>
    <row r="6512" spans="1:1" x14ac:dyDescent="0.55000000000000004">
      <c r="A6512" s="17"/>
    </row>
    <row r="6513" spans="1:1" x14ac:dyDescent="0.55000000000000004">
      <c r="A6513" s="17"/>
    </row>
    <row r="6514" spans="1:1" x14ac:dyDescent="0.55000000000000004">
      <c r="A6514" s="17"/>
    </row>
    <row r="6515" spans="1:1" x14ac:dyDescent="0.55000000000000004">
      <c r="A6515" s="17"/>
    </row>
    <row r="6516" spans="1:1" x14ac:dyDescent="0.55000000000000004">
      <c r="A6516" s="17"/>
    </row>
    <row r="6517" spans="1:1" x14ac:dyDescent="0.55000000000000004">
      <c r="A6517" s="17"/>
    </row>
    <row r="6518" spans="1:1" x14ac:dyDescent="0.55000000000000004">
      <c r="A6518" s="17"/>
    </row>
    <row r="6519" spans="1:1" x14ac:dyDescent="0.55000000000000004">
      <c r="A6519" s="17"/>
    </row>
    <row r="6520" spans="1:1" x14ac:dyDescent="0.55000000000000004">
      <c r="A6520" s="17"/>
    </row>
    <row r="6521" spans="1:1" x14ac:dyDescent="0.55000000000000004">
      <c r="A6521" s="17"/>
    </row>
    <row r="6522" spans="1:1" x14ac:dyDescent="0.55000000000000004">
      <c r="A6522" s="17"/>
    </row>
    <row r="6523" spans="1:1" x14ac:dyDescent="0.55000000000000004">
      <c r="A6523" s="17"/>
    </row>
    <row r="6524" spans="1:1" x14ac:dyDescent="0.55000000000000004">
      <c r="A6524" s="17"/>
    </row>
    <row r="6525" spans="1:1" x14ac:dyDescent="0.55000000000000004">
      <c r="A6525" s="17"/>
    </row>
    <row r="6526" spans="1:1" x14ac:dyDescent="0.55000000000000004">
      <c r="A6526" s="17"/>
    </row>
    <row r="6527" spans="1:1" x14ac:dyDescent="0.55000000000000004">
      <c r="A6527" s="17"/>
    </row>
    <row r="6528" spans="1:1" x14ac:dyDescent="0.55000000000000004">
      <c r="A6528" s="17"/>
    </row>
    <row r="6529" spans="1:1" x14ac:dyDescent="0.55000000000000004">
      <c r="A6529" s="17"/>
    </row>
    <row r="6530" spans="1:1" x14ac:dyDescent="0.55000000000000004">
      <c r="A6530" s="17"/>
    </row>
    <row r="6531" spans="1:1" x14ac:dyDescent="0.55000000000000004">
      <c r="A6531" s="17"/>
    </row>
    <row r="6532" spans="1:1" x14ac:dyDescent="0.55000000000000004">
      <c r="A6532" s="17"/>
    </row>
    <row r="6533" spans="1:1" x14ac:dyDescent="0.55000000000000004">
      <c r="A6533" s="17"/>
    </row>
    <row r="6534" spans="1:1" x14ac:dyDescent="0.55000000000000004">
      <c r="A6534" s="17"/>
    </row>
    <row r="6535" spans="1:1" x14ac:dyDescent="0.55000000000000004">
      <c r="A6535" s="17"/>
    </row>
    <row r="6536" spans="1:1" x14ac:dyDescent="0.55000000000000004">
      <c r="A6536" s="17"/>
    </row>
    <row r="6537" spans="1:1" x14ac:dyDescent="0.55000000000000004">
      <c r="A6537" s="17"/>
    </row>
    <row r="6538" spans="1:1" x14ac:dyDescent="0.55000000000000004">
      <c r="A6538" s="17"/>
    </row>
    <row r="6539" spans="1:1" x14ac:dyDescent="0.55000000000000004">
      <c r="A6539" s="17"/>
    </row>
    <row r="6540" spans="1:1" x14ac:dyDescent="0.55000000000000004">
      <c r="A6540" s="17"/>
    </row>
    <row r="6541" spans="1:1" x14ac:dyDescent="0.55000000000000004">
      <c r="A6541" s="17"/>
    </row>
    <row r="6542" spans="1:1" x14ac:dyDescent="0.55000000000000004">
      <c r="A6542" s="17"/>
    </row>
    <row r="6543" spans="1:1" x14ac:dyDescent="0.55000000000000004">
      <c r="A6543" s="17"/>
    </row>
    <row r="6544" spans="1:1" x14ac:dyDescent="0.55000000000000004">
      <c r="A6544" s="17"/>
    </row>
    <row r="6545" spans="1:1" x14ac:dyDescent="0.55000000000000004">
      <c r="A6545" s="17"/>
    </row>
    <row r="6546" spans="1:1" x14ac:dyDescent="0.55000000000000004">
      <c r="A6546" s="17"/>
    </row>
    <row r="6547" spans="1:1" x14ac:dyDescent="0.55000000000000004">
      <c r="A6547" s="17"/>
    </row>
    <row r="6548" spans="1:1" x14ac:dyDescent="0.55000000000000004">
      <c r="A6548" s="17"/>
    </row>
    <row r="6549" spans="1:1" x14ac:dyDescent="0.55000000000000004">
      <c r="A6549" s="17"/>
    </row>
    <row r="6550" spans="1:1" x14ac:dyDescent="0.55000000000000004">
      <c r="A6550" s="17"/>
    </row>
    <row r="6551" spans="1:1" x14ac:dyDescent="0.55000000000000004">
      <c r="A6551" s="17"/>
    </row>
    <row r="6552" spans="1:1" x14ac:dyDescent="0.55000000000000004">
      <c r="A6552" s="17"/>
    </row>
    <row r="6553" spans="1:1" x14ac:dyDescent="0.55000000000000004">
      <c r="A6553" s="17"/>
    </row>
    <row r="6554" spans="1:1" x14ac:dyDescent="0.55000000000000004">
      <c r="A6554" s="17"/>
    </row>
    <row r="6555" spans="1:1" x14ac:dyDescent="0.55000000000000004">
      <c r="A6555" s="17"/>
    </row>
    <row r="6556" spans="1:1" x14ac:dyDescent="0.55000000000000004">
      <c r="A6556" s="17"/>
    </row>
    <row r="6557" spans="1:1" x14ac:dyDescent="0.55000000000000004">
      <c r="A6557" s="17"/>
    </row>
    <row r="6558" spans="1:1" x14ac:dyDescent="0.55000000000000004">
      <c r="A6558" s="17"/>
    </row>
    <row r="6559" spans="1:1" x14ac:dyDescent="0.55000000000000004">
      <c r="A6559" s="17"/>
    </row>
    <row r="6560" spans="1:1" x14ac:dyDescent="0.55000000000000004">
      <c r="A6560" s="17"/>
    </row>
    <row r="6561" spans="1:1" x14ac:dyDescent="0.55000000000000004">
      <c r="A6561" s="17"/>
    </row>
    <row r="6562" spans="1:1" x14ac:dyDescent="0.55000000000000004">
      <c r="A6562" s="17"/>
    </row>
    <row r="6563" spans="1:1" x14ac:dyDescent="0.55000000000000004">
      <c r="A6563" s="17"/>
    </row>
    <row r="6564" spans="1:1" x14ac:dyDescent="0.55000000000000004">
      <c r="A6564" s="17"/>
    </row>
    <row r="6565" spans="1:1" x14ac:dyDescent="0.55000000000000004">
      <c r="A6565" s="17"/>
    </row>
    <row r="6566" spans="1:1" x14ac:dyDescent="0.55000000000000004">
      <c r="A6566" s="17"/>
    </row>
    <row r="6567" spans="1:1" x14ac:dyDescent="0.55000000000000004">
      <c r="A6567" s="17"/>
    </row>
    <row r="6568" spans="1:1" x14ac:dyDescent="0.55000000000000004">
      <c r="A6568" s="17"/>
    </row>
    <row r="6569" spans="1:1" x14ac:dyDescent="0.55000000000000004">
      <c r="A6569" s="17"/>
    </row>
    <row r="6570" spans="1:1" x14ac:dyDescent="0.55000000000000004">
      <c r="A6570" s="17"/>
    </row>
    <row r="6571" spans="1:1" x14ac:dyDescent="0.55000000000000004">
      <c r="A6571" s="17"/>
    </row>
    <row r="6572" spans="1:1" x14ac:dyDescent="0.55000000000000004">
      <c r="A6572" s="17"/>
    </row>
    <row r="6573" spans="1:1" x14ac:dyDescent="0.55000000000000004">
      <c r="A6573" s="17"/>
    </row>
    <row r="6574" spans="1:1" x14ac:dyDescent="0.55000000000000004">
      <c r="A6574" s="17"/>
    </row>
    <row r="6575" spans="1:1" x14ac:dyDescent="0.55000000000000004">
      <c r="A6575" s="17"/>
    </row>
    <row r="6576" spans="1:1" x14ac:dyDescent="0.55000000000000004">
      <c r="A6576" s="17"/>
    </row>
    <row r="6577" spans="1:1" x14ac:dyDescent="0.55000000000000004">
      <c r="A6577" s="17"/>
    </row>
    <row r="6578" spans="1:1" x14ac:dyDescent="0.55000000000000004">
      <c r="A6578" s="17"/>
    </row>
    <row r="6579" spans="1:1" x14ac:dyDescent="0.55000000000000004">
      <c r="A6579" s="17"/>
    </row>
    <row r="6580" spans="1:1" x14ac:dyDescent="0.55000000000000004">
      <c r="A6580" s="17"/>
    </row>
    <row r="6581" spans="1:1" x14ac:dyDescent="0.55000000000000004">
      <c r="A6581" s="17"/>
    </row>
    <row r="6582" spans="1:1" x14ac:dyDescent="0.55000000000000004">
      <c r="A6582" s="17"/>
    </row>
    <row r="6583" spans="1:1" x14ac:dyDescent="0.55000000000000004">
      <c r="A6583" s="17"/>
    </row>
    <row r="6584" spans="1:1" x14ac:dyDescent="0.55000000000000004">
      <c r="A6584" s="17"/>
    </row>
    <row r="6585" spans="1:1" x14ac:dyDescent="0.55000000000000004">
      <c r="A6585" s="17"/>
    </row>
    <row r="6586" spans="1:1" x14ac:dyDescent="0.55000000000000004">
      <c r="A6586" s="17"/>
    </row>
    <row r="6587" spans="1:1" x14ac:dyDescent="0.55000000000000004">
      <c r="A6587" s="17"/>
    </row>
    <row r="6588" spans="1:1" x14ac:dyDescent="0.55000000000000004">
      <c r="A6588" s="17"/>
    </row>
    <row r="6589" spans="1:1" x14ac:dyDescent="0.55000000000000004">
      <c r="A6589" s="17"/>
    </row>
    <row r="6590" spans="1:1" x14ac:dyDescent="0.55000000000000004">
      <c r="A6590" s="17"/>
    </row>
    <row r="6591" spans="1:1" x14ac:dyDescent="0.55000000000000004">
      <c r="A6591" s="17"/>
    </row>
    <row r="6592" spans="1:1" x14ac:dyDescent="0.55000000000000004">
      <c r="A6592" s="17"/>
    </row>
    <row r="6593" spans="1:1" x14ac:dyDescent="0.55000000000000004">
      <c r="A6593" s="17"/>
    </row>
    <row r="6594" spans="1:1" x14ac:dyDescent="0.55000000000000004">
      <c r="A6594" s="17"/>
    </row>
    <row r="6595" spans="1:1" x14ac:dyDescent="0.55000000000000004">
      <c r="A6595" s="17"/>
    </row>
    <row r="6596" spans="1:1" x14ac:dyDescent="0.55000000000000004">
      <c r="A6596" s="17"/>
    </row>
    <row r="6597" spans="1:1" x14ac:dyDescent="0.55000000000000004">
      <c r="A6597" s="17"/>
    </row>
    <row r="6598" spans="1:1" x14ac:dyDescent="0.55000000000000004">
      <c r="A6598" s="17"/>
    </row>
    <row r="6599" spans="1:1" x14ac:dyDescent="0.55000000000000004">
      <c r="A6599" s="17"/>
    </row>
    <row r="6600" spans="1:1" x14ac:dyDescent="0.55000000000000004">
      <c r="A6600" s="17"/>
    </row>
    <row r="6601" spans="1:1" x14ac:dyDescent="0.55000000000000004">
      <c r="A6601" s="17"/>
    </row>
    <row r="6602" spans="1:1" x14ac:dyDescent="0.55000000000000004">
      <c r="A6602" s="17"/>
    </row>
    <row r="6603" spans="1:1" x14ac:dyDescent="0.55000000000000004">
      <c r="A6603" s="17"/>
    </row>
    <row r="6604" spans="1:1" x14ac:dyDescent="0.55000000000000004">
      <c r="A6604" s="17"/>
    </row>
    <row r="6605" spans="1:1" x14ac:dyDescent="0.55000000000000004">
      <c r="A6605" s="17"/>
    </row>
    <row r="6606" spans="1:1" x14ac:dyDescent="0.55000000000000004">
      <c r="A6606" s="17"/>
    </row>
    <row r="6607" spans="1:1" x14ac:dyDescent="0.55000000000000004">
      <c r="A6607" s="17"/>
    </row>
    <row r="6608" spans="1:1" x14ac:dyDescent="0.55000000000000004">
      <c r="A6608" s="17"/>
    </row>
    <row r="6609" spans="1:1" x14ac:dyDescent="0.55000000000000004">
      <c r="A6609" s="17"/>
    </row>
    <row r="6610" spans="1:1" x14ac:dyDescent="0.55000000000000004">
      <c r="A6610" s="17"/>
    </row>
    <row r="6611" spans="1:1" x14ac:dyDescent="0.55000000000000004">
      <c r="A6611" s="17"/>
    </row>
    <row r="6612" spans="1:1" x14ac:dyDescent="0.55000000000000004">
      <c r="A6612" s="17"/>
    </row>
    <row r="6613" spans="1:1" x14ac:dyDescent="0.55000000000000004">
      <c r="A6613" s="17"/>
    </row>
    <row r="6614" spans="1:1" x14ac:dyDescent="0.55000000000000004">
      <c r="A6614" s="17"/>
    </row>
    <row r="6615" spans="1:1" x14ac:dyDescent="0.55000000000000004">
      <c r="A6615" s="17"/>
    </row>
    <row r="6616" spans="1:1" x14ac:dyDescent="0.55000000000000004">
      <c r="A6616" s="17"/>
    </row>
    <row r="6617" spans="1:1" x14ac:dyDescent="0.55000000000000004">
      <c r="A6617" s="17"/>
    </row>
    <row r="6618" spans="1:1" x14ac:dyDescent="0.55000000000000004">
      <c r="A6618" s="17"/>
    </row>
    <row r="6619" spans="1:1" x14ac:dyDescent="0.55000000000000004">
      <c r="A6619" s="17"/>
    </row>
    <row r="6620" spans="1:1" x14ac:dyDescent="0.55000000000000004">
      <c r="A6620" s="17"/>
    </row>
    <row r="6621" spans="1:1" x14ac:dyDescent="0.55000000000000004">
      <c r="A6621" s="17"/>
    </row>
    <row r="6622" spans="1:1" x14ac:dyDescent="0.55000000000000004">
      <c r="A6622" s="17"/>
    </row>
    <row r="6623" spans="1:1" x14ac:dyDescent="0.55000000000000004">
      <c r="A6623" s="17"/>
    </row>
    <row r="6624" spans="1:1" x14ac:dyDescent="0.55000000000000004">
      <c r="A6624" s="17"/>
    </row>
    <row r="6625" spans="1:1" x14ac:dyDescent="0.55000000000000004">
      <c r="A6625" s="17"/>
    </row>
    <row r="6626" spans="1:1" x14ac:dyDescent="0.55000000000000004">
      <c r="A6626" s="17"/>
    </row>
    <row r="6627" spans="1:1" x14ac:dyDescent="0.55000000000000004">
      <c r="A6627" s="17"/>
    </row>
    <row r="6628" spans="1:1" x14ac:dyDescent="0.55000000000000004">
      <c r="A6628" s="17"/>
    </row>
    <row r="6629" spans="1:1" x14ac:dyDescent="0.55000000000000004">
      <c r="A6629" s="17"/>
    </row>
    <row r="6630" spans="1:1" x14ac:dyDescent="0.55000000000000004">
      <c r="A6630" s="17"/>
    </row>
    <row r="6631" spans="1:1" x14ac:dyDescent="0.55000000000000004">
      <c r="A6631" s="17"/>
    </row>
    <row r="6632" spans="1:1" x14ac:dyDescent="0.55000000000000004">
      <c r="A6632" s="17"/>
    </row>
    <row r="6633" spans="1:1" x14ac:dyDescent="0.55000000000000004">
      <c r="A6633" s="17"/>
    </row>
    <row r="6634" spans="1:1" x14ac:dyDescent="0.55000000000000004">
      <c r="A6634" s="17"/>
    </row>
    <row r="6635" spans="1:1" x14ac:dyDescent="0.55000000000000004">
      <c r="A6635" s="17"/>
    </row>
    <row r="6636" spans="1:1" x14ac:dyDescent="0.55000000000000004">
      <c r="A6636" s="17"/>
    </row>
    <row r="6637" spans="1:1" x14ac:dyDescent="0.55000000000000004">
      <c r="A6637" s="17"/>
    </row>
    <row r="6638" spans="1:1" x14ac:dyDescent="0.55000000000000004">
      <c r="A6638" s="17"/>
    </row>
    <row r="6639" spans="1:1" x14ac:dyDescent="0.55000000000000004">
      <c r="A6639" s="17"/>
    </row>
    <row r="6640" spans="1:1" x14ac:dyDescent="0.55000000000000004">
      <c r="A6640" s="17"/>
    </row>
    <row r="6641" spans="1:1" x14ac:dyDescent="0.55000000000000004">
      <c r="A6641" s="17"/>
    </row>
    <row r="6642" spans="1:1" x14ac:dyDescent="0.55000000000000004">
      <c r="A6642" s="17"/>
    </row>
    <row r="6643" spans="1:1" x14ac:dyDescent="0.55000000000000004">
      <c r="A6643" s="17"/>
    </row>
    <row r="6644" spans="1:1" x14ac:dyDescent="0.55000000000000004">
      <c r="A6644" s="17"/>
    </row>
    <row r="6645" spans="1:1" x14ac:dyDescent="0.55000000000000004">
      <c r="A6645" s="17"/>
    </row>
    <row r="6646" spans="1:1" x14ac:dyDescent="0.55000000000000004">
      <c r="A6646" s="17"/>
    </row>
    <row r="6647" spans="1:1" x14ac:dyDescent="0.55000000000000004">
      <c r="A6647" s="17"/>
    </row>
    <row r="6648" spans="1:1" x14ac:dyDescent="0.55000000000000004">
      <c r="A6648" s="17"/>
    </row>
    <row r="6649" spans="1:1" x14ac:dyDescent="0.55000000000000004">
      <c r="A6649" s="17"/>
    </row>
    <row r="6650" spans="1:1" x14ac:dyDescent="0.55000000000000004">
      <c r="A6650" s="17"/>
    </row>
    <row r="6651" spans="1:1" x14ac:dyDescent="0.55000000000000004">
      <c r="A6651" s="17"/>
    </row>
    <row r="6652" spans="1:1" x14ac:dyDescent="0.55000000000000004">
      <c r="A6652" s="17"/>
    </row>
    <row r="6653" spans="1:1" x14ac:dyDescent="0.55000000000000004">
      <c r="A6653" s="17"/>
    </row>
    <row r="6654" spans="1:1" x14ac:dyDescent="0.55000000000000004">
      <c r="A6654" s="17"/>
    </row>
    <row r="6655" spans="1:1" x14ac:dyDescent="0.55000000000000004">
      <c r="A6655" s="17"/>
    </row>
    <row r="6656" spans="1:1" x14ac:dyDescent="0.55000000000000004">
      <c r="A6656" s="17"/>
    </row>
    <row r="6657" spans="1:1" x14ac:dyDescent="0.55000000000000004">
      <c r="A6657" s="17"/>
    </row>
    <row r="6658" spans="1:1" x14ac:dyDescent="0.55000000000000004">
      <c r="A6658" s="17"/>
    </row>
    <row r="6659" spans="1:1" x14ac:dyDescent="0.55000000000000004">
      <c r="A6659" s="17"/>
    </row>
    <row r="6660" spans="1:1" x14ac:dyDescent="0.55000000000000004">
      <c r="A6660" s="17"/>
    </row>
    <row r="6661" spans="1:1" x14ac:dyDescent="0.55000000000000004">
      <c r="A6661" s="17"/>
    </row>
    <row r="6662" spans="1:1" x14ac:dyDescent="0.55000000000000004">
      <c r="A6662" s="17"/>
    </row>
    <row r="6663" spans="1:1" x14ac:dyDescent="0.55000000000000004">
      <c r="A6663" s="17"/>
    </row>
    <row r="6664" spans="1:1" x14ac:dyDescent="0.55000000000000004">
      <c r="A6664" s="17"/>
    </row>
    <row r="6665" spans="1:1" x14ac:dyDescent="0.55000000000000004">
      <c r="A6665" s="17"/>
    </row>
    <row r="6666" spans="1:1" x14ac:dyDescent="0.55000000000000004">
      <c r="A6666" s="17"/>
    </row>
    <row r="6667" spans="1:1" x14ac:dyDescent="0.55000000000000004">
      <c r="A6667" s="17"/>
    </row>
    <row r="6668" spans="1:1" x14ac:dyDescent="0.55000000000000004">
      <c r="A6668" s="17"/>
    </row>
    <row r="6669" spans="1:1" x14ac:dyDescent="0.55000000000000004">
      <c r="A6669" s="17"/>
    </row>
    <row r="6670" spans="1:1" x14ac:dyDescent="0.55000000000000004">
      <c r="A6670" s="17"/>
    </row>
    <row r="6671" spans="1:1" x14ac:dyDescent="0.55000000000000004">
      <c r="A6671" s="17"/>
    </row>
    <row r="6672" spans="1:1" x14ac:dyDescent="0.55000000000000004">
      <c r="A6672" s="17"/>
    </row>
    <row r="6673" spans="1:1" x14ac:dyDescent="0.55000000000000004">
      <c r="A6673" s="17"/>
    </row>
    <row r="6674" spans="1:1" x14ac:dyDescent="0.55000000000000004">
      <c r="A6674" s="17"/>
    </row>
    <row r="6675" spans="1:1" x14ac:dyDescent="0.55000000000000004">
      <c r="A6675" s="17"/>
    </row>
    <row r="6676" spans="1:1" x14ac:dyDescent="0.55000000000000004">
      <c r="A6676" s="17"/>
    </row>
    <row r="6677" spans="1:1" x14ac:dyDescent="0.55000000000000004">
      <c r="A6677" s="17"/>
    </row>
    <row r="6678" spans="1:1" x14ac:dyDescent="0.55000000000000004">
      <c r="A6678" s="17"/>
    </row>
    <row r="6679" spans="1:1" x14ac:dyDescent="0.55000000000000004">
      <c r="A6679" s="17"/>
    </row>
    <row r="6680" spans="1:1" x14ac:dyDescent="0.55000000000000004">
      <c r="A6680" s="17"/>
    </row>
    <row r="6681" spans="1:1" x14ac:dyDescent="0.55000000000000004">
      <c r="A6681" s="17"/>
    </row>
    <row r="6682" spans="1:1" x14ac:dyDescent="0.55000000000000004">
      <c r="A6682" s="17"/>
    </row>
    <row r="6683" spans="1:1" x14ac:dyDescent="0.55000000000000004">
      <c r="A6683" s="17"/>
    </row>
    <row r="6684" spans="1:1" x14ac:dyDescent="0.55000000000000004">
      <c r="A6684" s="17"/>
    </row>
    <row r="6685" spans="1:1" x14ac:dyDescent="0.55000000000000004">
      <c r="A6685" s="17"/>
    </row>
    <row r="6686" spans="1:1" x14ac:dyDescent="0.55000000000000004">
      <c r="A6686" s="17"/>
    </row>
    <row r="6687" spans="1:1" x14ac:dyDescent="0.55000000000000004">
      <c r="A6687" s="17"/>
    </row>
    <row r="6688" spans="1:1" x14ac:dyDescent="0.55000000000000004">
      <c r="A6688" s="17"/>
    </row>
    <row r="6689" spans="1:1" x14ac:dyDescent="0.55000000000000004">
      <c r="A6689" s="17"/>
    </row>
    <row r="6690" spans="1:1" x14ac:dyDescent="0.55000000000000004">
      <c r="A6690" s="17"/>
    </row>
    <row r="6691" spans="1:1" x14ac:dyDescent="0.55000000000000004">
      <c r="A6691" s="17"/>
    </row>
    <row r="6692" spans="1:1" x14ac:dyDescent="0.55000000000000004">
      <c r="A6692" s="17"/>
    </row>
    <row r="6693" spans="1:1" x14ac:dyDescent="0.55000000000000004">
      <c r="A6693" s="17"/>
    </row>
    <row r="6694" spans="1:1" x14ac:dyDescent="0.55000000000000004">
      <c r="A6694" s="17"/>
    </row>
    <row r="6695" spans="1:1" x14ac:dyDescent="0.55000000000000004">
      <c r="A6695" s="17"/>
    </row>
    <row r="6696" spans="1:1" x14ac:dyDescent="0.55000000000000004">
      <c r="A6696" s="17"/>
    </row>
    <row r="6697" spans="1:1" x14ac:dyDescent="0.55000000000000004">
      <c r="A6697" s="17"/>
    </row>
    <row r="6698" spans="1:1" x14ac:dyDescent="0.55000000000000004">
      <c r="A6698" s="17"/>
    </row>
    <row r="6699" spans="1:1" x14ac:dyDescent="0.55000000000000004">
      <c r="A6699" s="17"/>
    </row>
    <row r="6700" spans="1:1" x14ac:dyDescent="0.55000000000000004">
      <c r="A6700" s="17"/>
    </row>
    <row r="6701" spans="1:1" x14ac:dyDescent="0.55000000000000004">
      <c r="A6701" s="17"/>
    </row>
    <row r="6702" spans="1:1" x14ac:dyDescent="0.55000000000000004">
      <c r="A6702" s="17"/>
    </row>
    <row r="6703" spans="1:1" x14ac:dyDescent="0.55000000000000004">
      <c r="A6703" s="17"/>
    </row>
    <row r="6704" spans="1:1" x14ac:dyDescent="0.55000000000000004">
      <c r="A6704" s="17"/>
    </row>
    <row r="6705" spans="1:1" x14ac:dyDescent="0.55000000000000004">
      <c r="A6705" s="17"/>
    </row>
    <row r="6706" spans="1:1" x14ac:dyDescent="0.55000000000000004">
      <c r="A6706" s="17"/>
    </row>
    <row r="6707" spans="1:1" x14ac:dyDescent="0.55000000000000004">
      <c r="A6707" s="17"/>
    </row>
    <row r="6708" spans="1:1" x14ac:dyDescent="0.55000000000000004">
      <c r="A6708" s="17"/>
    </row>
    <row r="6709" spans="1:1" x14ac:dyDescent="0.55000000000000004">
      <c r="A6709" s="17"/>
    </row>
    <row r="6710" spans="1:1" x14ac:dyDescent="0.55000000000000004">
      <c r="A6710" s="17"/>
    </row>
    <row r="6711" spans="1:1" x14ac:dyDescent="0.55000000000000004">
      <c r="A6711" s="17"/>
    </row>
    <row r="6712" spans="1:1" x14ac:dyDescent="0.55000000000000004">
      <c r="A6712" s="17"/>
    </row>
    <row r="6713" spans="1:1" x14ac:dyDescent="0.55000000000000004">
      <c r="A6713" s="17"/>
    </row>
    <row r="6714" spans="1:1" x14ac:dyDescent="0.55000000000000004">
      <c r="A6714" s="17"/>
    </row>
    <row r="6715" spans="1:1" x14ac:dyDescent="0.55000000000000004">
      <c r="A6715" s="17"/>
    </row>
    <row r="6716" spans="1:1" x14ac:dyDescent="0.55000000000000004">
      <c r="A6716" s="17"/>
    </row>
    <row r="6717" spans="1:1" x14ac:dyDescent="0.55000000000000004">
      <c r="A6717" s="17"/>
    </row>
    <row r="6718" spans="1:1" x14ac:dyDescent="0.55000000000000004">
      <c r="A6718" s="17"/>
    </row>
    <row r="6719" spans="1:1" x14ac:dyDescent="0.55000000000000004">
      <c r="A6719" s="17"/>
    </row>
    <row r="6720" spans="1:1" x14ac:dyDescent="0.55000000000000004">
      <c r="A6720" s="17"/>
    </row>
    <row r="6721" spans="1:1" x14ac:dyDescent="0.55000000000000004">
      <c r="A6721" s="17"/>
    </row>
    <row r="6722" spans="1:1" x14ac:dyDescent="0.55000000000000004">
      <c r="A6722" s="17"/>
    </row>
    <row r="6723" spans="1:1" x14ac:dyDescent="0.55000000000000004">
      <c r="A6723" s="17"/>
    </row>
    <row r="6724" spans="1:1" x14ac:dyDescent="0.55000000000000004">
      <c r="A6724" s="17"/>
    </row>
    <row r="6725" spans="1:1" x14ac:dyDescent="0.55000000000000004">
      <c r="A6725" s="17"/>
    </row>
    <row r="6726" spans="1:1" x14ac:dyDescent="0.55000000000000004">
      <c r="A6726" s="17"/>
    </row>
    <row r="6727" spans="1:1" x14ac:dyDescent="0.55000000000000004">
      <c r="A6727" s="17"/>
    </row>
    <row r="6728" spans="1:1" x14ac:dyDescent="0.55000000000000004">
      <c r="A6728" s="17"/>
    </row>
    <row r="6729" spans="1:1" x14ac:dyDescent="0.55000000000000004">
      <c r="A6729" s="17"/>
    </row>
    <row r="6730" spans="1:1" x14ac:dyDescent="0.55000000000000004">
      <c r="A6730" s="17"/>
    </row>
    <row r="6731" spans="1:1" x14ac:dyDescent="0.55000000000000004">
      <c r="A6731" s="17"/>
    </row>
    <row r="6732" spans="1:1" x14ac:dyDescent="0.55000000000000004">
      <c r="A6732" s="17"/>
    </row>
    <row r="6733" spans="1:1" x14ac:dyDescent="0.55000000000000004">
      <c r="A6733" s="17"/>
    </row>
    <row r="6734" spans="1:1" x14ac:dyDescent="0.55000000000000004">
      <c r="A6734" s="17"/>
    </row>
    <row r="6735" spans="1:1" x14ac:dyDescent="0.55000000000000004">
      <c r="A6735" s="17"/>
    </row>
    <row r="6736" spans="1:1" x14ac:dyDescent="0.55000000000000004">
      <c r="A6736" s="17"/>
    </row>
    <row r="6737" spans="1:1" x14ac:dyDescent="0.55000000000000004">
      <c r="A6737" s="17"/>
    </row>
    <row r="6738" spans="1:1" x14ac:dyDescent="0.55000000000000004">
      <c r="A6738" s="17"/>
    </row>
    <row r="6739" spans="1:1" x14ac:dyDescent="0.55000000000000004">
      <c r="A6739" s="17"/>
    </row>
    <row r="6740" spans="1:1" x14ac:dyDescent="0.55000000000000004">
      <c r="A6740" s="17"/>
    </row>
    <row r="6741" spans="1:1" x14ac:dyDescent="0.55000000000000004">
      <c r="A6741" s="17"/>
    </row>
    <row r="6742" spans="1:1" x14ac:dyDescent="0.55000000000000004">
      <c r="A6742" s="17"/>
    </row>
    <row r="6743" spans="1:1" x14ac:dyDescent="0.55000000000000004">
      <c r="A6743" s="17"/>
    </row>
    <row r="6744" spans="1:1" x14ac:dyDescent="0.55000000000000004">
      <c r="A6744" s="17"/>
    </row>
    <row r="6745" spans="1:1" x14ac:dyDescent="0.55000000000000004">
      <c r="A6745" s="17"/>
    </row>
    <row r="6746" spans="1:1" x14ac:dyDescent="0.55000000000000004">
      <c r="A6746" s="17"/>
    </row>
    <row r="6747" spans="1:1" x14ac:dyDescent="0.55000000000000004">
      <c r="A6747" s="17"/>
    </row>
    <row r="6748" spans="1:1" x14ac:dyDescent="0.55000000000000004">
      <c r="A6748" s="17"/>
    </row>
    <row r="6749" spans="1:1" x14ac:dyDescent="0.55000000000000004">
      <c r="A6749" s="17"/>
    </row>
    <row r="6750" spans="1:1" x14ac:dyDescent="0.55000000000000004">
      <c r="A6750" s="17"/>
    </row>
    <row r="6751" spans="1:1" x14ac:dyDescent="0.55000000000000004">
      <c r="A6751" s="17"/>
    </row>
    <row r="6752" spans="1:1" x14ac:dyDescent="0.55000000000000004">
      <c r="A6752" s="17"/>
    </row>
    <row r="6753" spans="1:1" x14ac:dyDescent="0.55000000000000004">
      <c r="A6753" s="17"/>
    </row>
    <row r="6754" spans="1:1" x14ac:dyDescent="0.55000000000000004">
      <c r="A6754" s="17"/>
    </row>
    <row r="6755" spans="1:1" x14ac:dyDescent="0.55000000000000004">
      <c r="A6755" s="17"/>
    </row>
    <row r="6756" spans="1:1" x14ac:dyDescent="0.55000000000000004">
      <c r="A6756" s="17"/>
    </row>
    <row r="6757" spans="1:1" x14ac:dyDescent="0.55000000000000004">
      <c r="A6757" s="17"/>
    </row>
    <row r="6758" spans="1:1" x14ac:dyDescent="0.55000000000000004">
      <c r="A6758" s="17"/>
    </row>
    <row r="6759" spans="1:1" x14ac:dyDescent="0.55000000000000004">
      <c r="A6759" s="17"/>
    </row>
    <row r="6760" spans="1:1" x14ac:dyDescent="0.55000000000000004">
      <c r="A6760" s="17"/>
    </row>
    <row r="6761" spans="1:1" x14ac:dyDescent="0.55000000000000004">
      <c r="A6761" s="17"/>
    </row>
    <row r="6762" spans="1:1" x14ac:dyDescent="0.55000000000000004">
      <c r="A6762" s="17"/>
    </row>
    <row r="6763" spans="1:1" x14ac:dyDescent="0.55000000000000004">
      <c r="A6763" s="17"/>
    </row>
    <row r="6764" spans="1:1" x14ac:dyDescent="0.55000000000000004">
      <c r="A6764" s="17"/>
    </row>
    <row r="6765" spans="1:1" x14ac:dyDescent="0.55000000000000004">
      <c r="A6765" s="17"/>
    </row>
    <row r="6766" spans="1:1" x14ac:dyDescent="0.55000000000000004">
      <c r="A6766" s="17"/>
    </row>
    <row r="6767" spans="1:1" x14ac:dyDescent="0.55000000000000004">
      <c r="A6767" s="17"/>
    </row>
    <row r="6768" spans="1:1" x14ac:dyDescent="0.55000000000000004">
      <c r="A6768" s="17"/>
    </row>
    <row r="6769" spans="1:1" x14ac:dyDescent="0.55000000000000004">
      <c r="A6769" s="17"/>
    </row>
    <row r="6770" spans="1:1" x14ac:dyDescent="0.55000000000000004">
      <c r="A6770" s="17"/>
    </row>
    <row r="6771" spans="1:1" x14ac:dyDescent="0.55000000000000004">
      <c r="A6771" s="17"/>
    </row>
    <row r="6772" spans="1:1" x14ac:dyDescent="0.55000000000000004">
      <c r="A6772" s="17"/>
    </row>
    <row r="6773" spans="1:1" x14ac:dyDescent="0.55000000000000004">
      <c r="A6773" s="17"/>
    </row>
    <row r="6774" spans="1:1" x14ac:dyDescent="0.55000000000000004">
      <c r="A6774" s="17"/>
    </row>
    <row r="6775" spans="1:1" x14ac:dyDescent="0.55000000000000004">
      <c r="A6775" s="17"/>
    </row>
    <row r="6776" spans="1:1" x14ac:dyDescent="0.55000000000000004">
      <c r="A6776" s="17"/>
    </row>
    <row r="6777" spans="1:1" x14ac:dyDescent="0.55000000000000004">
      <c r="A6777" s="17"/>
    </row>
    <row r="6778" spans="1:1" x14ac:dyDescent="0.55000000000000004">
      <c r="A6778" s="17"/>
    </row>
    <row r="6779" spans="1:1" x14ac:dyDescent="0.55000000000000004">
      <c r="A6779" s="17"/>
    </row>
    <row r="6780" spans="1:1" x14ac:dyDescent="0.55000000000000004">
      <c r="A6780" s="17"/>
    </row>
    <row r="6781" spans="1:1" x14ac:dyDescent="0.55000000000000004">
      <c r="A6781" s="17"/>
    </row>
    <row r="6782" spans="1:1" x14ac:dyDescent="0.55000000000000004">
      <c r="A6782" s="17"/>
    </row>
    <row r="6783" spans="1:1" x14ac:dyDescent="0.55000000000000004">
      <c r="A6783" s="17"/>
    </row>
    <row r="6784" spans="1:1" x14ac:dyDescent="0.55000000000000004">
      <c r="A6784" s="17"/>
    </row>
    <row r="6785" spans="1:1" x14ac:dyDescent="0.55000000000000004">
      <c r="A6785" s="17"/>
    </row>
    <row r="6786" spans="1:1" x14ac:dyDescent="0.55000000000000004">
      <c r="A6786" s="17"/>
    </row>
    <row r="6787" spans="1:1" x14ac:dyDescent="0.55000000000000004">
      <c r="A6787" s="17"/>
    </row>
    <row r="6788" spans="1:1" x14ac:dyDescent="0.55000000000000004">
      <c r="A6788" s="17"/>
    </row>
    <row r="6789" spans="1:1" x14ac:dyDescent="0.55000000000000004">
      <c r="A6789" s="17"/>
    </row>
    <row r="6790" spans="1:1" x14ac:dyDescent="0.55000000000000004">
      <c r="A6790" s="17"/>
    </row>
    <row r="6791" spans="1:1" x14ac:dyDescent="0.55000000000000004">
      <c r="A6791" s="17"/>
    </row>
    <row r="6792" spans="1:1" x14ac:dyDescent="0.55000000000000004">
      <c r="A6792" s="17"/>
    </row>
    <row r="6793" spans="1:1" x14ac:dyDescent="0.55000000000000004">
      <c r="A6793" s="17"/>
    </row>
    <row r="6794" spans="1:1" x14ac:dyDescent="0.55000000000000004">
      <c r="A6794" s="17"/>
    </row>
    <row r="6795" spans="1:1" x14ac:dyDescent="0.55000000000000004">
      <c r="A6795" s="17"/>
    </row>
    <row r="6796" spans="1:1" x14ac:dyDescent="0.55000000000000004">
      <c r="A6796" s="17"/>
    </row>
    <row r="6797" spans="1:1" x14ac:dyDescent="0.55000000000000004">
      <c r="A6797" s="17"/>
    </row>
    <row r="6798" spans="1:1" x14ac:dyDescent="0.55000000000000004">
      <c r="A6798" s="17"/>
    </row>
    <row r="6799" spans="1:1" x14ac:dyDescent="0.55000000000000004">
      <c r="A6799" s="17"/>
    </row>
    <row r="6800" spans="1:1" x14ac:dyDescent="0.55000000000000004">
      <c r="A6800" s="17"/>
    </row>
    <row r="6801" spans="1:1" x14ac:dyDescent="0.55000000000000004">
      <c r="A6801" s="17"/>
    </row>
    <row r="6802" spans="1:1" x14ac:dyDescent="0.55000000000000004">
      <c r="A6802" s="17"/>
    </row>
    <row r="6803" spans="1:1" x14ac:dyDescent="0.55000000000000004">
      <c r="A6803" s="17"/>
    </row>
    <row r="6804" spans="1:1" x14ac:dyDescent="0.55000000000000004">
      <c r="A6804" s="17"/>
    </row>
    <row r="6805" spans="1:1" x14ac:dyDescent="0.55000000000000004">
      <c r="A6805" s="17"/>
    </row>
    <row r="6806" spans="1:1" x14ac:dyDescent="0.55000000000000004">
      <c r="A6806" s="17"/>
    </row>
    <row r="6807" spans="1:1" x14ac:dyDescent="0.55000000000000004">
      <c r="A6807" s="17"/>
    </row>
    <row r="6808" spans="1:1" x14ac:dyDescent="0.55000000000000004">
      <c r="A6808" s="17"/>
    </row>
    <row r="6809" spans="1:1" x14ac:dyDescent="0.55000000000000004">
      <c r="A6809" s="17"/>
    </row>
    <row r="6810" spans="1:1" x14ac:dyDescent="0.55000000000000004">
      <c r="A6810" s="17"/>
    </row>
    <row r="6811" spans="1:1" x14ac:dyDescent="0.55000000000000004">
      <c r="A6811" s="17"/>
    </row>
    <row r="6812" spans="1:1" x14ac:dyDescent="0.55000000000000004">
      <c r="A6812" s="17"/>
    </row>
    <row r="6813" spans="1:1" x14ac:dyDescent="0.55000000000000004">
      <c r="A6813" s="17"/>
    </row>
    <row r="6814" spans="1:1" x14ac:dyDescent="0.55000000000000004">
      <c r="A6814" s="17"/>
    </row>
    <row r="6815" spans="1:1" x14ac:dyDescent="0.55000000000000004">
      <c r="A6815" s="17"/>
    </row>
    <row r="6816" spans="1:1" x14ac:dyDescent="0.55000000000000004">
      <c r="A6816" s="17"/>
    </row>
    <row r="6817" spans="1:1" x14ac:dyDescent="0.55000000000000004">
      <c r="A6817" s="17"/>
    </row>
    <row r="6818" spans="1:1" x14ac:dyDescent="0.55000000000000004">
      <c r="A6818" s="17"/>
    </row>
    <row r="6819" spans="1:1" x14ac:dyDescent="0.55000000000000004">
      <c r="A6819" s="17"/>
    </row>
    <row r="6820" spans="1:1" x14ac:dyDescent="0.55000000000000004">
      <c r="A6820" s="17"/>
    </row>
    <row r="6821" spans="1:1" x14ac:dyDescent="0.55000000000000004">
      <c r="A6821" s="17"/>
    </row>
    <row r="6822" spans="1:1" x14ac:dyDescent="0.55000000000000004">
      <c r="A6822" s="17"/>
    </row>
    <row r="6823" spans="1:1" x14ac:dyDescent="0.55000000000000004">
      <c r="A6823" s="17"/>
    </row>
    <row r="6824" spans="1:1" x14ac:dyDescent="0.55000000000000004">
      <c r="A6824" s="17"/>
    </row>
    <row r="6825" spans="1:1" x14ac:dyDescent="0.55000000000000004">
      <c r="A6825" s="17"/>
    </row>
    <row r="6826" spans="1:1" x14ac:dyDescent="0.55000000000000004">
      <c r="A6826" s="17"/>
    </row>
    <row r="6827" spans="1:1" x14ac:dyDescent="0.55000000000000004">
      <c r="A6827" s="17"/>
    </row>
    <row r="6828" spans="1:1" x14ac:dyDescent="0.55000000000000004">
      <c r="A6828" s="17"/>
    </row>
    <row r="6829" spans="1:1" x14ac:dyDescent="0.55000000000000004">
      <c r="A6829" s="17"/>
    </row>
    <row r="6830" spans="1:1" x14ac:dyDescent="0.55000000000000004">
      <c r="A6830" s="17"/>
    </row>
    <row r="6831" spans="1:1" x14ac:dyDescent="0.55000000000000004">
      <c r="A6831" s="17"/>
    </row>
    <row r="6832" spans="1:1" x14ac:dyDescent="0.55000000000000004">
      <c r="A6832" s="17"/>
    </row>
    <row r="6833" spans="1:1" x14ac:dyDescent="0.55000000000000004">
      <c r="A6833" s="17"/>
    </row>
    <row r="6834" spans="1:1" x14ac:dyDescent="0.55000000000000004">
      <c r="A6834" s="17"/>
    </row>
    <row r="6835" spans="1:1" x14ac:dyDescent="0.55000000000000004">
      <c r="A6835" s="17"/>
    </row>
    <row r="6836" spans="1:1" x14ac:dyDescent="0.55000000000000004">
      <c r="A6836" s="17"/>
    </row>
    <row r="6837" spans="1:1" x14ac:dyDescent="0.55000000000000004">
      <c r="A6837" s="17"/>
    </row>
    <row r="6838" spans="1:1" x14ac:dyDescent="0.55000000000000004">
      <c r="A6838" s="17"/>
    </row>
    <row r="6839" spans="1:1" x14ac:dyDescent="0.55000000000000004">
      <c r="A6839" s="17"/>
    </row>
    <row r="6840" spans="1:1" x14ac:dyDescent="0.55000000000000004">
      <c r="A6840" s="17"/>
    </row>
    <row r="6841" spans="1:1" x14ac:dyDescent="0.55000000000000004">
      <c r="A6841" s="17"/>
    </row>
    <row r="6842" spans="1:1" x14ac:dyDescent="0.55000000000000004">
      <c r="A6842" s="17"/>
    </row>
    <row r="6843" spans="1:1" x14ac:dyDescent="0.55000000000000004">
      <c r="A6843" s="17"/>
    </row>
    <row r="6844" spans="1:1" x14ac:dyDescent="0.55000000000000004">
      <c r="A6844" s="17"/>
    </row>
    <row r="6845" spans="1:1" x14ac:dyDescent="0.55000000000000004">
      <c r="A6845" s="17"/>
    </row>
    <row r="6846" spans="1:1" x14ac:dyDescent="0.55000000000000004">
      <c r="A6846" s="17"/>
    </row>
    <row r="6847" spans="1:1" x14ac:dyDescent="0.55000000000000004">
      <c r="A6847" s="17"/>
    </row>
    <row r="6848" spans="1:1" x14ac:dyDescent="0.55000000000000004">
      <c r="A6848" s="17"/>
    </row>
    <row r="6849" spans="1:1" x14ac:dyDescent="0.55000000000000004">
      <c r="A6849" s="17"/>
    </row>
    <row r="6850" spans="1:1" x14ac:dyDescent="0.55000000000000004">
      <c r="A6850" s="17"/>
    </row>
    <row r="6851" spans="1:1" x14ac:dyDescent="0.55000000000000004">
      <c r="A6851" s="17"/>
    </row>
    <row r="6852" spans="1:1" x14ac:dyDescent="0.55000000000000004">
      <c r="A6852" s="17"/>
    </row>
    <row r="6853" spans="1:1" x14ac:dyDescent="0.55000000000000004">
      <c r="A6853" s="17"/>
    </row>
    <row r="6854" spans="1:1" x14ac:dyDescent="0.55000000000000004">
      <c r="A6854" s="17"/>
    </row>
    <row r="6855" spans="1:1" x14ac:dyDescent="0.55000000000000004">
      <c r="A6855" s="17"/>
    </row>
    <row r="6856" spans="1:1" x14ac:dyDescent="0.55000000000000004">
      <c r="A6856" s="17"/>
    </row>
    <row r="6857" spans="1:1" x14ac:dyDescent="0.55000000000000004">
      <c r="A6857" s="17"/>
    </row>
    <row r="6858" spans="1:1" x14ac:dyDescent="0.55000000000000004">
      <c r="A6858" s="17"/>
    </row>
    <row r="6859" spans="1:1" x14ac:dyDescent="0.55000000000000004">
      <c r="A6859" s="17"/>
    </row>
    <row r="6860" spans="1:1" x14ac:dyDescent="0.55000000000000004">
      <c r="A6860" s="17"/>
    </row>
    <row r="6861" spans="1:1" x14ac:dyDescent="0.55000000000000004">
      <c r="A6861" s="17"/>
    </row>
    <row r="6862" spans="1:1" x14ac:dyDescent="0.55000000000000004">
      <c r="A6862" s="17"/>
    </row>
    <row r="6863" spans="1:1" x14ac:dyDescent="0.55000000000000004">
      <c r="A6863" s="17"/>
    </row>
    <row r="6864" spans="1:1" x14ac:dyDescent="0.55000000000000004">
      <c r="A6864" s="17"/>
    </row>
    <row r="6865" spans="1:1" x14ac:dyDescent="0.55000000000000004">
      <c r="A6865" s="17"/>
    </row>
    <row r="6866" spans="1:1" x14ac:dyDescent="0.55000000000000004">
      <c r="A6866" s="17"/>
    </row>
    <row r="6867" spans="1:1" x14ac:dyDescent="0.55000000000000004">
      <c r="A6867" s="17"/>
    </row>
    <row r="6868" spans="1:1" x14ac:dyDescent="0.55000000000000004">
      <c r="A6868" s="17"/>
    </row>
    <row r="6869" spans="1:1" x14ac:dyDescent="0.55000000000000004">
      <c r="A6869" s="17"/>
    </row>
    <row r="6870" spans="1:1" x14ac:dyDescent="0.55000000000000004">
      <c r="A6870" s="17"/>
    </row>
    <row r="6871" spans="1:1" x14ac:dyDescent="0.55000000000000004">
      <c r="A6871" s="17"/>
    </row>
    <row r="6872" spans="1:1" x14ac:dyDescent="0.55000000000000004">
      <c r="A6872" s="17"/>
    </row>
    <row r="6873" spans="1:1" x14ac:dyDescent="0.55000000000000004">
      <c r="A6873" s="17"/>
    </row>
    <row r="6874" spans="1:1" x14ac:dyDescent="0.55000000000000004">
      <c r="A6874" s="17"/>
    </row>
    <row r="6875" spans="1:1" x14ac:dyDescent="0.55000000000000004">
      <c r="A6875" s="17"/>
    </row>
    <row r="6876" spans="1:1" x14ac:dyDescent="0.55000000000000004">
      <c r="A6876" s="17"/>
    </row>
    <row r="6877" spans="1:1" x14ac:dyDescent="0.55000000000000004">
      <c r="A6877" s="17"/>
    </row>
    <row r="6878" spans="1:1" x14ac:dyDescent="0.55000000000000004">
      <c r="A6878" s="17"/>
    </row>
    <row r="6879" spans="1:1" x14ac:dyDescent="0.55000000000000004">
      <c r="A6879" s="17"/>
    </row>
    <row r="6880" spans="1:1" x14ac:dyDescent="0.55000000000000004">
      <c r="A6880" s="17"/>
    </row>
    <row r="6881" spans="1:1" x14ac:dyDescent="0.55000000000000004">
      <c r="A6881" s="17"/>
    </row>
    <row r="6882" spans="1:1" x14ac:dyDescent="0.55000000000000004">
      <c r="A6882" s="17"/>
    </row>
    <row r="6883" spans="1:1" x14ac:dyDescent="0.55000000000000004">
      <c r="A6883" s="17"/>
    </row>
    <row r="6884" spans="1:1" x14ac:dyDescent="0.55000000000000004">
      <c r="A6884" s="17"/>
    </row>
    <row r="6885" spans="1:1" x14ac:dyDescent="0.55000000000000004">
      <c r="A6885" s="17"/>
    </row>
    <row r="6886" spans="1:1" x14ac:dyDescent="0.55000000000000004">
      <c r="A6886" s="17"/>
    </row>
    <row r="6887" spans="1:1" x14ac:dyDescent="0.55000000000000004">
      <c r="A6887" s="17"/>
    </row>
    <row r="6888" spans="1:1" x14ac:dyDescent="0.55000000000000004">
      <c r="A6888" s="17"/>
    </row>
    <row r="6889" spans="1:1" x14ac:dyDescent="0.55000000000000004">
      <c r="A6889" s="17"/>
    </row>
    <row r="6890" spans="1:1" x14ac:dyDescent="0.55000000000000004">
      <c r="A6890" s="17"/>
    </row>
    <row r="6891" spans="1:1" x14ac:dyDescent="0.55000000000000004">
      <c r="A6891" s="17"/>
    </row>
    <row r="6892" spans="1:1" x14ac:dyDescent="0.55000000000000004">
      <c r="A6892" s="17"/>
    </row>
    <row r="6893" spans="1:1" x14ac:dyDescent="0.55000000000000004">
      <c r="A6893" s="17"/>
    </row>
    <row r="6894" spans="1:1" x14ac:dyDescent="0.55000000000000004">
      <c r="A6894" s="17"/>
    </row>
    <row r="6895" spans="1:1" x14ac:dyDescent="0.55000000000000004">
      <c r="A6895" s="17"/>
    </row>
    <row r="6896" spans="1:1" x14ac:dyDescent="0.55000000000000004">
      <c r="A6896" s="17"/>
    </row>
    <row r="6897" spans="1:1" x14ac:dyDescent="0.55000000000000004">
      <c r="A6897" s="17"/>
    </row>
    <row r="6898" spans="1:1" x14ac:dyDescent="0.55000000000000004">
      <c r="A6898" s="17"/>
    </row>
    <row r="6899" spans="1:1" x14ac:dyDescent="0.55000000000000004">
      <c r="A6899" s="17"/>
    </row>
    <row r="6900" spans="1:1" x14ac:dyDescent="0.55000000000000004">
      <c r="A6900" s="17"/>
    </row>
    <row r="6901" spans="1:1" x14ac:dyDescent="0.55000000000000004">
      <c r="A6901" s="17"/>
    </row>
    <row r="6902" spans="1:1" x14ac:dyDescent="0.55000000000000004">
      <c r="A6902" s="17"/>
    </row>
    <row r="6903" spans="1:1" x14ac:dyDescent="0.55000000000000004">
      <c r="A6903" s="17"/>
    </row>
    <row r="6904" spans="1:1" x14ac:dyDescent="0.55000000000000004">
      <c r="A6904" s="17"/>
    </row>
    <row r="6905" spans="1:1" x14ac:dyDescent="0.55000000000000004">
      <c r="A6905" s="17"/>
    </row>
    <row r="6906" spans="1:1" x14ac:dyDescent="0.55000000000000004">
      <c r="A6906" s="17"/>
    </row>
    <row r="6907" spans="1:1" x14ac:dyDescent="0.55000000000000004">
      <c r="A6907" s="17"/>
    </row>
    <row r="6908" spans="1:1" x14ac:dyDescent="0.55000000000000004">
      <c r="A6908" s="17"/>
    </row>
    <row r="6909" spans="1:1" x14ac:dyDescent="0.55000000000000004">
      <c r="A6909" s="17"/>
    </row>
    <row r="6910" spans="1:1" x14ac:dyDescent="0.55000000000000004">
      <c r="A6910" s="17"/>
    </row>
    <row r="6911" spans="1:1" x14ac:dyDescent="0.55000000000000004">
      <c r="A6911" s="17"/>
    </row>
    <row r="6912" spans="1:1" x14ac:dyDescent="0.55000000000000004">
      <c r="A6912" s="17"/>
    </row>
    <row r="6913" spans="1:1" x14ac:dyDescent="0.55000000000000004">
      <c r="A6913" s="17"/>
    </row>
    <row r="6914" spans="1:1" x14ac:dyDescent="0.55000000000000004">
      <c r="A6914" s="17"/>
    </row>
    <row r="6915" spans="1:1" x14ac:dyDescent="0.55000000000000004">
      <c r="A6915" s="17"/>
    </row>
    <row r="6916" spans="1:1" x14ac:dyDescent="0.55000000000000004">
      <c r="A6916" s="17"/>
    </row>
    <row r="6917" spans="1:1" x14ac:dyDescent="0.55000000000000004">
      <c r="A6917" s="17"/>
    </row>
    <row r="6918" spans="1:1" x14ac:dyDescent="0.55000000000000004">
      <c r="A6918" s="17"/>
    </row>
    <row r="6919" spans="1:1" x14ac:dyDescent="0.55000000000000004">
      <c r="A6919" s="17"/>
    </row>
    <row r="6920" spans="1:1" x14ac:dyDescent="0.55000000000000004">
      <c r="A6920" s="17"/>
    </row>
    <row r="6921" spans="1:1" x14ac:dyDescent="0.55000000000000004">
      <c r="A6921" s="17"/>
    </row>
    <row r="6922" spans="1:1" x14ac:dyDescent="0.55000000000000004">
      <c r="A6922" s="17"/>
    </row>
    <row r="6923" spans="1:1" x14ac:dyDescent="0.55000000000000004">
      <c r="A6923" s="17"/>
    </row>
    <row r="6924" spans="1:1" x14ac:dyDescent="0.55000000000000004">
      <c r="A6924" s="17"/>
    </row>
    <row r="6925" spans="1:1" x14ac:dyDescent="0.55000000000000004">
      <c r="A6925" s="17"/>
    </row>
    <row r="6926" spans="1:1" x14ac:dyDescent="0.55000000000000004">
      <c r="A6926" s="17"/>
    </row>
    <row r="6927" spans="1:1" x14ac:dyDescent="0.55000000000000004">
      <c r="A6927" s="17"/>
    </row>
    <row r="6928" spans="1:1" x14ac:dyDescent="0.55000000000000004">
      <c r="A6928" s="17"/>
    </row>
    <row r="6929" spans="1:1" x14ac:dyDescent="0.55000000000000004">
      <c r="A6929" s="17"/>
    </row>
    <row r="6930" spans="1:1" x14ac:dyDescent="0.55000000000000004">
      <c r="A6930" s="17"/>
    </row>
    <row r="6931" spans="1:1" x14ac:dyDescent="0.55000000000000004">
      <c r="A6931" s="17"/>
    </row>
    <row r="6932" spans="1:1" x14ac:dyDescent="0.55000000000000004">
      <c r="A6932" s="17"/>
    </row>
    <row r="6933" spans="1:1" x14ac:dyDescent="0.55000000000000004">
      <c r="A6933" s="17"/>
    </row>
    <row r="6934" spans="1:1" x14ac:dyDescent="0.55000000000000004">
      <c r="A6934" s="17"/>
    </row>
    <row r="6935" spans="1:1" x14ac:dyDescent="0.55000000000000004">
      <c r="A6935" s="17"/>
    </row>
    <row r="6936" spans="1:1" x14ac:dyDescent="0.55000000000000004">
      <c r="A6936" s="17"/>
    </row>
    <row r="6937" spans="1:1" x14ac:dyDescent="0.55000000000000004">
      <c r="A6937" s="17"/>
    </row>
    <row r="6938" spans="1:1" x14ac:dyDescent="0.55000000000000004">
      <c r="A6938" s="17"/>
    </row>
    <row r="6939" spans="1:1" x14ac:dyDescent="0.55000000000000004">
      <c r="A6939" s="17"/>
    </row>
    <row r="6940" spans="1:1" x14ac:dyDescent="0.55000000000000004">
      <c r="A6940" s="17"/>
    </row>
    <row r="6941" spans="1:1" x14ac:dyDescent="0.55000000000000004">
      <c r="A6941" s="17"/>
    </row>
    <row r="6942" spans="1:1" x14ac:dyDescent="0.55000000000000004">
      <c r="A6942" s="17"/>
    </row>
    <row r="6943" spans="1:1" x14ac:dyDescent="0.55000000000000004">
      <c r="A6943" s="17"/>
    </row>
    <row r="6944" spans="1:1" x14ac:dyDescent="0.55000000000000004">
      <c r="A6944" s="17"/>
    </row>
    <row r="6945" spans="1:1" x14ac:dyDescent="0.55000000000000004">
      <c r="A6945" s="17"/>
    </row>
    <row r="6946" spans="1:1" x14ac:dyDescent="0.55000000000000004">
      <c r="A6946" s="17"/>
    </row>
    <row r="6947" spans="1:1" x14ac:dyDescent="0.55000000000000004">
      <c r="A6947" s="17"/>
    </row>
    <row r="6948" spans="1:1" x14ac:dyDescent="0.55000000000000004">
      <c r="A6948" s="17"/>
    </row>
    <row r="6949" spans="1:1" x14ac:dyDescent="0.55000000000000004">
      <c r="A6949" s="17"/>
    </row>
    <row r="6950" spans="1:1" x14ac:dyDescent="0.55000000000000004">
      <c r="A6950" s="17"/>
    </row>
    <row r="6951" spans="1:1" x14ac:dyDescent="0.55000000000000004">
      <c r="A6951" s="17"/>
    </row>
    <row r="6952" spans="1:1" x14ac:dyDescent="0.55000000000000004">
      <c r="A6952" s="17"/>
    </row>
    <row r="6953" spans="1:1" x14ac:dyDescent="0.55000000000000004">
      <c r="A6953" s="17"/>
    </row>
    <row r="6954" spans="1:1" x14ac:dyDescent="0.55000000000000004">
      <c r="A6954" s="17"/>
    </row>
    <row r="6955" spans="1:1" x14ac:dyDescent="0.55000000000000004">
      <c r="A6955" s="17"/>
    </row>
    <row r="6956" spans="1:1" x14ac:dyDescent="0.55000000000000004">
      <c r="A6956" s="17"/>
    </row>
    <row r="6957" spans="1:1" x14ac:dyDescent="0.55000000000000004">
      <c r="A6957" s="17"/>
    </row>
    <row r="6958" spans="1:1" x14ac:dyDescent="0.55000000000000004">
      <c r="A6958" s="17"/>
    </row>
    <row r="6959" spans="1:1" x14ac:dyDescent="0.55000000000000004">
      <c r="A6959" s="17"/>
    </row>
    <row r="6960" spans="1:1" x14ac:dyDescent="0.55000000000000004">
      <c r="A6960" s="17"/>
    </row>
    <row r="6961" spans="1:1" x14ac:dyDescent="0.55000000000000004">
      <c r="A6961" s="17"/>
    </row>
    <row r="6962" spans="1:1" x14ac:dyDescent="0.55000000000000004">
      <c r="A6962" s="17"/>
    </row>
    <row r="6963" spans="1:1" x14ac:dyDescent="0.55000000000000004">
      <c r="A6963" s="17"/>
    </row>
    <row r="6964" spans="1:1" x14ac:dyDescent="0.55000000000000004">
      <c r="A6964" s="17"/>
    </row>
    <row r="6965" spans="1:1" x14ac:dyDescent="0.55000000000000004">
      <c r="A6965" s="17"/>
    </row>
    <row r="6966" spans="1:1" x14ac:dyDescent="0.55000000000000004">
      <c r="A6966" s="17"/>
    </row>
    <row r="6967" spans="1:1" x14ac:dyDescent="0.55000000000000004">
      <c r="A6967" s="17"/>
    </row>
    <row r="6968" spans="1:1" x14ac:dyDescent="0.55000000000000004">
      <c r="A6968" s="17"/>
    </row>
    <row r="6969" spans="1:1" x14ac:dyDescent="0.55000000000000004">
      <c r="A6969" s="17"/>
    </row>
    <row r="6970" spans="1:1" x14ac:dyDescent="0.55000000000000004">
      <c r="A6970" s="17"/>
    </row>
    <row r="6971" spans="1:1" x14ac:dyDescent="0.55000000000000004">
      <c r="A6971" s="17"/>
    </row>
    <row r="6972" spans="1:1" x14ac:dyDescent="0.55000000000000004">
      <c r="A6972" s="17"/>
    </row>
    <row r="6973" spans="1:1" x14ac:dyDescent="0.55000000000000004">
      <c r="A6973" s="17"/>
    </row>
    <row r="6974" spans="1:1" x14ac:dyDescent="0.55000000000000004">
      <c r="A6974" s="17"/>
    </row>
    <row r="6975" spans="1:1" x14ac:dyDescent="0.55000000000000004">
      <c r="A6975" s="17"/>
    </row>
    <row r="6976" spans="1:1" x14ac:dyDescent="0.55000000000000004">
      <c r="A6976" s="17"/>
    </row>
    <row r="6977" spans="1:1" x14ac:dyDescent="0.55000000000000004">
      <c r="A6977" s="17"/>
    </row>
    <row r="6978" spans="1:1" x14ac:dyDescent="0.55000000000000004">
      <c r="A6978" s="17"/>
    </row>
    <row r="6979" spans="1:1" x14ac:dyDescent="0.55000000000000004">
      <c r="A6979" s="17"/>
    </row>
    <row r="6980" spans="1:1" x14ac:dyDescent="0.55000000000000004">
      <c r="A6980" s="17"/>
    </row>
    <row r="6981" spans="1:1" x14ac:dyDescent="0.55000000000000004">
      <c r="A6981" s="17"/>
    </row>
    <row r="6982" spans="1:1" x14ac:dyDescent="0.55000000000000004">
      <c r="A6982" s="17"/>
    </row>
    <row r="6983" spans="1:1" x14ac:dyDescent="0.55000000000000004">
      <c r="A6983" s="17"/>
    </row>
    <row r="6984" spans="1:1" x14ac:dyDescent="0.55000000000000004">
      <c r="A6984" s="17"/>
    </row>
    <row r="6985" spans="1:1" x14ac:dyDescent="0.55000000000000004">
      <c r="A6985" s="17"/>
    </row>
    <row r="6986" spans="1:1" x14ac:dyDescent="0.55000000000000004">
      <c r="A6986" s="17"/>
    </row>
    <row r="6987" spans="1:1" x14ac:dyDescent="0.55000000000000004">
      <c r="A6987" s="17"/>
    </row>
    <row r="6988" spans="1:1" x14ac:dyDescent="0.55000000000000004">
      <c r="A6988" s="17"/>
    </row>
    <row r="6989" spans="1:1" x14ac:dyDescent="0.55000000000000004">
      <c r="A6989" s="17"/>
    </row>
    <row r="6990" spans="1:1" x14ac:dyDescent="0.55000000000000004">
      <c r="A6990" s="17"/>
    </row>
    <row r="6991" spans="1:1" x14ac:dyDescent="0.55000000000000004">
      <c r="A6991" s="17"/>
    </row>
    <row r="6992" spans="1:1" x14ac:dyDescent="0.55000000000000004">
      <c r="A6992" s="17"/>
    </row>
    <row r="6993" spans="1:1" x14ac:dyDescent="0.55000000000000004">
      <c r="A6993" s="17"/>
    </row>
    <row r="6994" spans="1:1" x14ac:dyDescent="0.55000000000000004">
      <c r="A6994" s="17"/>
    </row>
    <row r="6995" spans="1:1" x14ac:dyDescent="0.55000000000000004">
      <c r="A6995" s="17"/>
    </row>
    <row r="6996" spans="1:1" x14ac:dyDescent="0.55000000000000004">
      <c r="A6996" s="17"/>
    </row>
    <row r="6997" spans="1:1" x14ac:dyDescent="0.55000000000000004">
      <c r="A6997" s="17"/>
    </row>
    <row r="6998" spans="1:1" x14ac:dyDescent="0.55000000000000004">
      <c r="A6998" s="17"/>
    </row>
    <row r="6999" spans="1:1" x14ac:dyDescent="0.55000000000000004">
      <c r="A6999" s="17"/>
    </row>
    <row r="7000" spans="1:1" x14ac:dyDescent="0.55000000000000004">
      <c r="A7000" s="17"/>
    </row>
    <row r="7001" spans="1:1" x14ac:dyDescent="0.55000000000000004">
      <c r="A7001" s="17"/>
    </row>
    <row r="7002" spans="1:1" x14ac:dyDescent="0.55000000000000004">
      <c r="A7002" s="17"/>
    </row>
    <row r="7003" spans="1:1" x14ac:dyDescent="0.55000000000000004">
      <c r="A7003" s="17"/>
    </row>
    <row r="7004" spans="1:1" x14ac:dyDescent="0.55000000000000004">
      <c r="A7004" s="17"/>
    </row>
    <row r="7005" spans="1:1" x14ac:dyDescent="0.55000000000000004">
      <c r="A7005" s="17"/>
    </row>
    <row r="7006" spans="1:1" x14ac:dyDescent="0.55000000000000004">
      <c r="A7006" s="17"/>
    </row>
    <row r="7007" spans="1:1" x14ac:dyDescent="0.55000000000000004">
      <c r="A7007" s="17"/>
    </row>
    <row r="7008" spans="1:1" x14ac:dyDescent="0.55000000000000004">
      <c r="A7008" s="17"/>
    </row>
    <row r="7009" spans="1:1" x14ac:dyDescent="0.55000000000000004">
      <c r="A7009" s="17"/>
    </row>
    <row r="7010" spans="1:1" x14ac:dyDescent="0.55000000000000004">
      <c r="A7010" s="17"/>
    </row>
    <row r="7011" spans="1:1" x14ac:dyDescent="0.55000000000000004">
      <c r="A7011" s="17"/>
    </row>
    <row r="7012" spans="1:1" x14ac:dyDescent="0.55000000000000004">
      <c r="A7012" s="17"/>
    </row>
    <row r="7013" spans="1:1" x14ac:dyDescent="0.55000000000000004">
      <c r="A7013" s="17"/>
    </row>
    <row r="7014" spans="1:1" x14ac:dyDescent="0.55000000000000004">
      <c r="A7014" s="17"/>
    </row>
    <row r="7015" spans="1:1" x14ac:dyDescent="0.55000000000000004">
      <c r="A7015" s="17"/>
    </row>
    <row r="7016" spans="1:1" x14ac:dyDescent="0.55000000000000004">
      <c r="A7016" s="17"/>
    </row>
    <row r="7017" spans="1:1" x14ac:dyDescent="0.55000000000000004">
      <c r="A7017" s="17"/>
    </row>
    <row r="7018" spans="1:1" x14ac:dyDescent="0.55000000000000004">
      <c r="A7018" s="17"/>
    </row>
    <row r="7019" spans="1:1" x14ac:dyDescent="0.55000000000000004">
      <c r="A7019" s="17"/>
    </row>
    <row r="7020" spans="1:1" x14ac:dyDescent="0.55000000000000004">
      <c r="A7020" s="17"/>
    </row>
    <row r="7021" spans="1:1" x14ac:dyDescent="0.55000000000000004">
      <c r="A7021" s="17"/>
    </row>
    <row r="7022" spans="1:1" x14ac:dyDescent="0.55000000000000004">
      <c r="A7022" s="17"/>
    </row>
    <row r="7023" spans="1:1" x14ac:dyDescent="0.55000000000000004">
      <c r="A7023" s="17"/>
    </row>
    <row r="7024" spans="1:1" x14ac:dyDescent="0.55000000000000004">
      <c r="A7024" s="17"/>
    </row>
    <row r="7025" spans="1:1" x14ac:dyDescent="0.55000000000000004">
      <c r="A7025" s="17"/>
    </row>
    <row r="7026" spans="1:1" x14ac:dyDescent="0.55000000000000004">
      <c r="A7026" s="17"/>
    </row>
    <row r="7027" spans="1:1" x14ac:dyDescent="0.55000000000000004">
      <c r="A7027" s="17"/>
    </row>
    <row r="7028" spans="1:1" x14ac:dyDescent="0.55000000000000004">
      <c r="A7028" s="17"/>
    </row>
    <row r="7029" spans="1:1" x14ac:dyDescent="0.55000000000000004">
      <c r="A7029" s="17"/>
    </row>
    <row r="7030" spans="1:1" x14ac:dyDescent="0.55000000000000004">
      <c r="A7030" s="17"/>
    </row>
    <row r="7031" spans="1:1" x14ac:dyDescent="0.55000000000000004">
      <c r="A7031" s="17"/>
    </row>
    <row r="7032" spans="1:1" x14ac:dyDescent="0.55000000000000004">
      <c r="A7032" s="17"/>
    </row>
    <row r="7033" spans="1:1" x14ac:dyDescent="0.55000000000000004">
      <c r="A7033" s="17"/>
    </row>
    <row r="7034" spans="1:1" x14ac:dyDescent="0.55000000000000004">
      <c r="A7034" s="17"/>
    </row>
    <row r="7035" spans="1:1" x14ac:dyDescent="0.55000000000000004">
      <c r="A7035" s="17"/>
    </row>
    <row r="7036" spans="1:1" x14ac:dyDescent="0.55000000000000004">
      <c r="A7036" s="17"/>
    </row>
    <row r="7037" spans="1:1" x14ac:dyDescent="0.55000000000000004">
      <c r="A7037" s="17"/>
    </row>
    <row r="7038" spans="1:1" x14ac:dyDescent="0.55000000000000004">
      <c r="A7038" s="17"/>
    </row>
    <row r="7039" spans="1:1" x14ac:dyDescent="0.55000000000000004">
      <c r="A7039" s="17"/>
    </row>
    <row r="7040" spans="1:1" x14ac:dyDescent="0.55000000000000004">
      <c r="A7040" s="17"/>
    </row>
    <row r="7041" spans="1:1" x14ac:dyDescent="0.55000000000000004">
      <c r="A7041" s="17"/>
    </row>
    <row r="7042" spans="1:1" x14ac:dyDescent="0.55000000000000004">
      <c r="A7042" s="17"/>
    </row>
    <row r="7043" spans="1:1" x14ac:dyDescent="0.55000000000000004">
      <c r="A7043" s="17"/>
    </row>
    <row r="7044" spans="1:1" x14ac:dyDescent="0.55000000000000004">
      <c r="A7044" s="17"/>
    </row>
    <row r="7045" spans="1:1" x14ac:dyDescent="0.55000000000000004">
      <c r="A7045" s="17"/>
    </row>
    <row r="7046" spans="1:1" x14ac:dyDescent="0.55000000000000004">
      <c r="A7046" s="17"/>
    </row>
    <row r="7047" spans="1:1" x14ac:dyDescent="0.55000000000000004">
      <c r="A7047" s="17"/>
    </row>
    <row r="7048" spans="1:1" x14ac:dyDescent="0.55000000000000004">
      <c r="A7048" s="17"/>
    </row>
    <row r="7049" spans="1:1" x14ac:dyDescent="0.55000000000000004">
      <c r="A7049" s="17"/>
    </row>
    <row r="7050" spans="1:1" x14ac:dyDescent="0.55000000000000004">
      <c r="A7050" s="17"/>
    </row>
    <row r="7051" spans="1:1" x14ac:dyDescent="0.55000000000000004">
      <c r="A7051" s="17"/>
    </row>
    <row r="7052" spans="1:1" x14ac:dyDescent="0.55000000000000004">
      <c r="A7052" s="17"/>
    </row>
    <row r="7053" spans="1:1" x14ac:dyDescent="0.55000000000000004">
      <c r="A7053" s="17"/>
    </row>
    <row r="7054" spans="1:1" x14ac:dyDescent="0.55000000000000004">
      <c r="A7054" s="17"/>
    </row>
    <row r="7055" spans="1:1" x14ac:dyDescent="0.55000000000000004">
      <c r="A7055" s="17"/>
    </row>
    <row r="7056" spans="1:1" x14ac:dyDescent="0.55000000000000004">
      <c r="A7056" s="17"/>
    </row>
    <row r="7057" spans="1:1" x14ac:dyDescent="0.55000000000000004">
      <c r="A7057" s="17"/>
    </row>
    <row r="7058" spans="1:1" x14ac:dyDescent="0.55000000000000004">
      <c r="A7058" s="17"/>
    </row>
    <row r="7059" spans="1:1" x14ac:dyDescent="0.55000000000000004">
      <c r="A7059" s="17"/>
    </row>
    <row r="7060" spans="1:1" x14ac:dyDescent="0.55000000000000004">
      <c r="A7060" s="17"/>
    </row>
    <row r="7061" spans="1:1" x14ac:dyDescent="0.55000000000000004">
      <c r="A7061" s="17"/>
    </row>
    <row r="7062" spans="1:1" x14ac:dyDescent="0.55000000000000004">
      <c r="A7062" s="17"/>
    </row>
    <row r="7063" spans="1:1" x14ac:dyDescent="0.55000000000000004">
      <c r="A7063" s="17"/>
    </row>
    <row r="7064" spans="1:1" x14ac:dyDescent="0.55000000000000004">
      <c r="A7064" s="17"/>
    </row>
    <row r="7065" spans="1:1" x14ac:dyDescent="0.55000000000000004">
      <c r="A7065" s="17"/>
    </row>
    <row r="7066" spans="1:1" x14ac:dyDescent="0.55000000000000004">
      <c r="A7066" s="17"/>
    </row>
    <row r="7067" spans="1:1" x14ac:dyDescent="0.55000000000000004">
      <c r="A7067" s="17"/>
    </row>
    <row r="7068" spans="1:1" x14ac:dyDescent="0.55000000000000004">
      <c r="A7068" s="17"/>
    </row>
    <row r="7069" spans="1:1" x14ac:dyDescent="0.55000000000000004">
      <c r="A7069" s="17"/>
    </row>
    <row r="7070" spans="1:1" x14ac:dyDescent="0.55000000000000004">
      <c r="A7070" s="17"/>
    </row>
    <row r="7071" spans="1:1" x14ac:dyDescent="0.55000000000000004">
      <c r="A7071" s="17"/>
    </row>
    <row r="7072" spans="1:1" x14ac:dyDescent="0.55000000000000004">
      <c r="A7072" s="17"/>
    </row>
    <row r="7073" spans="1:1" x14ac:dyDescent="0.55000000000000004">
      <c r="A7073" s="17"/>
    </row>
    <row r="7074" spans="1:1" x14ac:dyDescent="0.55000000000000004">
      <c r="A7074" s="17"/>
    </row>
    <row r="7075" spans="1:1" x14ac:dyDescent="0.55000000000000004">
      <c r="A7075" s="17"/>
    </row>
    <row r="7076" spans="1:1" x14ac:dyDescent="0.55000000000000004">
      <c r="A7076" s="17"/>
    </row>
    <row r="7077" spans="1:1" x14ac:dyDescent="0.55000000000000004">
      <c r="A7077" s="17"/>
    </row>
    <row r="7078" spans="1:1" x14ac:dyDescent="0.55000000000000004">
      <c r="A7078" s="17"/>
    </row>
    <row r="7079" spans="1:1" x14ac:dyDescent="0.55000000000000004">
      <c r="A7079" s="17"/>
    </row>
    <row r="7080" spans="1:1" x14ac:dyDescent="0.55000000000000004">
      <c r="A7080" s="17"/>
    </row>
    <row r="7081" spans="1:1" x14ac:dyDescent="0.55000000000000004">
      <c r="A7081" s="17"/>
    </row>
    <row r="7082" spans="1:1" x14ac:dyDescent="0.55000000000000004">
      <c r="A7082" s="17"/>
    </row>
    <row r="7083" spans="1:1" x14ac:dyDescent="0.55000000000000004">
      <c r="A7083" s="17"/>
    </row>
    <row r="7084" spans="1:1" x14ac:dyDescent="0.55000000000000004">
      <c r="A7084" s="17"/>
    </row>
    <row r="7085" spans="1:1" x14ac:dyDescent="0.55000000000000004">
      <c r="A7085" s="17"/>
    </row>
    <row r="7086" spans="1:1" x14ac:dyDescent="0.55000000000000004">
      <c r="A7086" s="17"/>
    </row>
    <row r="7087" spans="1:1" x14ac:dyDescent="0.55000000000000004">
      <c r="A7087" s="17"/>
    </row>
    <row r="7088" spans="1:1" x14ac:dyDescent="0.55000000000000004">
      <c r="A7088" s="17"/>
    </row>
    <row r="7089" spans="1:1" x14ac:dyDescent="0.55000000000000004">
      <c r="A7089" s="17"/>
    </row>
    <row r="7090" spans="1:1" x14ac:dyDescent="0.55000000000000004">
      <c r="A7090" s="17"/>
    </row>
    <row r="7091" spans="1:1" x14ac:dyDescent="0.55000000000000004">
      <c r="A7091" s="17"/>
    </row>
    <row r="7092" spans="1:1" x14ac:dyDescent="0.55000000000000004">
      <c r="A7092" s="17"/>
    </row>
    <row r="7093" spans="1:1" x14ac:dyDescent="0.55000000000000004">
      <c r="A7093" s="17"/>
    </row>
    <row r="7094" spans="1:1" x14ac:dyDescent="0.55000000000000004">
      <c r="A7094" s="17"/>
    </row>
    <row r="7095" spans="1:1" x14ac:dyDescent="0.55000000000000004">
      <c r="A7095" s="17"/>
    </row>
    <row r="7096" spans="1:1" x14ac:dyDescent="0.55000000000000004">
      <c r="A7096" s="17"/>
    </row>
    <row r="7097" spans="1:1" x14ac:dyDescent="0.55000000000000004">
      <c r="A7097" s="17"/>
    </row>
    <row r="7098" spans="1:1" x14ac:dyDescent="0.55000000000000004">
      <c r="A7098" s="17"/>
    </row>
    <row r="7099" spans="1:1" x14ac:dyDescent="0.55000000000000004">
      <c r="A7099" s="17"/>
    </row>
    <row r="7100" spans="1:1" x14ac:dyDescent="0.55000000000000004">
      <c r="A7100" s="17"/>
    </row>
    <row r="7101" spans="1:1" x14ac:dyDescent="0.55000000000000004">
      <c r="A7101" s="17"/>
    </row>
    <row r="7102" spans="1:1" x14ac:dyDescent="0.55000000000000004">
      <c r="A7102" s="17"/>
    </row>
    <row r="7103" spans="1:1" x14ac:dyDescent="0.55000000000000004">
      <c r="A7103" s="17"/>
    </row>
    <row r="7104" spans="1:1" x14ac:dyDescent="0.55000000000000004">
      <c r="A7104" s="17"/>
    </row>
    <row r="7105" spans="1:1" x14ac:dyDescent="0.55000000000000004">
      <c r="A7105" s="17"/>
    </row>
    <row r="7106" spans="1:1" x14ac:dyDescent="0.55000000000000004">
      <c r="A7106" s="17"/>
    </row>
    <row r="7107" spans="1:1" x14ac:dyDescent="0.55000000000000004">
      <c r="A7107" s="17"/>
    </row>
    <row r="7108" spans="1:1" x14ac:dyDescent="0.55000000000000004">
      <c r="A7108" s="17"/>
    </row>
    <row r="7109" spans="1:1" x14ac:dyDescent="0.55000000000000004">
      <c r="A7109" s="17"/>
    </row>
    <row r="7110" spans="1:1" x14ac:dyDescent="0.55000000000000004">
      <c r="A7110" s="17"/>
    </row>
    <row r="7111" spans="1:1" x14ac:dyDescent="0.55000000000000004">
      <c r="A7111" s="17"/>
    </row>
    <row r="7112" spans="1:1" x14ac:dyDescent="0.55000000000000004">
      <c r="A7112" s="17"/>
    </row>
    <row r="7113" spans="1:1" x14ac:dyDescent="0.55000000000000004">
      <c r="A7113" s="17"/>
    </row>
    <row r="7114" spans="1:1" x14ac:dyDescent="0.55000000000000004">
      <c r="A7114" s="17"/>
    </row>
    <row r="7115" spans="1:1" x14ac:dyDescent="0.55000000000000004">
      <c r="A7115" s="17"/>
    </row>
    <row r="7116" spans="1:1" x14ac:dyDescent="0.55000000000000004">
      <c r="A7116" s="17"/>
    </row>
    <row r="7117" spans="1:1" x14ac:dyDescent="0.55000000000000004">
      <c r="A7117" s="17"/>
    </row>
    <row r="7118" spans="1:1" x14ac:dyDescent="0.55000000000000004">
      <c r="A7118" s="17"/>
    </row>
    <row r="7119" spans="1:1" x14ac:dyDescent="0.55000000000000004">
      <c r="A7119" s="17"/>
    </row>
    <row r="7120" spans="1:1" x14ac:dyDescent="0.55000000000000004">
      <c r="A7120" s="17"/>
    </row>
    <row r="7121" spans="1:1" x14ac:dyDescent="0.55000000000000004">
      <c r="A7121" s="17"/>
    </row>
    <row r="7122" spans="1:1" x14ac:dyDescent="0.55000000000000004">
      <c r="A7122" s="17"/>
    </row>
    <row r="7123" spans="1:1" x14ac:dyDescent="0.55000000000000004">
      <c r="A7123" s="17"/>
    </row>
    <row r="7124" spans="1:1" x14ac:dyDescent="0.55000000000000004">
      <c r="A7124" s="17"/>
    </row>
    <row r="7125" spans="1:1" x14ac:dyDescent="0.55000000000000004">
      <c r="A7125" s="17"/>
    </row>
    <row r="7126" spans="1:1" x14ac:dyDescent="0.55000000000000004">
      <c r="A7126" s="17"/>
    </row>
    <row r="7127" spans="1:1" x14ac:dyDescent="0.55000000000000004">
      <c r="A7127" s="17"/>
    </row>
    <row r="7128" spans="1:1" x14ac:dyDescent="0.55000000000000004">
      <c r="A7128" s="17"/>
    </row>
    <row r="7129" spans="1:1" x14ac:dyDescent="0.55000000000000004">
      <c r="A7129" s="17"/>
    </row>
    <row r="7130" spans="1:1" x14ac:dyDescent="0.55000000000000004">
      <c r="A7130" s="17"/>
    </row>
    <row r="7131" spans="1:1" x14ac:dyDescent="0.55000000000000004">
      <c r="A7131" s="17"/>
    </row>
    <row r="7132" spans="1:1" x14ac:dyDescent="0.55000000000000004">
      <c r="A7132" s="17"/>
    </row>
    <row r="7133" spans="1:1" x14ac:dyDescent="0.55000000000000004">
      <c r="A7133" s="17"/>
    </row>
    <row r="7134" spans="1:1" x14ac:dyDescent="0.55000000000000004">
      <c r="A7134" s="17"/>
    </row>
    <row r="7135" spans="1:1" x14ac:dyDescent="0.55000000000000004">
      <c r="A7135" s="17"/>
    </row>
    <row r="7136" spans="1:1" x14ac:dyDescent="0.55000000000000004">
      <c r="A7136" s="17"/>
    </row>
    <row r="7137" spans="1:1" x14ac:dyDescent="0.55000000000000004">
      <c r="A7137" s="17"/>
    </row>
    <row r="7138" spans="1:1" x14ac:dyDescent="0.55000000000000004">
      <c r="A7138" s="17"/>
    </row>
    <row r="7139" spans="1:1" x14ac:dyDescent="0.55000000000000004">
      <c r="A7139" s="17"/>
    </row>
    <row r="7140" spans="1:1" x14ac:dyDescent="0.55000000000000004">
      <c r="A7140" s="17"/>
    </row>
    <row r="7141" spans="1:1" x14ac:dyDescent="0.55000000000000004">
      <c r="A7141" s="17"/>
    </row>
    <row r="7142" spans="1:1" x14ac:dyDescent="0.55000000000000004">
      <c r="A7142" s="17"/>
    </row>
    <row r="7143" spans="1:1" x14ac:dyDescent="0.55000000000000004">
      <c r="A7143" s="17"/>
    </row>
    <row r="7144" spans="1:1" x14ac:dyDescent="0.55000000000000004">
      <c r="A7144" s="17"/>
    </row>
    <row r="7145" spans="1:1" x14ac:dyDescent="0.55000000000000004">
      <c r="A7145" s="17"/>
    </row>
    <row r="7146" spans="1:1" x14ac:dyDescent="0.55000000000000004">
      <c r="A7146" s="17"/>
    </row>
    <row r="7147" spans="1:1" x14ac:dyDescent="0.55000000000000004">
      <c r="A7147" s="17"/>
    </row>
    <row r="7148" spans="1:1" x14ac:dyDescent="0.55000000000000004">
      <c r="A7148" s="17"/>
    </row>
    <row r="7149" spans="1:1" x14ac:dyDescent="0.55000000000000004">
      <c r="A7149" s="17"/>
    </row>
    <row r="7150" spans="1:1" x14ac:dyDescent="0.55000000000000004">
      <c r="A7150" s="17"/>
    </row>
    <row r="7151" spans="1:1" x14ac:dyDescent="0.55000000000000004">
      <c r="A7151" s="17"/>
    </row>
    <row r="7152" spans="1:1" x14ac:dyDescent="0.55000000000000004">
      <c r="A7152" s="17"/>
    </row>
    <row r="7153" spans="1:1" x14ac:dyDescent="0.55000000000000004">
      <c r="A7153" s="17"/>
    </row>
    <row r="7154" spans="1:1" x14ac:dyDescent="0.55000000000000004">
      <c r="A7154" s="17"/>
    </row>
    <row r="7155" spans="1:1" x14ac:dyDescent="0.55000000000000004">
      <c r="A7155" s="17"/>
    </row>
    <row r="7156" spans="1:1" x14ac:dyDescent="0.55000000000000004">
      <c r="A7156" s="17"/>
    </row>
    <row r="7157" spans="1:1" x14ac:dyDescent="0.55000000000000004">
      <c r="A7157" s="17"/>
    </row>
    <row r="7158" spans="1:1" x14ac:dyDescent="0.55000000000000004">
      <c r="A7158" s="17"/>
    </row>
    <row r="7159" spans="1:1" x14ac:dyDescent="0.55000000000000004">
      <c r="A7159" s="17"/>
    </row>
    <row r="7160" spans="1:1" x14ac:dyDescent="0.55000000000000004">
      <c r="A7160" s="17"/>
    </row>
    <row r="7161" spans="1:1" x14ac:dyDescent="0.55000000000000004">
      <c r="A7161" s="17"/>
    </row>
    <row r="7162" spans="1:1" x14ac:dyDescent="0.55000000000000004">
      <c r="A7162" s="17"/>
    </row>
    <row r="7163" spans="1:1" x14ac:dyDescent="0.55000000000000004">
      <c r="A7163" s="17"/>
    </row>
    <row r="7164" spans="1:1" x14ac:dyDescent="0.55000000000000004">
      <c r="A7164" s="17"/>
    </row>
    <row r="7165" spans="1:1" x14ac:dyDescent="0.55000000000000004">
      <c r="A7165" s="17"/>
    </row>
    <row r="7166" spans="1:1" x14ac:dyDescent="0.55000000000000004">
      <c r="A7166" s="17"/>
    </row>
    <row r="7167" spans="1:1" x14ac:dyDescent="0.55000000000000004">
      <c r="A7167" s="17"/>
    </row>
    <row r="7168" spans="1:1" x14ac:dyDescent="0.55000000000000004">
      <c r="A7168" s="17"/>
    </row>
    <row r="7169" spans="1:1" x14ac:dyDescent="0.55000000000000004">
      <c r="A7169" s="17"/>
    </row>
    <row r="7170" spans="1:1" x14ac:dyDescent="0.55000000000000004">
      <c r="A7170" s="17"/>
    </row>
    <row r="7171" spans="1:1" x14ac:dyDescent="0.55000000000000004">
      <c r="A7171" s="17"/>
    </row>
    <row r="7172" spans="1:1" x14ac:dyDescent="0.55000000000000004">
      <c r="A7172" s="17"/>
    </row>
    <row r="7173" spans="1:1" x14ac:dyDescent="0.55000000000000004">
      <c r="A7173" s="17"/>
    </row>
    <row r="7174" spans="1:1" x14ac:dyDescent="0.55000000000000004">
      <c r="A7174" s="17"/>
    </row>
    <row r="7175" spans="1:1" x14ac:dyDescent="0.55000000000000004">
      <c r="A7175" s="17"/>
    </row>
    <row r="7176" spans="1:1" x14ac:dyDescent="0.55000000000000004">
      <c r="A7176" s="17"/>
    </row>
    <row r="7177" spans="1:1" x14ac:dyDescent="0.55000000000000004">
      <c r="A7177" s="17"/>
    </row>
    <row r="7178" spans="1:1" x14ac:dyDescent="0.55000000000000004">
      <c r="A7178" s="17"/>
    </row>
    <row r="7179" spans="1:1" x14ac:dyDescent="0.55000000000000004">
      <c r="A7179" s="17"/>
    </row>
    <row r="7180" spans="1:1" x14ac:dyDescent="0.55000000000000004">
      <c r="A7180" s="17"/>
    </row>
    <row r="7181" spans="1:1" x14ac:dyDescent="0.55000000000000004">
      <c r="A7181" s="17"/>
    </row>
    <row r="7182" spans="1:1" x14ac:dyDescent="0.55000000000000004">
      <c r="A7182" s="17"/>
    </row>
    <row r="7183" spans="1:1" x14ac:dyDescent="0.55000000000000004">
      <c r="A7183" s="17"/>
    </row>
    <row r="7184" spans="1:1" x14ac:dyDescent="0.55000000000000004">
      <c r="A7184" s="17"/>
    </row>
    <row r="7185" spans="1:1" x14ac:dyDescent="0.55000000000000004">
      <c r="A7185" s="17"/>
    </row>
    <row r="7186" spans="1:1" x14ac:dyDescent="0.55000000000000004">
      <c r="A7186" s="17"/>
    </row>
    <row r="7187" spans="1:1" x14ac:dyDescent="0.55000000000000004">
      <c r="A7187" s="17"/>
    </row>
    <row r="7188" spans="1:1" x14ac:dyDescent="0.55000000000000004">
      <c r="A7188" s="17"/>
    </row>
    <row r="7189" spans="1:1" x14ac:dyDescent="0.55000000000000004">
      <c r="A7189" s="17"/>
    </row>
    <row r="7190" spans="1:1" x14ac:dyDescent="0.55000000000000004">
      <c r="A7190" s="17"/>
    </row>
    <row r="7191" spans="1:1" x14ac:dyDescent="0.55000000000000004">
      <c r="A7191" s="17"/>
    </row>
    <row r="7192" spans="1:1" x14ac:dyDescent="0.55000000000000004">
      <c r="A7192" s="17"/>
    </row>
    <row r="7193" spans="1:1" x14ac:dyDescent="0.55000000000000004">
      <c r="A7193" s="17"/>
    </row>
    <row r="7194" spans="1:1" x14ac:dyDescent="0.55000000000000004">
      <c r="A7194" s="17"/>
    </row>
    <row r="7195" spans="1:1" x14ac:dyDescent="0.55000000000000004">
      <c r="A7195" s="17"/>
    </row>
    <row r="7196" spans="1:1" x14ac:dyDescent="0.55000000000000004">
      <c r="A7196" s="17"/>
    </row>
    <row r="7197" spans="1:1" x14ac:dyDescent="0.55000000000000004">
      <c r="A7197" s="17"/>
    </row>
    <row r="7198" spans="1:1" x14ac:dyDescent="0.55000000000000004">
      <c r="A7198" s="17"/>
    </row>
    <row r="7199" spans="1:1" x14ac:dyDescent="0.55000000000000004">
      <c r="A7199" s="17"/>
    </row>
    <row r="7200" spans="1:1" x14ac:dyDescent="0.55000000000000004">
      <c r="A7200" s="17"/>
    </row>
    <row r="7201" spans="1:1" x14ac:dyDescent="0.55000000000000004">
      <c r="A7201" s="17"/>
    </row>
    <row r="7202" spans="1:1" x14ac:dyDescent="0.55000000000000004">
      <c r="A7202" s="17"/>
    </row>
    <row r="7203" spans="1:1" x14ac:dyDescent="0.55000000000000004">
      <c r="A7203" s="17"/>
    </row>
    <row r="7204" spans="1:1" x14ac:dyDescent="0.55000000000000004">
      <c r="A7204" s="17"/>
    </row>
    <row r="7205" spans="1:1" x14ac:dyDescent="0.55000000000000004">
      <c r="A7205" s="17"/>
    </row>
    <row r="7206" spans="1:1" x14ac:dyDescent="0.55000000000000004">
      <c r="A7206" s="17"/>
    </row>
    <row r="7207" spans="1:1" x14ac:dyDescent="0.55000000000000004">
      <c r="A7207" s="17"/>
    </row>
    <row r="7208" spans="1:1" x14ac:dyDescent="0.55000000000000004">
      <c r="A7208" s="17"/>
    </row>
    <row r="7209" spans="1:1" x14ac:dyDescent="0.55000000000000004">
      <c r="A7209" s="17"/>
    </row>
    <row r="7210" spans="1:1" x14ac:dyDescent="0.55000000000000004">
      <c r="A7210" s="17"/>
    </row>
    <row r="7211" spans="1:1" x14ac:dyDescent="0.55000000000000004">
      <c r="A7211" s="17"/>
    </row>
    <row r="7212" spans="1:1" x14ac:dyDescent="0.55000000000000004">
      <c r="A7212" s="17"/>
    </row>
    <row r="7213" spans="1:1" x14ac:dyDescent="0.55000000000000004">
      <c r="A7213" s="17"/>
    </row>
    <row r="7214" spans="1:1" x14ac:dyDescent="0.55000000000000004">
      <c r="A7214" s="17"/>
    </row>
    <row r="7215" spans="1:1" x14ac:dyDescent="0.55000000000000004">
      <c r="A7215" s="17"/>
    </row>
    <row r="7216" spans="1:1" x14ac:dyDescent="0.55000000000000004">
      <c r="A7216" s="17"/>
    </row>
    <row r="7217" spans="1:1" x14ac:dyDescent="0.55000000000000004">
      <c r="A7217" s="17"/>
    </row>
    <row r="7218" spans="1:1" x14ac:dyDescent="0.55000000000000004">
      <c r="A7218" s="17"/>
    </row>
    <row r="7219" spans="1:1" x14ac:dyDescent="0.55000000000000004">
      <c r="A7219" s="17"/>
    </row>
    <row r="7220" spans="1:1" x14ac:dyDescent="0.55000000000000004">
      <c r="A7220" s="17"/>
    </row>
    <row r="7221" spans="1:1" x14ac:dyDescent="0.55000000000000004">
      <c r="A7221" s="17"/>
    </row>
    <row r="7222" spans="1:1" x14ac:dyDescent="0.55000000000000004">
      <c r="A7222" s="17"/>
    </row>
    <row r="7223" spans="1:1" x14ac:dyDescent="0.55000000000000004">
      <c r="A7223" s="17"/>
    </row>
    <row r="7224" spans="1:1" x14ac:dyDescent="0.55000000000000004">
      <c r="A7224" s="17"/>
    </row>
    <row r="7225" spans="1:1" x14ac:dyDescent="0.55000000000000004">
      <c r="A7225" s="17"/>
    </row>
    <row r="7226" spans="1:1" x14ac:dyDescent="0.55000000000000004">
      <c r="A7226" s="17"/>
    </row>
    <row r="7227" spans="1:1" x14ac:dyDescent="0.55000000000000004">
      <c r="A7227" s="17"/>
    </row>
    <row r="7228" spans="1:1" x14ac:dyDescent="0.55000000000000004">
      <c r="A7228" s="17"/>
    </row>
    <row r="7229" spans="1:1" x14ac:dyDescent="0.55000000000000004">
      <c r="A7229" s="17"/>
    </row>
    <row r="7230" spans="1:1" x14ac:dyDescent="0.55000000000000004">
      <c r="A7230" s="17"/>
    </row>
    <row r="7231" spans="1:1" x14ac:dyDescent="0.55000000000000004">
      <c r="A7231" s="17"/>
    </row>
    <row r="7232" spans="1:1" x14ac:dyDescent="0.55000000000000004">
      <c r="A7232" s="17"/>
    </row>
    <row r="7233" spans="1:1" x14ac:dyDescent="0.55000000000000004">
      <c r="A7233" s="17"/>
    </row>
    <row r="7234" spans="1:1" x14ac:dyDescent="0.55000000000000004">
      <c r="A7234" s="17"/>
    </row>
    <row r="7235" spans="1:1" x14ac:dyDescent="0.55000000000000004">
      <c r="A7235" s="17"/>
    </row>
    <row r="7236" spans="1:1" x14ac:dyDescent="0.55000000000000004">
      <c r="A7236" s="17"/>
    </row>
    <row r="7237" spans="1:1" x14ac:dyDescent="0.55000000000000004">
      <c r="A7237" s="17"/>
    </row>
    <row r="7238" spans="1:1" x14ac:dyDescent="0.55000000000000004">
      <c r="A7238" s="17"/>
    </row>
    <row r="7239" spans="1:1" x14ac:dyDescent="0.55000000000000004">
      <c r="A7239" s="17"/>
    </row>
    <row r="7240" spans="1:1" x14ac:dyDescent="0.55000000000000004">
      <c r="A7240" s="17"/>
    </row>
    <row r="7241" spans="1:1" x14ac:dyDescent="0.55000000000000004">
      <c r="A7241" s="17"/>
    </row>
    <row r="7242" spans="1:1" x14ac:dyDescent="0.55000000000000004">
      <c r="A7242" s="17"/>
    </row>
    <row r="7243" spans="1:1" x14ac:dyDescent="0.55000000000000004">
      <c r="A7243" s="17"/>
    </row>
    <row r="7244" spans="1:1" x14ac:dyDescent="0.55000000000000004">
      <c r="A7244" s="17"/>
    </row>
    <row r="7245" spans="1:1" x14ac:dyDescent="0.55000000000000004">
      <c r="A7245" s="17"/>
    </row>
    <row r="7246" spans="1:1" x14ac:dyDescent="0.55000000000000004">
      <c r="A7246" s="17"/>
    </row>
    <row r="7247" spans="1:1" x14ac:dyDescent="0.55000000000000004">
      <c r="A7247" s="17"/>
    </row>
    <row r="7248" spans="1:1" x14ac:dyDescent="0.55000000000000004">
      <c r="A7248" s="17"/>
    </row>
    <row r="7249" spans="1:1" x14ac:dyDescent="0.55000000000000004">
      <c r="A7249" s="17"/>
    </row>
    <row r="7250" spans="1:1" x14ac:dyDescent="0.55000000000000004">
      <c r="A7250" s="17"/>
    </row>
    <row r="7251" spans="1:1" x14ac:dyDescent="0.55000000000000004">
      <c r="A7251" s="17"/>
    </row>
    <row r="7252" spans="1:1" x14ac:dyDescent="0.55000000000000004">
      <c r="A7252" s="17"/>
    </row>
    <row r="7253" spans="1:1" x14ac:dyDescent="0.55000000000000004">
      <c r="A7253" s="17"/>
    </row>
    <row r="7254" spans="1:1" x14ac:dyDescent="0.55000000000000004">
      <c r="A7254" s="17"/>
    </row>
    <row r="7255" spans="1:1" x14ac:dyDescent="0.55000000000000004">
      <c r="A7255" s="17"/>
    </row>
    <row r="7256" spans="1:1" x14ac:dyDescent="0.55000000000000004">
      <c r="A7256" s="17"/>
    </row>
    <row r="7257" spans="1:1" x14ac:dyDescent="0.55000000000000004">
      <c r="A7257" s="17"/>
    </row>
    <row r="7258" spans="1:1" x14ac:dyDescent="0.55000000000000004">
      <c r="A7258" s="17"/>
    </row>
    <row r="7259" spans="1:1" x14ac:dyDescent="0.55000000000000004">
      <c r="A7259" s="17"/>
    </row>
    <row r="7260" spans="1:1" x14ac:dyDescent="0.55000000000000004">
      <c r="A7260" s="17"/>
    </row>
    <row r="7261" spans="1:1" x14ac:dyDescent="0.55000000000000004">
      <c r="A7261" s="17"/>
    </row>
    <row r="7262" spans="1:1" x14ac:dyDescent="0.55000000000000004">
      <c r="A7262" s="17"/>
    </row>
    <row r="7263" spans="1:1" x14ac:dyDescent="0.55000000000000004">
      <c r="A7263" s="17"/>
    </row>
    <row r="7264" spans="1:1" x14ac:dyDescent="0.55000000000000004">
      <c r="A7264" s="17"/>
    </row>
    <row r="7265" spans="1:1" x14ac:dyDescent="0.55000000000000004">
      <c r="A7265" s="17"/>
    </row>
    <row r="7266" spans="1:1" x14ac:dyDescent="0.55000000000000004">
      <c r="A7266" s="17"/>
    </row>
    <row r="7267" spans="1:1" x14ac:dyDescent="0.55000000000000004">
      <c r="A7267" s="17"/>
    </row>
    <row r="7268" spans="1:1" x14ac:dyDescent="0.55000000000000004">
      <c r="A7268" s="17"/>
    </row>
    <row r="7269" spans="1:1" x14ac:dyDescent="0.55000000000000004">
      <c r="A7269" s="17"/>
    </row>
    <row r="7270" spans="1:1" x14ac:dyDescent="0.55000000000000004">
      <c r="A7270" s="17"/>
    </row>
    <row r="7271" spans="1:1" x14ac:dyDescent="0.55000000000000004">
      <c r="A7271" s="17"/>
    </row>
    <row r="7272" spans="1:1" x14ac:dyDescent="0.55000000000000004">
      <c r="A7272" s="17"/>
    </row>
    <row r="7273" spans="1:1" x14ac:dyDescent="0.55000000000000004">
      <c r="A7273" s="17"/>
    </row>
    <row r="7274" spans="1:1" x14ac:dyDescent="0.55000000000000004">
      <c r="A7274" s="17"/>
    </row>
    <row r="7275" spans="1:1" x14ac:dyDescent="0.55000000000000004">
      <c r="A7275" s="17"/>
    </row>
    <row r="7276" spans="1:1" x14ac:dyDescent="0.55000000000000004">
      <c r="A7276" s="17"/>
    </row>
    <row r="7277" spans="1:1" x14ac:dyDescent="0.55000000000000004">
      <c r="A7277" s="17"/>
    </row>
    <row r="7278" spans="1:1" x14ac:dyDescent="0.55000000000000004">
      <c r="A7278" s="17"/>
    </row>
    <row r="7279" spans="1:1" x14ac:dyDescent="0.55000000000000004">
      <c r="A7279" s="17"/>
    </row>
    <row r="7280" spans="1:1" x14ac:dyDescent="0.55000000000000004">
      <c r="A7280" s="17"/>
    </row>
    <row r="7281" spans="1:1" x14ac:dyDescent="0.55000000000000004">
      <c r="A7281" s="17"/>
    </row>
    <row r="7282" spans="1:1" x14ac:dyDescent="0.55000000000000004">
      <c r="A7282" s="17"/>
    </row>
    <row r="7283" spans="1:1" x14ac:dyDescent="0.55000000000000004">
      <c r="A7283" s="17"/>
    </row>
    <row r="7284" spans="1:1" x14ac:dyDescent="0.55000000000000004">
      <c r="A7284" s="17"/>
    </row>
    <row r="7285" spans="1:1" x14ac:dyDescent="0.55000000000000004">
      <c r="A7285" s="17"/>
    </row>
    <row r="7286" spans="1:1" x14ac:dyDescent="0.55000000000000004">
      <c r="A7286" s="17"/>
    </row>
    <row r="7287" spans="1:1" x14ac:dyDescent="0.55000000000000004">
      <c r="A7287" s="17"/>
    </row>
    <row r="7288" spans="1:1" x14ac:dyDescent="0.55000000000000004">
      <c r="A7288" s="17"/>
    </row>
    <row r="7289" spans="1:1" x14ac:dyDescent="0.55000000000000004">
      <c r="A7289" s="17"/>
    </row>
    <row r="7290" spans="1:1" x14ac:dyDescent="0.55000000000000004">
      <c r="A7290" s="17"/>
    </row>
    <row r="7291" spans="1:1" x14ac:dyDescent="0.55000000000000004">
      <c r="A7291" s="17"/>
    </row>
    <row r="7292" spans="1:1" x14ac:dyDescent="0.55000000000000004">
      <c r="A7292" s="17"/>
    </row>
    <row r="7293" spans="1:1" x14ac:dyDescent="0.55000000000000004">
      <c r="A7293" s="17"/>
    </row>
    <row r="7294" spans="1:1" x14ac:dyDescent="0.55000000000000004">
      <c r="A7294" s="17"/>
    </row>
    <row r="7295" spans="1:1" x14ac:dyDescent="0.55000000000000004">
      <c r="A7295" s="17"/>
    </row>
    <row r="7296" spans="1:1" x14ac:dyDescent="0.55000000000000004">
      <c r="A7296" s="17"/>
    </row>
    <row r="7297" spans="1:1" x14ac:dyDescent="0.55000000000000004">
      <c r="A7297" s="17"/>
    </row>
    <row r="7298" spans="1:1" x14ac:dyDescent="0.55000000000000004">
      <c r="A7298" s="17"/>
    </row>
    <row r="7299" spans="1:1" x14ac:dyDescent="0.55000000000000004">
      <c r="A7299" s="17"/>
    </row>
    <row r="7300" spans="1:1" x14ac:dyDescent="0.55000000000000004">
      <c r="A7300" s="17"/>
    </row>
    <row r="7301" spans="1:1" x14ac:dyDescent="0.55000000000000004">
      <c r="A7301" s="17"/>
    </row>
    <row r="7302" spans="1:1" x14ac:dyDescent="0.55000000000000004">
      <c r="A7302" s="17"/>
    </row>
    <row r="7303" spans="1:1" x14ac:dyDescent="0.55000000000000004">
      <c r="A7303" s="17"/>
    </row>
    <row r="7304" spans="1:1" x14ac:dyDescent="0.55000000000000004">
      <c r="A7304" s="17"/>
    </row>
    <row r="7305" spans="1:1" x14ac:dyDescent="0.55000000000000004">
      <c r="A7305" s="17"/>
    </row>
    <row r="7306" spans="1:1" x14ac:dyDescent="0.55000000000000004">
      <c r="A7306" s="17"/>
    </row>
    <row r="7307" spans="1:1" x14ac:dyDescent="0.55000000000000004">
      <c r="A7307" s="17"/>
    </row>
    <row r="7308" spans="1:1" x14ac:dyDescent="0.55000000000000004">
      <c r="A7308" s="17"/>
    </row>
    <row r="7309" spans="1:1" x14ac:dyDescent="0.55000000000000004">
      <c r="A7309" s="17"/>
    </row>
    <row r="7310" spans="1:1" x14ac:dyDescent="0.55000000000000004">
      <c r="A7310" s="17"/>
    </row>
    <row r="7311" spans="1:1" x14ac:dyDescent="0.55000000000000004">
      <c r="A7311" s="17"/>
    </row>
    <row r="7312" spans="1:1" x14ac:dyDescent="0.55000000000000004">
      <c r="A7312" s="17"/>
    </row>
    <row r="7313" spans="1:1" x14ac:dyDescent="0.55000000000000004">
      <c r="A7313" s="17"/>
    </row>
    <row r="7314" spans="1:1" x14ac:dyDescent="0.55000000000000004">
      <c r="A7314" s="17"/>
    </row>
    <row r="7315" spans="1:1" x14ac:dyDescent="0.55000000000000004">
      <c r="A7315" s="17"/>
    </row>
    <row r="7316" spans="1:1" x14ac:dyDescent="0.55000000000000004">
      <c r="A7316" s="17"/>
    </row>
    <row r="7317" spans="1:1" x14ac:dyDescent="0.55000000000000004">
      <c r="A7317" s="17"/>
    </row>
    <row r="7318" spans="1:1" x14ac:dyDescent="0.55000000000000004">
      <c r="A7318" s="17"/>
    </row>
    <row r="7319" spans="1:1" x14ac:dyDescent="0.55000000000000004">
      <c r="A7319" s="17"/>
    </row>
    <row r="7320" spans="1:1" x14ac:dyDescent="0.55000000000000004">
      <c r="A7320" s="17"/>
    </row>
    <row r="7321" spans="1:1" x14ac:dyDescent="0.55000000000000004">
      <c r="A7321" s="17"/>
    </row>
    <row r="7322" spans="1:1" x14ac:dyDescent="0.55000000000000004">
      <c r="A7322" s="17"/>
    </row>
    <row r="7323" spans="1:1" x14ac:dyDescent="0.55000000000000004">
      <c r="A7323" s="17"/>
    </row>
    <row r="7324" spans="1:1" x14ac:dyDescent="0.55000000000000004">
      <c r="A7324" s="17"/>
    </row>
    <row r="7325" spans="1:1" x14ac:dyDescent="0.55000000000000004">
      <c r="A7325" s="17"/>
    </row>
    <row r="7326" spans="1:1" x14ac:dyDescent="0.55000000000000004">
      <c r="A7326" s="17"/>
    </row>
    <row r="7327" spans="1:1" x14ac:dyDescent="0.55000000000000004">
      <c r="A7327" s="17"/>
    </row>
    <row r="7328" spans="1:1" x14ac:dyDescent="0.55000000000000004">
      <c r="A7328" s="17"/>
    </row>
    <row r="7329" spans="1:1" x14ac:dyDescent="0.55000000000000004">
      <c r="A7329" s="17"/>
    </row>
    <row r="7330" spans="1:1" x14ac:dyDescent="0.55000000000000004">
      <c r="A7330" s="17"/>
    </row>
    <row r="7331" spans="1:1" x14ac:dyDescent="0.55000000000000004">
      <c r="A7331" s="17"/>
    </row>
    <row r="7332" spans="1:1" x14ac:dyDescent="0.55000000000000004">
      <c r="A7332" s="17"/>
    </row>
    <row r="7333" spans="1:1" x14ac:dyDescent="0.55000000000000004">
      <c r="A7333" s="17"/>
    </row>
    <row r="7334" spans="1:1" x14ac:dyDescent="0.55000000000000004">
      <c r="A7334" s="17"/>
    </row>
    <row r="7335" spans="1:1" x14ac:dyDescent="0.55000000000000004">
      <c r="A7335" s="17"/>
    </row>
    <row r="7336" spans="1:1" x14ac:dyDescent="0.55000000000000004">
      <c r="A7336" s="17"/>
    </row>
    <row r="7337" spans="1:1" x14ac:dyDescent="0.55000000000000004">
      <c r="A7337" s="17"/>
    </row>
    <row r="7338" spans="1:1" x14ac:dyDescent="0.55000000000000004">
      <c r="A7338" s="17"/>
    </row>
    <row r="7339" spans="1:1" x14ac:dyDescent="0.55000000000000004">
      <c r="A7339" s="17"/>
    </row>
    <row r="7340" spans="1:1" x14ac:dyDescent="0.55000000000000004">
      <c r="A7340" s="17"/>
    </row>
    <row r="7341" spans="1:1" x14ac:dyDescent="0.55000000000000004">
      <c r="A7341" s="17"/>
    </row>
    <row r="7342" spans="1:1" x14ac:dyDescent="0.55000000000000004">
      <c r="A7342" s="17"/>
    </row>
    <row r="7343" spans="1:1" x14ac:dyDescent="0.55000000000000004">
      <c r="A7343" s="17"/>
    </row>
    <row r="7344" spans="1:1" x14ac:dyDescent="0.55000000000000004">
      <c r="A7344" s="17"/>
    </row>
    <row r="7345" spans="1:1" x14ac:dyDescent="0.55000000000000004">
      <c r="A7345" s="17"/>
    </row>
    <row r="7346" spans="1:1" x14ac:dyDescent="0.55000000000000004">
      <c r="A7346" s="17"/>
    </row>
    <row r="7347" spans="1:1" x14ac:dyDescent="0.55000000000000004">
      <c r="A7347" s="17"/>
    </row>
    <row r="7348" spans="1:1" x14ac:dyDescent="0.55000000000000004">
      <c r="A7348" s="17"/>
    </row>
    <row r="7349" spans="1:1" x14ac:dyDescent="0.55000000000000004">
      <c r="A7349" s="17"/>
    </row>
    <row r="7350" spans="1:1" x14ac:dyDescent="0.55000000000000004">
      <c r="A7350" s="17"/>
    </row>
    <row r="7351" spans="1:1" x14ac:dyDescent="0.55000000000000004">
      <c r="A7351" s="17"/>
    </row>
    <row r="7352" spans="1:1" x14ac:dyDescent="0.55000000000000004">
      <c r="A7352" s="17"/>
    </row>
    <row r="7353" spans="1:1" x14ac:dyDescent="0.55000000000000004">
      <c r="A7353" s="17"/>
    </row>
    <row r="7354" spans="1:1" x14ac:dyDescent="0.55000000000000004">
      <c r="A7354" s="17"/>
    </row>
    <row r="7355" spans="1:1" x14ac:dyDescent="0.55000000000000004">
      <c r="A7355" s="17"/>
    </row>
    <row r="7356" spans="1:1" x14ac:dyDescent="0.55000000000000004">
      <c r="A7356" s="17"/>
    </row>
    <row r="7357" spans="1:1" x14ac:dyDescent="0.55000000000000004">
      <c r="A7357" s="17"/>
    </row>
    <row r="7358" spans="1:1" x14ac:dyDescent="0.55000000000000004">
      <c r="A7358" s="17"/>
    </row>
    <row r="7359" spans="1:1" x14ac:dyDescent="0.55000000000000004">
      <c r="A7359" s="17"/>
    </row>
    <row r="7360" spans="1:1" x14ac:dyDescent="0.55000000000000004">
      <c r="A7360" s="17"/>
    </row>
    <row r="7361" spans="1:1" x14ac:dyDescent="0.55000000000000004">
      <c r="A7361" s="17"/>
    </row>
    <row r="7362" spans="1:1" x14ac:dyDescent="0.55000000000000004">
      <c r="A7362" s="17"/>
    </row>
    <row r="7363" spans="1:1" x14ac:dyDescent="0.55000000000000004">
      <c r="A7363" s="17"/>
    </row>
    <row r="7364" spans="1:1" x14ac:dyDescent="0.55000000000000004">
      <c r="A7364" s="17"/>
    </row>
    <row r="7365" spans="1:1" x14ac:dyDescent="0.55000000000000004">
      <c r="A7365" s="17"/>
    </row>
    <row r="7366" spans="1:1" x14ac:dyDescent="0.55000000000000004">
      <c r="A7366" s="17"/>
    </row>
    <row r="7367" spans="1:1" x14ac:dyDescent="0.55000000000000004">
      <c r="A7367" s="17"/>
    </row>
    <row r="7368" spans="1:1" x14ac:dyDescent="0.55000000000000004">
      <c r="A7368" s="17"/>
    </row>
    <row r="7369" spans="1:1" x14ac:dyDescent="0.55000000000000004">
      <c r="A7369" s="17"/>
    </row>
    <row r="7370" spans="1:1" x14ac:dyDescent="0.55000000000000004">
      <c r="A7370" s="17"/>
    </row>
    <row r="7371" spans="1:1" x14ac:dyDescent="0.55000000000000004">
      <c r="A7371" s="17"/>
    </row>
    <row r="7372" spans="1:1" x14ac:dyDescent="0.55000000000000004">
      <c r="A7372" s="17"/>
    </row>
    <row r="7373" spans="1:1" x14ac:dyDescent="0.55000000000000004">
      <c r="A7373" s="17"/>
    </row>
    <row r="7374" spans="1:1" x14ac:dyDescent="0.55000000000000004">
      <c r="A7374" s="17"/>
    </row>
    <row r="7375" spans="1:1" x14ac:dyDescent="0.55000000000000004">
      <c r="A7375" s="17"/>
    </row>
    <row r="7376" spans="1:1" x14ac:dyDescent="0.55000000000000004">
      <c r="A7376" s="17"/>
    </row>
    <row r="7377" spans="1:1" x14ac:dyDescent="0.55000000000000004">
      <c r="A7377" s="17"/>
    </row>
    <row r="7378" spans="1:1" x14ac:dyDescent="0.55000000000000004">
      <c r="A7378" s="17"/>
    </row>
    <row r="7379" spans="1:1" x14ac:dyDescent="0.55000000000000004">
      <c r="A7379" s="17"/>
    </row>
    <row r="7380" spans="1:1" x14ac:dyDescent="0.55000000000000004">
      <c r="A7380" s="17"/>
    </row>
    <row r="7381" spans="1:1" x14ac:dyDescent="0.55000000000000004">
      <c r="A7381" s="17"/>
    </row>
    <row r="7382" spans="1:1" x14ac:dyDescent="0.55000000000000004">
      <c r="A7382" s="17"/>
    </row>
    <row r="7383" spans="1:1" x14ac:dyDescent="0.55000000000000004">
      <c r="A7383" s="17"/>
    </row>
    <row r="7384" spans="1:1" x14ac:dyDescent="0.55000000000000004">
      <c r="A7384" s="17"/>
    </row>
    <row r="7385" spans="1:1" x14ac:dyDescent="0.55000000000000004">
      <c r="A7385" s="17"/>
    </row>
    <row r="7386" spans="1:1" x14ac:dyDescent="0.55000000000000004">
      <c r="A7386" s="17"/>
    </row>
    <row r="7387" spans="1:1" x14ac:dyDescent="0.55000000000000004">
      <c r="A7387" s="17"/>
    </row>
    <row r="7388" spans="1:1" x14ac:dyDescent="0.55000000000000004">
      <c r="A7388" s="17"/>
    </row>
    <row r="7389" spans="1:1" x14ac:dyDescent="0.55000000000000004">
      <c r="A7389" s="17"/>
    </row>
    <row r="7390" spans="1:1" x14ac:dyDescent="0.55000000000000004">
      <c r="A7390" s="17"/>
    </row>
    <row r="7391" spans="1:1" x14ac:dyDescent="0.55000000000000004">
      <c r="A7391" s="17"/>
    </row>
    <row r="7392" spans="1:1" x14ac:dyDescent="0.55000000000000004">
      <c r="A7392" s="17"/>
    </row>
    <row r="7393" spans="1:1" x14ac:dyDescent="0.55000000000000004">
      <c r="A7393" s="17"/>
    </row>
    <row r="7394" spans="1:1" x14ac:dyDescent="0.55000000000000004">
      <c r="A7394" s="17"/>
    </row>
    <row r="7395" spans="1:1" x14ac:dyDescent="0.55000000000000004">
      <c r="A7395" s="17"/>
    </row>
    <row r="7396" spans="1:1" x14ac:dyDescent="0.55000000000000004">
      <c r="A7396" s="17"/>
    </row>
    <row r="7397" spans="1:1" x14ac:dyDescent="0.55000000000000004">
      <c r="A7397" s="17"/>
    </row>
    <row r="7398" spans="1:1" x14ac:dyDescent="0.55000000000000004">
      <c r="A7398" s="17"/>
    </row>
    <row r="7399" spans="1:1" x14ac:dyDescent="0.55000000000000004">
      <c r="A7399" s="17"/>
    </row>
    <row r="7400" spans="1:1" x14ac:dyDescent="0.55000000000000004">
      <c r="A7400" s="17"/>
    </row>
    <row r="7401" spans="1:1" x14ac:dyDescent="0.55000000000000004">
      <c r="A7401" s="17"/>
    </row>
    <row r="7402" spans="1:1" x14ac:dyDescent="0.55000000000000004">
      <c r="A7402" s="17"/>
    </row>
    <row r="7403" spans="1:1" x14ac:dyDescent="0.55000000000000004">
      <c r="A7403" s="17"/>
    </row>
    <row r="7404" spans="1:1" x14ac:dyDescent="0.55000000000000004">
      <c r="A7404" s="17"/>
    </row>
    <row r="7405" spans="1:1" x14ac:dyDescent="0.55000000000000004">
      <c r="A7405" s="17"/>
    </row>
    <row r="7406" spans="1:1" x14ac:dyDescent="0.55000000000000004">
      <c r="A7406" s="17"/>
    </row>
    <row r="7407" spans="1:1" x14ac:dyDescent="0.55000000000000004">
      <c r="A7407" s="17"/>
    </row>
    <row r="7408" spans="1:1" x14ac:dyDescent="0.55000000000000004">
      <c r="A7408" s="17"/>
    </row>
    <row r="7409" spans="1:1" x14ac:dyDescent="0.55000000000000004">
      <c r="A7409" s="17"/>
    </row>
    <row r="7410" spans="1:1" x14ac:dyDescent="0.55000000000000004">
      <c r="A7410" s="17"/>
    </row>
    <row r="7411" spans="1:1" x14ac:dyDescent="0.55000000000000004">
      <c r="A7411" s="17"/>
    </row>
    <row r="7412" spans="1:1" x14ac:dyDescent="0.55000000000000004">
      <c r="A7412" s="17"/>
    </row>
    <row r="7413" spans="1:1" x14ac:dyDescent="0.55000000000000004">
      <c r="A7413" s="17"/>
    </row>
    <row r="7414" spans="1:1" x14ac:dyDescent="0.55000000000000004">
      <c r="A7414" s="17"/>
    </row>
    <row r="7415" spans="1:1" x14ac:dyDescent="0.55000000000000004">
      <c r="A7415" s="17"/>
    </row>
    <row r="7416" spans="1:1" x14ac:dyDescent="0.55000000000000004">
      <c r="A7416" s="17"/>
    </row>
    <row r="7417" spans="1:1" x14ac:dyDescent="0.55000000000000004">
      <c r="A7417" s="17"/>
    </row>
    <row r="7418" spans="1:1" x14ac:dyDescent="0.55000000000000004">
      <c r="A7418" s="17"/>
    </row>
    <row r="7419" spans="1:1" x14ac:dyDescent="0.55000000000000004">
      <c r="A7419" s="17"/>
    </row>
    <row r="7420" spans="1:1" x14ac:dyDescent="0.55000000000000004">
      <c r="A7420" s="17"/>
    </row>
    <row r="7421" spans="1:1" x14ac:dyDescent="0.55000000000000004">
      <c r="A7421" s="17"/>
    </row>
    <row r="7422" spans="1:1" x14ac:dyDescent="0.55000000000000004">
      <c r="A7422" s="17"/>
    </row>
    <row r="7423" spans="1:1" x14ac:dyDescent="0.55000000000000004">
      <c r="A7423" s="17"/>
    </row>
    <row r="7424" spans="1:1" x14ac:dyDescent="0.55000000000000004">
      <c r="A7424" s="17"/>
    </row>
    <row r="7425" spans="1:1" x14ac:dyDescent="0.55000000000000004">
      <c r="A7425" s="17"/>
    </row>
    <row r="7426" spans="1:1" x14ac:dyDescent="0.55000000000000004">
      <c r="A7426" s="17"/>
    </row>
    <row r="7427" spans="1:1" x14ac:dyDescent="0.55000000000000004">
      <c r="A7427" s="17"/>
    </row>
    <row r="7428" spans="1:1" x14ac:dyDescent="0.55000000000000004">
      <c r="A7428" s="17"/>
    </row>
    <row r="7429" spans="1:1" x14ac:dyDescent="0.55000000000000004">
      <c r="A7429" s="17"/>
    </row>
    <row r="7430" spans="1:1" x14ac:dyDescent="0.55000000000000004">
      <c r="A7430" s="17"/>
    </row>
    <row r="7431" spans="1:1" x14ac:dyDescent="0.55000000000000004">
      <c r="A7431" s="17"/>
    </row>
    <row r="7432" spans="1:1" x14ac:dyDescent="0.55000000000000004">
      <c r="A7432" s="17"/>
    </row>
    <row r="7433" spans="1:1" x14ac:dyDescent="0.55000000000000004">
      <c r="A7433" s="17"/>
    </row>
    <row r="7434" spans="1:1" x14ac:dyDescent="0.55000000000000004">
      <c r="A7434" s="17"/>
    </row>
    <row r="7435" spans="1:1" x14ac:dyDescent="0.55000000000000004">
      <c r="A7435" s="17"/>
    </row>
    <row r="7436" spans="1:1" x14ac:dyDescent="0.55000000000000004">
      <c r="A7436" s="17"/>
    </row>
    <row r="7437" spans="1:1" x14ac:dyDescent="0.55000000000000004">
      <c r="A7437" s="17"/>
    </row>
    <row r="7438" spans="1:1" x14ac:dyDescent="0.55000000000000004">
      <c r="A7438" s="17"/>
    </row>
    <row r="7439" spans="1:1" x14ac:dyDescent="0.55000000000000004">
      <c r="A7439" s="17"/>
    </row>
    <row r="7440" spans="1:1" x14ac:dyDescent="0.55000000000000004">
      <c r="A7440" s="17"/>
    </row>
    <row r="7441" spans="1:1" x14ac:dyDescent="0.55000000000000004">
      <c r="A7441" s="17"/>
    </row>
    <row r="7442" spans="1:1" x14ac:dyDescent="0.55000000000000004">
      <c r="A7442" s="17"/>
    </row>
    <row r="7443" spans="1:1" x14ac:dyDescent="0.55000000000000004">
      <c r="A7443" s="17"/>
    </row>
    <row r="7444" spans="1:1" x14ac:dyDescent="0.55000000000000004">
      <c r="A7444" s="17"/>
    </row>
    <row r="7445" spans="1:1" x14ac:dyDescent="0.55000000000000004">
      <c r="A7445" s="17"/>
    </row>
    <row r="7446" spans="1:1" x14ac:dyDescent="0.55000000000000004">
      <c r="A7446" s="17"/>
    </row>
    <row r="7447" spans="1:1" x14ac:dyDescent="0.55000000000000004">
      <c r="A7447" s="17"/>
    </row>
    <row r="7448" spans="1:1" x14ac:dyDescent="0.55000000000000004">
      <c r="A7448" s="17"/>
    </row>
    <row r="7449" spans="1:1" x14ac:dyDescent="0.55000000000000004">
      <c r="A7449" s="17"/>
    </row>
    <row r="7450" spans="1:1" x14ac:dyDescent="0.55000000000000004">
      <c r="A7450" s="17"/>
    </row>
    <row r="7451" spans="1:1" x14ac:dyDescent="0.55000000000000004">
      <c r="A7451" s="17"/>
    </row>
    <row r="7452" spans="1:1" x14ac:dyDescent="0.55000000000000004">
      <c r="A7452" s="17"/>
    </row>
    <row r="7453" spans="1:1" x14ac:dyDescent="0.55000000000000004">
      <c r="A7453" s="17"/>
    </row>
    <row r="7454" spans="1:1" x14ac:dyDescent="0.55000000000000004">
      <c r="A7454" s="17"/>
    </row>
    <row r="7455" spans="1:1" x14ac:dyDescent="0.55000000000000004">
      <c r="A7455" s="17"/>
    </row>
    <row r="7456" spans="1:1" x14ac:dyDescent="0.55000000000000004">
      <c r="A7456" s="17"/>
    </row>
    <row r="7457" spans="1:1" x14ac:dyDescent="0.55000000000000004">
      <c r="A7457" s="17"/>
    </row>
    <row r="7458" spans="1:1" x14ac:dyDescent="0.55000000000000004">
      <c r="A7458" s="17"/>
    </row>
    <row r="7459" spans="1:1" x14ac:dyDescent="0.55000000000000004">
      <c r="A7459" s="17"/>
    </row>
    <row r="7460" spans="1:1" x14ac:dyDescent="0.55000000000000004">
      <c r="A7460" s="17"/>
    </row>
    <row r="7461" spans="1:1" x14ac:dyDescent="0.55000000000000004">
      <c r="A7461" s="17"/>
    </row>
    <row r="7462" spans="1:1" x14ac:dyDescent="0.55000000000000004">
      <c r="A7462" s="17"/>
    </row>
    <row r="7463" spans="1:1" x14ac:dyDescent="0.55000000000000004">
      <c r="A7463" s="17"/>
    </row>
    <row r="7464" spans="1:1" x14ac:dyDescent="0.55000000000000004">
      <c r="A7464" s="17"/>
    </row>
    <row r="7465" spans="1:1" x14ac:dyDescent="0.55000000000000004">
      <c r="A7465" s="17"/>
    </row>
    <row r="7466" spans="1:1" x14ac:dyDescent="0.55000000000000004">
      <c r="A7466" s="17"/>
    </row>
    <row r="7467" spans="1:1" x14ac:dyDescent="0.55000000000000004">
      <c r="A7467" s="17"/>
    </row>
    <row r="7468" spans="1:1" x14ac:dyDescent="0.55000000000000004">
      <c r="A7468" s="17"/>
    </row>
    <row r="7469" spans="1:1" x14ac:dyDescent="0.55000000000000004">
      <c r="A7469" s="17"/>
    </row>
    <row r="7470" spans="1:1" x14ac:dyDescent="0.55000000000000004">
      <c r="A7470" s="17"/>
    </row>
    <row r="7471" spans="1:1" x14ac:dyDescent="0.55000000000000004">
      <c r="A7471" s="17"/>
    </row>
    <row r="7472" spans="1:1" x14ac:dyDescent="0.55000000000000004">
      <c r="A7472" s="17"/>
    </row>
    <row r="7473" spans="1:1" x14ac:dyDescent="0.55000000000000004">
      <c r="A7473" s="17"/>
    </row>
    <row r="7474" spans="1:1" x14ac:dyDescent="0.55000000000000004">
      <c r="A7474" s="17"/>
    </row>
    <row r="7475" spans="1:1" x14ac:dyDescent="0.55000000000000004">
      <c r="A7475" s="17"/>
    </row>
    <row r="7476" spans="1:1" x14ac:dyDescent="0.55000000000000004">
      <c r="A7476" s="17"/>
    </row>
    <row r="7477" spans="1:1" x14ac:dyDescent="0.55000000000000004">
      <c r="A7477" s="17"/>
    </row>
    <row r="7478" spans="1:1" x14ac:dyDescent="0.55000000000000004">
      <c r="A7478" s="17"/>
    </row>
    <row r="7479" spans="1:1" x14ac:dyDescent="0.55000000000000004">
      <c r="A7479" s="17"/>
    </row>
    <row r="7480" spans="1:1" x14ac:dyDescent="0.55000000000000004">
      <c r="A7480" s="17"/>
    </row>
    <row r="7481" spans="1:1" x14ac:dyDescent="0.55000000000000004">
      <c r="A7481" s="17"/>
    </row>
    <row r="7482" spans="1:1" x14ac:dyDescent="0.55000000000000004">
      <c r="A7482" s="17"/>
    </row>
    <row r="7483" spans="1:1" x14ac:dyDescent="0.55000000000000004">
      <c r="A7483" s="17"/>
    </row>
    <row r="7484" spans="1:1" x14ac:dyDescent="0.55000000000000004">
      <c r="A7484" s="17"/>
    </row>
    <row r="7485" spans="1:1" x14ac:dyDescent="0.55000000000000004">
      <c r="A7485" s="17"/>
    </row>
    <row r="7486" spans="1:1" x14ac:dyDescent="0.55000000000000004">
      <c r="A7486" s="17"/>
    </row>
    <row r="7487" spans="1:1" x14ac:dyDescent="0.55000000000000004">
      <c r="A7487" s="17"/>
    </row>
    <row r="7488" spans="1:1" x14ac:dyDescent="0.55000000000000004">
      <c r="A7488" s="17"/>
    </row>
    <row r="7489" spans="1:1" x14ac:dyDescent="0.55000000000000004">
      <c r="A7489" s="17"/>
    </row>
    <row r="7490" spans="1:1" x14ac:dyDescent="0.55000000000000004">
      <c r="A7490" s="17"/>
    </row>
    <row r="7491" spans="1:1" x14ac:dyDescent="0.55000000000000004">
      <c r="A7491" s="17"/>
    </row>
    <row r="7492" spans="1:1" x14ac:dyDescent="0.55000000000000004">
      <c r="A7492" s="17"/>
    </row>
    <row r="7493" spans="1:1" x14ac:dyDescent="0.55000000000000004">
      <c r="A7493" s="17"/>
    </row>
    <row r="7494" spans="1:1" x14ac:dyDescent="0.55000000000000004">
      <c r="A7494" s="17"/>
    </row>
    <row r="7495" spans="1:1" x14ac:dyDescent="0.55000000000000004">
      <c r="A7495" s="17"/>
    </row>
    <row r="7496" spans="1:1" x14ac:dyDescent="0.55000000000000004">
      <c r="A7496" s="17"/>
    </row>
    <row r="7497" spans="1:1" x14ac:dyDescent="0.55000000000000004">
      <c r="A7497" s="17"/>
    </row>
    <row r="7498" spans="1:1" x14ac:dyDescent="0.55000000000000004">
      <c r="A7498" s="17"/>
    </row>
    <row r="7499" spans="1:1" x14ac:dyDescent="0.55000000000000004">
      <c r="A7499" s="17"/>
    </row>
    <row r="7500" spans="1:1" x14ac:dyDescent="0.55000000000000004">
      <c r="A7500" s="17"/>
    </row>
    <row r="7501" spans="1:1" x14ac:dyDescent="0.55000000000000004">
      <c r="A7501" s="17"/>
    </row>
    <row r="7502" spans="1:1" x14ac:dyDescent="0.55000000000000004">
      <c r="A7502" s="17"/>
    </row>
    <row r="7503" spans="1:1" x14ac:dyDescent="0.55000000000000004">
      <c r="A7503" s="17"/>
    </row>
    <row r="7504" spans="1:1" x14ac:dyDescent="0.55000000000000004">
      <c r="A7504" s="17"/>
    </row>
    <row r="7505" spans="1:1" x14ac:dyDescent="0.55000000000000004">
      <c r="A7505" s="17"/>
    </row>
    <row r="7506" spans="1:1" x14ac:dyDescent="0.55000000000000004">
      <c r="A7506" s="17"/>
    </row>
    <row r="7507" spans="1:1" x14ac:dyDescent="0.55000000000000004">
      <c r="A7507" s="17"/>
    </row>
    <row r="7508" spans="1:1" x14ac:dyDescent="0.55000000000000004">
      <c r="A7508" s="17"/>
    </row>
    <row r="7509" spans="1:1" x14ac:dyDescent="0.55000000000000004">
      <c r="A7509" s="17"/>
    </row>
    <row r="7510" spans="1:1" x14ac:dyDescent="0.55000000000000004">
      <c r="A7510" s="17"/>
    </row>
    <row r="7511" spans="1:1" x14ac:dyDescent="0.55000000000000004">
      <c r="A7511" s="17"/>
    </row>
    <row r="7512" spans="1:1" x14ac:dyDescent="0.55000000000000004">
      <c r="A7512" s="17"/>
    </row>
    <row r="7513" spans="1:1" x14ac:dyDescent="0.55000000000000004">
      <c r="A7513" s="17"/>
    </row>
    <row r="7514" spans="1:1" x14ac:dyDescent="0.55000000000000004">
      <c r="A7514" s="17"/>
    </row>
    <row r="7515" spans="1:1" x14ac:dyDescent="0.55000000000000004">
      <c r="A7515" s="17"/>
    </row>
    <row r="7516" spans="1:1" x14ac:dyDescent="0.55000000000000004">
      <c r="A7516" s="17"/>
    </row>
    <row r="7517" spans="1:1" x14ac:dyDescent="0.55000000000000004">
      <c r="A7517" s="17"/>
    </row>
    <row r="7518" spans="1:1" x14ac:dyDescent="0.55000000000000004">
      <c r="A7518" s="17"/>
    </row>
    <row r="7519" spans="1:1" x14ac:dyDescent="0.55000000000000004">
      <c r="A7519" s="17"/>
    </row>
    <row r="7520" spans="1:1" x14ac:dyDescent="0.55000000000000004">
      <c r="A7520" s="17"/>
    </row>
    <row r="7521" spans="1:1" x14ac:dyDescent="0.55000000000000004">
      <c r="A7521" s="17"/>
    </row>
    <row r="7522" spans="1:1" x14ac:dyDescent="0.55000000000000004">
      <c r="A7522" s="17"/>
    </row>
    <row r="7523" spans="1:1" x14ac:dyDescent="0.55000000000000004">
      <c r="A7523" s="17"/>
    </row>
    <row r="7524" spans="1:1" x14ac:dyDescent="0.55000000000000004">
      <c r="A7524" s="17"/>
    </row>
    <row r="7525" spans="1:1" x14ac:dyDescent="0.55000000000000004">
      <c r="A7525" s="17"/>
    </row>
    <row r="7526" spans="1:1" x14ac:dyDescent="0.55000000000000004">
      <c r="A7526" s="17"/>
    </row>
    <row r="7527" spans="1:1" x14ac:dyDescent="0.55000000000000004">
      <c r="A7527" s="17"/>
    </row>
    <row r="7528" spans="1:1" x14ac:dyDescent="0.55000000000000004">
      <c r="A7528" s="17"/>
    </row>
    <row r="7529" spans="1:1" x14ac:dyDescent="0.55000000000000004">
      <c r="A7529" s="17"/>
    </row>
    <row r="7530" spans="1:1" x14ac:dyDescent="0.55000000000000004">
      <c r="A7530" s="17"/>
    </row>
    <row r="7531" spans="1:1" x14ac:dyDescent="0.55000000000000004">
      <c r="A7531" s="17"/>
    </row>
    <row r="7532" spans="1:1" x14ac:dyDescent="0.55000000000000004">
      <c r="A7532" s="17"/>
    </row>
    <row r="7533" spans="1:1" x14ac:dyDescent="0.55000000000000004">
      <c r="A7533" s="17"/>
    </row>
    <row r="7534" spans="1:1" x14ac:dyDescent="0.55000000000000004">
      <c r="A7534" s="17"/>
    </row>
    <row r="7535" spans="1:1" x14ac:dyDescent="0.55000000000000004">
      <c r="A7535" s="17"/>
    </row>
    <row r="7536" spans="1:1" x14ac:dyDescent="0.55000000000000004">
      <c r="A7536" s="17"/>
    </row>
    <row r="7537" spans="1:1" x14ac:dyDescent="0.55000000000000004">
      <c r="A7537" s="17"/>
    </row>
    <row r="7538" spans="1:1" x14ac:dyDescent="0.55000000000000004">
      <c r="A7538" s="17"/>
    </row>
    <row r="7539" spans="1:1" x14ac:dyDescent="0.55000000000000004">
      <c r="A7539" s="17"/>
    </row>
    <row r="7540" spans="1:1" x14ac:dyDescent="0.55000000000000004">
      <c r="A7540" s="17"/>
    </row>
    <row r="7541" spans="1:1" x14ac:dyDescent="0.55000000000000004">
      <c r="A7541" s="17"/>
    </row>
    <row r="7542" spans="1:1" x14ac:dyDescent="0.55000000000000004">
      <c r="A7542" s="17"/>
    </row>
    <row r="7543" spans="1:1" x14ac:dyDescent="0.55000000000000004">
      <c r="A7543" s="17"/>
    </row>
    <row r="7544" spans="1:1" x14ac:dyDescent="0.55000000000000004">
      <c r="A7544" s="17"/>
    </row>
    <row r="7545" spans="1:1" x14ac:dyDescent="0.55000000000000004">
      <c r="A7545" s="17"/>
    </row>
    <row r="7546" spans="1:1" x14ac:dyDescent="0.55000000000000004">
      <c r="A7546" s="17"/>
    </row>
    <row r="7547" spans="1:1" x14ac:dyDescent="0.55000000000000004">
      <c r="A7547" s="17"/>
    </row>
    <row r="7548" spans="1:1" x14ac:dyDescent="0.55000000000000004">
      <c r="A7548" s="17"/>
    </row>
    <row r="7549" spans="1:1" x14ac:dyDescent="0.55000000000000004">
      <c r="A7549" s="17"/>
    </row>
    <row r="7550" spans="1:1" x14ac:dyDescent="0.55000000000000004">
      <c r="A7550" s="17"/>
    </row>
    <row r="7551" spans="1:1" x14ac:dyDescent="0.55000000000000004">
      <c r="A7551" s="17"/>
    </row>
    <row r="7552" spans="1:1" x14ac:dyDescent="0.55000000000000004">
      <c r="A7552" s="17"/>
    </row>
    <row r="7553" spans="1:1" x14ac:dyDescent="0.55000000000000004">
      <c r="A7553" s="17"/>
    </row>
    <row r="7554" spans="1:1" x14ac:dyDescent="0.55000000000000004">
      <c r="A7554" s="17"/>
    </row>
    <row r="7555" spans="1:1" x14ac:dyDescent="0.55000000000000004">
      <c r="A7555" s="17"/>
    </row>
    <row r="7556" spans="1:1" x14ac:dyDescent="0.55000000000000004">
      <c r="A7556" s="17"/>
    </row>
    <row r="7557" spans="1:1" x14ac:dyDescent="0.55000000000000004">
      <c r="A7557" s="17"/>
    </row>
    <row r="7558" spans="1:1" x14ac:dyDescent="0.55000000000000004">
      <c r="A7558" s="17"/>
    </row>
    <row r="7559" spans="1:1" x14ac:dyDescent="0.55000000000000004">
      <c r="A7559" s="17"/>
    </row>
    <row r="7560" spans="1:1" x14ac:dyDescent="0.55000000000000004">
      <c r="A7560" s="17"/>
    </row>
    <row r="7561" spans="1:1" x14ac:dyDescent="0.55000000000000004">
      <c r="A7561" s="17"/>
    </row>
    <row r="7562" spans="1:1" x14ac:dyDescent="0.55000000000000004">
      <c r="A7562" s="17"/>
    </row>
    <row r="7563" spans="1:1" x14ac:dyDescent="0.55000000000000004">
      <c r="A7563" s="17"/>
    </row>
    <row r="7564" spans="1:1" x14ac:dyDescent="0.55000000000000004">
      <c r="A7564" s="17"/>
    </row>
    <row r="7565" spans="1:1" x14ac:dyDescent="0.55000000000000004">
      <c r="A7565" s="17"/>
    </row>
    <row r="7566" spans="1:1" x14ac:dyDescent="0.55000000000000004">
      <c r="A7566" s="17"/>
    </row>
    <row r="7567" spans="1:1" x14ac:dyDescent="0.55000000000000004">
      <c r="A7567" s="17"/>
    </row>
    <row r="7568" spans="1:1" x14ac:dyDescent="0.55000000000000004">
      <c r="A7568" s="17"/>
    </row>
    <row r="7569" spans="1:1" x14ac:dyDescent="0.55000000000000004">
      <c r="A7569" s="17"/>
    </row>
    <row r="7570" spans="1:1" x14ac:dyDescent="0.55000000000000004">
      <c r="A7570" s="17"/>
    </row>
    <row r="7571" spans="1:1" x14ac:dyDescent="0.55000000000000004">
      <c r="A7571" s="17"/>
    </row>
    <row r="7572" spans="1:1" x14ac:dyDescent="0.55000000000000004">
      <c r="A7572" s="17"/>
    </row>
    <row r="7573" spans="1:1" x14ac:dyDescent="0.55000000000000004">
      <c r="A7573" s="17"/>
    </row>
    <row r="7574" spans="1:1" x14ac:dyDescent="0.55000000000000004">
      <c r="A7574" s="17"/>
    </row>
    <row r="7575" spans="1:1" x14ac:dyDescent="0.55000000000000004">
      <c r="A7575" s="17"/>
    </row>
    <row r="7576" spans="1:1" x14ac:dyDescent="0.55000000000000004">
      <c r="A7576" s="17"/>
    </row>
    <row r="7577" spans="1:1" x14ac:dyDescent="0.55000000000000004">
      <c r="A7577" s="17"/>
    </row>
    <row r="7578" spans="1:1" x14ac:dyDescent="0.55000000000000004">
      <c r="A7578" s="17"/>
    </row>
    <row r="7579" spans="1:1" x14ac:dyDescent="0.55000000000000004">
      <c r="A7579" s="17"/>
    </row>
    <row r="7580" spans="1:1" x14ac:dyDescent="0.55000000000000004">
      <c r="A7580" s="17"/>
    </row>
    <row r="7581" spans="1:1" x14ac:dyDescent="0.55000000000000004">
      <c r="A7581" s="17"/>
    </row>
    <row r="7582" spans="1:1" x14ac:dyDescent="0.55000000000000004">
      <c r="A7582" s="17"/>
    </row>
    <row r="7583" spans="1:1" x14ac:dyDescent="0.55000000000000004">
      <c r="A7583" s="17"/>
    </row>
    <row r="7584" spans="1:1" x14ac:dyDescent="0.55000000000000004">
      <c r="A7584" s="17"/>
    </row>
    <row r="7585" spans="1:1" x14ac:dyDescent="0.55000000000000004">
      <c r="A7585" s="17"/>
    </row>
    <row r="7586" spans="1:1" x14ac:dyDescent="0.55000000000000004">
      <c r="A7586" s="17"/>
    </row>
    <row r="7587" spans="1:1" x14ac:dyDescent="0.55000000000000004">
      <c r="A7587" s="17"/>
    </row>
    <row r="7588" spans="1:1" x14ac:dyDescent="0.55000000000000004">
      <c r="A7588" s="17"/>
    </row>
    <row r="7589" spans="1:1" x14ac:dyDescent="0.55000000000000004">
      <c r="A7589" s="17"/>
    </row>
    <row r="7590" spans="1:1" x14ac:dyDescent="0.55000000000000004">
      <c r="A7590" s="17"/>
    </row>
    <row r="7591" spans="1:1" x14ac:dyDescent="0.55000000000000004">
      <c r="A7591" s="17"/>
    </row>
    <row r="7592" spans="1:1" x14ac:dyDescent="0.55000000000000004">
      <c r="A7592" s="17"/>
    </row>
    <row r="7593" spans="1:1" x14ac:dyDescent="0.55000000000000004">
      <c r="A7593" s="17"/>
    </row>
    <row r="7594" spans="1:1" x14ac:dyDescent="0.55000000000000004">
      <c r="A7594" s="17"/>
    </row>
    <row r="7595" spans="1:1" x14ac:dyDescent="0.55000000000000004">
      <c r="A7595" s="17"/>
    </row>
    <row r="7596" spans="1:1" x14ac:dyDescent="0.55000000000000004">
      <c r="A7596" s="17"/>
    </row>
    <row r="7597" spans="1:1" x14ac:dyDescent="0.55000000000000004">
      <c r="A7597" s="17"/>
    </row>
    <row r="7598" spans="1:1" x14ac:dyDescent="0.55000000000000004">
      <c r="A7598" s="17"/>
    </row>
    <row r="7599" spans="1:1" x14ac:dyDescent="0.55000000000000004">
      <c r="A7599" s="17"/>
    </row>
    <row r="7600" spans="1:1" x14ac:dyDescent="0.55000000000000004">
      <c r="A7600" s="17"/>
    </row>
    <row r="7601" spans="1:1" x14ac:dyDescent="0.55000000000000004">
      <c r="A7601" s="17"/>
    </row>
    <row r="7602" spans="1:1" x14ac:dyDescent="0.55000000000000004">
      <c r="A7602" s="17"/>
    </row>
    <row r="7603" spans="1:1" x14ac:dyDescent="0.55000000000000004">
      <c r="A7603" s="17"/>
    </row>
    <row r="7604" spans="1:1" x14ac:dyDescent="0.55000000000000004">
      <c r="A7604" s="17"/>
    </row>
    <row r="7605" spans="1:1" x14ac:dyDescent="0.55000000000000004">
      <c r="A7605" s="17"/>
    </row>
    <row r="7606" spans="1:1" x14ac:dyDescent="0.55000000000000004">
      <c r="A7606" s="17"/>
    </row>
    <row r="7607" spans="1:1" x14ac:dyDescent="0.55000000000000004">
      <c r="A7607" s="17"/>
    </row>
    <row r="7608" spans="1:1" x14ac:dyDescent="0.55000000000000004">
      <c r="A7608" s="17"/>
    </row>
    <row r="7609" spans="1:1" x14ac:dyDescent="0.55000000000000004">
      <c r="A7609" s="17"/>
    </row>
    <row r="7610" spans="1:1" x14ac:dyDescent="0.55000000000000004">
      <c r="A7610" s="17"/>
    </row>
    <row r="7611" spans="1:1" x14ac:dyDescent="0.55000000000000004">
      <c r="A7611" s="17"/>
    </row>
    <row r="7612" spans="1:1" x14ac:dyDescent="0.55000000000000004">
      <c r="A7612" s="17"/>
    </row>
    <row r="7613" spans="1:1" x14ac:dyDescent="0.55000000000000004">
      <c r="A7613" s="17"/>
    </row>
    <row r="7614" spans="1:1" x14ac:dyDescent="0.55000000000000004">
      <c r="A7614" s="17"/>
    </row>
    <row r="7615" spans="1:1" x14ac:dyDescent="0.55000000000000004">
      <c r="A7615" s="17"/>
    </row>
    <row r="7616" spans="1:1" x14ac:dyDescent="0.55000000000000004">
      <c r="A7616" s="17"/>
    </row>
    <row r="7617" spans="1:1" x14ac:dyDescent="0.55000000000000004">
      <c r="A7617" s="17"/>
    </row>
    <row r="7618" spans="1:1" x14ac:dyDescent="0.55000000000000004">
      <c r="A7618" s="17"/>
    </row>
    <row r="7619" spans="1:1" x14ac:dyDescent="0.55000000000000004">
      <c r="A7619" s="17"/>
    </row>
    <row r="7620" spans="1:1" x14ac:dyDescent="0.55000000000000004">
      <c r="A7620" s="17"/>
    </row>
    <row r="7621" spans="1:1" x14ac:dyDescent="0.55000000000000004">
      <c r="A7621" s="17"/>
    </row>
    <row r="7622" spans="1:1" x14ac:dyDescent="0.55000000000000004">
      <c r="A7622" s="17"/>
    </row>
    <row r="7623" spans="1:1" x14ac:dyDescent="0.55000000000000004">
      <c r="A7623" s="17"/>
    </row>
    <row r="7624" spans="1:1" x14ac:dyDescent="0.55000000000000004">
      <c r="A7624" s="17"/>
    </row>
    <row r="7625" spans="1:1" x14ac:dyDescent="0.55000000000000004">
      <c r="A7625" s="17"/>
    </row>
    <row r="7626" spans="1:1" x14ac:dyDescent="0.55000000000000004">
      <c r="A7626" s="17"/>
    </row>
    <row r="7627" spans="1:1" x14ac:dyDescent="0.55000000000000004">
      <c r="A7627" s="17"/>
    </row>
    <row r="7628" spans="1:1" x14ac:dyDescent="0.55000000000000004">
      <c r="A7628" s="17"/>
    </row>
    <row r="7629" spans="1:1" x14ac:dyDescent="0.55000000000000004">
      <c r="A7629" s="17"/>
    </row>
    <row r="7630" spans="1:1" x14ac:dyDescent="0.55000000000000004">
      <c r="A7630" s="17"/>
    </row>
    <row r="7631" spans="1:1" x14ac:dyDescent="0.55000000000000004">
      <c r="A7631" s="17"/>
    </row>
    <row r="7632" spans="1:1" x14ac:dyDescent="0.55000000000000004">
      <c r="A7632" s="17"/>
    </row>
    <row r="7633" spans="1:1" x14ac:dyDescent="0.55000000000000004">
      <c r="A7633" s="17"/>
    </row>
    <row r="7634" spans="1:1" x14ac:dyDescent="0.55000000000000004">
      <c r="A7634" s="17"/>
    </row>
    <row r="7635" spans="1:1" x14ac:dyDescent="0.55000000000000004">
      <c r="A7635" s="17"/>
    </row>
    <row r="7636" spans="1:1" x14ac:dyDescent="0.55000000000000004">
      <c r="A7636" s="17"/>
    </row>
    <row r="7637" spans="1:1" x14ac:dyDescent="0.55000000000000004">
      <c r="A7637" s="17"/>
    </row>
    <row r="7638" spans="1:1" x14ac:dyDescent="0.55000000000000004">
      <c r="A7638" s="17"/>
    </row>
    <row r="7639" spans="1:1" x14ac:dyDescent="0.55000000000000004">
      <c r="A7639" s="17"/>
    </row>
    <row r="7640" spans="1:1" x14ac:dyDescent="0.55000000000000004">
      <c r="A7640" s="17"/>
    </row>
    <row r="7641" spans="1:1" x14ac:dyDescent="0.55000000000000004">
      <c r="A7641" s="17"/>
    </row>
    <row r="7642" spans="1:1" x14ac:dyDescent="0.55000000000000004">
      <c r="A7642" s="17"/>
    </row>
    <row r="7643" spans="1:1" x14ac:dyDescent="0.55000000000000004">
      <c r="A7643" s="17"/>
    </row>
    <row r="7644" spans="1:1" x14ac:dyDescent="0.55000000000000004">
      <c r="A7644" s="17"/>
    </row>
    <row r="7645" spans="1:1" x14ac:dyDescent="0.55000000000000004">
      <c r="A7645" s="17"/>
    </row>
    <row r="7646" spans="1:1" x14ac:dyDescent="0.55000000000000004">
      <c r="A7646" s="17"/>
    </row>
    <row r="7647" spans="1:1" x14ac:dyDescent="0.55000000000000004">
      <c r="A7647" s="17"/>
    </row>
    <row r="7648" spans="1:1" x14ac:dyDescent="0.55000000000000004">
      <c r="A7648" s="17"/>
    </row>
    <row r="7649" spans="1:1" x14ac:dyDescent="0.55000000000000004">
      <c r="A7649" s="17"/>
    </row>
    <row r="7650" spans="1:1" x14ac:dyDescent="0.55000000000000004">
      <c r="A7650" s="17"/>
    </row>
    <row r="7651" spans="1:1" x14ac:dyDescent="0.55000000000000004">
      <c r="A7651" s="17"/>
    </row>
    <row r="7652" spans="1:1" x14ac:dyDescent="0.55000000000000004">
      <c r="A7652" s="17"/>
    </row>
    <row r="7653" spans="1:1" x14ac:dyDescent="0.55000000000000004">
      <c r="A7653" s="17"/>
    </row>
    <row r="7654" spans="1:1" x14ac:dyDescent="0.55000000000000004">
      <c r="A7654" s="17"/>
    </row>
    <row r="7655" spans="1:1" x14ac:dyDescent="0.55000000000000004">
      <c r="A7655" s="17"/>
    </row>
    <row r="7656" spans="1:1" x14ac:dyDescent="0.55000000000000004">
      <c r="A7656" s="17"/>
    </row>
    <row r="7657" spans="1:1" x14ac:dyDescent="0.55000000000000004">
      <c r="A7657" s="17"/>
    </row>
    <row r="7658" spans="1:1" x14ac:dyDescent="0.55000000000000004">
      <c r="A7658" s="17"/>
    </row>
    <row r="7659" spans="1:1" x14ac:dyDescent="0.55000000000000004">
      <c r="A7659" s="17"/>
    </row>
    <row r="7660" spans="1:1" x14ac:dyDescent="0.55000000000000004">
      <c r="A7660" s="17"/>
    </row>
    <row r="7661" spans="1:1" x14ac:dyDescent="0.55000000000000004">
      <c r="A7661" s="17"/>
    </row>
    <row r="7662" spans="1:1" x14ac:dyDescent="0.55000000000000004">
      <c r="A7662" s="17"/>
    </row>
    <row r="7663" spans="1:1" x14ac:dyDescent="0.55000000000000004">
      <c r="A7663" s="17"/>
    </row>
    <row r="7664" spans="1:1" x14ac:dyDescent="0.55000000000000004">
      <c r="A7664" s="17"/>
    </row>
    <row r="7665" spans="1:1" x14ac:dyDescent="0.55000000000000004">
      <c r="A7665" s="17"/>
    </row>
    <row r="7666" spans="1:1" x14ac:dyDescent="0.55000000000000004">
      <c r="A7666" s="17"/>
    </row>
    <row r="7667" spans="1:1" x14ac:dyDescent="0.55000000000000004">
      <c r="A7667" s="17"/>
    </row>
    <row r="7668" spans="1:1" x14ac:dyDescent="0.55000000000000004">
      <c r="A7668" s="17"/>
    </row>
    <row r="7669" spans="1:1" x14ac:dyDescent="0.55000000000000004">
      <c r="A7669" s="17"/>
    </row>
    <row r="7670" spans="1:1" x14ac:dyDescent="0.55000000000000004">
      <c r="A7670" s="17"/>
    </row>
    <row r="7671" spans="1:1" x14ac:dyDescent="0.55000000000000004">
      <c r="A7671" s="17"/>
    </row>
    <row r="7672" spans="1:1" x14ac:dyDescent="0.55000000000000004">
      <c r="A7672" s="17"/>
    </row>
    <row r="7673" spans="1:1" x14ac:dyDescent="0.55000000000000004">
      <c r="A7673" s="17"/>
    </row>
    <row r="7674" spans="1:1" x14ac:dyDescent="0.55000000000000004">
      <c r="A7674" s="17"/>
    </row>
    <row r="7675" spans="1:1" x14ac:dyDescent="0.55000000000000004">
      <c r="A7675" s="17"/>
    </row>
    <row r="7676" spans="1:1" x14ac:dyDescent="0.55000000000000004">
      <c r="A7676" s="17"/>
    </row>
    <row r="7677" spans="1:1" x14ac:dyDescent="0.55000000000000004">
      <c r="A7677" s="17"/>
    </row>
    <row r="7678" spans="1:1" x14ac:dyDescent="0.55000000000000004">
      <c r="A7678" s="17"/>
    </row>
    <row r="7679" spans="1:1" x14ac:dyDescent="0.55000000000000004">
      <c r="A7679" s="17"/>
    </row>
    <row r="7680" spans="1:1" x14ac:dyDescent="0.55000000000000004">
      <c r="A7680" s="17"/>
    </row>
    <row r="7681" spans="1:1" x14ac:dyDescent="0.55000000000000004">
      <c r="A7681" s="17"/>
    </row>
    <row r="7682" spans="1:1" x14ac:dyDescent="0.55000000000000004">
      <c r="A7682" s="17"/>
    </row>
    <row r="7683" spans="1:1" x14ac:dyDescent="0.55000000000000004">
      <c r="A7683" s="17"/>
    </row>
    <row r="7684" spans="1:1" x14ac:dyDescent="0.55000000000000004">
      <c r="A7684" s="17"/>
    </row>
    <row r="7685" spans="1:1" x14ac:dyDescent="0.55000000000000004">
      <c r="A7685" s="17"/>
    </row>
    <row r="7686" spans="1:1" x14ac:dyDescent="0.55000000000000004">
      <c r="A7686" s="17"/>
    </row>
    <row r="7687" spans="1:1" x14ac:dyDescent="0.55000000000000004">
      <c r="A7687" s="17"/>
    </row>
    <row r="7688" spans="1:1" x14ac:dyDescent="0.55000000000000004">
      <c r="A7688" s="17"/>
    </row>
    <row r="7689" spans="1:1" x14ac:dyDescent="0.55000000000000004">
      <c r="A7689" s="17"/>
    </row>
    <row r="7690" spans="1:1" x14ac:dyDescent="0.55000000000000004">
      <c r="A7690" s="17"/>
    </row>
    <row r="7691" spans="1:1" x14ac:dyDescent="0.55000000000000004">
      <c r="A7691" s="17"/>
    </row>
    <row r="7692" spans="1:1" x14ac:dyDescent="0.55000000000000004">
      <c r="A7692" s="17"/>
    </row>
    <row r="7693" spans="1:1" x14ac:dyDescent="0.55000000000000004">
      <c r="A7693" s="17"/>
    </row>
    <row r="7694" spans="1:1" x14ac:dyDescent="0.55000000000000004">
      <c r="A7694" s="17"/>
    </row>
    <row r="7695" spans="1:1" x14ac:dyDescent="0.55000000000000004">
      <c r="A7695" s="17"/>
    </row>
    <row r="7696" spans="1:1" x14ac:dyDescent="0.55000000000000004">
      <c r="A7696" s="17"/>
    </row>
    <row r="7697" spans="1:1" x14ac:dyDescent="0.55000000000000004">
      <c r="A7697" s="17"/>
    </row>
    <row r="7698" spans="1:1" x14ac:dyDescent="0.55000000000000004">
      <c r="A7698" s="17"/>
    </row>
    <row r="7699" spans="1:1" x14ac:dyDescent="0.55000000000000004">
      <c r="A7699" s="17"/>
    </row>
    <row r="7700" spans="1:1" x14ac:dyDescent="0.55000000000000004">
      <c r="A7700" s="17"/>
    </row>
    <row r="7701" spans="1:1" x14ac:dyDescent="0.55000000000000004">
      <c r="A7701" s="17"/>
    </row>
    <row r="7702" spans="1:1" x14ac:dyDescent="0.55000000000000004">
      <c r="A7702" s="17"/>
    </row>
    <row r="7703" spans="1:1" x14ac:dyDescent="0.55000000000000004">
      <c r="A7703" s="17"/>
    </row>
    <row r="7704" spans="1:1" x14ac:dyDescent="0.55000000000000004">
      <c r="A7704" s="17"/>
    </row>
    <row r="7705" spans="1:1" x14ac:dyDescent="0.55000000000000004">
      <c r="A7705" s="17"/>
    </row>
    <row r="7706" spans="1:1" x14ac:dyDescent="0.55000000000000004">
      <c r="A7706" s="17"/>
    </row>
    <row r="7707" spans="1:1" x14ac:dyDescent="0.55000000000000004">
      <c r="A7707" s="17"/>
    </row>
    <row r="7708" spans="1:1" x14ac:dyDescent="0.55000000000000004">
      <c r="A7708" s="17"/>
    </row>
    <row r="7709" spans="1:1" x14ac:dyDescent="0.55000000000000004">
      <c r="A7709" s="17"/>
    </row>
    <row r="7710" spans="1:1" x14ac:dyDescent="0.55000000000000004">
      <c r="A7710" s="17"/>
    </row>
    <row r="7711" spans="1:1" x14ac:dyDescent="0.55000000000000004">
      <c r="A7711" s="17"/>
    </row>
    <row r="7712" spans="1:1" x14ac:dyDescent="0.55000000000000004">
      <c r="A7712" s="17"/>
    </row>
    <row r="7713" spans="1:1" x14ac:dyDescent="0.55000000000000004">
      <c r="A7713" s="17"/>
    </row>
    <row r="7714" spans="1:1" x14ac:dyDescent="0.55000000000000004">
      <c r="A7714" s="17"/>
    </row>
    <row r="7715" spans="1:1" x14ac:dyDescent="0.55000000000000004">
      <c r="A7715" s="17"/>
    </row>
    <row r="7716" spans="1:1" x14ac:dyDescent="0.55000000000000004">
      <c r="A7716" s="17"/>
    </row>
    <row r="7717" spans="1:1" x14ac:dyDescent="0.55000000000000004">
      <c r="A7717" s="17"/>
    </row>
    <row r="7718" spans="1:1" x14ac:dyDescent="0.55000000000000004">
      <c r="A7718" s="17"/>
    </row>
    <row r="7719" spans="1:1" x14ac:dyDescent="0.55000000000000004">
      <c r="A7719" s="17"/>
    </row>
    <row r="7720" spans="1:1" x14ac:dyDescent="0.55000000000000004">
      <c r="A7720" s="17"/>
    </row>
    <row r="7721" spans="1:1" x14ac:dyDescent="0.55000000000000004">
      <c r="A7721" s="17"/>
    </row>
    <row r="7722" spans="1:1" x14ac:dyDescent="0.55000000000000004">
      <c r="A7722" s="17"/>
    </row>
    <row r="7723" spans="1:1" x14ac:dyDescent="0.55000000000000004">
      <c r="A7723" s="17"/>
    </row>
    <row r="7724" spans="1:1" x14ac:dyDescent="0.55000000000000004">
      <c r="A7724" s="17"/>
    </row>
    <row r="7725" spans="1:1" x14ac:dyDescent="0.55000000000000004">
      <c r="A7725" s="17"/>
    </row>
    <row r="7726" spans="1:1" x14ac:dyDescent="0.55000000000000004">
      <c r="A7726" s="17"/>
    </row>
    <row r="7727" spans="1:1" x14ac:dyDescent="0.55000000000000004">
      <c r="A7727" s="17"/>
    </row>
    <row r="7728" spans="1:1" x14ac:dyDescent="0.55000000000000004">
      <c r="A7728" s="17"/>
    </row>
    <row r="7729" spans="1:1" x14ac:dyDescent="0.55000000000000004">
      <c r="A7729" s="17"/>
    </row>
    <row r="7730" spans="1:1" x14ac:dyDescent="0.55000000000000004">
      <c r="A7730" s="17"/>
    </row>
    <row r="7731" spans="1:1" x14ac:dyDescent="0.55000000000000004">
      <c r="A7731" s="17"/>
    </row>
    <row r="7732" spans="1:1" x14ac:dyDescent="0.55000000000000004">
      <c r="A7732" s="17"/>
    </row>
    <row r="7733" spans="1:1" x14ac:dyDescent="0.55000000000000004">
      <c r="A7733" s="17"/>
    </row>
    <row r="7734" spans="1:1" x14ac:dyDescent="0.55000000000000004">
      <c r="A7734" s="17"/>
    </row>
    <row r="7735" spans="1:1" x14ac:dyDescent="0.55000000000000004">
      <c r="A7735" s="17"/>
    </row>
    <row r="7736" spans="1:1" x14ac:dyDescent="0.55000000000000004">
      <c r="A7736" s="17"/>
    </row>
    <row r="7737" spans="1:1" x14ac:dyDescent="0.55000000000000004">
      <c r="A7737" s="17"/>
    </row>
    <row r="7738" spans="1:1" x14ac:dyDescent="0.55000000000000004">
      <c r="A7738" s="17"/>
    </row>
    <row r="7739" spans="1:1" x14ac:dyDescent="0.55000000000000004">
      <c r="A7739" s="17"/>
    </row>
    <row r="7740" spans="1:1" x14ac:dyDescent="0.55000000000000004">
      <c r="A7740" s="17"/>
    </row>
    <row r="7741" spans="1:1" x14ac:dyDescent="0.55000000000000004">
      <c r="A7741" s="17"/>
    </row>
    <row r="7742" spans="1:1" x14ac:dyDescent="0.55000000000000004">
      <c r="A7742" s="17"/>
    </row>
    <row r="7743" spans="1:1" x14ac:dyDescent="0.55000000000000004">
      <c r="A7743" s="17"/>
    </row>
    <row r="7744" spans="1:1" x14ac:dyDescent="0.55000000000000004">
      <c r="A7744" s="17"/>
    </row>
    <row r="7745" spans="1:1" x14ac:dyDescent="0.55000000000000004">
      <c r="A7745" s="17"/>
    </row>
    <row r="7746" spans="1:1" x14ac:dyDescent="0.55000000000000004">
      <c r="A7746" s="17"/>
    </row>
    <row r="7747" spans="1:1" x14ac:dyDescent="0.55000000000000004">
      <c r="A7747" s="17"/>
    </row>
    <row r="7748" spans="1:1" x14ac:dyDescent="0.55000000000000004">
      <c r="A7748" s="17"/>
    </row>
    <row r="7749" spans="1:1" x14ac:dyDescent="0.55000000000000004">
      <c r="A7749" s="17"/>
    </row>
    <row r="7750" spans="1:1" x14ac:dyDescent="0.55000000000000004">
      <c r="A7750" s="17"/>
    </row>
    <row r="7751" spans="1:1" x14ac:dyDescent="0.55000000000000004">
      <c r="A7751" s="17"/>
    </row>
    <row r="7752" spans="1:1" x14ac:dyDescent="0.55000000000000004">
      <c r="A7752" s="17"/>
    </row>
    <row r="7753" spans="1:1" x14ac:dyDescent="0.55000000000000004">
      <c r="A7753" s="17"/>
    </row>
    <row r="7754" spans="1:1" x14ac:dyDescent="0.55000000000000004">
      <c r="A7754" s="17"/>
    </row>
    <row r="7755" spans="1:1" x14ac:dyDescent="0.55000000000000004">
      <c r="A7755" s="17"/>
    </row>
    <row r="7756" spans="1:1" x14ac:dyDescent="0.55000000000000004">
      <c r="A7756" s="17"/>
    </row>
    <row r="7757" spans="1:1" x14ac:dyDescent="0.55000000000000004">
      <c r="A7757" s="17"/>
    </row>
    <row r="7758" spans="1:1" x14ac:dyDescent="0.55000000000000004">
      <c r="A7758" s="17"/>
    </row>
    <row r="7759" spans="1:1" x14ac:dyDescent="0.55000000000000004">
      <c r="A7759" s="17"/>
    </row>
    <row r="7760" spans="1:1" x14ac:dyDescent="0.55000000000000004">
      <c r="A7760" s="17"/>
    </row>
    <row r="7761" spans="1:1" x14ac:dyDescent="0.55000000000000004">
      <c r="A7761" s="17"/>
    </row>
    <row r="7762" spans="1:1" x14ac:dyDescent="0.55000000000000004">
      <c r="A7762" s="17"/>
    </row>
    <row r="7763" spans="1:1" x14ac:dyDescent="0.55000000000000004">
      <c r="A7763" s="17"/>
    </row>
    <row r="7764" spans="1:1" x14ac:dyDescent="0.55000000000000004">
      <c r="A7764" s="17"/>
    </row>
    <row r="7765" spans="1:1" x14ac:dyDescent="0.55000000000000004">
      <c r="A7765" s="17"/>
    </row>
    <row r="7766" spans="1:1" x14ac:dyDescent="0.55000000000000004">
      <c r="A7766" s="17"/>
    </row>
    <row r="7767" spans="1:1" x14ac:dyDescent="0.55000000000000004">
      <c r="A7767" s="17"/>
    </row>
    <row r="7768" spans="1:1" x14ac:dyDescent="0.55000000000000004">
      <c r="A7768" s="17"/>
    </row>
    <row r="7769" spans="1:1" x14ac:dyDescent="0.55000000000000004">
      <c r="A7769" s="17"/>
    </row>
    <row r="7770" spans="1:1" x14ac:dyDescent="0.55000000000000004">
      <c r="A7770" s="17"/>
    </row>
    <row r="7771" spans="1:1" x14ac:dyDescent="0.55000000000000004">
      <c r="A7771" s="17"/>
    </row>
    <row r="7772" spans="1:1" x14ac:dyDescent="0.55000000000000004">
      <c r="A7772" s="17"/>
    </row>
    <row r="7773" spans="1:1" x14ac:dyDescent="0.55000000000000004">
      <c r="A7773" s="17"/>
    </row>
    <row r="7774" spans="1:1" x14ac:dyDescent="0.55000000000000004">
      <c r="A7774" s="17"/>
    </row>
    <row r="7775" spans="1:1" x14ac:dyDescent="0.55000000000000004">
      <c r="A7775" s="17"/>
    </row>
    <row r="7776" spans="1:1" x14ac:dyDescent="0.55000000000000004">
      <c r="A7776" s="17"/>
    </row>
    <row r="7777" spans="1:1" x14ac:dyDescent="0.55000000000000004">
      <c r="A7777" s="17"/>
    </row>
    <row r="7778" spans="1:1" x14ac:dyDescent="0.55000000000000004">
      <c r="A7778" s="17"/>
    </row>
    <row r="7779" spans="1:1" x14ac:dyDescent="0.55000000000000004">
      <c r="A7779" s="17"/>
    </row>
    <row r="7780" spans="1:1" x14ac:dyDescent="0.55000000000000004">
      <c r="A7780" s="17"/>
    </row>
    <row r="7781" spans="1:1" x14ac:dyDescent="0.55000000000000004">
      <c r="A7781" s="17"/>
    </row>
    <row r="7782" spans="1:1" x14ac:dyDescent="0.55000000000000004">
      <c r="A7782" s="17"/>
    </row>
    <row r="7783" spans="1:1" x14ac:dyDescent="0.55000000000000004">
      <c r="A7783" s="17"/>
    </row>
    <row r="7784" spans="1:1" x14ac:dyDescent="0.55000000000000004">
      <c r="A7784" s="17"/>
    </row>
    <row r="7785" spans="1:1" x14ac:dyDescent="0.55000000000000004">
      <c r="A7785" s="17"/>
    </row>
    <row r="7786" spans="1:1" x14ac:dyDescent="0.55000000000000004">
      <c r="A7786" s="17"/>
    </row>
    <row r="7787" spans="1:1" x14ac:dyDescent="0.55000000000000004">
      <c r="A7787" s="17"/>
    </row>
    <row r="7788" spans="1:1" x14ac:dyDescent="0.55000000000000004">
      <c r="A7788" s="17"/>
    </row>
    <row r="7789" spans="1:1" x14ac:dyDescent="0.55000000000000004">
      <c r="A7789" s="17"/>
    </row>
    <row r="7790" spans="1:1" x14ac:dyDescent="0.55000000000000004">
      <c r="A7790" s="17"/>
    </row>
    <row r="7791" spans="1:1" x14ac:dyDescent="0.55000000000000004">
      <c r="A7791" s="17"/>
    </row>
    <row r="7792" spans="1:1" x14ac:dyDescent="0.55000000000000004">
      <c r="A7792" s="17"/>
    </row>
    <row r="7793" spans="1:1" x14ac:dyDescent="0.55000000000000004">
      <c r="A7793" s="17"/>
    </row>
    <row r="7794" spans="1:1" x14ac:dyDescent="0.55000000000000004">
      <c r="A7794" s="17"/>
    </row>
    <row r="7795" spans="1:1" x14ac:dyDescent="0.55000000000000004">
      <c r="A7795" s="17"/>
    </row>
    <row r="7796" spans="1:1" x14ac:dyDescent="0.55000000000000004">
      <c r="A7796" s="17"/>
    </row>
    <row r="7797" spans="1:1" x14ac:dyDescent="0.55000000000000004">
      <c r="A7797" s="17"/>
    </row>
    <row r="7798" spans="1:1" x14ac:dyDescent="0.55000000000000004">
      <c r="A7798" s="17"/>
    </row>
    <row r="7799" spans="1:1" x14ac:dyDescent="0.55000000000000004">
      <c r="A7799" s="17"/>
    </row>
    <row r="7800" spans="1:1" x14ac:dyDescent="0.55000000000000004">
      <c r="A7800" s="17"/>
    </row>
    <row r="7801" spans="1:1" x14ac:dyDescent="0.55000000000000004">
      <c r="A7801" s="17"/>
    </row>
    <row r="7802" spans="1:1" x14ac:dyDescent="0.55000000000000004">
      <c r="A7802" s="17"/>
    </row>
    <row r="7803" spans="1:1" x14ac:dyDescent="0.55000000000000004">
      <c r="A7803" s="17"/>
    </row>
    <row r="7804" spans="1:1" x14ac:dyDescent="0.55000000000000004">
      <c r="A7804" s="17"/>
    </row>
    <row r="7805" spans="1:1" x14ac:dyDescent="0.55000000000000004">
      <c r="A7805" s="17"/>
    </row>
    <row r="7806" spans="1:1" x14ac:dyDescent="0.55000000000000004">
      <c r="A7806" s="17"/>
    </row>
    <row r="7807" spans="1:1" x14ac:dyDescent="0.55000000000000004">
      <c r="A7807" s="17"/>
    </row>
    <row r="7808" spans="1:1" x14ac:dyDescent="0.55000000000000004">
      <c r="A7808" s="17"/>
    </row>
    <row r="7809" spans="1:1" x14ac:dyDescent="0.55000000000000004">
      <c r="A7809" s="17"/>
    </row>
    <row r="7810" spans="1:1" x14ac:dyDescent="0.55000000000000004">
      <c r="A7810" s="17"/>
    </row>
    <row r="7811" spans="1:1" x14ac:dyDescent="0.55000000000000004">
      <c r="A7811" s="17"/>
    </row>
    <row r="7812" spans="1:1" x14ac:dyDescent="0.55000000000000004">
      <c r="A7812" s="17"/>
    </row>
    <row r="7813" spans="1:1" x14ac:dyDescent="0.55000000000000004">
      <c r="A7813" s="17"/>
    </row>
    <row r="7814" spans="1:1" x14ac:dyDescent="0.55000000000000004">
      <c r="A7814" s="17"/>
    </row>
    <row r="7815" spans="1:1" x14ac:dyDescent="0.55000000000000004">
      <c r="A7815" s="17"/>
    </row>
    <row r="7816" spans="1:1" x14ac:dyDescent="0.55000000000000004">
      <c r="A7816" s="17"/>
    </row>
    <row r="7817" spans="1:1" x14ac:dyDescent="0.55000000000000004">
      <c r="A7817" s="17"/>
    </row>
    <row r="7818" spans="1:1" x14ac:dyDescent="0.55000000000000004">
      <c r="A7818" s="17"/>
    </row>
    <row r="7819" spans="1:1" x14ac:dyDescent="0.55000000000000004">
      <c r="A7819" s="17"/>
    </row>
    <row r="7820" spans="1:1" x14ac:dyDescent="0.55000000000000004">
      <c r="A7820" s="17"/>
    </row>
    <row r="7821" spans="1:1" x14ac:dyDescent="0.55000000000000004">
      <c r="A7821" s="17"/>
    </row>
    <row r="7822" spans="1:1" x14ac:dyDescent="0.55000000000000004">
      <c r="A7822" s="17"/>
    </row>
    <row r="7823" spans="1:1" x14ac:dyDescent="0.55000000000000004">
      <c r="A7823" s="17"/>
    </row>
    <row r="7824" spans="1:1" x14ac:dyDescent="0.55000000000000004">
      <c r="A7824" s="17"/>
    </row>
    <row r="7825" spans="1:1" x14ac:dyDescent="0.55000000000000004">
      <c r="A7825" s="17"/>
    </row>
    <row r="7826" spans="1:1" x14ac:dyDescent="0.55000000000000004">
      <c r="A7826" s="17"/>
    </row>
    <row r="7827" spans="1:1" x14ac:dyDescent="0.55000000000000004">
      <c r="A7827" s="17"/>
    </row>
    <row r="7828" spans="1:1" x14ac:dyDescent="0.55000000000000004">
      <c r="A7828" s="17"/>
    </row>
    <row r="7829" spans="1:1" x14ac:dyDescent="0.55000000000000004">
      <c r="A7829" s="17"/>
    </row>
    <row r="7830" spans="1:1" x14ac:dyDescent="0.55000000000000004">
      <c r="A7830" s="17"/>
    </row>
    <row r="7831" spans="1:1" x14ac:dyDescent="0.55000000000000004">
      <c r="A7831" s="17"/>
    </row>
    <row r="7832" spans="1:1" x14ac:dyDescent="0.55000000000000004">
      <c r="A7832" s="17"/>
    </row>
    <row r="7833" spans="1:1" x14ac:dyDescent="0.55000000000000004">
      <c r="A7833" s="17"/>
    </row>
    <row r="7834" spans="1:1" x14ac:dyDescent="0.55000000000000004">
      <c r="A7834" s="17"/>
    </row>
    <row r="7835" spans="1:1" x14ac:dyDescent="0.55000000000000004">
      <c r="A7835" s="17"/>
    </row>
    <row r="7836" spans="1:1" x14ac:dyDescent="0.55000000000000004">
      <c r="A7836" s="17"/>
    </row>
    <row r="7837" spans="1:1" x14ac:dyDescent="0.55000000000000004">
      <c r="A7837" s="17"/>
    </row>
    <row r="7838" spans="1:1" x14ac:dyDescent="0.55000000000000004">
      <c r="A7838" s="17"/>
    </row>
    <row r="7839" spans="1:1" x14ac:dyDescent="0.55000000000000004">
      <c r="A7839" s="17"/>
    </row>
    <row r="7840" spans="1:1" x14ac:dyDescent="0.55000000000000004">
      <c r="A7840" s="17"/>
    </row>
    <row r="7841" spans="1:1" x14ac:dyDescent="0.55000000000000004">
      <c r="A7841" s="17"/>
    </row>
    <row r="7842" spans="1:1" x14ac:dyDescent="0.55000000000000004">
      <c r="A7842" s="17"/>
    </row>
    <row r="7843" spans="1:1" x14ac:dyDescent="0.55000000000000004">
      <c r="A7843" s="17"/>
    </row>
    <row r="7844" spans="1:1" x14ac:dyDescent="0.55000000000000004">
      <c r="A7844" s="17"/>
    </row>
    <row r="7845" spans="1:1" x14ac:dyDescent="0.55000000000000004">
      <c r="A7845" s="17"/>
    </row>
    <row r="7846" spans="1:1" x14ac:dyDescent="0.55000000000000004">
      <c r="A7846" s="17"/>
    </row>
    <row r="7847" spans="1:1" x14ac:dyDescent="0.55000000000000004">
      <c r="A7847" s="17"/>
    </row>
    <row r="7848" spans="1:1" x14ac:dyDescent="0.55000000000000004">
      <c r="A7848" s="17"/>
    </row>
    <row r="7849" spans="1:1" x14ac:dyDescent="0.55000000000000004">
      <c r="A7849" s="17"/>
    </row>
    <row r="7850" spans="1:1" x14ac:dyDescent="0.55000000000000004">
      <c r="A7850" s="17"/>
    </row>
    <row r="7851" spans="1:1" x14ac:dyDescent="0.55000000000000004">
      <c r="A7851" s="17"/>
    </row>
    <row r="7852" spans="1:1" x14ac:dyDescent="0.55000000000000004">
      <c r="A7852" s="17"/>
    </row>
    <row r="7853" spans="1:1" x14ac:dyDescent="0.55000000000000004">
      <c r="A7853" s="17"/>
    </row>
    <row r="7854" spans="1:1" x14ac:dyDescent="0.55000000000000004">
      <c r="A7854" s="17"/>
    </row>
    <row r="7855" spans="1:1" x14ac:dyDescent="0.55000000000000004">
      <c r="A7855" s="17"/>
    </row>
    <row r="7856" spans="1:1" x14ac:dyDescent="0.55000000000000004">
      <c r="A7856" s="17"/>
    </row>
    <row r="7857" spans="1:1" x14ac:dyDescent="0.55000000000000004">
      <c r="A7857" s="17"/>
    </row>
    <row r="7858" spans="1:1" x14ac:dyDescent="0.55000000000000004">
      <c r="A7858" s="17"/>
    </row>
    <row r="7859" spans="1:1" x14ac:dyDescent="0.55000000000000004">
      <c r="A7859" s="17"/>
    </row>
    <row r="7860" spans="1:1" x14ac:dyDescent="0.55000000000000004">
      <c r="A7860" s="17"/>
    </row>
    <row r="7861" spans="1:1" x14ac:dyDescent="0.55000000000000004">
      <c r="A7861" s="17"/>
    </row>
    <row r="7862" spans="1:1" x14ac:dyDescent="0.55000000000000004">
      <c r="A7862" s="17"/>
    </row>
    <row r="7863" spans="1:1" x14ac:dyDescent="0.55000000000000004">
      <c r="A7863" s="17"/>
    </row>
    <row r="7864" spans="1:1" x14ac:dyDescent="0.55000000000000004">
      <c r="A7864" s="17"/>
    </row>
    <row r="7865" spans="1:1" x14ac:dyDescent="0.55000000000000004">
      <c r="A7865" s="17"/>
    </row>
    <row r="7866" spans="1:1" x14ac:dyDescent="0.55000000000000004">
      <c r="A7866" s="17"/>
    </row>
    <row r="7867" spans="1:1" x14ac:dyDescent="0.55000000000000004">
      <c r="A7867" s="17"/>
    </row>
    <row r="7868" spans="1:1" x14ac:dyDescent="0.55000000000000004">
      <c r="A7868" s="17"/>
    </row>
    <row r="7869" spans="1:1" x14ac:dyDescent="0.55000000000000004">
      <c r="A7869" s="17"/>
    </row>
    <row r="7870" spans="1:1" x14ac:dyDescent="0.55000000000000004">
      <c r="A7870" s="17"/>
    </row>
    <row r="7871" spans="1:1" x14ac:dyDescent="0.55000000000000004">
      <c r="A7871" s="17"/>
    </row>
    <row r="7872" spans="1:1" x14ac:dyDescent="0.55000000000000004">
      <c r="A7872" s="17"/>
    </row>
    <row r="7873" spans="1:1" x14ac:dyDescent="0.55000000000000004">
      <c r="A7873" s="17"/>
    </row>
    <row r="7874" spans="1:1" x14ac:dyDescent="0.55000000000000004">
      <c r="A7874" s="17"/>
    </row>
    <row r="7875" spans="1:1" x14ac:dyDescent="0.55000000000000004">
      <c r="A7875" s="17"/>
    </row>
    <row r="7876" spans="1:1" x14ac:dyDescent="0.55000000000000004">
      <c r="A7876" s="17"/>
    </row>
    <row r="7877" spans="1:1" x14ac:dyDescent="0.55000000000000004">
      <c r="A7877" s="17"/>
    </row>
    <row r="7878" spans="1:1" x14ac:dyDescent="0.55000000000000004">
      <c r="A7878" s="17"/>
    </row>
    <row r="7879" spans="1:1" x14ac:dyDescent="0.55000000000000004">
      <c r="A7879" s="17"/>
    </row>
    <row r="7880" spans="1:1" x14ac:dyDescent="0.55000000000000004">
      <c r="A7880" s="17"/>
    </row>
    <row r="7881" spans="1:1" x14ac:dyDescent="0.55000000000000004">
      <c r="A7881" s="17"/>
    </row>
    <row r="7882" spans="1:1" x14ac:dyDescent="0.55000000000000004">
      <c r="A7882" s="17"/>
    </row>
    <row r="7883" spans="1:1" x14ac:dyDescent="0.55000000000000004">
      <c r="A7883" s="17"/>
    </row>
    <row r="7884" spans="1:1" x14ac:dyDescent="0.55000000000000004">
      <c r="A7884" s="17"/>
    </row>
    <row r="7885" spans="1:1" x14ac:dyDescent="0.55000000000000004">
      <c r="A7885" s="17"/>
    </row>
    <row r="7886" spans="1:1" x14ac:dyDescent="0.55000000000000004">
      <c r="A7886" s="17"/>
    </row>
    <row r="7887" spans="1:1" x14ac:dyDescent="0.55000000000000004">
      <c r="A7887" s="17"/>
    </row>
    <row r="7888" spans="1:1" x14ac:dyDescent="0.55000000000000004">
      <c r="A7888" s="17"/>
    </row>
    <row r="7889" spans="1:1" x14ac:dyDescent="0.55000000000000004">
      <c r="A7889" s="17"/>
    </row>
    <row r="7890" spans="1:1" x14ac:dyDescent="0.55000000000000004">
      <c r="A7890" s="17"/>
    </row>
    <row r="7891" spans="1:1" x14ac:dyDescent="0.55000000000000004">
      <c r="A7891" s="17"/>
    </row>
    <row r="7892" spans="1:1" x14ac:dyDescent="0.55000000000000004">
      <c r="A7892" s="17"/>
    </row>
    <row r="7893" spans="1:1" x14ac:dyDescent="0.55000000000000004">
      <c r="A7893" s="17"/>
    </row>
    <row r="7894" spans="1:1" x14ac:dyDescent="0.55000000000000004">
      <c r="A7894" s="17"/>
    </row>
    <row r="7895" spans="1:1" x14ac:dyDescent="0.55000000000000004">
      <c r="A7895" s="17"/>
    </row>
    <row r="7896" spans="1:1" x14ac:dyDescent="0.55000000000000004">
      <c r="A7896" s="17"/>
    </row>
    <row r="7897" spans="1:1" x14ac:dyDescent="0.55000000000000004">
      <c r="A7897" s="17"/>
    </row>
    <row r="7898" spans="1:1" x14ac:dyDescent="0.55000000000000004">
      <c r="A7898" s="17"/>
    </row>
    <row r="7899" spans="1:1" x14ac:dyDescent="0.55000000000000004">
      <c r="A7899" s="17"/>
    </row>
    <row r="7900" spans="1:1" x14ac:dyDescent="0.55000000000000004">
      <c r="A7900" s="17"/>
    </row>
    <row r="7901" spans="1:1" x14ac:dyDescent="0.55000000000000004">
      <c r="A7901" s="17"/>
    </row>
    <row r="7902" spans="1:1" x14ac:dyDescent="0.55000000000000004">
      <c r="A7902" s="17"/>
    </row>
    <row r="7903" spans="1:1" x14ac:dyDescent="0.55000000000000004">
      <c r="A7903" s="17"/>
    </row>
    <row r="7904" spans="1:1" x14ac:dyDescent="0.55000000000000004">
      <c r="A7904" s="17"/>
    </row>
    <row r="7905" spans="1:1" x14ac:dyDescent="0.55000000000000004">
      <c r="A7905" s="17"/>
    </row>
    <row r="7906" spans="1:1" x14ac:dyDescent="0.55000000000000004">
      <c r="A7906" s="17"/>
    </row>
    <row r="7907" spans="1:1" x14ac:dyDescent="0.55000000000000004">
      <c r="A7907" s="17"/>
    </row>
    <row r="7908" spans="1:1" x14ac:dyDescent="0.55000000000000004">
      <c r="A7908" s="17"/>
    </row>
    <row r="7909" spans="1:1" x14ac:dyDescent="0.55000000000000004">
      <c r="A7909" s="17"/>
    </row>
    <row r="7910" spans="1:1" x14ac:dyDescent="0.55000000000000004">
      <c r="A7910" s="17"/>
    </row>
    <row r="7911" spans="1:1" x14ac:dyDescent="0.55000000000000004">
      <c r="A7911" s="17"/>
    </row>
    <row r="7912" spans="1:1" x14ac:dyDescent="0.55000000000000004">
      <c r="A7912" s="17"/>
    </row>
    <row r="7913" spans="1:1" x14ac:dyDescent="0.55000000000000004">
      <c r="A7913" s="17"/>
    </row>
    <row r="7914" spans="1:1" x14ac:dyDescent="0.55000000000000004">
      <c r="A7914" s="17"/>
    </row>
    <row r="7915" spans="1:1" x14ac:dyDescent="0.55000000000000004">
      <c r="A7915" s="17"/>
    </row>
    <row r="7916" spans="1:1" x14ac:dyDescent="0.55000000000000004">
      <c r="A7916" s="17"/>
    </row>
    <row r="7917" spans="1:1" x14ac:dyDescent="0.55000000000000004">
      <c r="A7917" s="17"/>
    </row>
    <row r="7918" spans="1:1" x14ac:dyDescent="0.55000000000000004">
      <c r="A7918" s="17"/>
    </row>
    <row r="7919" spans="1:1" x14ac:dyDescent="0.55000000000000004">
      <c r="A7919" s="17"/>
    </row>
    <row r="7920" spans="1:1" x14ac:dyDescent="0.55000000000000004">
      <c r="A7920" s="17"/>
    </row>
    <row r="7921" spans="1:1" x14ac:dyDescent="0.55000000000000004">
      <c r="A7921" s="17"/>
    </row>
    <row r="7922" spans="1:1" x14ac:dyDescent="0.55000000000000004">
      <c r="A7922" s="17"/>
    </row>
    <row r="7923" spans="1:1" x14ac:dyDescent="0.55000000000000004">
      <c r="A7923" s="17"/>
    </row>
    <row r="7924" spans="1:1" x14ac:dyDescent="0.55000000000000004">
      <c r="A7924" s="17"/>
    </row>
    <row r="7925" spans="1:1" x14ac:dyDescent="0.55000000000000004">
      <c r="A7925" s="17"/>
    </row>
    <row r="7926" spans="1:1" x14ac:dyDescent="0.55000000000000004">
      <c r="A7926" s="17"/>
    </row>
    <row r="7927" spans="1:1" x14ac:dyDescent="0.55000000000000004">
      <c r="A7927" s="17"/>
    </row>
    <row r="7928" spans="1:1" x14ac:dyDescent="0.55000000000000004">
      <c r="A7928" s="17"/>
    </row>
    <row r="7929" spans="1:1" x14ac:dyDescent="0.55000000000000004">
      <c r="A7929" s="17"/>
    </row>
    <row r="7930" spans="1:1" x14ac:dyDescent="0.55000000000000004">
      <c r="A7930" s="17"/>
    </row>
    <row r="7931" spans="1:1" x14ac:dyDescent="0.55000000000000004">
      <c r="A7931" s="17"/>
    </row>
    <row r="7932" spans="1:1" x14ac:dyDescent="0.55000000000000004">
      <c r="A7932" s="17"/>
    </row>
    <row r="7933" spans="1:1" x14ac:dyDescent="0.55000000000000004">
      <c r="A7933" s="17"/>
    </row>
    <row r="7934" spans="1:1" x14ac:dyDescent="0.55000000000000004">
      <c r="A7934" s="17"/>
    </row>
    <row r="7935" spans="1:1" x14ac:dyDescent="0.55000000000000004">
      <c r="A7935" s="17"/>
    </row>
    <row r="7936" spans="1:1" x14ac:dyDescent="0.55000000000000004">
      <c r="A7936" s="17"/>
    </row>
    <row r="7937" spans="1:1" x14ac:dyDescent="0.55000000000000004">
      <c r="A7937" s="17"/>
    </row>
    <row r="7938" spans="1:1" x14ac:dyDescent="0.55000000000000004">
      <c r="A7938" s="17"/>
    </row>
    <row r="7939" spans="1:1" x14ac:dyDescent="0.55000000000000004">
      <c r="A7939" s="17"/>
    </row>
    <row r="7940" spans="1:1" x14ac:dyDescent="0.55000000000000004">
      <c r="A7940" s="17"/>
    </row>
    <row r="7941" spans="1:1" x14ac:dyDescent="0.55000000000000004">
      <c r="A7941" s="17"/>
    </row>
    <row r="7942" spans="1:1" x14ac:dyDescent="0.55000000000000004">
      <c r="A7942" s="17"/>
    </row>
    <row r="7943" spans="1:1" x14ac:dyDescent="0.55000000000000004">
      <c r="A7943" s="17"/>
    </row>
    <row r="7944" spans="1:1" x14ac:dyDescent="0.55000000000000004">
      <c r="A7944" s="17"/>
    </row>
    <row r="7945" spans="1:1" x14ac:dyDescent="0.55000000000000004">
      <c r="A7945" s="17"/>
    </row>
    <row r="7946" spans="1:1" x14ac:dyDescent="0.55000000000000004">
      <c r="A7946" s="17"/>
    </row>
    <row r="7947" spans="1:1" x14ac:dyDescent="0.55000000000000004">
      <c r="A7947" s="17"/>
    </row>
    <row r="7948" spans="1:1" x14ac:dyDescent="0.55000000000000004">
      <c r="A7948" s="17"/>
    </row>
    <row r="7949" spans="1:1" x14ac:dyDescent="0.55000000000000004">
      <c r="A7949" s="17"/>
    </row>
    <row r="7950" spans="1:1" x14ac:dyDescent="0.55000000000000004">
      <c r="A7950" s="17"/>
    </row>
    <row r="7951" spans="1:1" x14ac:dyDescent="0.55000000000000004">
      <c r="A7951" s="17"/>
    </row>
    <row r="7952" spans="1:1" x14ac:dyDescent="0.55000000000000004">
      <c r="A7952" s="17"/>
    </row>
    <row r="7953" spans="1:1" x14ac:dyDescent="0.55000000000000004">
      <c r="A7953" s="17"/>
    </row>
    <row r="7954" spans="1:1" x14ac:dyDescent="0.55000000000000004">
      <c r="A7954" s="17"/>
    </row>
    <row r="7955" spans="1:1" x14ac:dyDescent="0.55000000000000004">
      <c r="A7955" s="17"/>
    </row>
    <row r="7956" spans="1:1" x14ac:dyDescent="0.55000000000000004">
      <c r="A7956" s="17"/>
    </row>
    <row r="7957" spans="1:1" x14ac:dyDescent="0.55000000000000004">
      <c r="A7957" s="17"/>
    </row>
    <row r="7958" spans="1:1" x14ac:dyDescent="0.55000000000000004">
      <c r="A7958" s="17"/>
    </row>
    <row r="7959" spans="1:1" x14ac:dyDescent="0.55000000000000004">
      <c r="A7959" s="17"/>
    </row>
    <row r="7960" spans="1:1" x14ac:dyDescent="0.55000000000000004">
      <c r="A7960" s="17"/>
    </row>
    <row r="7961" spans="1:1" x14ac:dyDescent="0.55000000000000004">
      <c r="A7961" s="17"/>
    </row>
    <row r="7962" spans="1:1" x14ac:dyDescent="0.55000000000000004">
      <c r="A7962" s="17"/>
    </row>
    <row r="7963" spans="1:1" x14ac:dyDescent="0.55000000000000004">
      <c r="A7963" s="17"/>
    </row>
    <row r="7964" spans="1:1" x14ac:dyDescent="0.55000000000000004">
      <c r="A7964" s="17"/>
    </row>
    <row r="7965" spans="1:1" x14ac:dyDescent="0.55000000000000004">
      <c r="A7965" s="17"/>
    </row>
    <row r="7966" spans="1:1" x14ac:dyDescent="0.55000000000000004">
      <c r="A7966" s="17"/>
    </row>
    <row r="7967" spans="1:1" x14ac:dyDescent="0.55000000000000004">
      <c r="A7967" s="17"/>
    </row>
    <row r="7968" spans="1:1" x14ac:dyDescent="0.55000000000000004">
      <c r="A7968" s="17"/>
    </row>
    <row r="7969" spans="1:1" x14ac:dyDescent="0.55000000000000004">
      <c r="A7969" s="17"/>
    </row>
    <row r="7970" spans="1:1" x14ac:dyDescent="0.55000000000000004">
      <c r="A7970" s="17"/>
    </row>
    <row r="7971" spans="1:1" x14ac:dyDescent="0.55000000000000004">
      <c r="A7971" s="17"/>
    </row>
    <row r="7972" spans="1:1" x14ac:dyDescent="0.55000000000000004">
      <c r="A7972" s="17"/>
    </row>
    <row r="7973" spans="1:1" x14ac:dyDescent="0.55000000000000004">
      <c r="A7973" s="17"/>
    </row>
    <row r="7974" spans="1:1" x14ac:dyDescent="0.55000000000000004">
      <c r="A7974" s="17"/>
    </row>
    <row r="7975" spans="1:1" x14ac:dyDescent="0.55000000000000004">
      <c r="A7975" s="17"/>
    </row>
    <row r="7976" spans="1:1" x14ac:dyDescent="0.55000000000000004">
      <c r="A7976" s="17"/>
    </row>
    <row r="7977" spans="1:1" x14ac:dyDescent="0.55000000000000004">
      <c r="A7977" s="17"/>
    </row>
    <row r="7978" spans="1:1" x14ac:dyDescent="0.55000000000000004">
      <c r="A7978" s="17"/>
    </row>
    <row r="7979" spans="1:1" x14ac:dyDescent="0.55000000000000004">
      <c r="A7979" s="17"/>
    </row>
    <row r="7980" spans="1:1" x14ac:dyDescent="0.55000000000000004">
      <c r="A7980" s="17"/>
    </row>
    <row r="7981" spans="1:1" x14ac:dyDescent="0.55000000000000004">
      <c r="A7981" s="17"/>
    </row>
    <row r="7982" spans="1:1" x14ac:dyDescent="0.55000000000000004">
      <c r="A7982" s="17"/>
    </row>
    <row r="7983" spans="1:1" x14ac:dyDescent="0.55000000000000004">
      <c r="A7983" s="17"/>
    </row>
    <row r="7984" spans="1:1" x14ac:dyDescent="0.55000000000000004">
      <c r="A7984" s="17"/>
    </row>
    <row r="7985" spans="1:1" x14ac:dyDescent="0.55000000000000004">
      <c r="A7985" s="17"/>
    </row>
    <row r="7986" spans="1:1" x14ac:dyDescent="0.55000000000000004">
      <c r="A7986" s="17"/>
    </row>
    <row r="7987" spans="1:1" x14ac:dyDescent="0.55000000000000004">
      <c r="A7987" s="17"/>
    </row>
    <row r="7988" spans="1:1" x14ac:dyDescent="0.55000000000000004">
      <c r="A7988" s="17"/>
    </row>
    <row r="7989" spans="1:1" x14ac:dyDescent="0.55000000000000004">
      <c r="A7989" s="17"/>
    </row>
    <row r="7990" spans="1:1" x14ac:dyDescent="0.55000000000000004">
      <c r="A7990" s="17"/>
    </row>
    <row r="7991" spans="1:1" x14ac:dyDescent="0.55000000000000004">
      <c r="A7991" s="17"/>
    </row>
    <row r="7992" spans="1:1" x14ac:dyDescent="0.55000000000000004">
      <c r="A7992" s="17"/>
    </row>
    <row r="7993" spans="1:1" x14ac:dyDescent="0.55000000000000004">
      <c r="A7993" s="17"/>
    </row>
    <row r="7994" spans="1:1" x14ac:dyDescent="0.55000000000000004">
      <c r="A7994" s="17"/>
    </row>
    <row r="7995" spans="1:1" x14ac:dyDescent="0.55000000000000004">
      <c r="A7995" s="17"/>
    </row>
    <row r="7996" spans="1:1" x14ac:dyDescent="0.55000000000000004">
      <c r="A7996" s="17"/>
    </row>
    <row r="7997" spans="1:1" x14ac:dyDescent="0.55000000000000004">
      <c r="A7997" s="17"/>
    </row>
    <row r="7998" spans="1:1" x14ac:dyDescent="0.55000000000000004">
      <c r="A7998" s="17"/>
    </row>
    <row r="7999" spans="1:1" x14ac:dyDescent="0.55000000000000004">
      <c r="A7999" s="17"/>
    </row>
    <row r="8000" spans="1:1" x14ac:dyDescent="0.55000000000000004">
      <c r="A8000" s="17"/>
    </row>
    <row r="8001" spans="1:1" x14ac:dyDescent="0.55000000000000004">
      <c r="A8001" s="17"/>
    </row>
    <row r="8002" spans="1:1" x14ac:dyDescent="0.55000000000000004">
      <c r="A8002" s="17"/>
    </row>
    <row r="8003" spans="1:1" x14ac:dyDescent="0.55000000000000004">
      <c r="A8003" s="17"/>
    </row>
    <row r="8004" spans="1:1" x14ac:dyDescent="0.55000000000000004">
      <c r="A8004" s="17"/>
    </row>
    <row r="8005" spans="1:1" x14ac:dyDescent="0.55000000000000004">
      <c r="A8005" s="17"/>
    </row>
    <row r="8006" spans="1:1" x14ac:dyDescent="0.55000000000000004">
      <c r="A8006" s="17"/>
    </row>
    <row r="8007" spans="1:1" x14ac:dyDescent="0.55000000000000004">
      <c r="A8007" s="17"/>
    </row>
    <row r="8008" spans="1:1" x14ac:dyDescent="0.55000000000000004">
      <c r="A8008" s="17"/>
    </row>
    <row r="8009" spans="1:1" x14ac:dyDescent="0.55000000000000004">
      <c r="A8009" s="17"/>
    </row>
    <row r="8010" spans="1:1" x14ac:dyDescent="0.55000000000000004">
      <c r="A8010" s="17"/>
    </row>
    <row r="8011" spans="1:1" x14ac:dyDescent="0.55000000000000004">
      <c r="A8011" s="17"/>
    </row>
    <row r="8012" spans="1:1" x14ac:dyDescent="0.55000000000000004">
      <c r="A8012" s="17"/>
    </row>
    <row r="8013" spans="1:1" x14ac:dyDescent="0.55000000000000004">
      <c r="A8013" s="17"/>
    </row>
    <row r="8014" spans="1:1" x14ac:dyDescent="0.55000000000000004">
      <c r="A8014" s="17"/>
    </row>
    <row r="8015" spans="1:1" x14ac:dyDescent="0.55000000000000004">
      <c r="A8015" s="17"/>
    </row>
    <row r="8016" spans="1:1" x14ac:dyDescent="0.55000000000000004">
      <c r="A8016" s="17"/>
    </row>
    <row r="8017" spans="1:1" x14ac:dyDescent="0.55000000000000004">
      <c r="A8017" s="17"/>
    </row>
    <row r="8018" spans="1:1" x14ac:dyDescent="0.55000000000000004">
      <c r="A8018" s="17"/>
    </row>
    <row r="8019" spans="1:1" x14ac:dyDescent="0.55000000000000004">
      <c r="A8019" s="17"/>
    </row>
    <row r="8020" spans="1:1" x14ac:dyDescent="0.55000000000000004">
      <c r="A8020" s="17"/>
    </row>
    <row r="8021" spans="1:1" x14ac:dyDescent="0.55000000000000004">
      <c r="A8021" s="17"/>
    </row>
    <row r="8022" spans="1:1" x14ac:dyDescent="0.55000000000000004">
      <c r="A8022" s="17"/>
    </row>
    <row r="8023" spans="1:1" x14ac:dyDescent="0.55000000000000004">
      <c r="A8023" s="17"/>
    </row>
    <row r="8024" spans="1:1" x14ac:dyDescent="0.55000000000000004">
      <c r="A8024" s="17"/>
    </row>
    <row r="8025" spans="1:1" x14ac:dyDescent="0.55000000000000004">
      <c r="A8025" s="17"/>
    </row>
    <row r="8026" spans="1:1" x14ac:dyDescent="0.55000000000000004">
      <c r="A8026" s="17"/>
    </row>
    <row r="8027" spans="1:1" x14ac:dyDescent="0.55000000000000004">
      <c r="A8027" s="17"/>
    </row>
    <row r="8028" spans="1:1" x14ac:dyDescent="0.55000000000000004">
      <c r="A8028" s="17"/>
    </row>
    <row r="8029" spans="1:1" x14ac:dyDescent="0.55000000000000004">
      <c r="A8029" s="17"/>
    </row>
    <row r="8030" spans="1:1" x14ac:dyDescent="0.55000000000000004">
      <c r="A8030" s="17"/>
    </row>
    <row r="8031" spans="1:1" x14ac:dyDescent="0.55000000000000004">
      <c r="A8031" s="17"/>
    </row>
    <row r="8032" spans="1:1" x14ac:dyDescent="0.55000000000000004">
      <c r="A8032" s="17"/>
    </row>
    <row r="8033" spans="1:1" x14ac:dyDescent="0.55000000000000004">
      <c r="A8033" s="17"/>
    </row>
    <row r="8034" spans="1:1" x14ac:dyDescent="0.55000000000000004">
      <c r="A8034" s="17"/>
    </row>
    <row r="8035" spans="1:1" x14ac:dyDescent="0.55000000000000004">
      <c r="A8035" s="17"/>
    </row>
    <row r="8036" spans="1:1" x14ac:dyDescent="0.55000000000000004">
      <c r="A8036" s="17"/>
    </row>
    <row r="8037" spans="1:1" x14ac:dyDescent="0.55000000000000004">
      <c r="A8037" s="17"/>
    </row>
    <row r="8038" spans="1:1" x14ac:dyDescent="0.55000000000000004">
      <c r="A8038" s="17"/>
    </row>
    <row r="8039" spans="1:1" x14ac:dyDescent="0.55000000000000004">
      <c r="A8039" s="17"/>
    </row>
    <row r="8040" spans="1:1" x14ac:dyDescent="0.55000000000000004">
      <c r="A8040" s="17"/>
    </row>
    <row r="8041" spans="1:1" x14ac:dyDescent="0.55000000000000004">
      <c r="A8041" s="17"/>
    </row>
    <row r="8042" spans="1:1" x14ac:dyDescent="0.55000000000000004">
      <c r="A8042" s="17"/>
    </row>
    <row r="8043" spans="1:1" x14ac:dyDescent="0.55000000000000004">
      <c r="A8043" s="17"/>
    </row>
    <row r="8044" spans="1:1" x14ac:dyDescent="0.55000000000000004">
      <c r="A8044" s="17"/>
    </row>
    <row r="8045" spans="1:1" x14ac:dyDescent="0.55000000000000004">
      <c r="A8045" s="17"/>
    </row>
    <row r="8046" spans="1:1" x14ac:dyDescent="0.55000000000000004">
      <c r="A8046" s="17"/>
    </row>
    <row r="8047" spans="1:1" x14ac:dyDescent="0.55000000000000004">
      <c r="A8047" s="17"/>
    </row>
    <row r="8048" spans="1:1" x14ac:dyDescent="0.55000000000000004">
      <c r="A8048" s="17"/>
    </row>
    <row r="8049" spans="1:1" x14ac:dyDescent="0.55000000000000004">
      <c r="A8049" s="17"/>
    </row>
    <row r="8050" spans="1:1" x14ac:dyDescent="0.55000000000000004">
      <c r="A8050" s="17"/>
    </row>
    <row r="8051" spans="1:1" x14ac:dyDescent="0.55000000000000004">
      <c r="A8051" s="17"/>
    </row>
    <row r="8052" spans="1:1" x14ac:dyDescent="0.55000000000000004">
      <c r="A8052" s="17"/>
    </row>
    <row r="8053" spans="1:1" x14ac:dyDescent="0.55000000000000004">
      <c r="A8053" s="17"/>
    </row>
    <row r="8054" spans="1:1" x14ac:dyDescent="0.55000000000000004">
      <c r="A8054" s="17"/>
    </row>
    <row r="8055" spans="1:1" x14ac:dyDescent="0.55000000000000004">
      <c r="A8055" s="17"/>
    </row>
    <row r="8056" spans="1:1" x14ac:dyDescent="0.55000000000000004">
      <c r="A8056" s="17"/>
    </row>
    <row r="8057" spans="1:1" x14ac:dyDescent="0.55000000000000004">
      <c r="A8057" s="17"/>
    </row>
    <row r="8058" spans="1:1" x14ac:dyDescent="0.55000000000000004">
      <c r="A8058" s="17"/>
    </row>
    <row r="8059" spans="1:1" x14ac:dyDescent="0.55000000000000004">
      <c r="A8059" s="17"/>
    </row>
    <row r="8060" spans="1:1" x14ac:dyDescent="0.55000000000000004">
      <c r="A8060" s="17"/>
    </row>
    <row r="8061" spans="1:1" x14ac:dyDescent="0.55000000000000004">
      <c r="A8061" s="17"/>
    </row>
    <row r="8062" spans="1:1" x14ac:dyDescent="0.55000000000000004">
      <c r="A8062" s="17"/>
    </row>
    <row r="8063" spans="1:1" x14ac:dyDescent="0.55000000000000004">
      <c r="A8063" s="17"/>
    </row>
    <row r="8064" spans="1:1" x14ac:dyDescent="0.55000000000000004">
      <c r="A8064" s="17"/>
    </row>
    <row r="8065" spans="1:1" x14ac:dyDescent="0.55000000000000004">
      <c r="A8065" s="17"/>
    </row>
    <row r="8066" spans="1:1" x14ac:dyDescent="0.55000000000000004">
      <c r="A8066" s="17"/>
    </row>
    <row r="8067" spans="1:1" x14ac:dyDescent="0.55000000000000004">
      <c r="A8067" s="17"/>
    </row>
    <row r="8068" spans="1:1" x14ac:dyDescent="0.55000000000000004">
      <c r="A8068" s="17"/>
    </row>
    <row r="8069" spans="1:1" x14ac:dyDescent="0.55000000000000004">
      <c r="A8069" s="17"/>
    </row>
    <row r="8070" spans="1:1" x14ac:dyDescent="0.55000000000000004">
      <c r="A8070" s="17"/>
    </row>
    <row r="8071" spans="1:1" x14ac:dyDescent="0.55000000000000004">
      <c r="A8071" s="17"/>
    </row>
    <row r="8072" spans="1:1" x14ac:dyDescent="0.55000000000000004">
      <c r="A8072" s="17"/>
    </row>
    <row r="8073" spans="1:1" x14ac:dyDescent="0.55000000000000004">
      <c r="A8073" s="17"/>
    </row>
    <row r="8074" spans="1:1" x14ac:dyDescent="0.55000000000000004">
      <c r="A8074" s="17"/>
    </row>
    <row r="8075" spans="1:1" x14ac:dyDescent="0.55000000000000004">
      <c r="A8075" s="17"/>
    </row>
    <row r="8076" spans="1:1" x14ac:dyDescent="0.55000000000000004">
      <c r="A8076" s="17"/>
    </row>
    <row r="8077" spans="1:1" x14ac:dyDescent="0.55000000000000004">
      <c r="A8077" s="17"/>
    </row>
    <row r="8078" spans="1:1" x14ac:dyDescent="0.55000000000000004">
      <c r="A8078" s="17"/>
    </row>
    <row r="8079" spans="1:1" x14ac:dyDescent="0.55000000000000004">
      <c r="A8079" s="17"/>
    </row>
    <row r="8080" spans="1:1" x14ac:dyDescent="0.55000000000000004">
      <c r="A8080" s="17"/>
    </row>
    <row r="8081" spans="1:1" x14ac:dyDescent="0.55000000000000004">
      <c r="A8081" s="17"/>
    </row>
    <row r="8082" spans="1:1" x14ac:dyDescent="0.55000000000000004">
      <c r="A8082" s="17"/>
    </row>
    <row r="8083" spans="1:1" x14ac:dyDescent="0.55000000000000004">
      <c r="A8083" s="17"/>
    </row>
    <row r="8084" spans="1:1" x14ac:dyDescent="0.55000000000000004">
      <c r="A8084" s="17"/>
    </row>
    <row r="8085" spans="1:1" x14ac:dyDescent="0.55000000000000004">
      <c r="A8085" s="17"/>
    </row>
    <row r="8086" spans="1:1" x14ac:dyDescent="0.55000000000000004">
      <c r="A8086" s="17"/>
    </row>
    <row r="8087" spans="1:1" x14ac:dyDescent="0.55000000000000004">
      <c r="A8087" s="17"/>
    </row>
    <row r="8088" spans="1:1" x14ac:dyDescent="0.55000000000000004">
      <c r="A8088" s="17"/>
    </row>
    <row r="8089" spans="1:1" x14ac:dyDescent="0.55000000000000004">
      <c r="A8089" s="17"/>
    </row>
    <row r="8090" spans="1:1" x14ac:dyDescent="0.55000000000000004">
      <c r="A8090" s="17"/>
    </row>
    <row r="8091" spans="1:1" x14ac:dyDescent="0.55000000000000004">
      <c r="A8091" s="17"/>
    </row>
    <row r="8092" spans="1:1" x14ac:dyDescent="0.55000000000000004">
      <c r="A8092" s="17"/>
    </row>
    <row r="8093" spans="1:1" x14ac:dyDescent="0.55000000000000004">
      <c r="A8093" s="17"/>
    </row>
    <row r="8094" spans="1:1" x14ac:dyDescent="0.55000000000000004">
      <c r="A8094" s="17"/>
    </row>
    <row r="8095" spans="1:1" x14ac:dyDescent="0.55000000000000004">
      <c r="A8095" s="17"/>
    </row>
    <row r="8096" spans="1:1" x14ac:dyDescent="0.55000000000000004">
      <c r="A8096" s="17"/>
    </row>
    <row r="8097" spans="1:1" x14ac:dyDescent="0.55000000000000004">
      <c r="A8097" s="17"/>
    </row>
    <row r="8098" spans="1:1" x14ac:dyDescent="0.55000000000000004">
      <c r="A8098" s="17"/>
    </row>
    <row r="8099" spans="1:1" x14ac:dyDescent="0.55000000000000004">
      <c r="A8099" s="17"/>
    </row>
    <row r="8100" spans="1:1" x14ac:dyDescent="0.55000000000000004">
      <c r="A8100" s="17"/>
    </row>
    <row r="8101" spans="1:1" x14ac:dyDescent="0.55000000000000004">
      <c r="A8101" s="17"/>
    </row>
    <row r="8102" spans="1:1" x14ac:dyDescent="0.55000000000000004">
      <c r="A8102" s="17"/>
    </row>
    <row r="8103" spans="1:1" x14ac:dyDescent="0.55000000000000004">
      <c r="A8103" s="17"/>
    </row>
    <row r="8104" spans="1:1" x14ac:dyDescent="0.55000000000000004">
      <c r="A8104" s="17"/>
    </row>
    <row r="8105" spans="1:1" x14ac:dyDescent="0.55000000000000004">
      <c r="A8105" s="17"/>
    </row>
    <row r="8106" spans="1:1" x14ac:dyDescent="0.55000000000000004">
      <c r="A8106" s="17"/>
    </row>
    <row r="8107" spans="1:1" x14ac:dyDescent="0.55000000000000004">
      <c r="A8107" s="17"/>
    </row>
    <row r="8108" spans="1:1" x14ac:dyDescent="0.55000000000000004">
      <c r="A8108" s="17"/>
    </row>
    <row r="8109" spans="1:1" x14ac:dyDescent="0.55000000000000004">
      <c r="A8109" s="17"/>
    </row>
    <row r="8110" spans="1:1" x14ac:dyDescent="0.55000000000000004">
      <c r="A8110" s="17"/>
    </row>
    <row r="8111" spans="1:1" x14ac:dyDescent="0.55000000000000004">
      <c r="A8111" s="17"/>
    </row>
    <row r="8112" spans="1:1" x14ac:dyDescent="0.55000000000000004">
      <c r="A8112" s="17"/>
    </row>
    <row r="8113" spans="1:1" x14ac:dyDescent="0.55000000000000004">
      <c r="A8113" s="17"/>
    </row>
    <row r="8114" spans="1:1" x14ac:dyDescent="0.55000000000000004">
      <c r="A8114" s="17"/>
    </row>
    <row r="8115" spans="1:1" x14ac:dyDescent="0.55000000000000004">
      <c r="A8115" s="17"/>
    </row>
    <row r="8116" spans="1:1" x14ac:dyDescent="0.55000000000000004">
      <c r="A8116" s="17"/>
    </row>
    <row r="8117" spans="1:1" x14ac:dyDescent="0.55000000000000004">
      <c r="A8117" s="17"/>
    </row>
    <row r="8118" spans="1:1" x14ac:dyDescent="0.55000000000000004">
      <c r="A8118" s="17"/>
    </row>
    <row r="8119" spans="1:1" x14ac:dyDescent="0.55000000000000004">
      <c r="A8119" s="17"/>
    </row>
    <row r="8120" spans="1:1" x14ac:dyDescent="0.55000000000000004">
      <c r="A8120" s="17"/>
    </row>
    <row r="8121" spans="1:1" x14ac:dyDescent="0.55000000000000004">
      <c r="A8121" s="17"/>
    </row>
    <row r="8122" spans="1:1" x14ac:dyDescent="0.55000000000000004">
      <c r="A8122" s="17"/>
    </row>
    <row r="8123" spans="1:1" x14ac:dyDescent="0.55000000000000004">
      <c r="A8123" s="17"/>
    </row>
    <row r="8124" spans="1:1" x14ac:dyDescent="0.55000000000000004">
      <c r="A8124" s="17"/>
    </row>
    <row r="8125" spans="1:1" x14ac:dyDescent="0.55000000000000004">
      <c r="A8125" s="17"/>
    </row>
    <row r="8126" spans="1:1" x14ac:dyDescent="0.55000000000000004">
      <c r="A8126" s="17"/>
    </row>
    <row r="8127" spans="1:1" x14ac:dyDescent="0.55000000000000004">
      <c r="A8127" s="17"/>
    </row>
    <row r="8128" spans="1:1" x14ac:dyDescent="0.55000000000000004">
      <c r="A8128" s="17"/>
    </row>
    <row r="8129" spans="1:1" x14ac:dyDescent="0.55000000000000004">
      <c r="A8129" s="17"/>
    </row>
    <row r="8130" spans="1:1" x14ac:dyDescent="0.55000000000000004">
      <c r="A8130" s="17"/>
    </row>
    <row r="8131" spans="1:1" x14ac:dyDescent="0.55000000000000004">
      <c r="A8131" s="17"/>
    </row>
    <row r="8132" spans="1:1" x14ac:dyDescent="0.55000000000000004">
      <c r="A8132" s="17"/>
    </row>
    <row r="8133" spans="1:1" x14ac:dyDescent="0.55000000000000004">
      <c r="A8133" s="17"/>
    </row>
    <row r="8134" spans="1:1" x14ac:dyDescent="0.55000000000000004">
      <c r="A8134" s="17"/>
    </row>
    <row r="8135" spans="1:1" x14ac:dyDescent="0.55000000000000004">
      <c r="A8135" s="17"/>
    </row>
    <row r="8136" spans="1:1" x14ac:dyDescent="0.55000000000000004">
      <c r="A8136" s="17"/>
    </row>
    <row r="8137" spans="1:1" x14ac:dyDescent="0.55000000000000004">
      <c r="A8137" s="17"/>
    </row>
    <row r="8138" spans="1:1" x14ac:dyDescent="0.55000000000000004">
      <c r="A8138" s="17"/>
    </row>
    <row r="8139" spans="1:1" x14ac:dyDescent="0.55000000000000004">
      <c r="A8139" s="17"/>
    </row>
    <row r="8140" spans="1:1" x14ac:dyDescent="0.55000000000000004">
      <c r="A8140" s="17"/>
    </row>
    <row r="8141" spans="1:1" x14ac:dyDescent="0.55000000000000004">
      <c r="A8141" s="17"/>
    </row>
    <row r="8142" spans="1:1" x14ac:dyDescent="0.55000000000000004">
      <c r="A8142" s="17"/>
    </row>
    <row r="8143" spans="1:1" x14ac:dyDescent="0.55000000000000004">
      <c r="A8143" s="17"/>
    </row>
    <row r="8144" spans="1:1" x14ac:dyDescent="0.55000000000000004">
      <c r="A8144" s="17"/>
    </row>
    <row r="8145" spans="1:1" x14ac:dyDescent="0.55000000000000004">
      <c r="A8145" s="17"/>
    </row>
    <row r="8146" spans="1:1" x14ac:dyDescent="0.55000000000000004">
      <c r="A8146" s="17"/>
    </row>
    <row r="8147" spans="1:1" x14ac:dyDescent="0.55000000000000004">
      <c r="A8147" s="17"/>
    </row>
    <row r="8148" spans="1:1" x14ac:dyDescent="0.55000000000000004">
      <c r="A8148" s="17"/>
    </row>
    <row r="8149" spans="1:1" x14ac:dyDescent="0.55000000000000004">
      <c r="A8149" s="17"/>
    </row>
    <row r="8150" spans="1:1" x14ac:dyDescent="0.55000000000000004">
      <c r="A8150" s="17"/>
    </row>
    <row r="8151" spans="1:1" x14ac:dyDescent="0.55000000000000004">
      <c r="A8151" s="17"/>
    </row>
    <row r="8152" spans="1:1" x14ac:dyDescent="0.55000000000000004">
      <c r="A8152" s="17"/>
    </row>
    <row r="8153" spans="1:1" x14ac:dyDescent="0.55000000000000004">
      <c r="A8153" s="17"/>
    </row>
    <row r="8154" spans="1:1" x14ac:dyDescent="0.55000000000000004">
      <c r="A8154" s="17"/>
    </row>
    <row r="8155" spans="1:1" x14ac:dyDescent="0.55000000000000004">
      <c r="A8155" s="17"/>
    </row>
    <row r="8156" spans="1:1" x14ac:dyDescent="0.55000000000000004">
      <c r="A8156" s="17"/>
    </row>
    <row r="8157" spans="1:1" x14ac:dyDescent="0.55000000000000004">
      <c r="A8157" s="17"/>
    </row>
    <row r="8158" spans="1:1" x14ac:dyDescent="0.55000000000000004">
      <c r="A8158" s="17"/>
    </row>
    <row r="8159" spans="1:1" x14ac:dyDescent="0.55000000000000004">
      <c r="A8159" s="17"/>
    </row>
    <row r="8160" spans="1:1" x14ac:dyDescent="0.55000000000000004">
      <c r="A8160" s="17"/>
    </row>
    <row r="8161" spans="1:1" x14ac:dyDescent="0.55000000000000004">
      <c r="A8161" s="17"/>
    </row>
    <row r="8162" spans="1:1" x14ac:dyDescent="0.55000000000000004">
      <c r="A8162" s="17"/>
    </row>
    <row r="8163" spans="1:1" x14ac:dyDescent="0.55000000000000004">
      <c r="A8163" s="17"/>
    </row>
    <row r="8164" spans="1:1" x14ac:dyDescent="0.55000000000000004">
      <c r="A8164" s="17"/>
    </row>
    <row r="8165" spans="1:1" x14ac:dyDescent="0.55000000000000004">
      <c r="A8165" s="17"/>
    </row>
    <row r="8166" spans="1:1" x14ac:dyDescent="0.55000000000000004">
      <c r="A8166" s="17"/>
    </row>
    <row r="8167" spans="1:1" x14ac:dyDescent="0.55000000000000004">
      <c r="A8167" s="17"/>
    </row>
    <row r="8168" spans="1:1" x14ac:dyDescent="0.55000000000000004">
      <c r="A8168" s="17"/>
    </row>
    <row r="8169" spans="1:1" x14ac:dyDescent="0.55000000000000004">
      <c r="A8169" s="17"/>
    </row>
    <row r="8170" spans="1:1" x14ac:dyDescent="0.55000000000000004">
      <c r="A8170" s="17"/>
    </row>
    <row r="8171" spans="1:1" x14ac:dyDescent="0.55000000000000004">
      <c r="A8171" s="17"/>
    </row>
    <row r="8172" spans="1:1" x14ac:dyDescent="0.55000000000000004">
      <c r="A8172" s="17"/>
    </row>
    <row r="8173" spans="1:1" x14ac:dyDescent="0.55000000000000004">
      <c r="A8173" s="17"/>
    </row>
    <row r="8174" spans="1:1" x14ac:dyDescent="0.55000000000000004">
      <c r="A8174" s="17"/>
    </row>
    <row r="8175" spans="1:1" x14ac:dyDescent="0.55000000000000004">
      <c r="A8175" s="17"/>
    </row>
    <row r="8176" spans="1:1" x14ac:dyDescent="0.55000000000000004">
      <c r="A8176" s="17"/>
    </row>
    <row r="8177" spans="1:1" x14ac:dyDescent="0.55000000000000004">
      <c r="A8177" s="17"/>
    </row>
    <row r="8178" spans="1:1" x14ac:dyDescent="0.55000000000000004">
      <c r="A8178" s="17"/>
    </row>
    <row r="8179" spans="1:1" x14ac:dyDescent="0.55000000000000004">
      <c r="A8179" s="17"/>
    </row>
    <row r="8180" spans="1:1" x14ac:dyDescent="0.55000000000000004">
      <c r="A8180" s="17"/>
    </row>
    <row r="8181" spans="1:1" x14ac:dyDescent="0.55000000000000004">
      <c r="A8181" s="17"/>
    </row>
    <row r="8182" spans="1:1" x14ac:dyDescent="0.55000000000000004">
      <c r="A8182" s="17"/>
    </row>
    <row r="8183" spans="1:1" x14ac:dyDescent="0.55000000000000004">
      <c r="A8183" s="17"/>
    </row>
    <row r="8184" spans="1:1" x14ac:dyDescent="0.55000000000000004">
      <c r="A8184" s="17"/>
    </row>
    <row r="8185" spans="1:1" x14ac:dyDescent="0.55000000000000004">
      <c r="A8185" s="17"/>
    </row>
    <row r="8186" spans="1:1" x14ac:dyDescent="0.55000000000000004">
      <c r="A8186" s="17"/>
    </row>
    <row r="8187" spans="1:1" x14ac:dyDescent="0.55000000000000004">
      <c r="A8187" s="17"/>
    </row>
    <row r="8188" spans="1:1" x14ac:dyDescent="0.55000000000000004">
      <c r="A8188" s="17"/>
    </row>
    <row r="8189" spans="1:1" x14ac:dyDescent="0.55000000000000004">
      <c r="A8189" s="17"/>
    </row>
    <row r="8190" spans="1:1" x14ac:dyDescent="0.55000000000000004">
      <c r="A8190" s="17"/>
    </row>
    <row r="8191" spans="1:1" x14ac:dyDescent="0.55000000000000004">
      <c r="A8191" s="17"/>
    </row>
    <row r="8192" spans="1:1" x14ac:dyDescent="0.55000000000000004">
      <c r="A8192" s="17"/>
    </row>
    <row r="8193" spans="1:1" x14ac:dyDescent="0.55000000000000004">
      <c r="A8193" s="17"/>
    </row>
    <row r="8194" spans="1:1" x14ac:dyDescent="0.55000000000000004">
      <c r="A8194" s="17"/>
    </row>
    <row r="8195" spans="1:1" x14ac:dyDescent="0.55000000000000004">
      <c r="A8195" s="17"/>
    </row>
    <row r="8196" spans="1:1" x14ac:dyDescent="0.55000000000000004">
      <c r="A8196" s="17"/>
    </row>
    <row r="8197" spans="1:1" x14ac:dyDescent="0.55000000000000004">
      <c r="A8197" s="17"/>
    </row>
    <row r="8198" spans="1:1" x14ac:dyDescent="0.55000000000000004">
      <c r="A8198" s="17"/>
    </row>
    <row r="8199" spans="1:1" x14ac:dyDescent="0.55000000000000004">
      <c r="A8199" s="17"/>
    </row>
    <row r="8200" spans="1:1" x14ac:dyDescent="0.55000000000000004">
      <c r="A8200" s="17"/>
    </row>
    <row r="8201" spans="1:1" x14ac:dyDescent="0.55000000000000004">
      <c r="A8201" s="17"/>
    </row>
    <row r="8202" spans="1:1" x14ac:dyDescent="0.55000000000000004">
      <c r="A8202" s="17"/>
    </row>
    <row r="8203" spans="1:1" x14ac:dyDescent="0.55000000000000004">
      <c r="A8203" s="17"/>
    </row>
    <row r="8204" spans="1:1" x14ac:dyDescent="0.55000000000000004">
      <c r="A8204" s="17"/>
    </row>
    <row r="8205" spans="1:1" x14ac:dyDescent="0.55000000000000004">
      <c r="A8205" s="17"/>
    </row>
    <row r="8206" spans="1:1" x14ac:dyDescent="0.55000000000000004">
      <c r="A8206" s="17"/>
    </row>
    <row r="8207" spans="1:1" x14ac:dyDescent="0.55000000000000004">
      <c r="A8207" s="17"/>
    </row>
    <row r="8208" spans="1:1" x14ac:dyDescent="0.55000000000000004">
      <c r="A8208" s="17"/>
    </row>
    <row r="8209" spans="1:1" x14ac:dyDescent="0.55000000000000004">
      <c r="A8209" s="17"/>
    </row>
    <row r="8210" spans="1:1" x14ac:dyDescent="0.55000000000000004">
      <c r="A8210" s="17"/>
    </row>
    <row r="8211" spans="1:1" x14ac:dyDescent="0.55000000000000004">
      <c r="A8211" s="17"/>
    </row>
    <row r="8212" spans="1:1" x14ac:dyDescent="0.55000000000000004">
      <c r="A8212" s="17"/>
    </row>
    <row r="8213" spans="1:1" x14ac:dyDescent="0.55000000000000004">
      <c r="A8213" s="17"/>
    </row>
    <row r="8214" spans="1:1" x14ac:dyDescent="0.55000000000000004">
      <c r="A8214" s="17"/>
    </row>
    <row r="8215" spans="1:1" x14ac:dyDescent="0.55000000000000004">
      <c r="A8215" s="17"/>
    </row>
    <row r="8216" spans="1:1" x14ac:dyDescent="0.55000000000000004">
      <c r="A8216" s="17"/>
    </row>
    <row r="8217" spans="1:1" x14ac:dyDescent="0.55000000000000004">
      <c r="A8217" s="17"/>
    </row>
    <row r="8218" spans="1:1" x14ac:dyDescent="0.55000000000000004">
      <c r="A8218" s="17"/>
    </row>
    <row r="8219" spans="1:1" x14ac:dyDescent="0.55000000000000004">
      <c r="A8219" s="17"/>
    </row>
    <row r="8220" spans="1:1" x14ac:dyDescent="0.55000000000000004">
      <c r="A8220" s="17"/>
    </row>
    <row r="8221" spans="1:1" x14ac:dyDescent="0.55000000000000004">
      <c r="A8221" s="17"/>
    </row>
    <row r="8222" spans="1:1" x14ac:dyDescent="0.55000000000000004">
      <c r="A8222" s="17"/>
    </row>
    <row r="8223" spans="1:1" x14ac:dyDescent="0.55000000000000004">
      <c r="A8223" s="17"/>
    </row>
    <row r="8224" spans="1:1" x14ac:dyDescent="0.55000000000000004">
      <c r="A8224" s="17"/>
    </row>
    <row r="8225" spans="1:1" x14ac:dyDescent="0.55000000000000004">
      <c r="A8225" s="17"/>
    </row>
    <row r="8226" spans="1:1" x14ac:dyDescent="0.55000000000000004">
      <c r="A8226" s="17"/>
    </row>
    <row r="8227" spans="1:1" x14ac:dyDescent="0.55000000000000004">
      <c r="A8227" s="17"/>
    </row>
    <row r="8228" spans="1:1" x14ac:dyDescent="0.55000000000000004">
      <c r="A8228" s="17"/>
    </row>
    <row r="8229" spans="1:1" x14ac:dyDescent="0.55000000000000004">
      <c r="A8229" s="17"/>
    </row>
    <row r="8230" spans="1:1" x14ac:dyDescent="0.55000000000000004">
      <c r="A8230" s="17"/>
    </row>
    <row r="8231" spans="1:1" x14ac:dyDescent="0.55000000000000004">
      <c r="A8231" s="17"/>
    </row>
    <row r="8232" spans="1:1" x14ac:dyDescent="0.55000000000000004">
      <c r="A8232" s="17"/>
    </row>
    <row r="8233" spans="1:1" x14ac:dyDescent="0.55000000000000004">
      <c r="A8233" s="17"/>
    </row>
    <row r="8234" spans="1:1" x14ac:dyDescent="0.55000000000000004">
      <c r="A8234" s="17"/>
    </row>
    <row r="8235" spans="1:1" x14ac:dyDescent="0.55000000000000004">
      <c r="A8235" s="17"/>
    </row>
    <row r="8236" spans="1:1" x14ac:dyDescent="0.55000000000000004">
      <c r="A8236" s="17"/>
    </row>
    <row r="8237" spans="1:1" x14ac:dyDescent="0.55000000000000004">
      <c r="A8237" s="17"/>
    </row>
    <row r="8238" spans="1:1" x14ac:dyDescent="0.55000000000000004">
      <c r="A8238" s="17"/>
    </row>
    <row r="8239" spans="1:1" x14ac:dyDescent="0.55000000000000004">
      <c r="A8239" s="17"/>
    </row>
    <row r="8240" spans="1:1" x14ac:dyDescent="0.55000000000000004">
      <c r="A8240" s="17"/>
    </row>
    <row r="8241" spans="1:1" x14ac:dyDescent="0.55000000000000004">
      <c r="A8241" s="17"/>
    </row>
    <row r="8242" spans="1:1" x14ac:dyDescent="0.55000000000000004">
      <c r="A8242" s="17"/>
    </row>
    <row r="8243" spans="1:1" x14ac:dyDescent="0.55000000000000004">
      <c r="A8243" s="17"/>
    </row>
    <row r="8244" spans="1:1" x14ac:dyDescent="0.55000000000000004">
      <c r="A8244" s="17"/>
    </row>
    <row r="8245" spans="1:1" x14ac:dyDescent="0.55000000000000004">
      <c r="A8245" s="17"/>
    </row>
    <row r="8246" spans="1:1" x14ac:dyDescent="0.55000000000000004">
      <c r="A8246" s="17"/>
    </row>
    <row r="8247" spans="1:1" x14ac:dyDescent="0.55000000000000004">
      <c r="A8247" s="17"/>
    </row>
    <row r="8248" spans="1:1" x14ac:dyDescent="0.55000000000000004">
      <c r="A8248" s="17"/>
    </row>
    <row r="8249" spans="1:1" x14ac:dyDescent="0.55000000000000004">
      <c r="A8249" s="17"/>
    </row>
    <row r="8250" spans="1:1" x14ac:dyDescent="0.55000000000000004">
      <c r="A8250" s="17"/>
    </row>
    <row r="8251" spans="1:1" x14ac:dyDescent="0.55000000000000004">
      <c r="A8251" s="17"/>
    </row>
    <row r="8252" spans="1:1" x14ac:dyDescent="0.55000000000000004">
      <c r="A8252" s="17"/>
    </row>
    <row r="8253" spans="1:1" x14ac:dyDescent="0.55000000000000004">
      <c r="A8253" s="17"/>
    </row>
    <row r="8254" spans="1:1" x14ac:dyDescent="0.55000000000000004">
      <c r="A8254" s="17"/>
    </row>
    <row r="8255" spans="1:1" x14ac:dyDescent="0.55000000000000004">
      <c r="A8255" s="17"/>
    </row>
    <row r="8256" spans="1:1" x14ac:dyDescent="0.55000000000000004">
      <c r="A8256" s="17"/>
    </row>
    <row r="8257" spans="1:1" x14ac:dyDescent="0.55000000000000004">
      <c r="A8257" s="17"/>
    </row>
    <row r="8258" spans="1:1" x14ac:dyDescent="0.55000000000000004">
      <c r="A8258" s="17"/>
    </row>
    <row r="8259" spans="1:1" x14ac:dyDescent="0.55000000000000004">
      <c r="A8259" s="17"/>
    </row>
    <row r="8260" spans="1:1" x14ac:dyDescent="0.55000000000000004">
      <c r="A8260" s="17"/>
    </row>
    <row r="8261" spans="1:1" x14ac:dyDescent="0.55000000000000004">
      <c r="A8261" s="17"/>
    </row>
    <row r="8262" spans="1:1" x14ac:dyDescent="0.55000000000000004">
      <c r="A8262" s="17"/>
    </row>
    <row r="8263" spans="1:1" x14ac:dyDescent="0.55000000000000004">
      <c r="A8263" s="17"/>
    </row>
    <row r="8264" spans="1:1" x14ac:dyDescent="0.55000000000000004">
      <c r="A8264" s="17"/>
    </row>
    <row r="8265" spans="1:1" x14ac:dyDescent="0.55000000000000004">
      <c r="A8265" s="17"/>
    </row>
    <row r="8266" spans="1:1" x14ac:dyDescent="0.55000000000000004">
      <c r="A8266" s="17"/>
    </row>
    <row r="8267" spans="1:1" x14ac:dyDescent="0.55000000000000004">
      <c r="A8267" s="17"/>
    </row>
    <row r="8268" spans="1:1" x14ac:dyDescent="0.55000000000000004">
      <c r="A8268" s="17"/>
    </row>
    <row r="8269" spans="1:1" x14ac:dyDescent="0.55000000000000004">
      <c r="A8269" s="17"/>
    </row>
    <row r="8270" spans="1:1" x14ac:dyDescent="0.55000000000000004">
      <c r="A8270" s="17"/>
    </row>
    <row r="8271" spans="1:1" x14ac:dyDescent="0.55000000000000004">
      <c r="A8271" s="17"/>
    </row>
    <row r="8272" spans="1:1" x14ac:dyDescent="0.55000000000000004">
      <c r="A8272" s="17"/>
    </row>
    <row r="8273" spans="1:1" x14ac:dyDescent="0.55000000000000004">
      <c r="A8273" s="17"/>
    </row>
    <row r="8274" spans="1:1" x14ac:dyDescent="0.55000000000000004">
      <c r="A8274" s="17"/>
    </row>
    <row r="8275" spans="1:1" x14ac:dyDescent="0.55000000000000004">
      <c r="A8275" s="17"/>
    </row>
    <row r="8276" spans="1:1" x14ac:dyDescent="0.55000000000000004">
      <c r="A8276" s="17"/>
    </row>
    <row r="8277" spans="1:1" x14ac:dyDescent="0.55000000000000004">
      <c r="A8277" s="17"/>
    </row>
    <row r="8278" spans="1:1" x14ac:dyDescent="0.55000000000000004">
      <c r="A8278" s="17"/>
    </row>
    <row r="8279" spans="1:1" x14ac:dyDescent="0.55000000000000004">
      <c r="A8279" s="17"/>
    </row>
    <row r="8280" spans="1:1" x14ac:dyDescent="0.55000000000000004">
      <c r="A8280" s="17"/>
    </row>
    <row r="8281" spans="1:1" x14ac:dyDescent="0.55000000000000004">
      <c r="A8281" s="17"/>
    </row>
    <row r="8282" spans="1:1" x14ac:dyDescent="0.55000000000000004">
      <c r="A8282" s="17"/>
    </row>
    <row r="8283" spans="1:1" x14ac:dyDescent="0.55000000000000004">
      <c r="A8283" s="17"/>
    </row>
    <row r="8284" spans="1:1" x14ac:dyDescent="0.55000000000000004">
      <c r="A8284" s="17"/>
    </row>
    <row r="8285" spans="1:1" x14ac:dyDescent="0.55000000000000004">
      <c r="A8285" s="17"/>
    </row>
    <row r="8286" spans="1:1" x14ac:dyDescent="0.55000000000000004">
      <c r="A8286" s="17"/>
    </row>
    <row r="8287" spans="1:1" x14ac:dyDescent="0.55000000000000004">
      <c r="A8287" s="17"/>
    </row>
    <row r="8288" spans="1:1" x14ac:dyDescent="0.55000000000000004">
      <c r="A8288" s="17"/>
    </row>
    <row r="8289" spans="1:1" x14ac:dyDescent="0.55000000000000004">
      <c r="A8289" s="17"/>
    </row>
    <row r="8290" spans="1:1" x14ac:dyDescent="0.55000000000000004">
      <c r="A8290" s="17"/>
    </row>
    <row r="8291" spans="1:1" x14ac:dyDescent="0.55000000000000004">
      <c r="A8291" s="17"/>
    </row>
    <row r="8292" spans="1:1" x14ac:dyDescent="0.55000000000000004">
      <c r="A8292" s="17"/>
    </row>
    <row r="8293" spans="1:1" x14ac:dyDescent="0.55000000000000004">
      <c r="A8293" s="17"/>
    </row>
    <row r="8294" spans="1:1" x14ac:dyDescent="0.55000000000000004">
      <c r="A8294" s="17"/>
    </row>
    <row r="8295" spans="1:1" x14ac:dyDescent="0.55000000000000004">
      <c r="A8295" s="17"/>
    </row>
    <row r="8296" spans="1:1" x14ac:dyDescent="0.55000000000000004">
      <c r="A8296" s="17"/>
    </row>
    <row r="8297" spans="1:1" x14ac:dyDescent="0.55000000000000004">
      <c r="A8297" s="17"/>
    </row>
    <row r="8298" spans="1:1" x14ac:dyDescent="0.55000000000000004">
      <c r="A8298" s="17"/>
    </row>
    <row r="8299" spans="1:1" x14ac:dyDescent="0.55000000000000004">
      <c r="A8299" s="17"/>
    </row>
    <row r="8300" spans="1:1" x14ac:dyDescent="0.55000000000000004">
      <c r="A8300" s="17"/>
    </row>
    <row r="8301" spans="1:1" x14ac:dyDescent="0.55000000000000004">
      <c r="A8301" s="17"/>
    </row>
    <row r="8302" spans="1:1" x14ac:dyDescent="0.55000000000000004">
      <c r="A8302" s="17"/>
    </row>
    <row r="8303" spans="1:1" x14ac:dyDescent="0.55000000000000004">
      <c r="A8303" s="17"/>
    </row>
    <row r="8304" spans="1:1" x14ac:dyDescent="0.55000000000000004">
      <c r="A8304" s="17"/>
    </row>
    <row r="8305" spans="1:1" x14ac:dyDescent="0.55000000000000004">
      <c r="A8305" s="17"/>
    </row>
    <row r="8306" spans="1:1" x14ac:dyDescent="0.55000000000000004">
      <c r="A8306" s="17"/>
    </row>
    <row r="8307" spans="1:1" x14ac:dyDescent="0.55000000000000004">
      <c r="A8307" s="17"/>
    </row>
    <row r="8308" spans="1:1" x14ac:dyDescent="0.55000000000000004">
      <c r="A8308" s="17"/>
    </row>
    <row r="8309" spans="1:1" x14ac:dyDescent="0.55000000000000004">
      <c r="A8309" s="17"/>
    </row>
    <row r="8310" spans="1:1" x14ac:dyDescent="0.55000000000000004">
      <c r="A8310" s="17"/>
    </row>
    <row r="8311" spans="1:1" x14ac:dyDescent="0.55000000000000004">
      <c r="A8311" s="17"/>
    </row>
    <row r="8312" spans="1:1" x14ac:dyDescent="0.55000000000000004">
      <c r="A8312" s="17"/>
    </row>
    <row r="8313" spans="1:1" x14ac:dyDescent="0.55000000000000004">
      <c r="A8313" s="17"/>
    </row>
    <row r="8314" spans="1:1" x14ac:dyDescent="0.55000000000000004">
      <c r="A8314" s="17"/>
    </row>
    <row r="8315" spans="1:1" x14ac:dyDescent="0.55000000000000004">
      <c r="A8315" s="17"/>
    </row>
    <row r="8316" spans="1:1" x14ac:dyDescent="0.55000000000000004">
      <c r="A8316" s="17"/>
    </row>
    <row r="8317" spans="1:1" x14ac:dyDescent="0.55000000000000004">
      <c r="A8317" s="17"/>
    </row>
    <row r="8318" spans="1:1" x14ac:dyDescent="0.55000000000000004">
      <c r="A8318" s="17"/>
    </row>
    <row r="8319" spans="1:1" x14ac:dyDescent="0.55000000000000004">
      <c r="A8319" s="17"/>
    </row>
    <row r="8320" spans="1:1" x14ac:dyDescent="0.55000000000000004">
      <c r="A8320" s="17"/>
    </row>
    <row r="8321" spans="1:1" x14ac:dyDescent="0.55000000000000004">
      <c r="A8321" s="17"/>
    </row>
    <row r="8322" spans="1:1" x14ac:dyDescent="0.55000000000000004">
      <c r="A8322" s="17"/>
    </row>
    <row r="8323" spans="1:1" x14ac:dyDescent="0.55000000000000004">
      <c r="A8323" s="17"/>
    </row>
    <row r="8324" spans="1:1" x14ac:dyDescent="0.55000000000000004">
      <c r="A8324" s="17"/>
    </row>
    <row r="8325" spans="1:1" x14ac:dyDescent="0.55000000000000004">
      <c r="A8325" s="17"/>
    </row>
    <row r="8326" spans="1:1" x14ac:dyDescent="0.55000000000000004">
      <c r="A8326" s="17"/>
    </row>
    <row r="8327" spans="1:1" x14ac:dyDescent="0.55000000000000004">
      <c r="A8327" s="17"/>
    </row>
    <row r="8328" spans="1:1" x14ac:dyDescent="0.55000000000000004">
      <c r="A8328" s="17"/>
    </row>
    <row r="8329" spans="1:1" x14ac:dyDescent="0.55000000000000004">
      <c r="A8329" s="17"/>
    </row>
    <row r="8330" spans="1:1" x14ac:dyDescent="0.55000000000000004">
      <c r="A8330" s="17"/>
    </row>
    <row r="8331" spans="1:1" x14ac:dyDescent="0.55000000000000004">
      <c r="A8331" s="17"/>
    </row>
    <row r="8332" spans="1:1" x14ac:dyDescent="0.55000000000000004">
      <c r="A8332" s="17"/>
    </row>
    <row r="8333" spans="1:1" x14ac:dyDescent="0.55000000000000004">
      <c r="A8333" s="17"/>
    </row>
    <row r="8334" spans="1:1" x14ac:dyDescent="0.55000000000000004">
      <c r="A8334" s="17"/>
    </row>
    <row r="8335" spans="1:1" x14ac:dyDescent="0.55000000000000004">
      <c r="A8335" s="17"/>
    </row>
    <row r="8336" spans="1:1" x14ac:dyDescent="0.55000000000000004">
      <c r="A8336" s="17"/>
    </row>
    <row r="8337" spans="1:1" x14ac:dyDescent="0.55000000000000004">
      <c r="A8337" s="17"/>
    </row>
    <row r="8338" spans="1:1" x14ac:dyDescent="0.55000000000000004">
      <c r="A8338" s="17"/>
    </row>
    <row r="8339" spans="1:1" x14ac:dyDescent="0.55000000000000004">
      <c r="A8339" s="17"/>
    </row>
    <row r="8340" spans="1:1" x14ac:dyDescent="0.55000000000000004">
      <c r="A8340" s="17"/>
    </row>
    <row r="8341" spans="1:1" x14ac:dyDescent="0.55000000000000004">
      <c r="A8341" s="17"/>
    </row>
    <row r="8342" spans="1:1" x14ac:dyDescent="0.55000000000000004">
      <c r="A8342" s="17"/>
    </row>
    <row r="8343" spans="1:1" x14ac:dyDescent="0.55000000000000004">
      <c r="A8343" s="17"/>
    </row>
    <row r="8344" spans="1:1" x14ac:dyDescent="0.55000000000000004">
      <c r="A8344" s="17"/>
    </row>
    <row r="8345" spans="1:1" x14ac:dyDescent="0.55000000000000004">
      <c r="A8345" s="17"/>
    </row>
    <row r="8346" spans="1:1" x14ac:dyDescent="0.55000000000000004">
      <c r="A8346" s="17"/>
    </row>
    <row r="8347" spans="1:1" x14ac:dyDescent="0.55000000000000004">
      <c r="A8347" s="17"/>
    </row>
    <row r="8348" spans="1:1" x14ac:dyDescent="0.55000000000000004">
      <c r="A8348" s="17"/>
    </row>
    <row r="8349" spans="1:1" x14ac:dyDescent="0.55000000000000004">
      <c r="A8349" s="17"/>
    </row>
    <row r="8350" spans="1:1" x14ac:dyDescent="0.55000000000000004">
      <c r="A8350" s="17"/>
    </row>
    <row r="8351" spans="1:1" x14ac:dyDescent="0.55000000000000004">
      <c r="A8351" s="17"/>
    </row>
    <row r="8352" spans="1:1" x14ac:dyDescent="0.55000000000000004">
      <c r="A8352" s="17"/>
    </row>
    <row r="8353" spans="1:1" x14ac:dyDescent="0.55000000000000004">
      <c r="A8353" s="17"/>
    </row>
    <row r="8354" spans="1:1" x14ac:dyDescent="0.55000000000000004">
      <c r="A8354" s="17"/>
    </row>
    <row r="8355" spans="1:1" x14ac:dyDescent="0.55000000000000004">
      <c r="A8355" s="17"/>
    </row>
    <row r="8356" spans="1:1" x14ac:dyDescent="0.55000000000000004">
      <c r="A8356" s="17"/>
    </row>
    <row r="8357" spans="1:1" x14ac:dyDescent="0.55000000000000004">
      <c r="A8357" s="17"/>
    </row>
    <row r="8358" spans="1:1" x14ac:dyDescent="0.55000000000000004">
      <c r="A8358" s="17"/>
    </row>
    <row r="8359" spans="1:1" x14ac:dyDescent="0.55000000000000004">
      <c r="A8359" s="17"/>
    </row>
    <row r="8360" spans="1:1" x14ac:dyDescent="0.55000000000000004">
      <c r="A8360" s="17"/>
    </row>
    <row r="8361" spans="1:1" x14ac:dyDescent="0.55000000000000004">
      <c r="A8361" s="17"/>
    </row>
    <row r="8362" spans="1:1" x14ac:dyDescent="0.55000000000000004">
      <c r="A8362" s="17"/>
    </row>
    <row r="8363" spans="1:1" x14ac:dyDescent="0.55000000000000004">
      <c r="A8363" s="17"/>
    </row>
    <row r="8364" spans="1:1" x14ac:dyDescent="0.55000000000000004">
      <c r="A8364" s="17"/>
    </row>
    <row r="8365" spans="1:1" x14ac:dyDescent="0.55000000000000004">
      <c r="A8365" s="17"/>
    </row>
    <row r="8366" spans="1:1" x14ac:dyDescent="0.55000000000000004">
      <c r="A8366" s="17"/>
    </row>
    <row r="8367" spans="1:1" x14ac:dyDescent="0.55000000000000004">
      <c r="A8367" s="17"/>
    </row>
    <row r="8368" spans="1:1" x14ac:dyDescent="0.55000000000000004">
      <c r="A8368" s="17"/>
    </row>
    <row r="8369" spans="1:1" x14ac:dyDescent="0.55000000000000004">
      <c r="A8369" s="17"/>
    </row>
    <row r="8370" spans="1:1" x14ac:dyDescent="0.55000000000000004">
      <c r="A8370" s="17"/>
    </row>
    <row r="8371" spans="1:1" x14ac:dyDescent="0.55000000000000004">
      <c r="A8371" s="17"/>
    </row>
    <row r="8372" spans="1:1" x14ac:dyDescent="0.55000000000000004">
      <c r="A8372" s="17"/>
    </row>
    <row r="8373" spans="1:1" x14ac:dyDescent="0.55000000000000004">
      <c r="A8373" s="17"/>
    </row>
    <row r="8374" spans="1:1" x14ac:dyDescent="0.55000000000000004">
      <c r="A8374" s="17"/>
    </row>
    <row r="8375" spans="1:1" x14ac:dyDescent="0.55000000000000004">
      <c r="A8375" s="17"/>
    </row>
    <row r="8376" spans="1:1" x14ac:dyDescent="0.55000000000000004">
      <c r="A8376" s="17"/>
    </row>
    <row r="8377" spans="1:1" x14ac:dyDescent="0.55000000000000004">
      <c r="A8377" s="17"/>
    </row>
    <row r="8378" spans="1:1" x14ac:dyDescent="0.55000000000000004">
      <c r="A8378" s="17"/>
    </row>
    <row r="8379" spans="1:1" x14ac:dyDescent="0.55000000000000004">
      <c r="A8379" s="17"/>
    </row>
    <row r="8380" spans="1:1" x14ac:dyDescent="0.55000000000000004">
      <c r="A8380" s="17"/>
    </row>
    <row r="8381" spans="1:1" x14ac:dyDescent="0.55000000000000004">
      <c r="A8381" s="17"/>
    </row>
    <row r="8382" spans="1:1" x14ac:dyDescent="0.55000000000000004">
      <c r="A8382" s="17"/>
    </row>
    <row r="8383" spans="1:1" x14ac:dyDescent="0.55000000000000004">
      <c r="A8383" s="17"/>
    </row>
    <row r="8384" spans="1:1" x14ac:dyDescent="0.55000000000000004">
      <c r="A8384" s="17"/>
    </row>
    <row r="8385" spans="1:1" x14ac:dyDescent="0.55000000000000004">
      <c r="A8385" s="17"/>
    </row>
    <row r="8386" spans="1:1" x14ac:dyDescent="0.55000000000000004">
      <c r="A8386" s="17"/>
    </row>
    <row r="8387" spans="1:1" x14ac:dyDescent="0.55000000000000004">
      <c r="A8387" s="17"/>
    </row>
    <row r="8388" spans="1:1" x14ac:dyDescent="0.55000000000000004">
      <c r="A8388" s="17"/>
    </row>
    <row r="8389" spans="1:1" x14ac:dyDescent="0.55000000000000004">
      <c r="A8389" s="17"/>
    </row>
    <row r="8390" spans="1:1" x14ac:dyDescent="0.55000000000000004">
      <c r="A8390" s="17"/>
    </row>
    <row r="8391" spans="1:1" x14ac:dyDescent="0.55000000000000004">
      <c r="A8391" s="17"/>
    </row>
    <row r="8392" spans="1:1" x14ac:dyDescent="0.55000000000000004">
      <c r="A8392" s="17"/>
    </row>
    <row r="8393" spans="1:1" x14ac:dyDescent="0.55000000000000004">
      <c r="A8393" s="17"/>
    </row>
    <row r="8394" spans="1:1" x14ac:dyDescent="0.55000000000000004">
      <c r="A8394" s="17"/>
    </row>
    <row r="8395" spans="1:1" x14ac:dyDescent="0.55000000000000004">
      <c r="A8395" s="17"/>
    </row>
    <row r="8396" spans="1:1" x14ac:dyDescent="0.55000000000000004">
      <c r="A8396" s="17"/>
    </row>
    <row r="8397" spans="1:1" x14ac:dyDescent="0.55000000000000004">
      <c r="A8397" s="17"/>
    </row>
    <row r="8398" spans="1:1" x14ac:dyDescent="0.55000000000000004">
      <c r="A8398" s="17"/>
    </row>
    <row r="8399" spans="1:1" x14ac:dyDescent="0.55000000000000004">
      <c r="A8399" s="17"/>
    </row>
    <row r="8400" spans="1:1" x14ac:dyDescent="0.55000000000000004">
      <c r="A8400" s="17"/>
    </row>
    <row r="8401" spans="1:1" x14ac:dyDescent="0.55000000000000004">
      <c r="A8401" s="17"/>
    </row>
    <row r="8402" spans="1:1" x14ac:dyDescent="0.55000000000000004">
      <c r="A8402" s="17"/>
    </row>
    <row r="8403" spans="1:1" x14ac:dyDescent="0.55000000000000004">
      <c r="A8403" s="17"/>
    </row>
    <row r="8404" spans="1:1" x14ac:dyDescent="0.55000000000000004">
      <c r="A8404" s="17"/>
    </row>
    <row r="8405" spans="1:1" x14ac:dyDescent="0.55000000000000004">
      <c r="A8405" s="17"/>
    </row>
    <row r="8406" spans="1:1" x14ac:dyDescent="0.55000000000000004">
      <c r="A8406" s="17"/>
    </row>
    <row r="8407" spans="1:1" x14ac:dyDescent="0.55000000000000004">
      <c r="A8407" s="17"/>
    </row>
    <row r="8408" spans="1:1" x14ac:dyDescent="0.55000000000000004">
      <c r="A8408" s="17"/>
    </row>
    <row r="8409" spans="1:1" x14ac:dyDescent="0.55000000000000004">
      <c r="A8409" s="17"/>
    </row>
    <row r="8410" spans="1:1" x14ac:dyDescent="0.55000000000000004">
      <c r="A8410" s="17"/>
    </row>
    <row r="8411" spans="1:1" x14ac:dyDescent="0.55000000000000004">
      <c r="A8411" s="17"/>
    </row>
    <row r="8412" spans="1:1" x14ac:dyDescent="0.55000000000000004">
      <c r="A8412" s="17"/>
    </row>
    <row r="8413" spans="1:1" x14ac:dyDescent="0.55000000000000004">
      <c r="A8413" s="17"/>
    </row>
    <row r="8414" spans="1:1" x14ac:dyDescent="0.55000000000000004">
      <c r="A8414" s="17"/>
    </row>
    <row r="8415" spans="1:1" x14ac:dyDescent="0.55000000000000004">
      <c r="A8415" s="17"/>
    </row>
    <row r="8416" spans="1:1" x14ac:dyDescent="0.55000000000000004">
      <c r="A8416" s="17"/>
    </row>
    <row r="8417" spans="1:1" x14ac:dyDescent="0.55000000000000004">
      <c r="A8417" s="17"/>
    </row>
    <row r="8418" spans="1:1" x14ac:dyDescent="0.55000000000000004">
      <c r="A8418" s="17"/>
    </row>
    <row r="8419" spans="1:1" x14ac:dyDescent="0.55000000000000004">
      <c r="A8419" s="17"/>
    </row>
    <row r="8420" spans="1:1" x14ac:dyDescent="0.55000000000000004">
      <c r="A8420" s="17"/>
    </row>
    <row r="8421" spans="1:1" x14ac:dyDescent="0.55000000000000004">
      <c r="A8421" s="17"/>
    </row>
    <row r="8422" spans="1:1" x14ac:dyDescent="0.55000000000000004">
      <c r="A8422" s="17"/>
    </row>
    <row r="8423" spans="1:1" x14ac:dyDescent="0.55000000000000004">
      <c r="A8423" s="17"/>
    </row>
    <row r="8424" spans="1:1" x14ac:dyDescent="0.55000000000000004">
      <c r="A8424" s="17"/>
    </row>
    <row r="8425" spans="1:1" x14ac:dyDescent="0.55000000000000004">
      <c r="A8425" s="17"/>
    </row>
    <row r="8426" spans="1:1" x14ac:dyDescent="0.55000000000000004">
      <c r="A8426" s="17"/>
    </row>
    <row r="8427" spans="1:1" x14ac:dyDescent="0.55000000000000004">
      <c r="A8427" s="17"/>
    </row>
    <row r="8428" spans="1:1" x14ac:dyDescent="0.55000000000000004">
      <c r="A8428" s="17"/>
    </row>
    <row r="8429" spans="1:1" x14ac:dyDescent="0.55000000000000004">
      <c r="A8429" s="17"/>
    </row>
    <row r="8430" spans="1:1" x14ac:dyDescent="0.55000000000000004">
      <c r="A8430" s="17"/>
    </row>
    <row r="8431" spans="1:1" x14ac:dyDescent="0.55000000000000004">
      <c r="A8431" s="17"/>
    </row>
    <row r="8432" spans="1:1" x14ac:dyDescent="0.55000000000000004">
      <c r="A8432" s="17"/>
    </row>
    <row r="8433" spans="1:1" x14ac:dyDescent="0.55000000000000004">
      <c r="A8433" s="17"/>
    </row>
    <row r="8434" spans="1:1" x14ac:dyDescent="0.55000000000000004">
      <c r="A8434" s="17"/>
    </row>
    <row r="8435" spans="1:1" x14ac:dyDescent="0.55000000000000004">
      <c r="A8435" s="17"/>
    </row>
    <row r="8436" spans="1:1" x14ac:dyDescent="0.55000000000000004">
      <c r="A8436" s="17"/>
    </row>
    <row r="8437" spans="1:1" x14ac:dyDescent="0.55000000000000004">
      <c r="A8437" s="17"/>
    </row>
    <row r="8438" spans="1:1" x14ac:dyDescent="0.55000000000000004">
      <c r="A8438" s="17"/>
    </row>
    <row r="8439" spans="1:1" x14ac:dyDescent="0.55000000000000004">
      <c r="A8439" s="17"/>
    </row>
    <row r="8440" spans="1:1" x14ac:dyDescent="0.55000000000000004">
      <c r="A8440" s="17"/>
    </row>
    <row r="8441" spans="1:1" x14ac:dyDescent="0.55000000000000004">
      <c r="A8441" s="17"/>
    </row>
    <row r="8442" spans="1:1" x14ac:dyDescent="0.55000000000000004">
      <c r="A8442" s="17"/>
    </row>
    <row r="8443" spans="1:1" x14ac:dyDescent="0.55000000000000004">
      <c r="A8443" s="17"/>
    </row>
    <row r="8444" spans="1:1" x14ac:dyDescent="0.55000000000000004">
      <c r="A8444" s="17"/>
    </row>
    <row r="8445" spans="1:1" x14ac:dyDescent="0.55000000000000004">
      <c r="A8445" s="17"/>
    </row>
    <row r="8446" spans="1:1" x14ac:dyDescent="0.55000000000000004">
      <c r="A8446" s="17"/>
    </row>
    <row r="8447" spans="1:1" x14ac:dyDescent="0.55000000000000004">
      <c r="A8447" s="17"/>
    </row>
    <row r="8448" spans="1:1" x14ac:dyDescent="0.55000000000000004">
      <c r="A8448" s="17"/>
    </row>
    <row r="8449" spans="1:1" x14ac:dyDescent="0.55000000000000004">
      <c r="A8449" s="17"/>
    </row>
    <row r="8450" spans="1:1" x14ac:dyDescent="0.55000000000000004">
      <c r="A8450" s="17"/>
    </row>
    <row r="8451" spans="1:1" x14ac:dyDescent="0.55000000000000004">
      <c r="A8451" s="17"/>
    </row>
    <row r="8452" spans="1:1" x14ac:dyDescent="0.55000000000000004">
      <c r="A8452" s="17"/>
    </row>
    <row r="8453" spans="1:1" x14ac:dyDescent="0.55000000000000004">
      <c r="A8453" s="17"/>
    </row>
    <row r="8454" spans="1:1" x14ac:dyDescent="0.55000000000000004">
      <c r="A8454" s="17"/>
    </row>
    <row r="8455" spans="1:1" x14ac:dyDescent="0.55000000000000004">
      <c r="A8455" s="17"/>
    </row>
    <row r="8456" spans="1:1" x14ac:dyDescent="0.55000000000000004">
      <c r="A8456" s="17"/>
    </row>
    <row r="8457" spans="1:1" x14ac:dyDescent="0.55000000000000004">
      <c r="A8457" s="17"/>
    </row>
    <row r="8458" spans="1:1" x14ac:dyDescent="0.55000000000000004">
      <c r="A8458" s="17"/>
    </row>
    <row r="8459" spans="1:1" x14ac:dyDescent="0.55000000000000004">
      <c r="A8459" s="17"/>
    </row>
    <row r="8460" spans="1:1" x14ac:dyDescent="0.55000000000000004">
      <c r="A8460" s="17"/>
    </row>
    <row r="8461" spans="1:1" x14ac:dyDescent="0.55000000000000004">
      <c r="A8461" s="17"/>
    </row>
    <row r="8462" spans="1:1" x14ac:dyDescent="0.55000000000000004">
      <c r="A8462" s="17"/>
    </row>
    <row r="8463" spans="1:1" x14ac:dyDescent="0.55000000000000004">
      <c r="A8463" s="17"/>
    </row>
    <row r="8464" spans="1:1" x14ac:dyDescent="0.55000000000000004">
      <c r="A8464" s="17"/>
    </row>
    <row r="8465" spans="1:1" x14ac:dyDescent="0.55000000000000004">
      <c r="A8465" s="17"/>
    </row>
    <row r="8466" spans="1:1" x14ac:dyDescent="0.55000000000000004">
      <c r="A8466" s="17"/>
    </row>
    <row r="8467" spans="1:1" x14ac:dyDescent="0.55000000000000004">
      <c r="A8467" s="17"/>
    </row>
    <row r="8468" spans="1:1" x14ac:dyDescent="0.55000000000000004">
      <c r="A8468" s="17"/>
    </row>
    <row r="8469" spans="1:1" x14ac:dyDescent="0.55000000000000004">
      <c r="A8469" s="17"/>
    </row>
    <row r="8470" spans="1:1" x14ac:dyDescent="0.55000000000000004">
      <c r="A8470" s="17"/>
    </row>
    <row r="8471" spans="1:1" x14ac:dyDescent="0.55000000000000004">
      <c r="A8471" s="17"/>
    </row>
    <row r="8472" spans="1:1" x14ac:dyDescent="0.55000000000000004">
      <c r="A8472" s="17"/>
    </row>
    <row r="8473" spans="1:1" x14ac:dyDescent="0.55000000000000004">
      <c r="A8473" s="17"/>
    </row>
    <row r="8474" spans="1:1" x14ac:dyDescent="0.55000000000000004">
      <c r="A8474" s="17"/>
    </row>
    <row r="8475" spans="1:1" x14ac:dyDescent="0.55000000000000004">
      <c r="A8475" s="17"/>
    </row>
    <row r="8476" spans="1:1" x14ac:dyDescent="0.55000000000000004">
      <c r="A8476" s="17"/>
    </row>
    <row r="8477" spans="1:1" x14ac:dyDescent="0.55000000000000004">
      <c r="A8477" s="17"/>
    </row>
    <row r="8478" spans="1:1" x14ac:dyDescent="0.55000000000000004">
      <c r="A8478" s="17"/>
    </row>
    <row r="8479" spans="1:1" x14ac:dyDescent="0.55000000000000004">
      <c r="A8479" s="17"/>
    </row>
    <row r="8480" spans="1:1" x14ac:dyDescent="0.55000000000000004">
      <c r="A8480" s="17"/>
    </row>
    <row r="8481" spans="1:1" x14ac:dyDescent="0.55000000000000004">
      <c r="A8481" s="17"/>
    </row>
    <row r="8482" spans="1:1" x14ac:dyDescent="0.55000000000000004">
      <c r="A8482" s="17"/>
    </row>
    <row r="8483" spans="1:1" x14ac:dyDescent="0.55000000000000004">
      <c r="A8483" s="17"/>
    </row>
    <row r="8484" spans="1:1" x14ac:dyDescent="0.55000000000000004">
      <c r="A8484" s="17"/>
    </row>
    <row r="8485" spans="1:1" x14ac:dyDescent="0.55000000000000004">
      <c r="A8485" s="17"/>
    </row>
    <row r="8486" spans="1:1" x14ac:dyDescent="0.55000000000000004">
      <c r="A8486" s="17"/>
    </row>
    <row r="8487" spans="1:1" x14ac:dyDescent="0.55000000000000004">
      <c r="A8487" s="17"/>
    </row>
    <row r="8488" spans="1:1" x14ac:dyDescent="0.55000000000000004">
      <c r="A8488" s="17"/>
    </row>
    <row r="8489" spans="1:1" x14ac:dyDescent="0.55000000000000004">
      <c r="A8489" s="17"/>
    </row>
    <row r="8490" spans="1:1" x14ac:dyDescent="0.55000000000000004">
      <c r="A8490" s="17"/>
    </row>
    <row r="8491" spans="1:1" x14ac:dyDescent="0.55000000000000004">
      <c r="A8491" s="17"/>
    </row>
    <row r="8492" spans="1:1" x14ac:dyDescent="0.55000000000000004">
      <c r="A8492" s="17"/>
    </row>
    <row r="8493" spans="1:1" x14ac:dyDescent="0.55000000000000004">
      <c r="A8493" s="17"/>
    </row>
    <row r="8494" spans="1:1" x14ac:dyDescent="0.55000000000000004">
      <c r="A8494" s="17"/>
    </row>
    <row r="8495" spans="1:1" x14ac:dyDescent="0.55000000000000004">
      <c r="A8495" s="17"/>
    </row>
    <row r="8496" spans="1:1" x14ac:dyDescent="0.55000000000000004">
      <c r="A8496" s="17"/>
    </row>
    <row r="8497" spans="1:1" x14ac:dyDescent="0.55000000000000004">
      <c r="A8497" s="17"/>
    </row>
    <row r="8498" spans="1:1" x14ac:dyDescent="0.55000000000000004">
      <c r="A8498" s="17"/>
    </row>
    <row r="8499" spans="1:1" x14ac:dyDescent="0.55000000000000004">
      <c r="A8499" s="17"/>
    </row>
    <row r="8500" spans="1:1" x14ac:dyDescent="0.55000000000000004">
      <c r="A8500" s="17"/>
    </row>
    <row r="8501" spans="1:1" x14ac:dyDescent="0.55000000000000004">
      <c r="A8501" s="17"/>
    </row>
    <row r="8502" spans="1:1" x14ac:dyDescent="0.55000000000000004">
      <c r="A8502" s="17"/>
    </row>
    <row r="8503" spans="1:1" x14ac:dyDescent="0.55000000000000004">
      <c r="A8503" s="17"/>
    </row>
    <row r="8504" spans="1:1" x14ac:dyDescent="0.55000000000000004">
      <c r="A8504" s="17"/>
    </row>
    <row r="8505" spans="1:1" x14ac:dyDescent="0.55000000000000004">
      <c r="A8505" s="17"/>
    </row>
    <row r="8506" spans="1:1" x14ac:dyDescent="0.55000000000000004">
      <c r="A8506" s="17"/>
    </row>
    <row r="8507" spans="1:1" x14ac:dyDescent="0.55000000000000004">
      <c r="A8507" s="17"/>
    </row>
    <row r="8508" spans="1:1" x14ac:dyDescent="0.55000000000000004">
      <c r="A8508" s="17"/>
    </row>
    <row r="8509" spans="1:1" x14ac:dyDescent="0.55000000000000004">
      <c r="A8509" s="17"/>
    </row>
    <row r="8510" spans="1:1" x14ac:dyDescent="0.55000000000000004">
      <c r="A8510" s="17"/>
    </row>
    <row r="8511" spans="1:1" x14ac:dyDescent="0.55000000000000004">
      <c r="A8511" s="17"/>
    </row>
    <row r="8512" spans="1:1" x14ac:dyDescent="0.55000000000000004">
      <c r="A8512" s="17"/>
    </row>
    <row r="8513" spans="1:1" x14ac:dyDescent="0.55000000000000004">
      <c r="A8513" s="17"/>
    </row>
    <row r="8514" spans="1:1" x14ac:dyDescent="0.55000000000000004">
      <c r="A8514" s="17"/>
    </row>
    <row r="8515" spans="1:1" x14ac:dyDescent="0.55000000000000004">
      <c r="A8515" s="17"/>
    </row>
    <row r="8516" spans="1:1" x14ac:dyDescent="0.55000000000000004">
      <c r="A8516" s="17"/>
    </row>
    <row r="8517" spans="1:1" x14ac:dyDescent="0.55000000000000004">
      <c r="A8517" s="17"/>
    </row>
    <row r="8518" spans="1:1" x14ac:dyDescent="0.55000000000000004">
      <c r="A8518" s="17"/>
    </row>
    <row r="8519" spans="1:1" x14ac:dyDescent="0.55000000000000004">
      <c r="A8519" s="17"/>
    </row>
    <row r="8520" spans="1:1" x14ac:dyDescent="0.55000000000000004">
      <c r="A8520" s="17"/>
    </row>
    <row r="8521" spans="1:1" x14ac:dyDescent="0.55000000000000004">
      <c r="A8521" s="17"/>
    </row>
    <row r="8522" spans="1:1" x14ac:dyDescent="0.55000000000000004">
      <c r="A8522" s="17"/>
    </row>
    <row r="8523" spans="1:1" x14ac:dyDescent="0.55000000000000004">
      <c r="A8523" s="17"/>
    </row>
    <row r="8524" spans="1:1" x14ac:dyDescent="0.55000000000000004">
      <c r="A8524" s="17"/>
    </row>
    <row r="8525" spans="1:1" x14ac:dyDescent="0.55000000000000004">
      <c r="A8525" s="17"/>
    </row>
    <row r="8526" spans="1:1" x14ac:dyDescent="0.55000000000000004">
      <c r="A8526" s="17"/>
    </row>
    <row r="8527" spans="1:1" x14ac:dyDescent="0.55000000000000004">
      <c r="A8527" s="17"/>
    </row>
    <row r="8528" spans="1:1" x14ac:dyDescent="0.55000000000000004">
      <c r="A8528" s="17"/>
    </row>
    <row r="8529" spans="1:1" x14ac:dyDescent="0.55000000000000004">
      <c r="A8529" s="17"/>
    </row>
    <row r="8530" spans="1:1" x14ac:dyDescent="0.55000000000000004">
      <c r="A8530" s="17"/>
    </row>
    <row r="8531" spans="1:1" x14ac:dyDescent="0.55000000000000004">
      <c r="A8531" s="17"/>
    </row>
    <row r="8532" spans="1:1" x14ac:dyDescent="0.55000000000000004">
      <c r="A8532" s="17"/>
    </row>
    <row r="8533" spans="1:1" x14ac:dyDescent="0.55000000000000004">
      <c r="A8533" s="17"/>
    </row>
    <row r="8534" spans="1:1" x14ac:dyDescent="0.55000000000000004">
      <c r="A8534" s="17"/>
    </row>
    <row r="8535" spans="1:1" x14ac:dyDescent="0.55000000000000004">
      <c r="A8535" s="17"/>
    </row>
    <row r="8536" spans="1:1" x14ac:dyDescent="0.55000000000000004">
      <c r="A8536" s="17"/>
    </row>
    <row r="8537" spans="1:1" x14ac:dyDescent="0.55000000000000004">
      <c r="A8537" s="17"/>
    </row>
    <row r="8538" spans="1:1" x14ac:dyDescent="0.55000000000000004">
      <c r="A8538" s="17"/>
    </row>
    <row r="8539" spans="1:1" x14ac:dyDescent="0.55000000000000004">
      <c r="A8539" s="17"/>
    </row>
    <row r="8540" spans="1:1" x14ac:dyDescent="0.55000000000000004">
      <c r="A8540" s="17"/>
    </row>
    <row r="8541" spans="1:1" x14ac:dyDescent="0.55000000000000004">
      <c r="A8541" s="17"/>
    </row>
    <row r="8542" spans="1:1" x14ac:dyDescent="0.55000000000000004">
      <c r="A8542" s="17"/>
    </row>
    <row r="8543" spans="1:1" x14ac:dyDescent="0.55000000000000004">
      <c r="A8543" s="17"/>
    </row>
    <row r="8544" spans="1:1" x14ac:dyDescent="0.55000000000000004">
      <c r="A8544" s="17"/>
    </row>
    <row r="8545" spans="1:1" x14ac:dyDescent="0.55000000000000004">
      <c r="A8545" s="17"/>
    </row>
    <row r="8546" spans="1:1" x14ac:dyDescent="0.55000000000000004">
      <c r="A8546" s="17"/>
    </row>
    <row r="8547" spans="1:1" x14ac:dyDescent="0.55000000000000004">
      <c r="A8547" s="17"/>
    </row>
    <row r="8548" spans="1:1" x14ac:dyDescent="0.55000000000000004">
      <c r="A8548" s="17"/>
    </row>
    <row r="8549" spans="1:1" x14ac:dyDescent="0.55000000000000004">
      <c r="A8549" s="17"/>
    </row>
    <row r="8550" spans="1:1" x14ac:dyDescent="0.55000000000000004">
      <c r="A8550" s="17"/>
    </row>
    <row r="8551" spans="1:1" x14ac:dyDescent="0.55000000000000004">
      <c r="A8551" s="17"/>
    </row>
    <row r="8552" spans="1:1" x14ac:dyDescent="0.55000000000000004">
      <c r="A8552" s="17"/>
    </row>
    <row r="8553" spans="1:1" x14ac:dyDescent="0.55000000000000004">
      <c r="A8553" s="17"/>
    </row>
    <row r="8554" spans="1:1" x14ac:dyDescent="0.55000000000000004">
      <c r="A8554" s="17"/>
    </row>
    <row r="8555" spans="1:1" x14ac:dyDescent="0.55000000000000004">
      <c r="A8555" s="17"/>
    </row>
    <row r="8556" spans="1:1" x14ac:dyDescent="0.55000000000000004">
      <c r="A8556" s="17"/>
    </row>
    <row r="8557" spans="1:1" x14ac:dyDescent="0.55000000000000004">
      <c r="A8557" s="17"/>
    </row>
    <row r="8558" spans="1:1" x14ac:dyDescent="0.55000000000000004">
      <c r="A8558" s="17"/>
    </row>
    <row r="8559" spans="1:1" x14ac:dyDescent="0.55000000000000004">
      <c r="A8559" s="17"/>
    </row>
    <row r="8560" spans="1:1" x14ac:dyDescent="0.55000000000000004">
      <c r="A8560" s="17"/>
    </row>
    <row r="8561" spans="1:1" x14ac:dyDescent="0.55000000000000004">
      <c r="A8561" s="17"/>
    </row>
    <row r="8562" spans="1:1" x14ac:dyDescent="0.55000000000000004">
      <c r="A8562" s="17"/>
    </row>
    <row r="8563" spans="1:1" x14ac:dyDescent="0.55000000000000004">
      <c r="A8563" s="17"/>
    </row>
    <row r="8564" spans="1:1" x14ac:dyDescent="0.55000000000000004">
      <c r="A8564" s="17"/>
    </row>
    <row r="8565" spans="1:1" x14ac:dyDescent="0.55000000000000004">
      <c r="A8565" s="17"/>
    </row>
    <row r="8566" spans="1:1" x14ac:dyDescent="0.55000000000000004">
      <c r="A8566" s="17"/>
    </row>
    <row r="8567" spans="1:1" x14ac:dyDescent="0.55000000000000004">
      <c r="A8567" s="17"/>
    </row>
    <row r="8568" spans="1:1" x14ac:dyDescent="0.55000000000000004">
      <c r="A8568" s="17"/>
    </row>
    <row r="8569" spans="1:1" x14ac:dyDescent="0.55000000000000004">
      <c r="A8569" s="17"/>
    </row>
    <row r="8570" spans="1:1" x14ac:dyDescent="0.55000000000000004">
      <c r="A8570" s="17"/>
    </row>
    <row r="8571" spans="1:1" x14ac:dyDescent="0.55000000000000004">
      <c r="A8571" s="17"/>
    </row>
    <row r="8572" spans="1:1" x14ac:dyDescent="0.55000000000000004">
      <c r="A8572" s="17"/>
    </row>
    <row r="8573" spans="1:1" x14ac:dyDescent="0.55000000000000004">
      <c r="A8573" s="17"/>
    </row>
    <row r="8574" spans="1:1" x14ac:dyDescent="0.55000000000000004">
      <c r="A8574" s="17"/>
    </row>
    <row r="8575" spans="1:1" x14ac:dyDescent="0.55000000000000004">
      <c r="A8575" s="17"/>
    </row>
    <row r="8576" spans="1:1" x14ac:dyDescent="0.55000000000000004">
      <c r="A8576" s="17"/>
    </row>
    <row r="8577" spans="1:1" x14ac:dyDescent="0.55000000000000004">
      <c r="A8577" s="17"/>
    </row>
    <row r="8578" spans="1:1" x14ac:dyDescent="0.55000000000000004">
      <c r="A8578" s="17"/>
    </row>
    <row r="8579" spans="1:1" x14ac:dyDescent="0.55000000000000004">
      <c r="A8579" s="17"/>
    </row>
    <row r="8580" spans="1:1" x14ac:dyDescent="0.55000000000000004">
      <c r="A8580" s="17"/>
    </row>
    <row r="8581" spans="1:1" x14ac:dyDescent="0.55000000000000004">
      <c r="A8581" s="17"/>
    </row>
    <row r="8582" spans="1:1" x14ac:dyDescent="0.55000000000000004">
      <c r="A8582" s="17"/>
    </row>
    <row r="8583" spans="1:1" x14ac:dyDescent="0.55000000000000004">
      <c r="A8583" s="17"/>
    </row>
    <row r="8584" spans="1:1" x14ac:dyDescent="0.55000000000000004">
      <c r="A8584" s="17"/>
    </row>
    <row r="8585" spans="1:1" x14ac:dyDescent="0.55000000000000004">
      <c r="A8585" s="17"/>
    </row>
    <row r="8586" spans="1:1" x14ac:dyDescent="0.55000000000000004">
      <c r="A8586" s="17"/>
    </row>
    <row r="8587" spans="1:1" x14ac:dyDescent="0.55000000000000004">
      <c r="A8587" s="17"/>
    </row>
    <row r="8588" spans="1:1" x14ac:dyDescent="0.55000000000000004">
      <c r="A8588" s="17"/>
    </row>
    <row r="8589" spans="1:1" x14ac:dyDescent="0.55000000000000004">
      <c r="A8589" s="17"/>
    </row>
    <row r="8590" spans="1:1" x14ac:dyDescent="0.55000000000000004">
      <c r="A8590" s="17"/>
    </row>
    <row r="8591" spans="1:1" x14ac:dyDescent="0.55000000000000004">
      <c r="A8591" s="17"/>
    </row>
    <row r="8592" spans="1:1" x14ac:dyDescent="0.55000000000000004">
      <c r="A8592" s="17"/>
    </row>
    <row r="8593" spans="1:1" x14ac:dyDescent="0.55000000000000004">
      <c r="A8593" s="17"/>
    </row>
    <row r="8594" spans="1:1" x14ac:dyDescent="0.55000000000000004">
      <c r="A8594" s="17"/>
    </row>
    <row r="8595" spans="1:1" x14ac:dyDescent="0.55000000000000004">
      <c r="A8595" s="17"/>
    </row>
    <row r="8596" spans="1:1" x14ac:dyDescent="0.55000000000000004">
      <c r="A8596" s="17"/>
    </row>
    <row r="8597" spans="1:1" x14ac:dyDescent="0.55000000000000004">
      <c r="A8597" s="17"/>
    </row>
    <row r="8598" spans="1:1" x14ac:dyDescent="0.55000000000000004">
      <c r="A8598" s="17"/>
    </row>
    <row r="8599" spans="1:1" x14ac:dyDescent="0.55000000000000004">
      <c r="A8599" s="17"/>
    </row>
    <row r="8600" spans="1:1" x14ac:dyDescent="0.55000000000000004">
      <c r="A8600" s="17"/>
    </row>
    <row r="8601" spans="1:1" x14ac:dyDescent="0.55000000000000004">
      <c r="A8601" s="17"/>
    </row>
    <row r="8602" spans="1:1" x14ac:dyDescent="0.55000000000000004">
      <c r="A8602" s="17"/>
    </row>
    <row r="8603" spans="1:1" x14ac:dyDescent="0.55000000000000004">
      <c r="A8603" s="17"/>
    </row>
    <row r="8604" spans="1:1" x14ac:dyDescent="0.55000000000000004">
      <c r="A8604" s="17"/>
    </row>
    <row r="8605" spans="1:1" x14ac:dyDescent="0.55000000000000004">
      <c r="A8605" s="17"/>
    </row>
    <row r="8606" spans="1:1" x14ac:dyDescent="0.55000000000000004">
      <c r="A8606" s="17"/>
    </row>
    <row r="8607" spans="1:1" x14ac:dyDescent="0.55000000000000004">
      <c r="A8607" s="17"/>
    </row>
    <row r="8608" spans="1:1" x14ac:dyDescent="0.55000000000000004">
      <c r="A8608" s="17"/>
    </row>
    <row r="8609" spans="1:1" x14ac:dyDescent="0.55000000000000004">
      <c r="A8609" s="17"/>
    </row>
    <row r="8610" spans="1:1" x14ac:dyDescent="0.55000000000000004">
      <c r="A8610" s="17"/>
    </row>
    <row r="8611" spans="1:1" x14ac:dyDescent="0.55000000000000004">
      <c r="A8611" s="17"/>
    </row>
    <row r="8612" spans="1:1" x14ac:dyDescent="0.55000000000000004">
      <c r="A8612" s="17"/>
    </row>
    <row r="8613" spans="1:1" x14ac:dyDescent="0.55000000000000004">
      <c r="A8613" s="17"/>
    </row>
    <row r="8614" spans="1:1" x14ac:dyDescent="0.55000000000000004">
      <c r="A8614" s="17"/>
    </row>
    <row r="8615" spans="1:1" x14ac:dyDescent="0.55000000000000004">
      <c r="A8615" s="17"/>
    </row>
    <row r="8616" spans="1:1" x14ac:dyDescent="0.55000000000000004">
      <c r="A8616" s="17"/>
    </row>
    <row r="8617" spans="1:1" x14ac:dyDescent="0.55000000000000004">
      <c r="A8617" s="17"/>
    </row>
    <row r="8618" spans="1:1" x14ac:dyDescent="0.55000000000000004">
      <c r="A8618" s="17"/>
    </row>
    <row r="8619" spans="1:1" x14ac:dyDescent="0.55000000000000004">
      <c r="A8619" s="17"/>
    </row>
    <row r="8620" spans="1:1" x14ac:dyDescent="0.55000000000000004">
      <c r="A8620" s="17"/>
    </row>
    <row r="8621" spans="1:1" x14ac:dyDescent="0.55000000000000004">
      <c r="A8621" s="17"/>
    </row>
    <row r="8622" spans="1:1" x14ac:dyDescent="0.55000000000000004">
      <c r="A8622" s="17"/>
    </row>
    <row r="8623" spans="1:1" x14ac:dyDescent="0.55000000000000004">
      <c r="A8623" s="17"/>
    </row>
    <row r="8624" spans="1:1" x14ac:dyDescent="0.55000000000000004">
      <c r="A8624" s="17"/>
    </row>
    <row r="8625" spans="1:1" x14ac:dyDescent="0.55000000000000004">
      <c r="A8625" s="17"/>
    </row>
    <row r="8626" spans="1:1" x14ac:dyDescent="0.55000000000000004">
      <c r="A8626" s="17"/>
    </row>
    <row r="8627" spans="1:1" x14ac:dyDescent="0.55000000000000004">
      <c r="A8627" s="17"/>
    </row>
    <row r="8628" spans="1:1" x14ac:dyDescent="0.55000000000000004">
      <c r="A8628" s="17"/>
    </row>
    <row r="8629" spans="1:1" x14ac:dyDescent="0.55000000000000004">
      <c r="A8629" s="17"/>
    </row>
    <row r="8630" spans="1:1" x14ac:dyDescent="0.55000000000000004">
      <c r="A8630" s="17"/>
    </row>
    <row r="8631" spans="1:1" x14ac:dyDescent="0.55000000000000004">
      <c r="A8631" s="17"/>
    </row>
    <row r="8632" spans="1:1" x14ac:dyDescent="0.55000000000000004">
      <c r="A8632" s="17"/>
    </row>
    <row r="8633" spans="1:1" x14ac:dyDescent="0.55000000000000004">
      <c r="A8633" s="17"/>
    </row>
    <row r="8634" spans="1:1" x14ac:dyDescent="0.55000000000000004">
      <c r="A8634" s="17"/>
    </row>
    <row r="8635" spans="1:1" x14ac:dyDescent="0.55000000000000004">
      <c r="A8635" s="17"/>
    </row>
    <row r="8636" spans="1:1" x14ac:dyDescent="0.55000000000000004">
      <c r="A8636" s="17"/>
    </row>
    <row r="8637" spans="1:1" x14ac:dyDescent="0.55000000000000004">
      <c r="A8637" s="17"/>
    </row>
    <row r="8638" spans="1:1" x14ac:dyDescent="0.55000000000000004">
      <c r="A8638" s="17"/>
    </row>
    <row r="8639" spans="1:1" x14ac:dyDescent="0.55000000000000004">
      <c r="A8639" s="17"/>
    </row>
    <row r="8640" spans="1:1" x14ac:dyDescent="0.55000000000000004">
      <c r="A8640" s="17"/>
    </row>
    <row r="8641" spans="1:1" x14ac:dyDescent="0.55000000000000004">
      <c r="A8641" s="17"/>
    </row>
    <row r="8642" spans="1:1" x14ac:dyDescent="0.55000000000000004">
      <c r="A8642" s="17"/>
    </row>
    <row r="8643" spans="1:1" x14ac:dyDescent="0.55000000000000004">
      <c r="A8643" s="17"/>
    </row>
    <row r="8644" spans="1:1" x14ac:dyDescent="0.55000000000000004">
      <c r="A8644" s="17"/>
    </row>
    <row r="8645" spans="1:1" x14ac:dyDescent="0.55000000000000004">
      <c r="A8645" s="17"/>
    </row>
    <row r="8646" spans="1:1" x14ac:dyDescent="0.55000000000000004">
      <c r="A8646" s="17"/>
    </row>
    <row r="8647" spans="1:1" x14ac:dyDescent="0.55000000000000004">
      <c r="A8647" s="17"/>
    </row>
    <row r="8648" spans="1:1" x14ac:dyDescent="0.55000000000000004">
      <c r="A8648" s="17"/>
    </row>
    <row r="8649" spans="1:1" x14ac:dyDescent="0.55000000000000004">
      <c r="A8649" s="17"/>
    </row>
    <row r="8650" spans="1:1" x14ac:dyDescent="0.55000000000000004">
      <c r="A8650" s="17"/>
    </row>
    <row r="8651" spans="1:1" x14ac:dyDescent="0.55000000000000004">
      <c r="A8651" s="17"/>
    </row>
    <row r="8652" spans="1:1" x14ac:dyDescent="0.55000000000000004">
      <c r="A8652" s="17"/>
    </row>
    <row r="8653" spans="1:1" x14ac:dyDescent="0.55000000000000004">
      <c r="A8653" s="17"/>
    </row>
    <row r="8654" spans="1:1" x14ac:dyDescent="0.55000000000000004">
      <c r="A8654" s="17"/>
    </row>
    <row r="8655" spans="1:1" x14ac:dyDescent="0.55000000000000004">
      <c r="A8655" s="17"/>
    </row>
    <row r="8656" spans="1:1" x14ac:dyDescent="0.55000000000000004">
      <c r="A8656" s="17"/>
    </row>
    <row r="8657" spans="1:1" x14ac:dyDescent="0.55000000000000004">
      <c r="A8657" s="17"/>
    </row>
    <row r="8658" spans="1:1" x14ac:dyDescent="0.55000000000000004">
      <c r="A8658" s="17"/>
    </row>
    <row r="8659" spans="1:1" x14ac:dyDescent="0.55000000000000004">
      <c r="A8659" s="17"/>
    </row>
    <row r="8660" spans="1:1" x14ac:dyDescent="0.55000000000000004">
      <c r="A8660" s="17"/>
    </row>
    <row r="8661" spans="1:1" x14ac:dyDescent="0.55000000000000004">
      <c r="A8661" s="17"/>
    </row>
    <row r="8662" spans="1:1" x14ac:dyDescent="0.55000000000000004">
      <c r="A8662" s="17"/>
    </row>
    <row r="8663" spans="1:1" x14ac:dyDescent="0.55000000000000004">
      <c r="A8663" s="17"/>
    </row>
    <row r="8664" spans="1:1" x14ac:dyDescent="0.55000000000000004">
      <c r="A8664" s="17"/>
    </row>
    <row r="8665" spans="1:1" x14ac:dyDescent="0.55000000000000004">
      <c r="A8665" s="17"/>
    </row>
    <row r="8666" spans="1:1" x14ac:dyDescent="0.55000000000000004">
      <c r="A8666" s="17"/>
    </row>
    <row r="8667" spans="1:1" x14ac:dyDescent="0.55000000000000004">
      <c r="A8667" s="17"/>
    </row>
    <row r="8668" spans="1:1" x14ac:dyDescent="0.55000000000000004">
      <c r="A8668" s="17"/>
    </row>
    <row r="8669" spans="1:1" x14ac:dyDescent="0.55000000000000004">
      <c r="A8669" s="17"/>
    </row>
    <row r="8670" spans="1:1" x14ac:dyDescent="0.55000000000000004">
      <c r="A8670" s="17"/>
    </row>
    <row r="8671" spans="1:1" x14ac:dyDescent="0.55000000000000004">
      <c r="A8671" s="17"/>
    </row>
    <row r="8672" spans="1:1" x14ac:dyDescent="0.55000000000000004">
      <c r="A8672" s="17"/>
    </row>
    <row r="8673" spans="1:1" x14ac:dyDescent="0.55000000000000004">
      <c r="A8673" s="17"/>
    </row>
    <row r="8674" spans="1:1" x14ac:dyDescent="0.55000000000000004">
      <c r="A8674" s="17"/>
    </row>
    <row r="8675" spans="1:1" x14ac:dyDescent="0.55000000000000004">
      <c r="A8675" s="17"/>
    </row>
    <row r="8676" spans="1:1" x14ac:dyDescent="0.55000000000000004">
      <c r="A8676" s="17"/>
    </row>
    <row r="8677" spans="1:1" x14ac:dyDescent="0.55000000000000004">
      <c r="A8677" s="17"/>
    </row>
    <row r="8678" spans="1:1" x14ac:dyDescent="0.55000000000000004">
      <c r="A8678" s="17"/>
    </row>
    <row r="8679" spans="1:1" x14ac:dyDescent="0.55000000000000004">
      <c r="A8679" s="17"/>
    </row>
    <row r="8680" spans="1:1" x14ac:dyDescent="0.55000000000000004">
      <c r="A8680" s="17"/>
    </row>
    <row r="8681" spans="1:1" x14ac:dyDescent="0.55000000000000004">
      <c r="A8681" s="17"/>
    </row>
    <row r="8682" spans="1:1" x14ac:dyDescent="0.55000000000000004">
      <c r="A8682" s="17"/>
    </row>
    <row r="8683" spans="1:1" x14ac:dyDescent="0.55000000000000004">
      <c r="A8683" s="17"/>
    </row>
    <row r="8684" spans="1:1" x14ac:dyDescent="0.55000000000000004">
      <c r="A8684" s="17"/>
    </row>
    <row r="8685" spans="1:1" x14ac:dyDescent="0.55000000000000004">
      <c r="A8685" s="17"/>
    </row>
    <row r="8686" spans="1:1" x14ac:dyDescent="0.55000000000000004">
      <c r="A8686" s="17"/>
    </row>
    <row r="8687" spans="1:1" x14ac:dyDescent="0.55000000000000004">
      <c r="A8687" s="17"/>
    </row>
    <row r="8688" spans="1:1" x14ac:dyDescent="0.55000000000000004">
      <c r="A8688" s="17"/>
    </row>
    <row r="8689" spans="1:1" x14ac:dyDescent="0.55000000000000004">
      <c r="A8689" s="17"/>
    </row>
    <row r="8690" spans="1:1" x14ac:dyDescent="0.55000000000000004">
      <c r="A8690" s="17"/>
    </row>
    <row r="8691" spans="1:1" x14ac:dyDescent="0.55000000000000004">
      <c r="A8691" s="17"/>
    </row>
    <row r="8692" spans="1:1" x14ac:dyDescent="0.55000000000000004">
      <c r="A8692" s="17"/>
    </row>
    <row r="8693" spans="1:1" x14ac:dyDescent="0.55000000000000004">
      <c r="A8693" s="17"/>
    </row>
    <row r="8694" spans="1:1" x14ac:dyDescent="0.55000000000000004">
      <c r="A8694" s="17"/>
    </row>
    <row r="8695" spans="1:1" x14ac:dyDescent="0.55000000000000004">
      <c r="A8695" s="17"/>
    </row>
    <row r="8696" spans="1:1" x14ac:dyDescent="0.55000000000000004">
      <c r="A8696" s="17"/>
    </row>
    <row r="8697" spans="1:1" x14ac:dyDescent="0.55000000000000004">
      <c r="A8697" s="17"/>
    </row>
    <row r="8698" spans="1:1" x14ac:dyDescent="0.55000000000000004">
      <c r="A8698" s="17"/>
    </row>
    <row r="8699" spans="1:1" x14ac:dyDescent="0.55000000000000004">
      <c r="A8699" s="17"/>
    </row>
    <row r="8700" spans="1:1" x14ac:dyDescent="0.55000000000000004">
      <c r="A8700" s="17"/>
    </row>
    <row r="8701" spans="1:1" x14ac:dyDescent="0.55000000000000004">
      <c r="A8701" s="17"/>
    </row>
    <row r="8702" spans="1:1" x14ac:dyDescent="0.55000000000000004">
      <c r="A8702" s="17"/>
    </row>
    <row r="8703" spans="1:1" x14ac:dyDescent="0.55000000000000004">
      <c r="A8703" s="17"/>
    </row>
    <row r="8704" spans="1:1" x14ac:dyDescent="0.55000000000000004">
      <c r="A8704" s="17"/>
    </row>
    <row r="8705" spans="1:1" x14ac:dyDescent="0.55000000000000004">
      <c r="A8705" s="17"/>
    </row>
    <row r="8706" spans="1:1" x14ac:dyDescent="0.55000000000000004">
      <c r="A8706" s="17"/>
    </row>
    <row r="8707" spans="1:1" x14ac:dyDescent="0.55000000000000004">
      <c r="A8707" s="17"/>
    </row>
    <row r="8708" spans="1:1" x14ac:dyDescent="0.55000000000000004">
      <c r="A8708" s="17"/>
    </row>
    <row r="8709" spans="1:1" x14ac:dyDescent="0.55000000000000004">
      <c r="A8709" s="17"/>
    </row>
    <row r="8710" spans="1:1" x14ac:dyDescent="0.55000000000000004">
      <c r="A8710" s="17"/>
    </row>
    <row r="8711" spans="1:1" x14ac:dyDescent="0.55000000000000004">
      <c r="A8711" s="17"/>
    </row>
    <row r="8712" spans="1:1" x14ac:dyDescent="0.55000000000000004">
      <c r="A8712" s="17"/>
    </row>
    <row r="8713" spans="1:1" x14ac:dyDescent="0.55000000000000004">
      <c r="A8713" s="17"/>
    </row>
    <row r="8714" spans="1:1" x14ac:dyDescent="0.55000000000000004">
      <c r="A8714" s="17"/>
    </row>
    <row r="8715" spans="1:1" x14ac:dyDescent="0.55000000000000004">
      <c r="A8715" s="17"/>
    </row>
    <row r="8716" spans="1:1" x14ac:dyDescent="0.55000000000000004">
      <c r="A8716" s="17"/>
    </row>
    <row r="8717" spans="1:1" x14ac:dyDescent="0.55000000000000004">
      <c r="A8717" s="17"/>
    </row>
    <row r="8718" spans="1:1" x14ac:dyDescent="0.55000000000000004">
      <c r="A8718" s="17"/>
    </row>
    <row r="8719" spans="1:1" x14ac:dyDescent="0.55000000000000004">
      <c r="A8719" s="17"/>
    </row>
    <row r="8720" spans="1:1" x14ac:dyDescent="0.55000000000000004">
      <c r="A8720" s="17"/>
    </row>
    <row r="8721" spans="1:1" x14ac:dyDescent="0.55000000000000004">
      <c r="A8721" s="17"/>
    </row>
    <row r="8722" spans="1:1" x14ac:dyDescent="0.55000000000000004">
      <c r="A8722" s="17"/>
    </row>
    <row r="8723" spans="1:1" x14ac:dyDescent="0.55000000000000004">
      <c r="A8723" s="17"/>
    </row>
    <row r="8724" spans="1:1" x14ac:dyDescent="0.55000000000000004">
      <c r="A8724" s="17"/>
    </row>
    <row r="8725" spans="1:1" x14ac:dyDescent="0.55000000000000004">
      <c r="A8725" s="17"/>
    </row>
    <row r="8726" spans="1:1" x14ac:dyDescent="0.55000000000000004">
      <c r="A8726" s="17"/>
    </row>
    <row r="8727" spans="1:1" x14ac:dyDescent="0.55000000000000004">
      <c r="A8727" s="17"/>
    </row>
    <row r="8728" spans="1:1" x14ac:dyDescent="0.55000000000000004">
      <c r="A8728" s="17"/>
    </row>
    <row r="8729" spans="1:1" x14ac:dyDescent="0.55000000000000004">
      <c r="A8729" s="17"/>
    </row>
    <row r="8730" spans="1:1" x14ac:dyDescent="0.55000000000000004">
      <c r="A8730" s="17"/>
    </row>
    <row r="8731" spans="1:1" x14ac:dyDescent="0.55000000000000004">
      <c r="A8731" s="17"/>
    </row>
    <row r="8732" spans="1:1" x14ac:dyDescent="0.55000000000000004">
      <c r="A8732" s="17"/>
    </row>
    <row r="8733" spans="1:1" x14ac:dyDescent="0.55000000000000004">
      <c r="A8733" s="17"/>
    </row>
    <row r="8734" spans="1:1" x14ac:dyDescent="0.55000000000000004">
      <c r="A8734" s="17"/>
    </row>
    <row r="8735" spans="1:1" x14ac:dyDescent="0.55000000000000004">
      <c r="A8735" s="17"/>
    </row>
    <row r="8736" spans="1:1" x14ac:dyDescent="0.55000000000000004">
      <c r="A8736" s="17"/>
    </row>
    <row r="8737" spans="1:1" x14ac:dyDescent="0.55000000000000004">
      <c r="A8737" s="17"/>
    </row>
    <row r="8738" spans="1:1" x14ac:dyDescent="0.55000000000000004">
      <c r="A8738" s="17"/>
    </row>
    <row r="8739" spans="1:1" x14ac:dyDescent="0.55000000000000004">
      <c r="A8739" s="17"/>
    </row>
    <row r="8740" spans="1:1" x14ac:dyDescent="0.55000000000000004">
      <c r="A8740" s="17"/>
    </row>
    <row r="8741" spans="1:1" x14ac:dyDescent="0.55000000000000004">
      <c r="A8741" s="17"/>
    </row>
    <row r="8742" spans="1:1" x14ac:dyDescent="0.55000000000000004">
      <c r="A8742" s="17"/>
    </row>
    <row r="8743" spans="1:1" x14ac:dyDescent="0.55000000000000004">
      <c r="A8743" s="17"/>
    </row>
    <row r="8744" spans="1:1" x14ac:dyDescent="0.55000000000000004">
      <c r="A8744" s="17"/>
    </row>
    <row r="8745" spans="1:1" x14ac:dyDescent="0.55000000000000004">
      <c r="A8745" s="17"/>
    </row>
    <row r="8746" spans="1:1" x14ac:dyDescent="0.55000000000000004">
      <c r="A8746" s="17"/>
    </row>
    <row r="8747" spans="1:1" x14ac:dyDescent="0.55000000000000004">
      <c r="A8747" s="17"/>
    </row>
    <row r="8748" spans="1:1" x14ac:dyDescent="0.55000000000000004">
      <c r="A8748" s="17"/>
    </row>
    <row r="8749" spans="1:1" x14ac:dyDescent="0.55000000000000004">
      <c r="A8749" s="17"/>
    </row>
    <row r="8750" spans="1:1" x14ac:dyDescent="0.55000000000000004">
      <c r="A8750" s="17"/>
    </row>
    <row r="8751" spans="1:1" x14ac:dyDescent="0.55000000000000004">
      <c r="A8751" s="17"/>
    </row>
    <row r="8752" spans="1:1" x14ac:dyDescent="0.55000000000000004">
      <c r="A8752" s="17"/>
    </row>
    <row r="8753" spans="1:1" x14ac:dyDescent="0.55000000000000004">
      <c r="A8753" s="17"/>
    </row>
    <row r="8754" spans="1:1" x14ac:dyDescent="0.55000000000000004">
      <c r="A8754" s="17"/>
    </row>
    <row r="8755" spans="1:1" x14ac:dyDescent="0.55000000000000004">
      <c r="A8755" s="17"/>
    </row>
    <row r="8756" spans="1:1" x14ac:dyDescent="0.55000000000000004">
      <c r="A8756" s="17"/>
    </row>
    <row r="8757" spans="1:1" x14ac:dyDescent="0.55000000000000004">
      <c r="A8757" s="17"/>
    </row>
    <row r="8758" spans="1:1" x14ac:dyDescent="0.55000000000000004">
      <c r="A8758" s="17"/>
    </row>
    <row r="8759" spans="1:1" x14ac:dyDescent="0.55000000000000004">
      <c r="A8759" s="17"/>
    </row>
    <row r="8760" spans="1:1" x14ac:dyDescent="0.55000000000000004">
      <c r="A8760" s="17"/>
    </row>
    <row r="8761" spans="1:1" x14ac:dyDescent="0.55000000000000004">
      <c r="A8761" s="17"/>
    </row>
    <row r="8762" spans="1:1" x14ac:dyDescent="0.55000000000000004">
      <c r="A8762" s="17"/>
    </row>
    <row r="8763" spans="1:1" x14ac:dyDescent="0.55000000000000004">
      <c r="A8763" s="17"/>
    </row>
    <row r="8764" spans="1:1" x14ac:dyDescent="0.55000000000000004">
      <c r="A8764" s="17"/>
    </row>
    <row r="8765" spans="1:1" x14ac:dyDescent="0.55000000000000004">
      <c r="A8765" s="17"/>
    </row>
    <row r="8766" spans="1:1" x14ac:dyDescent="0.55000000000000004">
      <c r="A8766" s="17"/>
    </row>
    <row r="8767" spans="1:1" x14ac:dyDescent="0.55000000000000004">
      <c r="A8767" s="17"/>
    </row>
    <row r="8768" spans="1:1" x14ac:dyDescent="0.55000000000000004">
      <c r="A8768" s="17"/>
    </row>
    <row r="8769" spans="1:1" x14ac:dyDescent="0.55000000000000004">
      <c r="A8769" s="17"/>
    </row>
    <row r="8770" spans="1:1" x14ac:dyDescent="0.55000000000000004">
      <c r="A8770" s="17"/>
    </row>
    <row r="8771" spans="1:1" x14ac:dyDescent="0.55000000000000004">
      <c r="A8771" s="17"/>
    </row>
    <row r="8772" spans="1:1" x14ac:dyDescent="0.55000000000000004">
      <c r="A8772" s="17"/>
    </row>
    <row r="8773" spans="1:1" x14ac:dyDescent="0.55000000000000004">
      <c r="A8773" s="17"/>
    </row>
    <row r="8774" spans="1:1" x14ac:dyDescent="0.55000000000000004">
      <c r="A8774" s="17"/>
    </row>
    <row r="8775" spans="1:1" x14ac:dyDescent="0.55000000000000004">
      <c r="A8775" s="17"/>
    </row>
    <row r="8776" spans="1:1" x14ac:dyDescent="0.55000000000000004">
      <c r="A8776" s="17"/>
    </row>
    <row r="8777" spans="1:1" x14ac:dyDescent="0.55000000000000004">
      <c r="A8777" s="17"/>
    </row>
    <row r="8778" spans="1:1" x14ac:dyDescent="0.55000000000000004">
      <c r="A8778" s="17"/>
    </row>
    <row r="8779" spans="1:1" x14ac:dyDescent="0.55000000000000004">
      <c r="A8779" s="17"/>
    </row>
    <row r="8780" spans="1:1" x14ac:dyDescent="0.55000000000000004">
      <c r="A8780" s="17"/>
    </row>
    <row r="8781" spans="1:1" x14ac:dyDescent="0.55000000000000004">
      <c r="A8781" s="17"/>
    </row>
    <row r="8782" spans="1:1" x14ac:dyDescent="0.55000000000000004">
      <c r="A8782" s="17"/>
    </row>
    <row r="8783" spans="1:1" x14ac:dyDescent="0.55000000000000004">
      <c r="A8783" s="17"/>
    </row>
    <row r="8784" spans="1:1" x14ac:dyDescent="0.55000000000000004">
      <c r="A8784" s="17"/>
    </row>
    <row r="8785" spans="1:1" x14ac:dyDescent="0.55000000000000004">
      <c r="A8785" s="17"/>
    </row>
    <row r="8786" spans="1:1" x14ac:dyDescent="0.55000000000000004">
      <c r="A8786" s="17"/>
    </row>
    <row r="8787" spans="1:1" x14ac:dyDescent="0.55000000000000004">
      <c r="A8787" s="17"/>
    </row>
    <row r="8788" spans="1:1" x14ac:dyDescent="0.55000000000000004">
      <c r="A8788" s="17"/>
    </row>
    <row r="8789" spans="1:1" x14ac:dyDescent="0.55000000000000004">
      <c r="A8789" s="17"/>
    </row>
    <row r="8790" spans="1:1" x14ac:dyDescent="0.55000000000000004">
      <c r="A8790" s="17"/>
    </row>
    <row r="8791" spans="1:1" x14ac:dyDescent="0.55000000000000004">
      <c r="A8791" s="17"/>
    </row>
    <row r="8792" spans="1:1" x14ac:dyDescent="0.55000000000000004">
      <c r="A8792" s="17"/>
    </row>
    <row r="8793" spans="1:1" x14ac:dyDescent="0.55000000000000004">
      <c r="A8793" s="17"/>
    </row>
    <row r="8794" spans="1:1" x14ac:dyDescent="0.55000000000000004">
      <c r="A8794" s="17"/>
    </row>
    <row r="8795" spans="1:1" x14ac:dyDescent="0.55000000000000004">
      <c r="A8795" s="17"/>
    </row>
    <row r="8796" spans="1:1" x14ac:dyDescent="0.55000000000000004">
      <c r="A8796" s="17"/>
    </row>
    <row r="8797" spans="1:1" x14ac:dyDescent="0.55000000000000004">
      <c r="A8797" s="17"/>
    </row>
    <row r="8798" spans="1:1" x14ac:dyDescent="0.55000000000000004">
      <c r="A8798" s="17"/>
    </row>
    <row r="8799" spans="1:1" x14ac:dyDescent="0.55000000000000004">
      <c r="A8799" s="17"/>
    </row>
    <row r="8800" spans="1:1" x14ac:dyDescent="0.55000000000000004">
      <c r="A8800" s="17"/>
    </row>
    <row r="8801" spans="1:1" x14ac:dyDescent="0.55000000000000004">
      <c r="A8801" s="17"/>
    </row>
    <row r="8802" spans="1:1" x14ac:dyDescent="0.55000000000000004">
      <c r="A8802" s="17"/>
    </row>
    <row r="8803" spans="1:1" x14ac:dyDescent="0.55000000000000004">
      <c r="A8803" s="17"/>
    </row>
    <row r="8804" spans="1:1" x14ac:dyDescent="0.55000000000000004">
      <c r="A8804" s="17"/>
    </row>
    <row r="8805" spans="1:1" x14ac:dyDescent="0.55000000000000004">
      <c r="A8805" s="17"/>
    </row>
    <row r="8806" spans="1:1" x14ac:dyDescent="0.55000000000000004">
      <c r="A8806" s="17"/>
    </row>
    <row r="8807" spans="1:1" x14ac:dyDescent="0.55000000000000004">
      <c r="A8807" s="17"/>
    </row>
    <row r="8808" spans="1:1" x14ac:dyDescent="0.55000000000000004">
      <c r="A8808" s="17"/>
    </row>
    <row r="8809" spans="1:1" x14ac:dyDescent="0.55000000000000004">
      <c r="A8809" s="17"/>
    </row>
    <row r="8810" spans="1:1" x14ac:dyDescent="0.55000000000000004">
      <c r="A8810" s="17"/>
    </row>
    <row r="8811" spans="1:1" x14ac:dyDescent="0.55000000000000004">
      <c r="A8811" s="17"/>
    </row>
    <row r="8812" spans="1:1" x14ac:dyDescent="0.55000000000000004">
      <c r="A8812" s="17"/>
    </row>
    <row r="8813" spans="1:1" x14ac:dyDescent="0.55000000000000004">
      <c r="A8813" s="17"/>
    </row>
    <row r="8814" spans="1:1" x14ac:dyDescent="0.55000000000000004">
      <c r="A8814" s="17"/>
    </row>
    <row r="8815" spans="1:1" x14ac:dyDescent="0.55000000000000004">
      <c r="A8815" s="17"/>
    </row>
    <row r="8816" spans="1:1" x14ac:dyDescent="0.55000000000000004">
      <c r="A8816" s="17"/>
    </row>
    <row r="8817" spans="1:1" x14ac:dyDescent="0.55000000000000004">
      <c r="A8817" s="17"/>
    </row>
    <row r="8818" spans="1:1" x14ac:dyDescent="0.55000000000000004">
      <c r="A8818" s="17"/>
    </row>
    <row r="8819" spans="1:1" x14ac:dyDescent="0.55000000000000004">
      <c r="A8819" s="17"/>
    </row>
    <row r="8820" spans="1:1" x14ac:dyDescent="0.55000000000000004">
      <c r="A8820" s="17"/>
    </row>
    <row r="8821" spans="1:1" x14ac:dyDescent="0.55000000000000004">
      <c r="A8821" s="17"/>
    </row>
    <row r="8822" spans="1:1" x14ac:dyDescent="0.55000000000000004">
      <c r="A8822" s="17"/>
    </row>
    <row r="8823" spans="1:1" x14ac:dyDescent="0.55000000000000004">
      <c r="A8823" s="17"/>
    </row>
    <row r="8824" spans="1:1" x14ac:dyDescent="0.55000000000000004">
      <c r="A8824" s="17"/>
    </row>
    <row r="8825" spans="1:1" x14ac:dyDescent="0.55000000000000004">
      <c r="A8825" s="17"/>
    </row>
    <row r="8826" spans="1:1" x14ac:dyDescent="0.55000000000000004">
      <c r="A8826" s="17"/>
    </row>
    <row r="8827" spans="1:1" x14ac:dyDescent="0.55000000000000004">
      <c r="A8827" s="17"/>
    </row>
    <row r="8828" spans="1:1" x14ac:dyDescent="0.55000000000000004">
      <c r="A8828" s="17"/>
    </row>
    <row r="8829" spans="1:1" x14ac:dyDescent="0.55000000000000004">
      <c r="A8829" s="17"/>
    </row>
    <row r="8830" spans="1:1" x14ac:dyDescent="0.55000000000000004">
      <c r="A8830" s="17"/>
    </row>
    <row r="8831" spans="1:1" x14ac:dyDescent="0.55000000000000004">
      <c r="A8831" s="17"/>
    </row>
    <row r="8832" spans="1:1" x14ac:dyDescent="0.55000000000000004">
      <c r="A8832" s="17"/>
    </row>
    <row r="8833" spans="1:1" x14ac:dyDescent="0.55000000000000004">
      <c r="A8833" s="17"/>
    </row>
    <row r="8834" spans="1:1" x14ac:dyDescent="0.55000000000000004">
      <c r="A8834" s="17"/>
    </row>
    <row r="8835" spans="1:1" x14ac:dyDescent="0.55000000000000004">
      <c r="A8835" s="17"/>
    </row>
    <row r="8836" spans="1:1" x14ac:dyDescent="0.55000000000000004">
      <c r="A8836" s="17"/>
    </row>
    <row r="8837" spans="1:1" x14ac:dyDescent="0.55000000000000004">
      <c r="A8837" s="17"/>
    </row>
    <row r="8838" spans="1:1" x14ac:dyDescent="0.55000000000000004">
      <c r="A8838" s="17"/>
    </row>
    <row r="8839" spans="1:1" x14ac:dyDescent="0.55000000000000004">
      <c r="A8839" s="17"/>
    </row>
    <row r="8840" spans="1:1" x14ac:dyDescent="0.55000000000000004">
      <c r="A8840" s="17"/>
    </row>
    <row r="8841" spans="1:1" x14ac:dyDescent="0.55000000000000004">
      <c r="A8841" s="17"/>
    </row>
    <row r="8842" spans="1:1" x14ac:dyDescent="0.55000000000000004">
      <c r="A8842" s="17"/>
    </row>
    <row r="8843" spans="1:1" x14ac:dyDescent="0.55000000000000004">
      <c r="A8843" s="17"/>
    </row>
    <row r="8844" spans="1:1" x14ac:dyDescent="0.55000000000000004">
      <c r="A8844" s="17"/>
    </row>
    <row r="8845" spans="1:1" x14ac:dyDescent="0.55000000000000004">
      <c r="A8845" s="17"/>
    </row>
    <row r="8846" spans="1:1" x14ac:dyDescent="0.55000000000000004">
      <c r="A8846" s="17"/>
    </row>
    <row r="8847" spans="1:1" x14ac:dyDescent="0.55000000000000004">
      <c r="A8847" s="17"/>
    </row>
    <row r="8848" spans="1:1" x14ac:dyDescent="0.55000000000000004">
      <c r="A8848" s="17"/>
    </row>
    <row r="8849" spans="1:1" x14ac:dyDescent="0.55000000000000004">
      <c r="A8849" s="17"/>
    </row>
    <row r="8850" spans="1:1" x14ac:dyDescent="0.55000000000000004">
      <c r="A8850" s="17"/>
    </row>
    <row r="8851" spans="1:1" x14ac:dyDescent="0.55000000000000004">
      <c r="A8851" s="17"/>
    </row>
    <row r="8852" spans="1:1" x14ac:dyDescent="0.55000000000000004">
      <c r="A8852" s="17"/>
    </row>
    <row r="8853" spans="1:1" x14ac:dyDescent="0.55000000000000004">
      <c r="A8853" s="17"/>
    </row>
    <row r="8854" spans="1:1" x14ac:dyDescent="0.55000000000000004">
      <c r="A8854" s="17"/>
    </row>
    <row r="8855" spans="1:1" x14ac:dyDescent="0.55000000000000004">
      <c r="A8855" s="17"/>
    </row>
    <row r="8856" spans="1:1" x14ac:dyDescent="0.55000000000000004">
      <c r="A8856" s="17"/>
    </row>
    <row r="8857" spans="1:1" x14ac:dyDescent="0.55000000000000004">
      <c r="A8857" s="17"/>
    </row>
    <row r="8858" spans="1:1" x14ac:dyDescent="0.55000000000000004">
      <c r="A8858" s="17"/>
    </row>
    <row r="8859" spans="1:1" x14ac:dyDescent="0.55000000000000004">
      <c r="A8859" s="17"/>
    </row>
    <row r="8860" spans="1:1" x14ac:dyDescent="0.55000000000000004">
      <c r="A8860" s="17"/>
    </row>
    <row r="8861" spans="1:1" x14ac:dyDescent="0.55000000000000004">
      <c r="A8861" s="17"/>
    </row>
    <row r="8862" spans="1:1" x14ac:dyDescent="0.55000000000000004">
      <c r="A8862" s="17"/>
    </row>
    <row r="8863" spans="1:1" x14ac:dyDescent="0.55000000000000004">
      <c r="A8863" s="17"/>
    </row>
    <row r="8864" spans="1:1" x14ac:dyDescent="0.55000000000000004">
      <c r="A8864" s="17"/>
    </row>
    <row r="8865" spans="1:1" x14ac:dyDescent="0.55000000000000004">
      <c r="A8865" s="17"/>
    </row>
    <row r="8866" spans="1:1" x14ac:dyDescent="0.55000000000000004">
      <c r="A8866" s="17"/>
    </row>
    <row r="8867" spans="1:1" x14ac:dyDescent="0.55000000000000004">
      <c r="A8867" s="17"/>
    </row>
    <row r="8868" spans="1:1" x14ac:dyDescent="0.55000000000000004">
      <c r="A8868" s="17"/>
    </row>
    <row r="8869" spans="1:1" x14ac:dyDescent="0.55000000000000004">
      <c r="A8869" s="17"/>
    </row>
    <row r="8870" spans="1:1" x14ac:dyDescent="0.55000000000000004">
      <c r="A8870" s="17"/>
    </row>
    <row r="8871" spans="1:1" x14ac:dyDescent="0.55000000000000004">
      <c r="A8871" s="17"/>
    </row>
    <row r="8872" spans="1:1" x14ac:dyDescent="0.55000000000000004">
      <c r="A8872" s="17"/>
    </row>
    <row r="8873" spans="1:1" x14ac:dyDescent="0.55000000000000004">
      <c r="A8873" s="17"/>
    </row>
    <row r="8874" spans="1:1" x14ac:dyDescent="0.55000000000000004">
      <c r="A8874" s="17"/>
    </row>
    <row r="8875" spans="1:1" x14ac:dyDescent="0.55000000000000004">
      <c r="A8875" s="17"/>
    </row>
    <row r="8876" spans="1:1" x14ac:dyDescent="0.55000000000000004">
      <c r="A8876" s="17"/>
    </row>
    <row r="8877" spans="1:1" x14ac:dyDescent="0.55000000000000004">
      <c r="A8877" s="17"/>
    </row>
    <row r="8878" spans="1:1" x14ac:dyDescent="0.55000000000000004">
      <c r="A8878" s="17"/>
    </row>
    <row r="8879" spans="1:1" x14ac:dyDescent="0.55000000000000004">
      <c r="A8879" s="17"/>
    </row>
    <row r="8880" spans="1:1" x14ac:dyDescent="0.55000000000000004">
      <c r="A8880" s="17"/>
    </row>
    <row r="8881" spans="1:1" x14ac:dyDescent="0.55000000000000004">
      <c r="A8881" s="17"/>
    </row>
    <row r="8882" spans="1:1" x14ac:dyDescent="0.55000000000000004">
      <c r="A8882" s="17"/>
    </row>
    <row r="8883" spans="1:1" x14ac:dyDescent="0.55000000000000004">
      <c r="A8883" s="17"/>
    </row>
    <row r="8884" spans="1:1" x14ac:dyDescent="0.55000000000000004">
      <c r="A8884" s="17"/>
    </row>
    <row r="8885" spans="1:1" x14ac:dyDescent="0.55000000000000004">
      <c r="A8885" s="17"/>
    </row>
    <row r="8886" spans="1:1" x14ac:dyDescent="0.55000000000000004">
      <c r="A8886" s="17"/>
    </row>
    <row r="8887" spans="1:1" x14ac:dyDescent="0.55000000000000004">
      <c r="A8887" s="17"/>
    </row>
    <row r="8888" spans="1:1" x14ac:dyDescent="0.55000000000000004">
      <c r="A8888" s="17"/>
    </row>
    <row r="8889" spans="1:1" x14ac:dyDescent="0.55000000000000004">
      <c r="A8889" s="17"/>
    </row>
    <row r="8890" spans="1:1" x14ac:dyDescent="0.55000000000000004">
      <c r="A8890" s="17"/>
    </row>
    <row r="8891" spans="1:1" x14ac:dyDescent="0.55000000000000004">
      <c r="A8891" s="17"/>
    </row>
    <row r="8892" spans="1:1" x14ac:dyDescent="0.55000000000000004">
      <c r="A8892" s="17"/>
    </row>
    <row r="8893" spans="1:1" x14ac:dyDescent="0.55000000000000004">
      <c r="A8893" s="17"/>
    </row>
    <row r="8894" spans="1:1" x14ac:dyDescent="0.55000000000000004">
      <c r="A8894" s="17"/>
    </row>
    <row r="8895" spans="1:1" x14ac:dyDescent="0.55000000000000004">
      <c r="A8895" s="17"/>
    </row>
    <row r="8896" spans="1:1" x14ac:dyDescent="0.55000000000000004">
      <c r="A8896" s="17"/>
    </row>
    <row r="8897" spans="1:1" x14ac:dyDescent="0.55000000000000004">
      <c r="A8897" s="17"/>
    </row>
    <row r="8898" spans="1:1" x14ac:dyDescent="0.55000000000000004">
      <c r="A8898" s="17"/>
    </row>
    <row r="8899" spans="1:1" x14ac:dyDescent="0.55000000000000004">
      <c r="A8899" s="17"/>
    </row>
    <row r="8900" spans="1:1" x14ac:dyDescent="0.55000000000000004">
      <c r="A8900" s="17"/>
    </row>
    <row r="8901" spans="1:1" x14ac:dyDescent="0.55000000000000004">
      <c r="A8901" s="17"/>
    </row>
    <row r="8902" spans="1:1" x14ac:dyDescent="0.55000000000000004">
      <c r="A8902" s="17"/>
    </row>
    <row r="8903" spans="1:1" x14ac:dyDescent="0.55000000000000004">
      <c r="A8903" s="17"/>
    </row>
    <row r="8904" spans="1:1" x14ac:dyDescent="0.55000000000000004">
      <c r="A8904" s="17"/>
    </row>
    <row r="8905" spans="1:1" x14ac:dyDescent="0.55000000000000004">
      <c r="A8905" s="17"/>
    </row>
    <row r="8906" spans="1:1" x14ac:dyDescent="0.55000000000000004">
      <c r="A8906" s="17"/>
    </row>
    <row r="8907" spans="1:1" x14ac:dyDescent="0.55000000000000004">
      <c r="A8907" s="17"/>
    </row>
    <row r="8908" spans="1:1" x14ac:dyDescent="0.55000000000000004">
      <c r="A8908" s="17"/>
    </row>
    <row r="8909" spans="1:1" x14ac:dyDescent="0.55000000000000004">
      <c r="A8909" s="17"/>
    </row>
    <row r="8910" spans="1:1" x14ac:dyDescent="0.55000000000000004">
      <c r="A8910" s="17"/>
    </row>
    <row r="8911" spans="1:1" x14ac:dyDescent="0.55000000000000004">
      <c r="A8911" s="17"/>
    </row>
    <row r="8912" spans="1:1" x14ac:dyDescent="0.55000000000000004">
      <c r="A8912" s="17"/>
    </row>
    <row r="8913" spans="1:1" x14ac:dyDescent="0.55000000000000004">
      <c r="A8913" s="17"/>
    </row>
    <row r="8914" spans="1:1" x14ac:dyDescent="0.55000000000000004">
      <c r="A8914" s="17"/>
    </row>
    <row r="8915" spans="1:1" x14ac:dyDescent="0.55000000000000004">
      <c r="A8915" s="17"/>
    </row>
    <row r="8916" spans="1:1" x14ac:dyDescent="0.55000000000000004">
      <c r="A8916" s="17"/>
    </row>
    <row r="8917" spans="1:1" x14ac:dyDescent="0.55000000000000004">
      <c r="A8917" s="17"/>
    </row>
    <row r="8918" spans="1:1" x14ac:dyDescent="0.55000000000000004">
      <c r="A8918" s="17"/>
    </row>
    <row r="8919" spans="1:1" x14ac:dyDescent="0.55000000000000004">
      <c r="A8919" s="17"/>
    </row>
    <row r="8920" spans="1:1" x14ac:dyDescent="0.55000000000000004">
      <c r="A8920" s="17"/>
    </row>
    <row r="8921" spans="1:1" x14ac:dyDescent="0.55000000000000004">
      <c r="A8921" s="17"/>
    </row>
    <row r="8922" spans="1:1" x14ac:dyDescent="0.55000000000000004">
      <c r="A8922" s="17"/>
    </row>
    <row r="8923" spans="1:1" x14ac:dyDescent="0.55000000000000004">
      <c r="A8923" s="17"/>
    </row>
    <row r="8924" spans="1:1" x14ac:dyDescent="0.55000000000000004">
      <c r="A8924" s="17"/>
    </row>
    <row r="8925" spans="1:1" x14ac:dyDescent="0.55000000000000004">
      <c r="A8925" s="17"/>
    </row>
    <row r="8926" spans="1:1" x14ac:dyDescent="0.55000000000000004">
      <c r="A8926" s="17"/>
    </row>
    <row r="8927" spans="1:1" x14ac:dyDescent="0.55000000000000004">
      <c r="A8927" s="17"/>
    </row>
    <row r="8928" spans="1:1" x14ac:dyDescent="0.55000000000000004">
      <c r="A8928" s="17"/>
    </row>
    <row r="8929" spans="1:1" x14ac:dyDescent="0.55000000000000004">
      <c r="A8929" s="17"/>
    </row>
    <row r="8930" spans="1:1" x14ac:dyDescent="0.55000000000000004">
      <c r="A8930" s="17"/>
    </row>
    <row r="8931" spans="1:1" x14ac:dyDescent="0.55000000000000004">
      <c r="A8931" s="17"/>
    </row>
    <row r="8932" spans="1:1" x14ac:dyDescent="0.55000000000000004">
      <c r="A8932" s="17"/>
    </row>
    <row r="8933" spans="1:1" x14ac:dyDescent="0.55000000000000004">
      <c r="A8933" s="17"/>
    </row>
    <row r="8934" spans="1:1" x14ac:dyDescent="0.55000000000000004">
      <c r="A8934" s="17"/>
    </row>
    <row r="8935" spans="1:1" x14ac:dyDescent="0.55000000000000004">
      <c r="A8935" s="17"/>
    </row>
    <row r="8936" spans="1:1" x14ac:dyDescent="0.55000000000000004">
      <c r="A8936" s="17"/>
    </row>
    <row r="8937" spans="1:1" x14ac:dyDescent="0.55000000000000004">
      <c r="A8937" s="17"/>
    </row>
    <row r="8938" spans="1:1" x14ac:dyDescent="0.55000000000000004">
      <c r="A8938" s="17"/>
    </row>
    <row r="8939" spans="1:1" x14ac:dyDescent="0.55000000000000004">
      <c r="A8939" s="17"/>
    </row>
    <row r="8940" spans="1:1" x14ac:dyDescent="0.55000000000000004">
      <c r="A8940" s="17"/>
    </row>
    <row r="8941" spans="1:1" x14ac:dyDescent="0.55000000000000004">
      <c r="A8941" s="17"/>
    </row>
    <row r="8942" spans="1:1" x14ac:dyDescent="0.55000000000000004">
      <c r="A8942" s="17"/>
    </row>
    <row r="8943" spans="1:1" x14ac:dyDescent="0.55000000000000004">
      <c r="A8943" s="17"/>
    </row>
    <row r="8944" spans="1:1" x14ac:dyDescent="0.55000000000000004">
      <c r="A8944" s="17"/>
    </row>
    <row r="8945" spans="1:1" x14ac:dyDescent="0.55000000000000004">
      <c r="A8945" s="17"/>
    </row>
    <row r="8946" spans="1:1" x14ac:dyDescent="0.55000000000000004">
      <c r="A8946" s="17"/>
    </row>
    <row r="8947" spans="1:1" x14ac:dyDescent="0.55000000000000004">
      <c r="A8947" s="17"/>
    </row>
    <row r="8948" spans="1:1" x14ac:dyDescent="0.55000000000000004">
      <c r="A8948" s="17"/>
    </row>
    <row r="8949" spans="1:1" x14ac:dyDescent="0.55000000000000004">
      <c r="A8949" s="17"/>
    </row>
    <row r="8950" spans="1:1" x14ac:dyDescent="0.55000000000000004">
      <c r="A8950" s="17"/>
    </row>
    <row r="8951" spans="1:1" x14ac:dyDescent="0.55000000000000004">
      <c r="A8951" s="17"/>
    </row>
    <row r="8952" spans="1:1" x14ac:dyDescent="0.55000000000000004">
      <c r="A8952" s="17"/>
    </row>
    <row r="8953" spans="1:1" x14ac:dyDescent="0.55000000000000004">
      <c r="A8953" s="17"/>
    </row>
    <row r="8954" spans="1:1" x14ac:dyDescent="0.55000000000000004">
      <c r="A8954" s="17"/>
    </row>
    <row r="8955" spans="1:1" x14ac:dyDescent="0.55000000000000004">
      <c r="A8955" s="17"/>
    </row>
    <row r="8956" spans="1:1" x14ac:dyDescent="0.55000000000000004">
      <c r="A8956" s="17"/>
    </row>
    <row r="8957" spans="1:1" x14ac:dyDescent="0.55000000000000004">
      <c r="A8957" s="17"/>
    </row>
    <row r="8958" spans="1:1" x14ac:dyDescent="0.55000000000000004">
      <c r="A8958" s="17"/>
    </row>
    <row r="8959" spans="1:1" x14ac:dyDescent="0.55000000000000004">
      <c r="A8959" s="17"/>
    </row>
    <row r="8960" spans="1:1" x14ac:dyDescent="0.55000000000000004">
      <c r="A8960" s="17"/>
    </row>
    <row r="8961" spans="1:1" x14ac:dyDescent="0.55000000000000004">
      <c r="A8961" s="17"/>
    </row>
    <row r="8962" spans="1:1" x14ac:dyDescent="0.55000000000000004">
      <c r="A8962" s="17"/>
    </row>
    <row r="8963" spans="1:1" x14ac:dyDescent="0.55000000000000004">
      <c r="A8963" s="17"/>
    </row>
    <row r="8964" spans="1:1" x14ac:dyDescent="0.55000000000000004">
      <c r="A8964" s="17"/>
    </row>
    <row r="8965" spans="1:1" x14ac:dyDescent="0.55000000000000004">
      <c r="A8965" s="17"/>
    </row>
    <row r="8966" spans="1:1" x14ac:dyDescent="0.55000000000000004">
      <c r="A8966" s="17"/>
    </row>
    <row r="8967" spans="1:1" x14ac:dyDescent="0.55000000000000004">
      <c r="A8967" s="17"/>
    </row>
    <row r="8968" spans="1:1" x14ac:dyDescent="0.55000000000000004">
      <c r="A8968" s="17"/>
    </row>
    <row r="8969" spans="1:1" x14ac:dyDescent="0.55000000000000004">
      <c r="A8969" s="17"/>
    </row>
    <row r="8970" spans="1:1" x14ac:dyDescent="0.55000000000000004">
      <c r="A8970" s="17"/>
    </row>
    <row r="8971" spans="1:1" x14ac:dyDescent="0.55000000000000004">
      <c r="A8971" s="17"/>
    </row>
    <row r="8972" spans="1:1" x14ac:dyDescent="0.55000000000000004">
      <c r="A8972" s="17"/>
    </row>
    <row r="8973" spans="1:1" x14ac:dyDescent="0.55000000000000004">
      <c r="A8973" s="17"/>
    </row>
    <row r="8974" spans="1:1" x14ac:dyDescent="0.55000000000000004">
      <c r="A8974" s="17"/>
    </row>
    <row r="8975" spans="1:1" x14ac:dyDescent="0.55000000000000004">
      <c r="A8975" s="17"/>
    </row>
    <row r="8976" spans="1:1" x14ac:dyDescent="0.55000000000000004">
      <c r="A8976" s="17"/>
    </row>
    <row r="8977" spans="1:1" x14ac:dyDescent="0.55000000000000004">
      <c r="A8977" s="17"/>
    </row>
    <row r="8978" spans="1:1" x14ac:dyDescent="0.55000000000000004">
      <c r="A8978" s="17"/>
    </row>
    <row r="8979" spans="1:1" x14ac:dyDescent="0.55000000000000004">
      <c r="A8979" s="17"/>
    </row>
    <row r="8980" spans="1:1" x14ac:dyDescent="0.55000000000000004">
      <c r="A8980" s="17"/>
    </row>
    <row r="8981" spans="1:1" x14ac:dyDescent="0.55000000000000004">
      <c r="A8981" s="17"/>
    </row>
    <row r="8982" spans="1:1" x14ac:dyDescent="0.55000000000000004">
      <c r="A8982" s="17"/>
    </row>
    <row r="8983" spans="1:1" x14ac:dyDescent="0.55000000000000004">
      <c r="A8983" s="17"/>
    </row>
    <row r="8984" spans="1:1" x14ac:dyDescent="0.55000000000000004">
      <c r="A8984" s="17"/>
    </row>
    <row r="8985" spans="1:1" x14ac:dyDescent="0.55000000000000004">
      <c r="A8985" s="17"/>
    </row>
    <row r="8986" spans="1:1" x14ac:dyDescent="0.55000000000000004">
      <c r="A8986" s="17"/>
    </row>
    <row r="8987" spans="1:1" x14ac:dyDescent="0.55000000000000004">
      <c r="A8987" s="17"/>
    </row>
    <row r="8988" spans="1:1" x14ac:dyDescent="0.55000000000000004">
      <c r="A8988" s="17"/>
    </row>
    <row r="8989" spans="1:1" x14ac:dyDescent="0.55000000000000004">
      <c r="A8989" s="17"/>
    </row>
    <row r="8990" spans="1:1" x14ac:dyDescent="0.55000000000000004">
      <c r="A8990" s="17"/>
    </row>
    <row r="8991" spans="1:1" x14ac:dyDescent="0.55000000000000004">
      <c r="A8991" s="17"/>
    </row>
    <row r="8992" spans="1:1" x14ac:dyDescent="0.55000000000000004">
      <c r="A8992" s="17"/>
    </row>
    <row r="8993" spans="1:1" x14ac:dyDescent="0.55000000000000004">
      <c r="A8993" s="17"/>
    </row>
    <row r="8994" spans="1:1" x14ac:dyDescent="0.55000000000000004">
      <c r="A8994" s="17"/>
    </row>
    <row r="8995" spans="1:1" x14ac:dyDescent="0.55000000000000004">
      <c r="A8995" s="17"/>
    </row>
    <row r="8996" spans="1:1" x14ac:dyDescent="0.55000000000000004">
      <c r="A8996" s="17"/>
    </row>
    <row r="8997" spans="1:1" x14ac:dyDescent="0.55000000000000004">
      <c r="A8997" s="17"/>
    </row>
    <row r="8998" spans="1:1" x14ac:dyDescent="0.55000000000000004">
      <c r="A8998" s="17"/>
    </row>
    <row r="8999" spans="1:1" x14ac:dyDescent="0.55000000000000004">
      <c r="A8999" s="17"/>
    </row>
    <row r="9000" spans="1:1" x14ac:dyDescent="0.55000000000000004">
      <c r="A9000" s="17"/>
    </row>
    <row r="9001" spans="1:1" x14ac:dyDescent="0.55000000000000004">
      <c r="A9001" s="17"/>
    </row>
    <row r="9002" spans="1:1" x14ac:dyDescent="0.55000000000000004">
      <c r="A9002" s="17"/>
    </row>
    <row r="9003" spans="1:1" x14ac:dyDescent="0.55000000000000004">
      <c r="A9003" s="17"/>
    </row>
    <row r="9004" spans="1:1" x14ac:dyDescent="0.55000000000000004">
      <c r="A9004" s="17"/>
    </row>
    <row r="9005" spans="1:1" x14ac:dyDescent="0.55000000000000004">
      <c r="A9005" s="17"/>
    </row>
    <row r="9006" spans="1:1" x14ac:dyDescent="0.55000000000000004">
      <c r="A9006" s="17"/>
    </row>
    <row r="9007" spans="1:1" x14ac:dyDescent="0.55000000000000004">
      <c r="A9007" s="17"/>
    </row>
    <row r="9008" spans="1:1" x14ac:dyDescent="0.55000000000000004">
      <c r="A9008" s="17"/>
    </row>
    <row r="9009" spans="1:1" x14ac:dyDescent="0.55000000000000004">
      <c r="A9009" s="17"/>
    </row>
    <row r="9010" spans="1:1" x14ac:dyDescent="0.55000000000000004">
      <c r="A9010" s="17"/>
    </row>
    <row r="9011" spans="1:1" x14ac:dyDescent="0.55000000000000004">
      <c r="A9011" s="17"/>
    </row>
    <row r="9012" spans="1:1" x14ac:dyDescent="0.55000000000000004">
      <c r="A9012" s="17"/>
    </row>
    <row r="9013" spans="1:1" x14ac:dyDescent="0.55000000000000004">
      <c r="A9013" s="17"/>
    </row>
    <row r="9014" spans="1:1" x14ac:dyDescent="0.55000000000000004">
      <c r="A9014" s="17"/>
    </row>
    <row r="9015" spans="1:1" x14ac:dyDescent="0.55000000000000004">
      <c r="A9015" s="17"/>
    </row>
    <row r="9016" spans="1:1" x14ac:dyDescent="0.55000000000000004">
      <c r="A9016" s="17"/>
    </row>
    <row r="9017" spans="1:1" x14ac:dyDescent="0.55000000000000004">
      <c r="A9017" s="17"/>
    </row>
    <row r="9018" spans="1:1" x14ac:dyDescent="0.55000000000000004">
      <c r="A9018" s="17"/>
    </row>
    <row r="9019" spans="1:1" x14ac:dyDescent="0.55000000000000004">
      <c r="A9019" s="17"/>
    </row>
    <row r="9020" spans="1:1" x14ac:dyDescent="0.55000000000000004">
      <c r="A9020" s="17"/>
    </row>
    <row r="9021" spans="1:1" x14ac:dyDescent="0.55000000000000004">
      <c r="A9021" s="17"/>
    </row>
    <row r="9022" spans="1:1" x14ac:dyDescent="0.55000000000000004">
      <c r="A9022" s="17"/>
    </row>
    <row r="9023" spans="1:1" x14ac:dyDescent="0.55000000000000004">
      <c r="A9023" s="17"/>
    </row>
    <row r="9024" spans="1:1" x14ac:dyDescent="0.55000000000000004">
      <c r="A9024" s="17"/>
    </row>
    <row r="9025" spans="1:1" x14ac:dyDescent="0.55000000000000004">
      <c r="A9025" s="17"/>
    </row>
    <row r="9026" spans="1:1" x14ac:dyDescent="0.55000000000000004">
      <c r="A9026" s="17"/>
    </row>
    <row r="9027" spans="1:1" x14ac:dyDescent="0.55000000000000004">
      <c r="A9027" s="17"/>
    </row>
    <row r="9028" spans="1:1" x14ac:dyDescent="0.55000000000000004">
      <c r="A9028" s="17"/>
    </row>
    <row r="9029" spans="1:1" x14ac:dyDescent="0.55000000000000004">
      <c r="A9029" s="17"/>
    </row>
    <row r="9030" spans="1:1" x14ac:dyDescent="0.55000000000000004">
      <c r="A9030" s="17"/>
    </row>
    <row r="9031" spans="1:1" x14ac:dyDescent="0.55000000000000004">
      <c r="A9031" s="17"/>
    </row>
    <row r="9032" spans="1:1" x14ac:dyDescent="0.55000000000000004">
      <c r="A9032" s="17"/>
    </row>
    <row r="9033" spans="1:1" x14ac:dyDescent="0.55000000000000004">
      <c r="A9033" s="17"/>
    </row>
    <row r="9034" spans="1:1" x14ac:dyDescent="0.55000000000000004">
      <c r="A9034" s="17"/>
    </row>
    <row r="9035" spans="1:1" x14ac:dyDescent="0.55000000000000004">
      <c r="A9035" s="17"/>
    </row>
    <row r="9036" spans="1:1" x14ac:dyDescent="0.55000000000000004">
      <c r="A9036" s="17"/>
    </row>
    <row r="9037" spans="1:1" x14ac:dyDescent="0.55000000000000004">
      <c r="A9037" s="17"/>
    </row>
    <row r="9038" spans="1:1" x14ac:dyDescent="0.55000000000000004">
      <c r="A9038" s="17"/>
    </row>
    <row r="9039" spans="1:1" x14ac:dyDescent="0.55000000000000004">
      <c r="A9039" s="17"/>
    </row>
    <row r="9040" spans="1:1" x14ac:dyDescent="0.55000000000000004">
      <c r="A9040" s="17"/>
    </row>
    <row r="9041" spans="1:1" x14ac:dyDescent="0.55000000000000004">
      <c r="A9041" s="17"/>
    </row>
    <row r="9042" spans="1:1" x14ac:dyDescent="0.55000000000000004">
      <c r="A9042" s="17"/>
    </row>
    <row r="9043" spans="1:1" x14ac:dyDescent="0.55000000000000004">
      <c r="A9043" s="17"/>
    </row>
    <row r="9044" spans="1:1" x14ac:dyDescent="0.55000000000000004">
      <c r="A9044" s="17"/>
    </row>
    <row r="9045" spans="1:1" x14ac:dyDescent="0.55000000000000004">
      <c r="A9045" s="17"/>
    </row>
    <row r="9046" spans="1:1" x14ac:dyDescent="0.55000000000000004">
      <c r="A9046" s="17"/>
    </row>
    <row r="9047" spans="1:1" x14ac:dyDescent="0.55000000000000004">
      <c r="A9047" s="17"/>
    </row>
    <row r="9048" spans="1:1" x14ac:dyDescent="0.55000000000000004">
      <c r="A9048" s="17"/>
    </row>
    <row r="9049" spans="1:1" x14ac:dyDescent="0.55000000000000004">
      <c r="A9049" s="17"/>
    </row>
    <row r="9050" spans="1:1" x14ac:dyDescent="0.55000000000000004">
      <c r="A9050" s="17"/>
    </row>
    <row r="9051" spans="1:1" x14ac:dyDescent="0.55000000000000004">
      <c r="A9051" s="17"/>
    </row>
    <row r="9052" spans="1:1" x14ac:dyDescent="0.55000000000000004">
      <c r="A9052" s="17"/>
    </row>
    <row r="9053" spans="1:1" x14ac:dyDescent="0.55000000000000004">
      <c r="A9053" s="17"/>
    </row>
    <row r="9054" spans="1:1" x14ac:dyDescent="0.55000000000000004">
      <c r="A9054" s="17"/>
    </row>
    <row r="9055" spans="1:1" x14ac:dyDescent="0.55000000000000004">
      <c r="A9055" s="17"/>
    </row>
    <row r="9056" spans="1:1" x14ac:dyDescent="0.55000000000000004">
      <c r="A9056" s="17"/>
    </row>
    <row r="9057" spans="1:1" x14ac:dyDescent="0.55000000000000004">
      <c r="A9057" s="17"/>
    </row>
    <row r="9058" spans="1:1" x14ac:dyDescent="0.55000000000000004">
      <c r="A9058" s="17"/>
    </row>
    <row r="9059" spans="1:1" x14ac:dyDescent="0.55000000000000004">
      <c r="A9059" s="17"/>
    </row>
    <row r="9060" spans="1:1" x14ac:dyDescent="0.55000000000000004">
      <c r="A9060" s="17"/>
    </row>
    <row r="9061" spans="1:1" x14ac:dyDescent="0.55000000000000004">
      <c r="A9061" s="17"/>
    </row>
    <row r="9062" spans="1:1" x14ac:dyDescent="0.55000000000000004">
      <c r="A9062" s="17"/>
    </row>
    <row r="9063" spans="1:1" x14ac:dyDescent="0.55000000000000004">
      <c r="A9063" s="17"/>
    </row>
    <row r="9064" spans="1:1" x14ac:dyDescent="0.55000000000000004">
      <c r="A9064" s="17"/>
    </row>
    <row r="9065" spans="1:1" x14ac:dyDescent="0.55000000000000004">
      <c r="A9065" s="17"/>
    </row>
    <row r="9066" spans="1:1" x14ac:dyDescent="0.55000000000000004">
      <c r="A9066" s="17"/>
    </row>
    <row r="9067" spans="1:1" x14ac:dyDescent="0.55000000000000004">
      <c r="A9067" s="17"/>
    </row>
    <row r="9068" spans="1:1" x14ac:dyDescent="0.55000000000000004">
      <c r="A9068" s="17"/>
    </row>
    <row r="9069" spans="1:1" x14ac:dyDescent="0.55000000000000004">
      <c r="A9069" s="17"/>
    </row>
    <row r="9070" spans="1:1" x14ac:dyDescent="0.55000000000000004">
      <c r="A9070" s="17"/>
    </row>
    <row r="9071" spans="1:1" x14ac:dyDescent="0.55000000000000004">
      <c r="A9071" s="17"/>
    </row>
    <row r="9072" spans="1:1" x14ac:dyDescent="0.55000000000000004">
      <c r="A9072" s="17"/>
    </row>
    <row r="9073" spans="1:1" x14ac:dyDescent="0.55000000000000004">
      <c r="A9073" s="17"/>
    </row>
    <row r="9074" spans="1:1" x14ac:dyDescent="0.55000000000000004">
      <c r="A9074" s="17"/>
    </row>
    <row r="9075" spans="1:1" x14ac:dyDescent="0.55000000000000004">
      <c r="A9075" s="17"/>
    </row>
    <row r="9076" spans="1:1" x14ac:dyDescent="0.55000000000000004">
      <c r="A9076" s="17"/>
    </row>
    <row r="9077" spans="1:1" x14ac:dyDescent="0.55000000000000004">
      <c r="A9077" s="17"/>
    </row>
    <row r="9078" spans="1:1" x14ac:dyDescent="0.55000000000000004">
      <c r="A9078" s="17"/>
    </row>
    <row r="9079" spans="1:1" x14ac:dyDescent="0.55000000000000004">
      <c r="A9079" s="17"/>
    </row>
    <row r="9080" spans="1:1" x14ac:dyDescent="0.55000000000000004">
      <c r="A9080" s="17"/>
    </row>
    <row r="9081" spans="1:1" x14ac:dyDescent="0.55000000000000004">
      <c r="A9081" s="17"/>
    </row>
    <row r="9082" spans="1:1" x14ac:dyDescent="0.55000000000000004">
      <c r="A9082" s="17"/>
    </row>
    <row r="9083" spans="1:1" x14ac:dyDescent="0.55000000000000004">
      <c r="A9083" s="17"/>
    </row>
    <row r="9084" spans="1:1" x14ac:dyDescent="0.55000000000000004">
      <c r="A9084" s="17"/>
    </row>
    <row r="9085" spans="1:1" x14ac:dyDescent="0.55000000000000004">
      <c r="A9085" s="17"/>
    </row>
    <row r="9086" spans="1:1" x14ac:dyDescent="0.55000000000000004">
      <c r="A9086" s="17"/>
    </row>
    <row r="9087" spans="1:1" x14ac:dyDescent="0.55000000000000004">
      <c r="A9087" s="17"/>
    </row>
    <row r="9088" spans="1:1" x14ac:dyDescent="0.55000000000000004">
      <c r="A9088" s="17"/>
    </row>
    <row r="9089" spans="1:1" x14ac:dyDescent="0.55000000000000004">
      <c r="A9089" s="17"/>
    </row>
    <row r="9090" spans="1:1" x14ac:dyDescent="0.55000000000000004">
      <c r="A9090" s="17"/>
    </row>
    <row r="9091" spans="1:1" x14ac:dyDescent="0.55000000000000004">
      <c r="A9091" s="17"/>
    </row>
    <row r="9092" spans="1:1" x14ac:dyDescent="0.55000000000000004">
      <c r="A9092" s="17"/>
    </row>
    <row r="9093" spans="1:1" x14ac:dyDescent="0.55000000000000004">
      <c r="A9093" s="17"/>
    </row>
    <row r="9094" spans="1:1" x14ac:dyDescent="0.55000000000000004">
      <c r="A9094" s="17"/>
    </row>
    <row r="9095" spans="1:1" x14ac:dyDescent="0.55000000000000004">
      <c r="A9095" s="17"/>
    </row>
    <row r="9096" spans="1:1" x14ac:dyDescent="0.55000000000000004">
      <c r="A9096" s="17"/>
    </row>
    <row r="9097" spans="1:1" x14ac:dyDescent="0.55000000000000004">
      <c r="A9097" s="17"/>
    </row>
    <row r="9098" spans="1:1" x14ac:dyDescent="0.55000000000000004">
      <c r="A9098" s="17"/>
    </row>
    <row r="9099" spans="1:1" x14ac:dyDescent="0.55000000000000004">
      <c r="A9099" s="17"/>
    </row>
    <row r="9100" spans="1:1" x14ac:dyDescent="0.55000000000000004">
      <c r="A9100" s="17"/>
    </row>
    <row r="9101" spans="1:1" x14ac:dyDescent="0.55000000000000004">
      <c r="A9101" s="17"/>
    </row>
    <row r="9102" spans="1:1" x14ac:dyDescent="0.55000000000000004">
      <c r="A9102" s="17"/>
    </row>
    <row r="9103" spans="1:1" x14ac:dyDescent="0.55000000000000004">
      <c r="A9103" s="17"/>
    </row>
    <row r="9104" spans="1:1" x14ac:dyDescent="0.55000000000000004">
      <c r="A9104" s="17"/>
    </row>
    <row r="9105" spans="1:1" x14ac:dyDescent="0.55000000000000004">
      <c r="A9105" s="17"/>
    </row>
    <row r="9106" spans="1:1" x14ac:dyDescent="0.55000000000000004">
      <c r="A9106" s="17"/>
    </row>
    <row r="9107" spans="1:1" x14ac:dyDescent="0.55000000000000004">
      <c r="A9107" s="17"/>
    </row>
    <row r="9108" spans="1:1" x14ac:dyDescent="0.55000000000000004">
      <c r="A9108" s="17"/>
    </row>
    <row r="9109" spans="1:1" x14ac:dyDescent="0.55000000000000004">
      <c r="A9109" s="17"/>
    </row>
    <row r="9110" spans="1:1" x14ac:dyDescent="0.55000000000000004">
      <c r="A9110" s="17"/>
    </row>
    <row r="9111" spans="1:1" x14ac:dyDescent="0.55000000000000004">
      <c r="A9111" s="17"/>
    </row>
    <row r="9112" spans="1:1" x14ac:dyDescent="0.55000000000000004">
      <c r="A9112" s="17"/>
    </row>
    <row r="9113" spans="1:1" x14ac:dyDescent="0.55000000000000004">
      <c r="A9113" s="17"/>
    </row>
    <row r="9114" spans="1:1" x14ac:dyDescent="0.55000000000000004">
      <c r="A9114" s="17"/>
    </row>
    <row r="9115" spans="1:1" x14ac:dyDescent="0.55000000000000004">
      <c r="A9115" s="17"/>
    </row>
    <row r="9116" spans="1:1" x14ac:dyDescent="0.55000000000000004">
      <c r="A9116" s="17"/>
    </row>
    <row r="9117" spans="1:1" x14ac:dyDescent="0.55000000000000004">
      <c r="A9117" s="17"/>
    </row>
    <row r="9118" spans="1:1" x14ac:dyDescent="0.55000000000000004">
      <c r="A9118" s="17"/>
    </row>
    <row r="9119" spans="1:1" x14ac:dyDescent="0.55000000000000004">
      <c r="A9119" s="17"/>
    </row>
    <row r="9120" spans="1:1" x14ac:dyDescent="0.55000000000000004">
      <c r="A9120" s="17"/>
    </row>
    <row r="9121" spans="1:1" x14ac:dyDescent="0.55000000000000004">
      <c r="A9121" s="17"/>
    </row>
    <row r="9122" spans="1:1" x14ac:dyDescent="0.55000000000000004">
      <c r="A9122" s="17"/>
    </row>
    <row r="9123" spans="1:1" x14ac:dyDescent="0.55000000000000004">
      <c r="A9123" s="17"/>
    </row>
    <row r="9124" spans="1:1" x14ac:dyDescent="0.55000000000000004">
      <c r="A9124" s="17"/>
    </row>
    <row r="9125" spans="1:1" x14ac:dyDescent="0.55000000000000004">
      <c r="A9125" s="17"/>
    </row>
    <row r="9126" spans="1:1" x14ac:dyDescent="0.55000000000000004">
      <c r="A9126" s="17"/>
    </row>
    <row r="9127" spans="1:1" x14ac:dyDescent="0.55000000000000004">
      <c r="A9127" s="17"/>
    </row>
    <row r="9128" spans="1:1" x14ac:dyDescent="0.55000000000000004">
      <c r="A9128" s="17"/>
    </row>
    <row r="9129" spans="1:1" x14ac:dyDescent="0.55000000000000004">
      <c r="A9129" s="17"/>
    </row>
    <row r="9130" spans="1:1" x14ac:dyDescent="0.55000000000000004">
      <c r="A9130" s="17"/>
    </row>
    <row r="9131" spans="1:1" x14ac:dyDescent="0.55000000000000004">
      <c r="A9131" s="17"/>
    </row>
    <row r="9132" spans="1:1" x14ac:dyDescent="0.55000000000000004">
      <c r="A9132" s="17"/>
    </row>
    <row r="9133" spans="1:1" x14ac:dyDescent="0.55000000000000004">
      <c r="A9133" s="17"/>
    </row>
    <row r="9134" spans="1:1" x14ac:dyDescent="0.55000000000000004">
      <c r="A9134" s="17"/>
    </row>
    <row r="9135" spans="1:1" x14ac:dyDescent="0.55000000000000004">
      <c r="A9135" s="17"/>
    </row>
    <row r="9136" spans="1:1" x14ac:dyDescent="0.55000000000000004">
      <c r="A9136" s="17"/>
    </row>
    <row r="9137" spans="1:1" x14ac:dyDescent="0.55000000000000004">
      <c r="A9137" s="17"/>
    </row>
    <row r="9138" spans="1:1" x14ac:dyDescent="0.55000000000000004">
      <c r="A9138" s="17"/>
    </row>
    <row r="9139" spans="1:1" x14ac:dyDescent="0.55000000000000004">
      <c r="A9139" s="17"/>
    </row>
    <row r="9140" spans="1:1" x14ac:dyDescent="0.55000000000000004">
      <c r="A9140" s="17"/>
    </row>
    <row r="9141" spans="1:1" x14ac:dyDescent="0.55000000000000004">
      <c r="A9141" s="17"/>
    </row>
    <row r="9142" spans="1:1" x14ac:dyDescent="0.55000000000000004">
      <c r="A9142" s="17"/>
    </row>
    <row r="9143" spans="1:1" x14ac:dyDescent="0.55000000000000004">
      <c r="A9143" s="17"/>
    </row>
    <row r="9144" spans="1:1" x14ac:dyDescent="0.55000000000000004">
      <c r="A9144" s="17"/>
    </row>
    <row r="9145" spans="1:1" x14ac:dyDescent="0.55000000000000004">
      <c r="A9145" s="17"/>
    </row>
    <row r="9146" spans="1:1" x14ac:dyDescent="0.55000000000000004">
      <c r="A9146" s="17"/>
    </row>
    <row r="9147" spans="1:1" x14ac:dyDescent="0.55000000000000004">
      <c r="A9147" s="17"/>
    </row>
    <row r="9148" spans="1:1" x14ac:dyDescent="0.55000000000000004">
      <c r="A9148" s="17"/>
    </row>
    <row r="9149" spans="1:1" x14ac:dyDescent="0.55000000000000004">
      <c r="A9149" s="17"/>
    </row>
    <row r="9150" spans="1:1" x14ac:dyDescent="0.55000000000000004">
      <c r="A9150" s="17"/>
    </row>
    <row r="9151" spans="1:1" x14ac:dyDescent="0.55000000000000004">
      <c r="A9151" s="17"/>
    </row>
    <row r="9152" spans="1:1" x14ac:dyDescent="0.55000000000000004">
      <c r="A9152" s="17"/>
    </row>
    <row r="9153" spans="1:1" x14ac:dyDescent="0.55000000000000004">
      <c r="A9153" s="17"/>
    </row>
    <row r="9154" spans="1:1" x14ac:dyDescent="0.55000000000000004">
      <c r="A9154" s="17"/>
    </row>
    <row r="9155" spans="1:1" x14ac:dyDescent="0.55000000000000004">
      <c r="A9155" s="17"/>
    </row>
    <row r="9156" spans="1:1" x14ac:dyDescent="0.55000000000000004">
      <c r="A9156" s="17"/>
    </row>
    <row r="9157" spans="1:1" x14ac:dyDescent="0.55000000000000004">
      <c r="A9157" s="17"/>
    </row>
    <row r="9158" spans="1:1" x14ac:dyDescent="0.55000000000000004">
      <c r="A9158" s="17"/>
    </row>
    <row r="9159" spans="1:1" x14ac:dyDescent="0.55000000000000004">
      <c r="A9159" s="17"/>
    </row>
    <row r="9160" spans="1:1" x14ac:dyDescent="0.55000000000000004">
      <c r="A9160" s="17"/>
    </row>
    <row r="9161" spans="1:1" x14ac:dyDescent="0.55000000000000004">
      <c r="A9161" s="17"/>
    </row>
    <row r="9162" spans="1:1" x14ac:dyDescent="0.55000000000000004">
      <c r="A9162" s="17"/>
    </row>
    <row r="9163" spans="1:1" x14ac:dyDescent="0.55000000000000004">
      <c r="A9163" s="17"/>
    </row>
    <row r="9164" spans="1:1" x14ac:dyDescent="0.55000000000000004">
      <c r="A9164" s="17"/>
    </row>
    <row r="9165" spans="1:1" x14ac:dyDescent="0.55000000000000004">
      <c r="A9165" s="17"/>
    </row>
    <row r="9166" spans="1:1" x14ac:dyDescent="0.55000000000000004">
      <c r="A9166" s="17"/>
    </row>
    <row r="9167" spans="1:1" x14ac:dyDescent="0.55000000000000004">
      <c r="A9167" s="17"/>
    </row>
    <row r="9168" spans="1:1" x14ac:dyDescent="0.55000000000000004">
      <c r="A9168" s="17"/>
    </row>
    <row r="9169" spans="1:1" x14ac:dyDescent="0.55000000000000004">
      <c r="A9169" s="17"/>
    </row>
    <row r="9170" spans="1:1" x14ac:dyDescent="0.55000000000000004">
      <c r="A9170" s="17"/>
    </row>
    <row r="9171" spans="1:1" x14ac:dyDescent="0.55000000000000004">
      <c r="A9171" s="17"/>
    </row>
    <row r="9172" spans="1:1" x14ac:dyDescent="0.55000000000000004">
      <c r="A9172" s="17"/>
    </row>
    <row r="9173" spans="1:1" x14ac:dyDescent="0.55000000000000004">
      <c r="A9173" s="17"/>
    </row>
    <row r="9174" spans="1:1" x14ac:dyDescent="0.55000000000000004">
      <c r="A9174" s="17"/>
    </row>
    <row r="9175" spans="1:1" x14ac:dyDescent="0.55000000000000004">
      <c r="A9175" s="17"/>
    </row>
    <row r="9176" spans="1:1" x14ac:dyDescent="0.55000000000000004">
      <c r="A9176" s="17"/>
    </row>
    <row r="9177" spans="1:1" x14ac:dyDescent="0.55000000000000004">
      <c r="A9177" s="17"/>
    </row>
    <row r="9178" spans="1:1" x14ac:dyDescent="0.55000000000000004">
      <c r="A9178" s="17"/>
    </row>
    <row r="9179" spans="1:1" x14ac:dyDescent="0.55000000000000004">
      <c r="A9179" s="17"/>
    </row>
    <row r="9180" spans="1:1" x14ac:dyDescent="0.55000000000000004">
      <c r="A9180" s="17"/>
    </row>
    <row r="9181" spans="1:1" x14ac:dyDescent="0.55000000000000004">
      <c r="A9181" s="17"/>
    </row>
    <row r="9182" spans="1:1" x14ac:dyDescent="0.55000000000000004">
      <c r="A9182" s="17"/>
    </row>
    <row r="9183" spans="1:1" x14ac:dyDescent="0.55000000000000004">
      <c r="A9183" s="17"/>
    </row>
    <row r="9184" spans="1:1" x14ac:dyDescent="0.55000000000000004">
      <c r="A9184" s="17"/>
    </row>
    <row r="9185" spans="1:1" x14ac:dyDescent="0.55000000000000004">
      <c r="A9185" s="17"/>
    </row>
    <row r="9186" spans="1:1" x14ac:dyDescent="0.55000000000000004">
      <c r="A9186" s="17"/>
    </row>
    <row r="9187" spans="1:1" x14ac:dyDescent="0.55000000000000004">
      <c r="A9187" s="17"/>
    </row>
    <row r="9188" spans="1:1" x14ac:dyDescent="0.55000000000000004">
      <c r="A9188" s="17"/>
    </row>
    <row r="9189" spans="1:1" x14ac:dyDescent="0.55000000000000004">
      <c r="A9189" s="17"/>
    </row>
    <row r="9190" spans="1:1" x14ac:dyDescent="0.55000000000000004">
      <c r="A9190" s="17"/>
    </row>
    <row r="9191" spans="1:1" x14ac:dyDescent="0.55000000000000004">
      <c r="A9191" s="17"/>
    </row>
    <row r="9192" spans="1:1" x14ac:dyDescent="0.55000000000000004">
      <c r="A9192" s="17"/>
    </row>
    <row r="9193" spans="1:1" x14ac:dyDescent="0.55000000000000004">
      <c r="A9193" s="17"/>
    </row>
    <row r="9194" spans="1:1" x14ac:dyDescent="0.55000000000000004">
      <c r="A9194" s="17"/>
    </row>
    <row r="9195" spans="1:1" x14ac:dyDescent="0.55000000000000004">
      <c r="A9195" s="17"/>
    </row>
    <row r="9196" spans="1:1" x14ac:dyDescent="0.55000000000000004">
      <c r="A9196" s="17"/>
    </row>
    <row r="9197" spans="1:1" x14ac:dyDescent="0.55000000000000004">
      <c r="A9197" s="17"/>
    </row>
    <row r="9198" spans="1:1" x14ac:dyDescent="0.55000000000000004">
      <c r="A9198" s="17"/>
    </row>
    <row r="9199" spans="1:1" x14ac:dyDescent="0.55000000000000004">
      <c r="A9199" s="17"/>
    </row>
    <row r="9200" spans="1:1" x14ac:dyDescent="0.55000000000000004">
      <c r="A9200" s="17"/>
    </row>
    <row r="9201" spans="1:1" x14ac:dyDescent="0.55000000000000004">
      <c r="A9201" s="17"/>
    </row>
    <row r="9202" spans="1:1" x14ac:dyDescent="0.55000000000000004">
      <c r="A9202" s="17"/>
    </row>
    <row r="9203" spans="1:1" x14ac:dyDescent="0.55000000000000004">
      <c r="A9203" s="17"/>
    </row>
    <row r="9204" spans="1:1" x14ac:dyDescent="0.55000000000000004">
      <c r="A9204" s="17"/>
    </row>
    <row r="9205" spans="1:1" x14ac:dyDescent="0.55000000000000004">
      <c r="A9205" s="17"/>
    </row>
    <row r="9206" spans="1:1" x14ac:dyDescent="0.55000000000000004">
      <c r="A9206" s="17"/>
    </row>
    <row r="9207" spans="1:1" x14ac:dyDescent="0.55000000000000004">
      <c r="A9207" s="17"/>
    </row>
    <row r="9208" spans="1:1" x14ac:dyDescent="0.55000000000000004">
      <c r="A9208" s="17"/>
    </row>
    <row r="9209" spans="1:1" x14ac:dyDescent="0.55000000000000004">
      <c r="A9209" s="17"/>
    </row>
    <row r="9210" spans="1:1" x14ac:dyDescent="0.55000000000000004">
      <c r="A9210" s="17"/>
    </row>
    <row r="9211" spans="1:1" x14ac:dyDescent="0.55000000000000004">
      <c r="A9211" s="17"/>
    </row>
    <row r="9212" spans="1:1" x14ac:dyDescent="0.55000000000000004">
      <c r="A9212" s="17"/>
    </row>
    <row r="9213" spans="1:1" x14ac:dyDescent="0.55000000000000004">
      <c r="A9213" s="17"/>
    </row>
    <row r="9214" spans="1:1" x14ac:dyDescent="0.55000000000000004">
      <c r="A9214" s="17"/>
    </row>
    <row r="9215" spans="1:1" x14ac:dyDescent="0.55000000000000004">
      <c r="A9215" s="17"/>
    </row>
    <row r="9216" spans="1:1" x14ac:dyDescent="0.55000000000000004">
      <c r="A9216" s="17"/>
    </row>
    <row r="9217" spans="1:1" x14ac:dyDescent="0.55000000000000004">
      <c r="A9217" s="17"/>
    </row>
    <row r="9218" spans="1:1" x14ac:dyDescent="0.55000000000000004">
      <c r="A9218" s="17"/>
    </row>
    <row r="9219" spans="1:1" x14ac:dyDescent="0.55000000000000004">
      <c r="A9219" s="17"/>
    </row>
    <row r="9220" spans="1:1" x14ac:dyDescent="0.55000000000000004">
      <c r="A9220" s="17"/>
    </row>
    <row r="9221" spans="1:1" x14ac:dyDescent="0.55000000000000004">
      <c r="A9221" s="17"/>
    </row>
    <row r="9222" spans="1:1" x14ac:dyDescent="0.55000000000000004">
      <c r="A9222" s="17"/>
    </row>
    <row r="9223" spans="1:1" x14ac:dyDescent="0.55000000000000004">
      <c r="A9223" s="17"/>
    </row>
    <row r="9224" spans="1:1" x14ac:dyDescent="0.55000000000000004">
      <c r="A9224" s="17"/>
    </row>
    <row r="9225" spans="1:1" x14ac:dyDescent="0.55000000000000004">
      <c r="A9225" s="17"/>
    </row>
    <row r="9226" spans="1:1" x14ac:dyDescent="0.55000000000000004">
      <c r="A9226" s="17"/>
    </row>
    <row r="9227" spans="1:1" x14ac:dyDescent="0.55000000000000004">
      <c r="A9227" s="17"/>
    </row>
    <row r="9228" spans="1:1" x14ac:dyDescent="0.55000000000000004">
      <c r="A9228" s="17"/>
    </row>
    <row r="9229" spans="1:1" x14ac:dyDescent="0.55000000000000004">
      <c r="A9229" s="17"/>
    </row>
    <row r="9230" spans="1:1" x14ac:dyDescent="0.55000000000000004">
      <c r="A9230" s="17"/>
    </row>
    <row r="9231" spans="1:1" x14ac:dyDescent="0.55000000000000004">
      <c r="A9231" s="17"/>
    </row>
    <row r="9232" spans="1:1" x14ac:dyDescent="0.55000000000000004">
      <c r="A9232" s="17"/>
    </row>
    <row r="9233" spans="1:1" x14ac:dyDescent="0.55000000000000004">
      <c r="A9233" s="17"/>
    </row>
    <row r="9234" spans="1:1" x14ac:dyDescent="0.55000000000000004">
      <c r="A9234" s="17"/>
    </row>
    <row r="9235" spans="1:1" x14ac:dyDescent="0.55000000000000004">
      <c r="A9235" s="17"/>
    </row>
    <row r="9236" spans="1:1" x14ac:dyDescent="0.55000000000000004">
      <c r="A9236" s="17"/>
    </row>
    <row r="9237" spans="1:1" x14ac:dyDescent="0.55000000000000004">
      <c r="A9237" s="17"/>
    </row>
    <row r="9238" spans="1:1" x14ac:dyDescent="0.55000000000000004">
      <c r="A9238" s="17"/>
    </row>
    <row r="9239" spans="1:1" x14ac:dyDescent="0.55000000000000004">
      <c r="A9239" s="17"/>
    </row>
    <row r="9240" spans="1:1" x14ac:dyDescent="0.55000000000000004">
      <c r="A9240" s="17"/>
    </row>
    <row r="9241" spans="1:1" x14ac:dyDescent="0.55000000000000004">
      <c r="A9241" s="17"/>
    </row>
    <row r="9242" spans="1:1" x14ac:dyDescent="0.55000000000000004">
      <c r="A9242" s="17"/>
    </row>
    <row r="9243" spans="1:1" x14ac:dyDescent="0.55000000000000004">
      <c r="A9243" s="17"/>
    </row>
    <row r="9244" spans="1:1" x14ac:dyDescent="0.55000000000000004">
      <c r="A9244" s="17"/>
    </row>
    <row r="9245" spans="1:1" x14ac:dyDescent="0.55000000000000004">
      <c r="A9245" s="17"/>
    </row>
    <row r="9246" spans="1:1" x14ac:dyDescent="0.55000000000000004">
      <c r="A9246" s="17"/>
    </row>
    <row r="9247" spans="1:1" x14ac:dyDescent="0.55000000000000004">
      <c r="A9247" s="17"/>
    </row>
    <row r="9248" spans="1:1" x14ac:dyDescent="0.55000000000000004">
      <c r="A9248" s="17"/>
    </row>
    <row r="9249" spans="1:1" x14ac:dyDescent="0.55000000000000004">
      <c r="A9249" s="17"/>
    </row>
    <row r="9250" spans="1:1" x14ac:dyDescent="0.55000000000000004">
      <c r="A9250" s="17"/>
    </row>
    <row r="9251" spans="1:1" x14ac:dyDescent="0.55000000000000004">
      <c r="A9251" s="17"/>
    </row>
    <row r="9252" spans="1:1" x14ac:dyDescent="0.55000000000000004">
      <c r="A9252" s="17"/>
    </row>
    <row r="9253" spans="1:1" x14ac:dyDescent="0.55000000000000004">
      <c r="A9253" s="17"/>
    </row>
    <row r="9254" spans="1:1" x14ac:dyDescent="0.55000000000000004">
      <c r="A9254" s="17"/>
    </row>
    <row r="9255" spans="1:1" x14ac:dyDescent="0.55000000000000004">
      <c r="A9255" s="17"/>
    </row>
    <row r="9256" spans="1:1" x14ac:dyDescent="0.55000000000000004">
      <c r="A9256" s="17"/>
    </row>
    <row r="9257" spans="1:1" x14ac:dyDescent="0.55000000000000004">
      <c r="A9257" s="17"/>
    </row>
    <row r="9258" spans="1:1" x14ac:dyDescent="0.55000000000000004">
      <c r="A9258" s="17"/>
    </row>
    <row r="9259" spans="1:1" x14ac:dyDescent="0.55000000000000004">
      <c r="A9259" s="17"/>
    </row>
    <row r="9260" spans="1:1" x14ac:dyDescent="0.55000000000000004">
      <c r="A9260" s="17"/>
    </row>
    <row r="9261" spans="1:1" x14ac:dyDescent="0.55000000000000004">
      <c r="A9261" s="17"/>
    </row>
    <row r="9262" spans="1:1" x14ac:dyDescent="0.55000000000000004">
      <c r="A9262" s="17"/>
    </row>
    <row r="9263" spans="1:1" x14ac:dyDescent="0.55000000000000004">
      <c r="A9263" s="17"/>
    </row>
    <row r="9264" spans="1:1" x14ac:dyDescent="0.55000000000000004">
      <c r="A9264" s="17"/>
    </row>
    <row r="9265" spans="1:1" x14ac:dyDescent="0.55000000000000004">
      <c r="A9265" s="17"/>
    </row>
    <row r="9266" spans="1:1" x14ac:dyDescent="0.55000000000000004">
      <c r="A9266" s="17"/>
    </row>
    <row r="9267" spans="1:1" x14ac:dyDescent="0.55000000000000004">
      <c r="A9267" s="17"/>
    </row>
    <row r="9268" spans="1:1" x14ac:dyDescent="0.55000000000000004">
      <c r="A9268" s="17"/>
    </row>
    <row r="9269" spans="1:1" x14ac:dyDescent="0.55000000000000004">
      <c r="A9269" s="17"/>
    </row>
    <row r="9270" spans="1:1" x14ac:dyDescent="0.55000000000000004">
      <c r="A9270" s="17"/>
    </row>
    <row r="9271" spans="1:1" x14ac:dyDescent="0.55000000000000004">
      <c r="A9271" s="17"/>
    </row>
    <row r="9272" spans="1:1" x14ac:dyDescent="0.55000000000000004">
      <c r="A9272" s="17"/>
    </row>
    <row r="9273" spans="1:1" x14ac:dyDescent="0.55000000000000004">
      <c r="A9273" s="17"/>
    </row>
    <row r="9274" spans="1:1" x14ac:dyDescent="0.55000000000000004">
      <c r="A9274" s="17"/>
    </row>
    <row r="9275" spans="1:1" x14ac:dyDescent="0.55000000000000004">
      <c r="A9275" s="17"/>
    </row>
    <row r="9276" spans="1:1" x14ac:dyDescent="0.55000000000000004">
      <c r="A9276" s="17"/>
    </row>
    <row r="9277" spans="1:1" x14ac:dyDescent="0.55000000000000004">
      <c r="A9277" s="17"/>
    </row>
    <row r="9278" spans="1:1" x14ac:dyDescent="0.55000000000000004">
      <c r="A9278" s="17"/>
    </row>
    <row r="9279" spans="1:1" x14ac:dyDescent="0.55000000000000004">
      <c r="A9279" s="17"/>
    </row>
    <row r="9280" spans="1:1" x14ac:dyDescent="0.55000000000000004">
      <c r="A9280" s="17"/>
    </row>
    <row r="9281" spans="1:1" x14ac:dyDescent="0.55000000000000004">
      <c r="A9281" s="17"/>
    </row>
    <row r="9282" spans="1:1" x14ac:dyDescent="0.55000000000000004">
      <c r="A9282" s="17"/>
    </row>
    <row r="9283" spans="1:1" x14ac:dyDescent="0.55000000000000004">
      <c r="A9283" s="17"/>
    </row>
    <row r="9284" spans="1:1" x14ac:dyDescent="0.55000000000000004">
      <c r="A9284" s="17"/>
    </row>
    <row r="9285" spans="1:1" x14ac:dyDescent="0.55000000000000004">
      <c r="A9285" s="17"/>
    </row>
    <row r="9286" spans="1:1" x14ac:dyDescent="0.55000000000000004">
      <c r="A9286" s="17"/>
    </row>
    <row r="9287" spans="1:1" x14ac:dyDescent="0.55000000000000004">
      <c r="A9287" s="17"/>
    </row>
    <row r="9288" spans="1:1" x14ac:dyDescent="0.55000000000000004">
      <c r="A9288" s="17"/>
    </row>
    <row r="9289" spans="1:1" x14ac:dyDescent="0.55000000000000004">
      <c r="A9289" s="17"/>
    </row>
    <row r="9290" spans="1:1" x14ac:dyDescent="0.55000000000000004">
      <c r="A9290" s="17"/>
    </row>
    <row r="9291" spans="1:1" x14ac:dyDescent="0.55000000000000004">
      <c r="A9291" s="17"/>
    </row>
    <row r="9292" spans="1:1" x14ac:dyDescent="0.55000000000000004">
      <c r="A9292" s="17"/>
    </row>
    <row r="9293" spans="1:1" x14ac:dyDescent="0.55000000000000004">
      <c r="A9293" s="17"/>
    </row>
    <row r="9294" spans="1:1" x14ac:dyDescent="0.55000000000000004">
      <c r="A9294" s="17"/>
    </row>
    <row r="9295" spans="1:1" x14ac:dyDescent="0.55000000000000004">
      <c r="A9295" s="17"/>
    </row>
    <row r="9296" spans="1:1" x14ac:dyDescent="0.55000000000000004">
      <c r="A9296" s="17"/>
    </row>
    <row r="9297" spans="1:1" x14ac:dyDescent="0.55000000000000004">
      <c r="A9297" s="17"/>
    </row>
    <row r="9298" spans="1:1" x14ac:dyDescent="0.55000000000000004">
      <c r="A9298" s="17"/>
    </row>
    <row r="9299" spans="1:1" x14ac:dyDescent="0.55000000000000004">
      <c r="A9299" s="17"/>
    </row>
    <row r="9300" spans="1:1" x14ac:dyDescent="0.55000000000000004">
      <c r="A9300" s="17"/>
    </row>
    <row r="9301" spans="1:1" x14ac:dyDescent="0.55000000000000004">
      <c r="A9301" s="17"/>
    </row>
    <row r="9302" spans="1:1" x14ac:dyDescent="0.55000000000000004">
      <c r="A9302" s="17"/>
    </row>
    <row r="9303" spans="1:1" x14ac:dyDescent="0.55000000000000004">
      <c r="A9303" s="17"/>
    </row>
    <row r="9304" spans="1:1" x14ac:dyDescent="0.55000000000000004">
      <c r="A9304" s="17"/>
    </row>
    <row r="9305" spans="1:1" x14ac:dyDescent="0.55000000000000004">
      <c r="A9305" s="17"/>
    </row>
    <row r="9306" spans="1:1" x14ac:dyDescent="0.55000000000000004">
      <c r="A9306" s="17"/>
    </row>
    <row r="9307" spans="1:1" x14ac:dyDescent="0.55000000000000004">
      <c r="A9307" s="17"/>
    </row>
    <row r="9308" spans="1:1" x14ac:dyDescent="0.55000000000000004">
      <c r="A9308" s="17"/>
    </row>
    <row r="9309" spans="1:1" x14ac:dyDescent="0.55000000000000004">
      <c r="A9309" s="17"/>
    </row>
    <row r="9310" spans="1:1" x14ac:dyDescent="0.55000000000000004">
      <c r="A9310" s="17"/>
    </row>
    <row r="9311" spans="1:1" x14ac:dyDescent="0.55000000000000004">
      <c r="A9311" s="17"/>
    </row>
    <row r="9312" spans="1:1" x14ac:dyDescent="0.55000000000000004">
      <c r="A9312" s="17"/>
    </row>
    <row r="9313" spans="1:1" x14ac:dyDescent="0.55000000000000004">
      <c r="A9313" s="17"/>
    </row>
    <row r="9314" spans="1:1" x14ac:dyDescent="0.55000000000000004">
      <c r="A9314" s="17"/>
    </row>
    <row r="9315" spans="1:1" x14ac:dyDescent="0.55000000000000004">
      <c r="A9315" s="17"/>
    </row>
    <row r="9316" spans="1:1" x14ac:dyDescent="0.55000000000000004">
      <c r="A9316" s="17"/>
    </row>
    <row r="9317" spans="1:1" x14ac:dyDescent="0.55000000000000004">
      <c r="A9317" s="17"/>
    </row>
    <row r="9318" spans="1:1" x14ac:dyDescent="0.55000000000000004">
      <c r="A9318" s="17"/>
    </row>
    <row r="9319" spans="1:1" x14ac:dyDescent="0.55000000000000004">
      <c r="A9319" s="17"/>
    </row>
    <row r="9320" spans="1:1" x14ac:dyDescent="0.55000000000000004">
      <c r="A9320" s="17"/>
    </row>
    <row r="9321" spans="1:1" x14ac:dyDescent="0.55000000000000004">
      <c r="A9321" s="17"/>
    </row>
    <row r="9322" spans="1:1" x14ac:dyDescent="0.55000000000000004">
      <c r="A9322" s="17"/>
    </row>
    <row r="9323" spans="1:1" x14ac:dyDescent="0.55000000000000004">
      <c r="A9323" s="17"/>
    </row>
    <row r="9324" spans="1:1" x14ac:dyDescent="0.55000000000000004">
      <c r="A9324" s="17"/>
    </row>
    <row r="9325" spans="1:1" x14ac:dyDescent="0.55000000000000004">
      <c r="A9325" s="17"/>
    </row>
    <row r="9326" spans="1:1" x14ac:dyDescent="0.55000000000000004">
      <c r="A9326" s="17"/>
    </row>
    <row r="9327" spans="1:1" x14ac:dyDescent="0.55000000000000004">
      <c r="A9327" s="17"/>
    </row>
    <row r="9328" spans="1:1" x14ac:dyDescent="0.55000000000000004">
      <c r="A9328" s="17"/>
    </row>
    <row r="9329" spans="1:1" x14ac:dyDescent="0.55000000000000004">
      <c r="A9329" s="17"/>
    </row>
    <row r="9330" spans="1:1" x14ac:dyDescent="0.55000000000000004">
      <c r="A9330" s="17"/>
    </row>
    <row r="9331" spans="1:1" x14ac:dyDescent="0.55000000000000004">
      <c r="A9331" s="17"/>
    </row>
    <row r="9332" spans="1:1" x14ac:dyDescent="0.55000000000000004">
      <c r="A9332" s="17"/>
    </row>
    <row r="9333" spans="1:1" x14ac:dyDescent="0.55000000000000004">
      <c r="A9333" s="17"/>
    </row>
    <row r="9334" spans="1:1" x14ac:dyDescent="0.55000000000000004">
      <c r="A9334" s="17"/>
    </row>
    <row r="9335" spans="1:1" x14ac:dyDescent="0.55000000000000004">
      <c r="A9335" s="17"/>
    </row>
    <row r="9336" spans="1:1" x14ac:dyDescent="0.55000000000000004">
      <c r="A9336" s="17"/>
    </row>
    <row r="9337" spans="1:1" x14ac:dyDescent="0.55000000000000004">
      <c r="A9337" s="17"/>
    </row>
    <row r="9338" spans="1:1" x14ac:dyDescent="0.55000000000000004">
      <c r="A9338" s="17"/>
    </row>
    <row r="9339" spans="1:1" x14ac:dyDescent="0.55000000000000004">
      <c r="A9339" s="17"/>
    </row>
    <row r="9340" spans="1:1" x14ac:dyDescent="0.55000000000000004">
      <c r="A9340" s="17"/>
    </row>
    <row r="9341" spans="1:1" x14ac:dyDescent="0.55000000000000004">
      <c r="A9341" s="17"/>
    </row>
    <row r="9342" spans="1:1" x14ac:dyDescent="0.55000000000000004">
      <c r="A9342" s="17"/>
    </row>
    <row r="9343" spans="1:1" x14ac:dyDescent="0.55000000000000004">
      <c r="A9343" s="17"/>
    </row>
    <row r="9344" spans="1:1" x14ac:dyDescent="0.55000000000000004">
      <c r="A9344" s="17"/>
    </row>
    <row r="9345" spans="1:1" x14ac:dyDescent="0.55000000000000004">
      <c r="A9345" s="17"/>
    </row>
    <row r="9346" spans="1:1" x14ac:dyDescent="0.55000000000000004">
      <c r="A9346" s="17"/>
    </row>
    <row r="9347" spans="1:1" x14ac:dyDescent="0.55000000000000004">
      <c r="A9347" s="17"/>
    </row>
    <row r="9348" spans="1:1" x14ac:dyDescent="0.55000000000000004">
      <c r="A9348" s="17"/>
    </row>
    <row r="9349" spans="1:1" x14ac:dyDescent="0.55000000000000004">
      <c r="A9349" s="17"/>
    </row>
    <row r="9350" spans="1:1" x14ac:dyDescent="0.55000000000000004">
      <c r="A9350" s="17"/>
    </row>
    <row r="9351" spans="1:1" x14ac:dyDescent="0.55000000000000004">
      <c r="A9351" s="17"/>
    </row>
    <row r="9352" spans="1:1" x14ac:dyDescent="0.55000000000000004">
      <c r="A9352" s="17"/>
    </row>
    <row r="9353" spans="1:1" x14ac:dyDescent="0.55000000000000004">
      <c r="A9353" s="17"/>
    </row>
    <row r="9354" spans="1:1" x14ac:dyDescent="0.55000000000000004">
      <c r="A9354" s="17"/>
    </row>
    <row r="9355" spans="1:1" x14ac:dyDescent="0.55000000000000004">
      <c r="A9355" s="17"/>
    </row>
    <row r="9356" spans="1:1" x14ac:dyDescent="0.55000000000000004">
      <c r="A9356" s="17"/>
    </row>
    <row r="9357" spans="1:1" x14ac:dyDescent="0.55000000000000004">
      <c r="A9357" s="17"/>
    </row>
    <row r="9358" spans="1:1" x14ac:dyDescent="0.55000000000000004">
      <c r="A9358" s="17"/>
    </row>
    <row r="9359" spans="1:1" x14ac:dyDescent="0.55000000000000004">
      <c r="A9359" s="17"/>
    </row>
    <row r="9360" spans="1:1" x14ac:dyDescent="0.55000000000000004">
      <c r="A9360" s="17"/>
    </row>
    <row r="9361" spans="1:1" x14ac:dyDescent="0.55000000000000004">
      <c r="A9361" s="17"/>
    </row>
    <row r="9362" spans="1:1" x14ac:dyDescent="0.55000000000000004">
      <c r="A9362" s="17"/>
    </row>
    <row r="9363" spans="1:1" x14ac:dyDescent="0.55000000000000004">
      <c r="A9363" s="17"/>
    </row>
    <row r="9364" spans="1:1" x14ac:dyDescent="0.55000000000000004">
      <c r="A9364" s="17"/>
    </row>
    <row r="9365" spans="1:1" x14ac:dyDescent="0.55000000000000004">
      <c r="A9365" s="17"/>
    </row>
    <row r="9366" spans="1:1" x14ac:dyDescent="0.55000000000000004">
      <c r="A9366" s="17"/>
    </row>
    <row r="9367" spans="1:1" x14ac:dyDescent="0.55000000000000004">
      <c r="A9367" s="17"/>
    </row>
    <row r="9368" spans="1:1" x14ac:dyDescent="0.55000000000000004">
      <c r="A9368" s="17"/>
    </row>
    <row r="9369" spans="1:1" x14ac:dyDescent="0.55000000000000004">
      <c r="A9369" s="17"/>
    </row>
    <row r="9370" spans="1:1" x14ac:dyDescent="0.55000000000000004">
      <c r="A9370" s="17"/>
    </row>
    <row r="9371" spans="1:1" x14ac:dyDescent="0.55000000000000004">
      <c r="A9371" s="17"/>
    </row>
    <row r="9372" spans="1:1" x14ac:dyDescent="0.55000000000000004">
      <c r="A9372" s="17"/>
    </row>
    <row r="9373" spans="1:1" x14ac:dyDescent="0.55000000000000004">
      <c r="A9373" s="17"/>
    </row>
    <row r="9374" spans="1:1" x14ac:dyDescent="0.55000000000000004">
      <c r="A9374" s="17"/>
    </row>
    <row r="9375" spans="1:1" x14ac:dyDescent="0.55000000000000004">
      <c r="A9375" s="17"/>
    </row>
    <row r="9376" spans="1:1" x14ac:dyDescent="0.55000000000000004">
      <c r="A9376" s="17"/>
    </row>
    <row r="9377" spans="1:1" x14ac:dyDescent="0.55000000000000004">
      <c r="A9377" s="17"/>
    </row>
    <row r="9378" spans="1:1" x14ac:dyDescent="0.55000000000000004">
      <c r="A9378" s="17"/>
    </row>
    <row r="9379" spans="1:1" x14ac:dyDescent="0.55000000000000004">
      <c r="A9379" s="17"/>
    </row>
    <row r="9380" spans="1:1" x14ac:dyDescent="0.55000000000000004">
      <c r="A9380" s="17"/>
    </row>
    <row r="9381" spans="1:1" x14ac:dyDescent="0.55000000000000004">
      <c r="A9381" s="17"/>
    </row>
    <row r="9382" spans="1:1" x14ac:dyDescent="0.55000000000000004">
      <c r="A9382" s="17"/>
    </row>
    <row r="9383" spans="1:1" x14ac:dyDescent="0.55000000000000004">
      <c r="A9383" s="17"/>
    </row>
    <row r="9384" spans="1:1" x14ac:dyDescent="0.55000000000000004">
      <c r="A9384" s="17"/>
    </row>
    <row r="9385" spans="1:1" x14ac:dyDescent="0.55000000000000004">
      <c r="A9385" s="17"/>
    </row>
    <row r="9386" spans="1:1" x14ac:dyDescent="0.55000000000000004">
      <c r="A9386" s="17"/>
    </row>
    <row r="9387" spans="1:1" x14ac:dyDescent="0.55000000000000004">
      <c r="A9387" s="17"/>
    </row>
    <row r="9388" spans="1:1" x14ac:dyDescent="0.55000000000000004">
      <c r="A9388" s="17"/>
    </row>
    <row r="9389" spans="1:1" x14ac:dyDescent="0.55000000000000004">
      <c r="A9389" s="17"/>
    </row>
    <row r="9390" spans="1:1" x14ac:dyDescent="0.55000000000000004">
      <c r="A9390" s="17"/>
    </row>
    <row r="9391" spans="1:1" x14ac:dyDescent="0.55000000000000004">
      <c r="A9391" s="17"/>
    </row>
    <row r="9392" spans="1:1" x14ac:dyDescent="0.55000000000000004">
      <c r="A9392" s="17"/>
    </row>
    <row r="9393" spans="1:1" x14ac:dyDescent="0.55000000000000004">
      <c r="A9393" s="17"/>
    </row>
    <row r="9394" spans="1:1" x14ac:dyDescent="0.55000000000000004">
      <c r="A9394" s="17"/>
    </row>
    <row r="9395" spans="1:1" x14ac:dyDescent="0.55000000000000004">
      <c r="A9395" s="17"/>
    </row>
    <row r="9396" spans="1:1" x14ac:dyDescent="0.55000000000000004">
      <c r="A9396" s="17"/>
    </row>
    <row r="9397" spans="1:1" x14ac:dyDescent="0.55000000000000004">
      <c r="A9397" s="17"/>
    </row>
    <row r="9398" spans="1:1" x14ac:dyDescent="0.55000000000000004">
      <c r="A9398" s="17"/>
    </row>
    <row r="9399" spans="1:1" x14ac:dyDescent="0.55000000000000004">
      <c r="A9399" s="17"/>
    </row>
    <row r="9400" spans="1:1" x14ac:dyDescent="0.55000000000000004">
      <c r="A9400" s="17"/>
    </row>
    <row r="9401" spans="1:1" x14ac:dyDescent="0.55000000000000004">
      <c r="A9401" s="17"/>
    </row>
    <row r="9402" spans="1:1" x14ac:dyDescent="0.55000000000000004">
      <c r="A9402" s="17"/>
    </row>
    <row r="9403" spans="1:1" x14ac:dyDescent="0.55000000000000004">
      <c r="A9403" s="17"/>
    </row>
    <row r="9404" spans="1:1" x14ac:dyDescent="0.55000000000000004">
      <c r="A9404" s="17"/>
    </row>
    <row r="9405" spans="1:1" x14ac:dyDescent="0.55000000000000004">
      <c r="A9405" s="17"/>
    </row>
    <row r="9406" spans="1:1" x14ac:dyDescent="0.55000000000000004">
      <c r="A9406" s="17"/>
    </row>
    <row r="9407" spans="1:1" x14ac:dyDescent="0.55000000000000004">
      <c r="A9407" s="17"/>
    </row>
    <row r="9408" spans="1:1" x14ac:dyDescent="0.55000000000000004">
      <c r="A9408" s="17"/>
    </row>
    <row r="9409" spans="1:1" x14ac:dyDescent="0.55000000000000004">
      <c r="A9409" s="17"/>
    </row>
    <row r="9410" spans="1:1" x14ac:dyDescent="0.55000000000000004">
      <c r="A9410" s="17"/>
    </row>
    <row r="9411" spans="1:1" x14ac:dyDescent="0.55000000000000004">
      <c r="A9411" s="17"/>
    </row>
    <row r="9412" spans="1:1" x14ac:dyDescent="0.55000000000000004">
      <c r="A9412" s="17"/>
    </row>
    <row r="9413" spans="1:1" x14ac:dyDescent="0.55000000000000004">
      <c r="A9413" s="17"/>
    </row>
    <row r="9414" spans="1:1" x14ac:dyDescent="0.55000000000000004">
      <c r="A9414" s="17"/>
    </row>
    <row r="9415" spans="1:1" x14ac:dyDescent="0.55000000000000004">
      <c r="A9415" s="17"/>
    </row>
    <row r="9416" spans="1:1" x14ac:dyDescent="0.55000000000000004">
      <c r="A9416" s="17"/>
    </row>
    <row r="9417" spans="1:1" x14ac:dyDescent="0.55000000000000004">
      <c r="A9417" s="17"/>
    </row>
    <row r="9418" spans="1:1" x14ac:dyDescent="0.55000000000000004">
      <c r="A9418" s="17"/>
    </row>
    <row r="9419" spans="1:1" x14ac:dyDescent="0.55000000000000004">
      <c r="A9419" s="17"/>
    </row>
    <row r="9420" spans="1:1" x14ac:dyDescent="0.55000000000000004">
      <c r="A9420" s="17"/>
    </row>
    <row r="9421" spans="1:1" x14ac:dyDescent="0.55000000000000004">
      <c r="A9421" s="17"/>
    </row>
    <row r="9422" spans="1:1" x14ac:dyDescent="0.55000000000000004">
      <c r="A9422" s="17"/>
    </row>
    <row r="9423" spans="1:1" x14ac:dyDescent="0.55000000000000004">
      <c r="A9423" s="17"/>
    </row>
    <row r="9424" spans="1:1" x14ac:dyDescent="0.55000000000000004">
      <c r="A9424" s="17"/>
    </row>
    <row r="9425" spans="1:1" x14ac:dyDescent="0.55000000000000004">
      <c r="A9425" s="17"/>
    </row>
    <row r="9426" spans="1:1" x14ac:dyDescent="0.55000000000000004">
      <c r="A9426" s="17"/>
    </row>
    <row r="9427" spans="1:1" x14ac:dyDescent="0.55000000000000004">
      <c r="A9427" s="17"/>
    </row>
    <row r="9428" spans="1:1" x14ac:dyDescent="0.55000000000000004">
      <c r="A9428" s="17"/>
    </row>
    <row r="9429" spans="1:1" x14ac:dyDescent="0.55000000000000004">
      <c r="A9429" s="17"/>
    </row>
    <row r="9430" spans="1:1" x14ac:dyDescent="0.55000000000000004">
      <c r="A9430" s="17"/>
    </row>
    <row r="9431" spans="1:1" x14ac:dyDescent="0.55000000000000004">
      <c r="A9431" s="17"/>
    </row>
    <row r="9432" spans="1:1" x14ac:dyDescent="0.55000000000000004">
      <c r="A9432" s="17"/>
    </row>
    <row r="9433" spans="1:1" x14ac:dyDescent="0.55000000000000004">
      <c r="A9433" s="17"/>
    </row>
    <row r="9434" spans="1:1" x14ac:dyDescent="0.55000000000000004">
      <c r="A9434" s="17"/>
    </row>
    <row r="9435" spans="1:1" x14ac:dyDescent="0.55000000000000004">
      <c r="A9435" s="17"/>
    </row>
    <row r="9436" spans="1:1" x14ac:dyDescent="0.55000000000000004">
      <c r="A9436" s="17"/>
    </row>
    <row r="9437" spans="1:1" x14ac:dyDescent="0.55000000000000004">
      <c r="A9437" s="17"/>
    </row>
    <row r="9438" spans="1:1" x14ac:dyDescent="0.55000000000000004">
      <c r="A9438" s="17"/>
    </row>
    <row r="9439" spans="1:1" x14ac:dyDescent="0.55000000000000004">
      <c r="A9439" s="17"/>
    </row>
    <row r="9440" spans="1:1" x14ac:dyDescent="0.55000000000000004">
      <c r="A9440" s="17"/>
    </row>
    <row r="9441" spans="1:1" x14ac:dyDescent="0.55000000000000004">
      <c r="A9441" s="17"/>
    </row>
    <row r="9442" spans="1:1" x14ac:dyDescent="0.55000000000000004">
      <c r="A9442" s="17"/>
    </row>
    <row r="9443" spans="1:1" x14ac:dyDescent="0.55000000000000004">
      <c r="A9443" s="17"/>
    </row>
    <row r="9444" spans="1:1" x14ac:dyDescent="0.55000000000000004">
      <c r="A9444" s="17"/>
    </row>
    <row r="9445" spans="1:1" x14ac:dyDescent="0.55000000000000004">
      <c r="A9445" s="17"/>
    </row>
    <row r="9446" spans="1:1" x14ac:dyDescent="0.55000000000000004">
      <c r="A9446" s="17"/>
    </row>
    <row r="9447" spans="1:1" x14ac:dyDescent="0.55000000000000004">
      <c r="A9447" s="17"/>
    </row>
    <row r="9448" spans="1:1" x14ac:dyDescent="0.55000000000000004">
      <c r="A9448" s="17"/>
    </row>
    <row r="9449" spans="1:1" x14ac:dyDescent="0.55000000000000004">
      <c r="A9449" s="17"/>
    </row>
    <row r="9450" spans="1:1" x14ac:dyDescent="0.55000000000000004">
      <c r="A9450" s="17"/>
    </row>
    <row r="9451" spans="1:1" x14ac:dyDescent="0.55000000000000004">
      <c r="A9451" s="17"/>
    </row>
    <row r="9452" spans="1:1" x14ac:dyDescent="0.55000000000000004">
      <c r="A9452" s="17"/>
    </row>
    <row r="9453" spans="1:1" x14ac:dyDescent="0.55000000000000004">
      <c r="A9453" s="17"/>
    </row>
    <row r="9454" spans="1:1" x14ac:dyDescent="0.55000000000000004">
      <c r="A9454" s="17"/>
    </row>
    <row r="9455" spans="1:1" x14ac:dyDescent="0.55000000000000004">
      <c r="A9455" s="17"/>
    </row>
    <row r="9456" spans="1:1" x14ac:dyDescent="0.55000000000000004">
      <c r="A9456" s="17"/>
    </row>
    <row r="9457" spans="1:1" x14ac:dyDescent="0.55000000000000004">
      <c r="A9457" s="17"/>
    </row>
    <row r="9458" spans="1:1" x14ac:dyDescent="0.55000000000000004">
      <c r="A9458" s="17"/>
    </row>
    <row r="9459" spans="1:1" x14ac:dyDescent="0.55000000000000004">
      <c r="A9459" s="17"/>
    </row>
    <row r="9460" spans="1:1" x14ac:dyDescent="0.55000000000000004">
      <c r="A9460" s="17"/>
    </row>
    <row r="9461" spans="1:1" x14ac:dyDescent="0.55000000000000004">
      <c r="A9461" s="17"/>
    </row>
    <row r="9462" spans="1:1" x14ac:dyDescent="0.55000000000000004">
      <c r="A9462" s="17"/>
    </row>
    <row r="9463" spans="1:1" x14ac:dyDescent="0.55000000000000004">
      <c r="A9463" s="17"/>
    </row>
    <row r="9464" spans="1:1" x14ac:dyDescent="0.55000000000000004">
      <c r="A9464" s="17"/>
    </row>
    <row r="9465" spans="1:1" x14ac:dyDescent="0.55000000000000004">
      <c r="A9465" s="17"/>
    </row>
    <row r="9466" spans="1:1" x14ac:dyDescent="0.55000000000000004">
      <c r="A9466" s="17"/>
    </row>
    <row r="9467" spans="1:1" x14ac:dyDescent="0.55000000000000004">
      <c r="A9467" s="17"/>
    </row>
    <row r="9468" spans="1:1" x14ac:dyDescent="0.55000000000000004">
      <c r="A9468" s="17"/>
    </row>
    <row r="9469" spans="1:1" x14ac:dyDescent="0.55000000000000004">
      <c r="A9469" s="17"/>
    </row>
    <row r="9470" spans="1:1" x14ac:dyDescent="0.55000000000000004">
      <c r="A9470" s="17"/>
    </row>
    <row r="9471" spans="1:1" x14ac:dyDescent="0.55000000000000004">
      <c r="A9471" s="17"/>
    </row>
    <row r="9472" spans="1:1" x14ac:dyDescent="0.55000000000000004">
      <c r="A9472" s="17"/>
    </row>
    <row r="9473" spans="1:1" x14ac:dyDescent="0.55000000000000004">
      <c r="A9473" s="17"/>
    </row>
    <row r="9474" spans="1:1" x14ac:dyDescent="0.55000000000000004">
      <c r="A9474" s="17"/>
    </row>
    <row r="9475" spans="1:1" x14ac:dyDescent="0.55000000000000004">
      <c r="A9475" s="17"/>
    </row>
    <row r="9476" spans="1:1" x14ac:dyDescent="0.55000000000000004">
      <c r="A9476" s="17"/>
    </row>
    <row r="9477" spans="1:1" x14ac:dyDescent="0.55000000000000004">
      <c r="A9477" s="17"/>
    </row>
    <row r="9478" spans="1:1" x14ac:dyDescent="0.55000000000000004">
      <c r="A9478" s="17"/>
    </row>
    <row r="9479" spans="1:1" x14ac:dyDescent="0.55000000000000004">
      <c r="A9479" s="17"/>
    </row>
    <row r="9480" spans="1:1" x14ac:dyDescent="0.55000000000000004">
      <c r="A9480" s="17"/>
    </row>
    <row r="9481" spans="1:1" x14ac:dyDescent="0.55000000000000004">
      <c r="A9481" s="17"/>
    </row>
    <row r="9482" spans="1:1" x14ac:dyDescent="0.55000000000000004">
      <c r="A9482" s="17"/>
    </row>
    <row r="9483" spans="1:1" x14ac:dyDescent="0.55000000000000004">
      <c r="A9483" s="17"/>
    </row>
    <row r="9484" spans="1:1" x14ac:dyDescent="0.55000000000000004">
      <c r="A9484" s="17"/>
    </row>
    <row r="9485" spans="1:1" x14ac:dyDescent="0.55000000000000004">
      <c r="A9485" s="17"/>
    </row>
    <row r="9486" spans="1:1" x14ac:dyDescent="0.55000000000000004">
      <c r="A9486" s="17"/>
    </row>
    <row r="9487" spans="1:1" x14ac:dyDescent="0.55000000000000004">
      <c r="A9487" s="17"/>
    </row>
    <row r="9488" spans="1:1" x14ac:dyDescent="0.55000000000000004">
      <c r="A9488" s="17"/>
    </row>
    <row r="9489" spans="1:1" x14ac:dyDescent="0.55000000000000004">
      <c r="A9489" s="17"/>
    </row>
    <row r="9490" spans="1:1" x14ac:dyDescent="0.55000000000000004">
      <c r="A9490" s="17"/>
    </row>
    <row r="9491" spans="1:1" x14ac:dyDescent="0.55000000000000004">
      <c r="A9491" s="17"/>
    </row>
    <row r="9492" spans="1:1" x14ac:dyDescent="0.55000000000000004">
      <c r="A9492" s="17"/>
    </row>
    <row r="9493" spans="1:1" x14ac:dyDescent="0.55000000000000004">
      <c r="A9493" s="17"/>
    </row>
    <row r="9494" spans="1:1" x14ac:dyDescent="0.55000000000000004">
      <c r="A9494" s="17"/>
    </row>
    <row r="9495" spans="1:1" x14ac:dyDescent="0.55000000000000004">
      <c r="A9495" s="17"/>
    </row>
    <row r="9496" spans="1:1" x14ac:dyDescent="0.55000000000000004">
      <c r="A9496" s="17"/>
    </row>
    <row r="9497" spans="1:1" x14ac:dyDescent="0.55000000000000004">
      <c r="A9497" s="17"/>
    </row>
    <row r="9498" spans="1:1" x14ac:dyDescent="0.55000000000000004">
      <c r="A9498" s="17"/>
    </row>
    <row r="9499" spans="1:1" x14ac:dyDescent="0.55000000000000004">
      <c r="A9499" s="17"/>
    </row>
    <row r="9500" spans="1:1" x14ac:dyDescent="0.55000000000000004">
      <c r="A9500" s="17"/>
    </row>
    <row r="9501" spans="1:1" x14ac:dyDescent="0.55000000000000004">
      <c r="A9501" s="17"/>
    </row>
    <row r="9502" spans="1:1" x14ac:dyDescent="0.55000000000000004">
      <c r="A9502" s="17"/>
    </row>
    <row r="9503" spans="1:1" x14ac:dyDescent="0.55000000000000004">
      <c r="A9503" s="17"/>
    </row>
    <row r="9504" spans="1:1" x14ac:dyDescent="0.55000000000000004">
      <c r="A9504" s="17"/>
    </row>
    <row r="9505" spans="1:1" x14ac:dyDescent="0.55000000000000004">
      <c r="A9505" s="17"/>
    </row>
    <row r="9506" spans="1:1" x14ac:dyDescent="0.55000000000000004">
      <c r="A9506" s="17"/>
    </row>
    <row r="9507" spans="1:1" x14ac:dyDescent="0.55000000000000004">
      <c r="A9507" s="17"/>
    </row>
    <row r="9508" spans="1:1" x14ac:dyDescent="0.55000000000000004">
      <c r="A9508" s="17"/>
    </row>
    <row r="9509" spans="1:1" x14ac:dyDescent="0.55000000000000004">
      <c r="A9509" s="17"/>
    </row>
    <row r="9510" spans="1:1" x14ac:dyDescent="0.55000000000000004">
      <c r="A9510" s="17"/>
    </row>
    <row r="9511" spans="1:1" x14ac:dyDescent="0.55000000000000004">
      <c r="A9511" s="17"/>
    </row>
    <row r="9512" spans="1:1" x14ac:dyDescent="0.55000000000000004">
      <c r="A9512" s="17"/>
    </row>
    <row r="9513" spans="1:1" x14ac:dyDescent="0.55000000000000004">
      <c r="A9513" s="17"/>
    </row>
    <row r="9514" spans="1:1" x14ac:dyDescent="0.55000000000000004">
      <c r="A9514" s="17"/>
    </row>
    <row r="9515" spans="1:1" x14ac:dyDescent="0.55000000000000004">
      <c r="A9515" s="17"/>
    </row>
    <row r="9516" spans="1:1" x14ac:dyDescent="0.55000000000000004">
      <c r="A9516" s="17"/>
    </row>
    <row r="9517" spans="1:1" x14ac:dyDescent="0.55000000000000004">
      <c r="A9517" s="17"/>
    </row>
    <row r="9518" spans="1:1" x14ac:dyDescent="0.55000000000000004">
      <c r="A9518" s="17"/>
    </row>
    <row r="9519" spans="1:1" x14ac:dyDescent="0.55000000000000004">
      <c r="A9519" s="17"/>
    </row>
    <row r="9520" spans="1:1" x14ac:dyDescent="0.55000000000000004">
      <c r="A9520" s="17"/>
    </row>
    <row r="9521" spans="1:1" x14ac:dyDescent="0.55000000000000004">
      <c r="A9521" s="17"/>
    </row>
    <row r="9522" spans="1:1" x14ac:dyDescent="0.55000000000000004">
      <c r="A9522" s="17"/>
    </row>
    <row r="9523" spans="1:1" x14ac:dyDescent="0.55000000000000004">
      <c r="A9523" s="17"/>
    </row>
    <row r="9524" spans="1:1" x14ac:dyDescent="0.55000000000000004">
      <c r="A9524" s="17"/>
    </row>
    <row r="9525" spans="1:1" x14ac:dyDescent="0.55000000000000004">
      <c r="A9525" s="17"/>
    </row>
    <row r="9526" spans="1:1" x14ac:dyDescent="0.55000000000000004">
      <c r="A9526" s="17"/>
    </row>
    <row r="9527" spans="1:1" x14ac:dyDescent="0.55000000000000004">
      <c r="A9527" s="17"/>
    </row>
    <row r="9528" spans="1:1" x14ac:dyDescent="0.55000000000000004">
      <c r="A9528" s="17"/>
    </row>
    <row r="9529" spans="1:1" x14ac:dyDescent="0.55000000000000004">
      <c r="A9529" s="17"/>
    </row>
    <row r="9530" spans="1:1" x14ac:dyDescent="0.55000000000000004">
      <c r="A9530" s="17"/>
    </row>
    <row r="9531" spans="1:1" x14ac:dyDescent="0.55000000000000004">
      <c r="A9531" s="17"/>
    </row>
    <row r="9532" spans="1:1" x14ac:dyDescent="0.55000000000000004">
      <c r="A9532" s="17"/>
    </row>
    <row r="9533" spans="1:1" x14ac:dyDescent="0.55000000000000004">
      <c r="A9533" s="17"/>
    </row>
    <row r="9534" spans="1:1" x14ac:dyDescent="0.55000000000000004">
      <c r="A9534" s="17"/>
    </row>
    <row r="9535" spans="1:1" x14ac:dyDescent="0.55000000000000004">
      <c r="A9535" s="17"/>
    </row>
    <row r="9536" spans="1:1" x14ac:dyDescent="0.55000000000000004">
      <c r="A9536" s="17"/>
    </row>
    <row r="9537" spans="1:1" x14ac:dyDescent="0.55000000000000004">
      <c r="A9537" s="17"/>
    </row>
    <row r="9538" spans="1:1" x14ac:dyDescent="0.55000000000000004">
      <c r="A9538" s="17"/>
    </row>
    <row r="9539" spans="1:1" x14ac:dyDescent="0.55000000000000004">
      <c r="A9539" s="17"/>
    </row>
    <row r="9540" spans="1:1" x14ac:dyDescent="0.55000000000000004">
      <c r="A9540" s="17"/>
    </row>
    <row r="9541" spans="1:1" x14ac:dyDescent="0.55000000000000004">
      <c r="A9541" s="17"/>
    </row>
    <row r="9542" spans="1:1" x14ac:dyDescent="0.55000000000000004">
      <c r="A9542" s="17"/>
    </row>
    <row r="9543" spans="1:1" x14ac:dyDescent="0.55000000000000004">
      <c r="A9543" s="17"/>
    </row>
    <row r="9544" spans="1:1" x14ac:dyDescent="0.55000000000000004">
      <c r="A9544" s="17"/>
    </row>
    <row r="9545" spans="1:1" x14ac:dyDescent="0.55000000000000004">
      <c r="A9545" s="17"/>
    </row>
    <row r="9546" spans="1:1" x14ac:dyDescent="0.55000000000000004">
      <c r="A9546" s="17"/>
    </row>
    <row r="9547" spans="1:1" x14ac:dyDescent="0.55000000000000004">
      <c r="A9547" s="17"/>
    </row>
    <row r="9548" spans="1:1" x14ac:dyDescent="0.55000000000000004">
      <c r="A9548" s="17"/>
    </row>
    <row r="9549" spans="1:1" x14ac:dyDescent="0.55000000000000004">
      <c r="A9549" s="17"/>
    </row>
    <row r="9550" spans="1:1" x14ac:dyDescent="0.55000000000000004">
      <c r="A9550" s="17"/>
    </row>
    <row r="9551" spans="1:1" x14ac:dyDescent="0.55000000000000004">
      <c r="A9551" s="17"/>
    </row>
    <row r="9552" spans="1:1" x14ac:dyDescent="0.55000000000000004">
      <c r="A9552" s="17"/>
    </row>
    <row r="9553" spans="1:1" x14ac:dyDescent="0.55000000000000004">
      <c r="A9553" s="17"/>
    </row>
    <row r="9554" spans="1:1" x14ac:dyDescent="0.55000000000000004">
      <c r="A9554" s="17"/>
    </row>
    <row r="9555" spans="1:1" x14ac:dyDescent="0.55000000000000004">
      <c r="A9555" s="17"/>
    </row>
    <row r="9556" spans="1:1" x14ac:dyDescent="0.55000000000000004">
      <c r="A9556" s="17"/>
    </row>
    <row r="9557" spans="1:1" x14ac:dyDescent="0.55000000000000004">
      <c r="A9557" s="17"/>
    </row>
    <row r="9558" spans="1:1" x14ac:dyDescent="0.55000000000000004">
      <c r="A9558" s="17"/>
    </row>
    <row r="9559" spans="1:1" x14ac:dyDescent="0.55000000000000004">
      <c r="A9559" s="17"/>
    </row>
    <row r="9560" spans="1:1" x14ac:dyDescent="0.55000000000000004">
      <c r="A9560" s="17"/>
    </row>
    <row r="9561" spans="1:1" x14ac:dyDescent="0.55000000000000004">
      <c r="A9561" s="17"/>
    </row>
    <row r="9562" spans="1:1" x14ac:dyDescent="0.55000000000000004">
      <c r="A9562" s="17"/>
    </row>
    <row r="9563" spans="1:1" x14ac:dyDescent="0.55000000000000004">
      <c r="A9563" s="17"/>
    </row>
    <row r="9564" spans="1:1" x14ac:dyDescent="0.55000000000000004">
      <c r="A9564" s="17"/>
    </row>
    <row r="9565" spans="1:1" x14ac:dyDescent="0.55000000000000004">
      <c r="A9565" s="17"/>
    </row>
    <row r="9566" spans="1:1" x14ac:dyDescent="0.55000000000000004">
      <c r="A9566" s="17"/>
    </row>
    <row r="9567" spans="1:1" x14ac:dyDescent="0.55000000000000004">
      <c r="A9567" s="17"/>
    </row>
    <row r="9568" spans="1:1" x14ac:dyDescent="0.55000000000000004">
      <c r="A9568" s="17"/>
    </row>
    <row r="9569" spans="1:1" x14ac:dyDescent="0.55000000000000004">
      <c r="A9569" s="17"/>
    </row>
    <row r="9570" spans="1:1" x14ac:dyDescent="0.55000000000000004">
      <c r="A9570" s="17"/>
    </row>
    <row r="9571" spans="1:1" x14ac:dyDescent="0.55000000000000004">
      <c r="A9571" s="17"/>
    </row>
    <row r="9572" spans="1:1" x14ac:dyDescent="0.55000000000000004">
      <c r="A9572" s="17"/>
    </row>
    <row r="9573" spans="1:1" x14ac:dyDescent="0.55000000000000004">
      <c r="A9573" s="17"/>
    </row>
    <row r="9574" spans="1:1" x14ac:dyDescent="0.55000000000000004">
      <c r="A9574" s="17"/>
    </row>
    <row r="9575" spans="1:1" x14ac:dyDescent="0.55000000000000004">
      <c r="A9575" s="17"/>
    </row>
    <row r="9576" spans="1:1" x14ac:dyDescent="0.55000000000000004">
      <c r="A9576" s="17"/>
    </row>
    <row r="9577" spans="1:1" x14ac:dyDescent="0.55000000000000004">
      <c r="A9577" s="17"/>
    </row>
    <row r="9578" spans="1:1" x14ac:dyDescent="0.55000000000000004">
      <c r="A9578" s="17"/>
    </row>
    <row r="9579" spans="1:1" x14ac:dyDescent="0.55000000000000004">
      <c r="A9579" s="17"/>
    </row>
    <row r="9580" spans="1:1" x14ac:dyDescent="0.55000000000000004">
      <c r="A9580" s="17"/>
    </row>
    <row r="9581" spans="1:1" x14ac:dyDescent="0.55000000000000004">
      <c r="A9581" s="17"/>
    </row>
    <row r="9582" spans="1:1" x14ac:dyDescent="0.55000000000000004">
      <c r="A9582" s="17"/>
    </row>
    <row r="9583" spans="1:1" x14ac:dyDescent="0.55000000000000004">
      <c r="A9583" s="17"/>
    </row>
    <row r="9584" spans="1:1" x14ac:dyDescent="0.55000000000000004">
      <c r="A9584" s="17"/>
    </row>
    <row r="9585" spans="1:1" x14ac:dyDescent="0.55000000000000004">
      <c r="A9585" s="17"/>
    </row>
    <row r="9586" spans="1:1" x14ac:dyDescent="0.55000000000000004">
      <c r="A9586" s="17"/>
    </row>
    <row r="9587" spans="1:1" x14ac:dyDescent="0.55000000000000004">
      <c r="A9587" s="17"/>
    </row>
    <row r="9588" spans="1:1" x14ac:dyDescent="0.55000000000000004">
      <c r="A9588" s="17"/>
    </row>
    <row r="9589" spans="1:1" x14ac:dyDescent="0.55000000000000004">
      <c r="A9589" s="17"/>
    </row>
    <row r="9590" spans="1:1" x14ac:dyDescent="0.55000000000000004">
      <c r="A9590" s="17"/>
    </row>
    <row r="9591" spans="1:1" x14ac:dyDescent="0.55000000000000004">
      <c r="A9591" s="17"/>
    </row>
    <row r="9592" spans="1:1" x14ac:dyDescent="0.55000000000000004">
      <c r="A9592" s="17"/>
    </row>
    <row r="9593" spans="1:1" x14ac:dyDescent="0.55000000000000004">
      <c r="A9593" s="17"/>
    </row>
    <row r="9594" spans="1:1" x14ac:dyDescent="0.55000000000000004">
      <c r="A9594" s="17"/>
    </row>
    <row r="9595" spans="1:1" x14ac:dyDescent="0.55000000000000004">
      <c r="A9595" s="17"/>
    </row>
    <row r="9596" spans="1:1" x14ac:dyDescent="0.55000000000000004">
      <c r="A9596" s="17"/>
    </row>
    <row r="9597" spans="1:1" x14ac:dyDescent="0.55000000000000004">
      <c r="A9597" s="17"/>
    </row>
    <row r="9598" spans="1:1" x14ac:dyDescent="0.55000000000000004">
      <c r="A9598" s="17"/>
    </row>
    <row r="9599" spans="1:1" x14ac:dyDescent="0.55000000000000004">
      <c r="A9599" s="17"/>
    </row>
    <row r="9600" spans="1:1" x14ac:dyDescent="0.55000000000000004">
      <c r="A9600" s="17"/>
    </row>
    <row r="9601" spans="1:1" x14ac:dyDescent="0.55000000000000004">
      <c r="A9601" s="17"/>
    </row>
    <row r="9602" spans="1:1" x14ac:dyDescent="0.55000000000000004">
      <c r="A9602" s="17"/>
    </row>
    <row r="9603" spans="1:1" x14ac:dyDescent="0.55000000000000004">
      <c r="A9603" s="17"/>
    </row>
    <row r="9604" spans="1:1" x14ac:dyDescent="0.55000000000000004">
      <c r="A9604" s="17"/>
    </row>
    <row r="9605" spans="1:1" x14ac:dyDescent="0.55000000000000004">
      <c r="A9605" s="17"/>
    </row>
    <row r="9606" spans="1:1" x14ac:dyDescent="0.55000000000000004">
      <c r="A9606" s="17"/>
    </row>
    <row r="9607" spans="1:1" x14ac:dyDescent="0.55000000000000004">
      <c r="A9607" s="17"/>
    </row>
    <row r="9608" spans="1:1" x14ac:dyDescent="0.55000000000000004">
      <c r="A9608" s="17"/>
    </row>
    <row r="9609" spans="1:1" x14ac:dyDescent="0.55000000000000004">
      <c r="A9609" s="17"/>
    </row>
    <row r="9610" spans="1:1" x14ac:dyDescent="0.55000000000000004">
      <c r="A9610" s="17"/>
    </row>
    <row r="9611" spans="1:1" x14ac:dyDescent="0.55000000000000004">
      <c r="A9611" s="17"/>
    </row>
    <row r="9612" spans="1:1" x14ac:dyDescent="0.55000000000000004">
      <c r="A9612" s="17"/>
    </row>
    <row r="9613" spans="1:1" x14ac:dyDescent="0.55000000000000004">
      <c r="A9613" s="17"/>
    </row>
    <row r="9614" spans="1:1" x14ac:dyDescent="0.55000000000000004">
      <c r="A9614" s="17"/>
    </row>
    <row r="9615" spans="1:1" x14ac:dyDescent="0.55000000000000004">
      <c r="A9615" s="17"/>
    </row>
    <row r="9616" spans="1:1" x14ac:dyDescent="0.55000000000000004">
      <c r="A9616" s="17"/>
    </row>
    <row r="9617" spans="1:1" x14ac:dyDescent="0.55000000000000004">
      <c r="A9617" s="17"/>
    </row>
    <row r="9618" spans="1:1" x14ac:dyDescent="0.55000000000000004">
      <c r="A9618" s="17"/>
    </row>
    <row r="9619" spans="1:1" x14ac:dyDescent="0.55000000000000004">
      <c r="A9619" s="17"/>
    </row>
    <row r="9620" spans="1:1" x14ac:dyDescent="0.55000000000000004">
      <c r="A9620" s="17"/>
    </row>
    <row r="9621" spans="1:1" x14ac:dyDescent="0.55000000000000004">
      <c r="A9621" s="17"/>
    </row>
    <row r="9622" spans="1:1" x14ac:dyDescent="0.55000000000000004">
      <c r="A9622" s="17"/>
    </row>
    <row r="9623" spans="1:1" x14ac:dyDescent="0.55000000000000004">
      <c r="A9623" s="17"/>
    </row>
    <row r="9624" spans="1:1" x14ac:dyDescent="0.55000000000000004">
      <c r="A9624" s="17"/>
    </row>
    <row r="9625" spans="1:1" x14ac:dyDescent="0.55000000000000004">
      <c r="A9625" s="17"/>
    </row>
    <row r="9626" spans="1:1" x14ac:dyDescent="0.55000000000000004">
      <c r="A9626" s="17"/>
    </row>
    <row r="9627" spans="1:1" x14ac:dyDescent="0.55000000000000004">
      <c r="A9627" s="17"/>
    </row>
    <row r="9628" spans="1:1" x14ac:dyDescent="0.55000000000000004">
      <c r="A9628" s="17"/>
    </row>
    <row r="9629" spans="1:1" x14ac:dyDescent="0.55000000000000004">
      <c r="A9629" s="17"/>
    </row>
    <row r="9630" spans="1:1" x14ac:dyDescent="0.55000000000000004">
      <c r="A9630" s="17"/>
    </row>
    <row r="9631" spans="1:1" x14ac:dyDescent="0.55000000000000004">
      <c r="A9631" s="17"/>
    </row>
    <row r="9632" spans="1:1" x14ac:dyDescent="0.55000000000000004">
      <c r="A9632" s="17"/>
    </row>
    <row r="9633" spans="1:1" x14ac:dyDescent="0.55000000000000004">
      <c r="A9633" s="17"/>
    </row>
    <row r="9634" spans="1:1" x14ac:dyDescent="0.55000000000000004">
      <c r="A9634" s="17"/>
    </row>
    <row r="9635" spans="1:1" x14ac:dyDescent="0.55000000000000004">
      <c r="A9635" s="17"/>
    </row>
    <row r="9636" spans="1:1" x14ac:dyDescent="0.55000000000000004">
      <c r="A9636" s="17"/>
    </row>
    <row r="9637" spans="1:1" x14ac:dyDescent="0.55000000000000004">
      <c r="A9637" s="17"/>
    </row>
    <row r="9638" spans="1:1" x14ac:dyDescent="0.55000000000000004">
      <c r="A9638" s="17"/>
    </row>
    <row r="9639" spans="1:1" x14ac:dyDescent="0.55000000000000004">
      <c r="A9639" s="17"/>
    </row>
    <row r="9640" spans="1:1" x14ac:dyDescent="0.55000000000000004">
      <c r="A9640" s="17"/>
    </row>
    <row r="9641" spans="1:1" x14ac:dyDescent="0.55000000000000004">
      <c r="A9641" s="17"/>
    </row>
    <row r="9642" spans="1:1" x14ac:dyDescent="0.55000000000000004">
      <c r="A9642" s="17"/>
    </row>
    <row r="9643" spans="1:1" x14ac:dyDescent="0.55000000000000004">
      <c r="A9643" s="17"/>
    </row>
    <row r="9644" spans="1:1" x14ac:dyDescent="0.55000000000000004">
      <c r="A9644" s="17"/>
    </row>
    <row r="9645" spans="1:1" x14ac:dyDescent="0.55000000000000004">
      <c r="A9645" s="17"/>
    </row>
    <row r="9646" spans="1:1" x14ac:dyDescent="0.55000000000000004">
      <c r="A9646" s="17"/>
    </row>
    <row r="9647" spans="1:1" x14ac:dyDescent="0.55000000000000004">
      <c r="A9647" s="17"/>
    </row>
    <row r="9648" spans="1:1" x14ac:dyDescent="0.55000000000000004">
      <c r="A9648" s="17"/>
    </row>
    <row r="9649" spans="1:1" x14ac:dyDescent="0.55000000000000004">
      <c r="A9649" s="17"/>
    </row>
    <row r="9650" spans="1:1" x14ac:dyDescent="0.55000000000000004">
      <c r="A9650" s="17"/>
    </row>
    <row r="9651" spans="1:1" x14ac:dyDescent="0.55000000000000004">
      <c r="A9651" s="17"/>
    </row>
    <row r="9652" spans="1:1" x14ac:dyDescent="0.55000000000000004">
      <c r="A9652" s="17"/>
    </row>
    <row r="9653" spans="1:1" x14ac:dyDescent="0.55000000000000004">
      <c r="A9653" s="17"/>
    </row>
    <row r="9654" spans="1:1" x14ac:dyDescent="0.55000000000000004">
      <c r="A9654" s="17"/>
    </row>
    <row r="9655" spans="1:1" x14ac:dyDescent="0.55000000000000004">
      <c r="A9655" s="17"/>
    </row>
    <row r="9656" spans="1:1" x14ac:dyDescent="0.55000000000000004">
      <c r="A9656" s="17"/>
    </row>
    <row r="9657" spans="1:1" x14ac:dyDescent="0.55000000000000004">
      <c r="A9657" s="17"/>
    </row>
    <row r="9658" spans="1:1" x14ac:dyDescent="0.55000000000000004">
      <c r="A9658" s="17"/>
    </row>
    <row r="9659" spans="1:1" x14ac:dyDescent="0.55000000000000004">
      <c r="A9659" s="17"/>
    </row>
    <row r="9660" spans="1:1" x14ac:dyDescent="0.55000000000000004">
      <c r="A9660" s="17"/>
    </row>
    <row r="9661" spans="1:1" x14ac:dyDescent="0.55000000000000004">
      <c r="A9661" s="17"/>
    </row>
    <row r="9662" spans="1:1" x14ac:dyDescent="0.55000000000000004">
      <c r="A9662" s="17"/>
    </row>
    <row r="9663" spans="1:1" x14ac:dyDescent="0.55000000000000004">
      <c r="A9663" s="17"/>
    </row>
    <row r="9664" spans="1:1" x14ac:dyDescent="0.55000000000000004">
      <c r="A9664" s="17"/>
    </row>
    <row r="9665" spans="1:1" x14ac:dyDescent="0.55000000000000004">
      <c r="A9665" s="17"/>
    </row>
    <row r="9666" spans="1:1" x14ac:dyDescent="0.55000000000000004">
      <c r="A9666" s="17"/>
    </row>
    <row r="9667" spans="1:1" x14ac:dyDescent="0.55000000000000004">
      <c r="A9667" s="17"/>
    </row>
    <row r="9668" spans="1:1" x14ac:dyDescent="0.55000000000000004">
      <c r="A9668" s="17"/>
    </row>
    <row r="9669" spans="1:1" x14ac:dyDescent="0.55000000000000004">
      <c r="A9669" s="17"/>
    </row>
    <row r="9670" spans="1:1" x14ac:dyDescent="0.55000000000000004">
      <c r="A9670" s="17"/>
    </row>
    <row r="9671" spans="1:1" x14ac:dyDescent="0.55000000000000004">
      <c r="A9671" s="17"/>
    </row>
    <row r="9672" spans="1:1" x14ac:dyDescent="0.55000000000000004">
      <c r="A9672" s="17"/>
    </row>
    <row r="9673" spans="1:1" x14ac:dyDescent="0.55000000000000004">
      <c r="A9673" s="17"/>
    </row>
    <row r="9674" spans="1:1" x14ac:dyDescent="0.55000000000000004">
      <c r="A9674" s="17"/>
    </row>
    <row r="9675" spans="1:1" x14ac:dyDescent="0.55000000000000004">
      <c r="A9675" s="17"/>
    </row>
    <row r="9676" spans="1:1" x14ac:dyDescent="0.55000000000000004">
      <c r="A9676" s="17"/>
    </row>
    <row r="9677" spans="1:1" x14ac:dyDescent="0.55000000000000004">
      <c r="A9677" s="17"/>
    </row>
    <row r="9678" spans="1:1" x14ac:dyDescent="0.55000000000000004">
      <c r="A9678" s="17"/>
    </row>
    <row r="9679" spans="1:1" x14ac:dyDescent="0.55000000000000004">
      <c r="A9679" s="17"/>
    </row>
    <row r="9680" spans="1:1" x14ac:dyDescent="0.55000000000000004">
      <c r="A9680" s="17"/>
    </row>
    <row r="9681" spans="1:1" x14ac:dyDescent="0.55000000000000004">
      <c r="A9681" s="17"/>
    </row>
    <row r="9682" spans="1:1" x14ac:dyDescent="0.55000000000000004">
      <c r="A9682" s="17"/>
    </row>
    <row r="9683" spans="1:1" x14ac:dyDescent="0.55000000000000004">
      <c r="A9683" s="17"/>
    </row>
    <row r="9684" spans="1:1" x14ac:dyDescent="0.55000000000000004">
      <c r="A9684" s="17"/>
    </row>
    <row r="9685" spans="1:1" x14ac:dyDescent="0.55000000000000004">
      <c r="A9685" s="17"/>
    </row>
    <row r="9686" spans="1:1" x14ac:dyDescent="0.55000000000000004">
      <c r="A9686" s="17"/>
    </row>
    <row r="9687" spans="1:1" x14ac:dyDescent="0.55000000000000004">
      <c r="A9687" s="17"/>
    </row>
    <row r="9688" spans="1:1" x14ac:dyDescent="0.55000000000000004">
      <c r="A9688" s="17"/>
    </row>
    <row r="9689" spans="1:1" x14ac:dyDescent="0.55000000000000004">
      <c r="A9689" s="17"/>
    </row>
    <row r="9690" spans="1:1" x14ac:dyDescent="0.55000000000000004">
      <c r="A9690" s="17"/>
    </row>
    <row r="9691" spans="1:1" x14ac:dyDescent="0.55000000000000004">
      <c r="A9691" s="17"/>
    </row>
    <row r="9692" spans="1:1" x14ac:dyDescent="0.55000000000000004">
      <c r="A9692" s="17"/>
    </row>
    <row r="9693" spans="1:1" x14ac:dyDescent="0.55000000000000004">
      <c r="A9693" s="17"/>
    </row>
    <row r="9694" spans="1:1" x14ac:dyDescent="0.55000000000000004">
      <c r="A9694" s="17"/>
    </row>
    <row r="9695" spans="1:1" x14ac:dyDescent="0.55000000000000004">
      <c r="A9695" s="17"/>
    </row>
    <row r="9696" spans="1:1" x14ac:dyDescent="0.55000000000000004">
      <c r="A9696" s="17"/>
    </row>
    <row r="9697" spans="1:1" x14ac:dyDescent="0.55000000000000004">
      <c r="A9697" s="17"/>
    </row>
    <row r="9698" spans="1:1" x14ac:dyDescent="0.55000000000000004">
      <c r="A9698" s="17"/>
    </row>
    <row r="9699" spans="1:1" x14ac:dyDescent="0.55000000000000004">
      <c r="A9699" s="17"/>
    </row>
    <row r="9700" spans="1:1" x14ac:dyDescent="0.55000000000000004">
      <c r="A9700" s="17"/>
    </row>
    <row r="9701" spans="1:1" x14ac:dyDescent="0.55000000000000004">
      <c r="A9701" s="17"/>
    </row>
    <row r="9702" spans="1:1" x14ac:dyDescent="0.55000000000000004">
      <c r="A9702" s="17"/>
    </row>
    <row r="9703" spans="1:1" x14ac:dyDescent="0.55000000000000004">
      <c r="A9703" s="17"/>
    </row>
    <row r="9704" spans="1:1" x14ac:dyDescent="0.55000000000000004">
      <c r="A9704" s="17"/>
    </row>
    <row r="9705" spans="1:1" x14ac:dyDescent="0.55000000000000004">
      <c r="A9705" s="17"/>
    </row>
    <row r="9706" spans="1:1" x14ac:dyDescent="0.55000000000000004">
      <c r="A9706" s="17"/>
    </row>
    <row r="9707" spans="1:1" x14ac:dyDescent="0.55000000000000004">
      <c r="A9707" s="17"/>
    </row>
    <row r="9708" spans="1:1" x14ac:dyDescent="0.55000000000000004">
      <c r="A9708" s="17"/>
    </row>
    <row r="9709" spans="1:1" x14ac:dyDescent="0.55000000000000004">
      <c r="A9709" s="17"/>
    </row>
    <row r="9710" spans="1:1" x14ac:dyDescent="0.55000000000000004">
      <c r="A9710" s="17"/>
    </row>
    <row r="9711" spans="1:1" x14ac:dyDescent="0.55000000000000004">
      <c r="A9711" s="17"/>
    </row>
    <row r="9712" spans="1:1" x14ac:dyDescent="0.55000000000000004">
      <c r="A9712" s="17"/>
    </row>
    <row r="9713" spans="1:1" x14ac:dyDescent="0.55000000000000004">
      <c r="A9713" s="17"/>
    </row>
    <row r="9714" spans="1:1" x14ac:dyDescent="0.55000000000000004">
      <c r="A9714" s="17"/>
    </row>
    <row r="9715" spans="1:1" x14ac:dyDescent="0.55000000000000004">
      <c r="A9715" s="17"/>
    </row>
    <row r="9716" spans="1:1" x14ac:dyDescent="0.55000000000000004">
      <c r="A9716" s="17"/>
    </row>
    <row r="9717" spans="1:1" x14ac:dyDescent="0.55000000000000004">
      <c r="A9717" s="17"/>
    </row>
    <row r="9718" spans="1:1" x14ac:dyDescent="0.55000000000000004">
      <c r="A9718" s="17"/>
    </row>
    <row r="9719" spans="1:1" x14ac:dyDescent="0.55000000000000004">
      <c r="A9719" s="17"/>
    </row>
    <row r="9720" spans="1:1" x14ac:dyDescent="0.55000000000000004">
      <c r="A9720" s="17"/>
    </row>
    <row r="9721" spans="1:1" x14ac:dyDescent="0.55000000000000004">
      <c r="A9721" s="17"/>
    </row>
    <row r="9722" spans="1:1" x14ac:dyDescent="0.55000000000000004">
      <c r="A9722" s="17"/>
    </row>
    <row r="9723" spans="1:1" x14ac:dyDescent="0.55000000000000004">
      <c r="A9723" s="17"/>
    </row>
    <row r="9724" spans="1:1" x14ac:dyDescent="0.55000000000000004">
      <c r="A9724" s="17"/>
    </row>
    <row r="9725" spans="1:1" x14ac:dyDescent="0.55000000000000004">
      <c r="A9725" s="17"/>
    </row>
    <row r="9726" spans="1:1" x14ac:dyDescent="0.55000000000000004">
      <c r="A9726" s="17"/>
    </row>
    <row r="9727" spans="1:1" x14ac:dyDescent="0.55000000000000004">
      <c r="A9727" s="17"/>
    </row>
    <row r="9728" spans="1:1" x14ac:dyDescent="0.55000000000000004">
      <c r="A9728" s="17"/>
    </row>
    <row r="9729" spans="1:1" x14ac:dyDescent="0.55000000000000004">
      <c r="A9729" s="17"/>
    </row>
    <row r="9730" spans="1:1" x14ac:dyDescent="0.55000000000000004">
      <c r="A9730" s="17"/>
    </row>
    <row r="9731" spans="1:1" x14ac:dyDescent="0.55000000000000004">
      <c r="A9731" s="17"/>
    </row>
    <row r="9732" spans="1:1" x14ac:dyDescent="0.55000000000000004">
      <c r="A9732" s="17"/>
    </row>
    <row r="9733" spans="1:1" x14ac:dyDescent="0.55000000000000004">
      <c r="A9733" s="17"/>
    </row>
    <row r="9734" spans="1:1" x14ac:dyDescent="0.55000000000000004">
      <c r="A9734" s="17"/>
    </row>
    <row r="9735" spans="1:1" x14ac:dyDescent="0.55000000000000004">
      <c r="A9735" s="17"/>
    </row>
    <row r="9736" spans="1:1" x14ac:dyDescent="0.55000000000000004">
      <c r="A9736" s="17"/>
    </row>
    <row r="9737" spans="1:1" x14ac:dyDescent="0.55000000000000004">
      <c r="A9737" s="17"/>
    </row>
    <row r="9738" spans="1:1" x14ac:dyDescent="0.55000000000000004">
      <c r="A9738" s="17"/>
    </row>
    <row r="9739" spans="1:1" x14ac:dyDescent="0.55000000000000004">
      <c r="A9739" s="17"/>
    </row>
    <row r="9740" spans="1:1" x14ac:dyDescent="0.55000000000000004">
      <c r="A9740" s="17"/>
    </row>
    <row r="9741" spans="1:1" x14ac:dyDescent="0.55000000000000004">
      <c r="A9741" s="17"/>
    </row>
    <row r="9742" spans="1:1" x14ac:dyDescent="0.55000000000000004">
      <c r="A9742" s="17"/>
    </row>
    <row r="9743" spans="1:1" x14ac:dyDescent="0.55000000000000004">
      <c r="A9743" s="17"/>
    </row>
    <row r="9744" spans="1:1" x14ac:dyDescent="0.55000000000000004">
      <c r="A9744" s="17"/>
    </row>
    <row r="9745" spans="1:1" x14ac:dyDescent="0.55000000000000004">
      <c r="A9745" s="17"/>
    </row>
    <row r="9746" spans="1:1" x14ac:dyDescent="0.55000000000000004">
      <c r="A9746" s="17"/>
    </row>
    <row r="9747" spans="1:1" x14ac:dyDescent="0.55000000000000004">
      <c r="A9747" s="17"/>
    </row>
    <row r="9748" spans="1:1" x14ac:dyDescent="0.55000000000000004">
      <c r="A9748" s="17"/>
    </row>
    <row r="9749" spans="1:1" x14ac:dyDescent="0.55000000000000004">
      <c r="A9749" s="17"/>
    </row>
    <row r="9750" spans="1:1" x14ac:dyDescent="0.55000000000000004">
      <c r="A9750" s="17"/>
    </row>
    <row r="9751" spans="1:1" x14ac:dyDescent="0.55000000000000004">
      <c r="A9751" s="17"/>
    </row>
    <row r="9752" spans="1:1" x14ac:dyDescent="0.55000000000000004">
      <c r="A9752" s="17"/>
    </row>
    <row r="9753" spans="1:1" x14ac:dyDescent="0.55000000000000004">
      <c r="A9753" s="17"/>
    </row>
    <row r="9754" spans="1:1" x14ac:dyDescent="0.55000000000000004">
      <c r="A9754" s="17"/>
    </row>
    <row r="9755" spans="1:1" x14ac:dyDescent="0.55000000000000004">
      <c r="A9755" s="17"/>
    </row>
    <row r="9756" spans="1:1" x14ac:dyDescent="0.55000000000000004">
      <c r="A9756" s="17"/>
    </row>
    <row r="9757" spans="1:1" x14ac:dyDescent="0.55000000000000004">
      <c r="A9757" s="17"/>
    </row>
    <row r="9758" spans="1:1" x14ac:dyDescent="0.55000000000000004">
      <c r="A9758" s="17"/>
    </row>
    <row r="9759" spans="1:1" x14ac:dyDescent="0.55000000000000004">
      <c r="A9759" s="17"/>
    </row>
    <row r="9760" spans="1:1" x14ac:dyDescent="0.55000000000000004">
      <c r="A9760" s="17"/>
    </row>
    <row r="9761" spans="1:1" x14ac:dyDescent="0.55000000000000004">
      <c r="A9761" s="17"/>
    </row>
    <row r="9762" spans="1:1" x14ac:dyDescent="0.55000000000000004">
      <c r="A9762" s="17"/>
    </row>
    <row r="9763" spans="1:1" x14ac:dyDescent="0.55000000000000004">
      <c r="A9763" s="17"/>
    </row>
    <row r="9764" spans="1:1" x14ac:dyDescent="0.55000000000000004">
      <c r="A9764" s="17"/>
    </row>
    <row r="9765" spans="1:1" x14ac:dyDescent="0.55000000000000004">
      <c r="A9765" s="17"/>
    </row>
    <row r="9766" spans="1:1" x14ac:dyDescent="0.55000000000000004">
      <c r="A9766" s="17"/>
    </row>
    <row r="9767" spans="1:1" x14ac:dyDescent="0.55000000000000004">
      <c r="A9767" s="17"/>
    </row>
    <row r="9768" spans="1:1" x14ac:dyDescent="0.55000000000000004">
      <c r="A9768" s="17"/>
    </row>
    <row r="9769" spans="1:1" x14ac:dyDescent="0.55000000000000004">
      <c r="A9769" s="17"/>
    </row>
    <row r="9770" spans="1:1" x14ac:dyDescent="0.55000000000000004">
      <c r="A9770" s="17"/>
    </row>
    <row r="9771" spans="1:1" x14ac:dyDescent="0.55000000000000004">
      <c r="A9771" s="17"/>
    </row>
    <row r="9772" spans="1:1" x14ac:dyDescent="0.55000000000000004">
      <c r="A9772" s="17"/>
    </row>
    <row r="9773" spans="1:1" x14ac:dyDescent="0.55000000000000004">
      <c r="A9773" s="17"/>
    </row>
    <row r="9774" spans="1:1" x14ac:dyDescent="0.55000000000000004">
      <c r="A9774" s="17"/>
    </row>
    <row r="9775" spans="1:1" x14ac:dyDescent="0.55000000000000004">
      <c r="A9775" s="17"/>
    </row>
    <row r="9776" spans="1:1" x14ac:dyDescent="0.55000000000000004">
      <c r="A9776" s="17"/>
    </row>
    <row r="9777" spans="1:1" x14ac:dyDescent="0.55000000000000004">
      <c r="A9777" s="17"/>
    </row>
    <row r="9778" spans="1:1" x14ac:dyDescent="0.55000000000000004">
      <c r="A9778" s="17"/>
    </row>
    <row r="9779" spans="1:1" x14ac:dyDescent="0.55000000000000004">
      <c r="A9779" s="17"/>
    </row>
    <row r="9780" spans="1:1" x14ac:dyDescent="0.55000000000000004">
      <c r="A9780" s="17"/>
    </row>
    <row r="9781" spans="1:1" x14ac:dyDescent="0.55000000000000004">
      <c r="A9781" s="17"/>
    </row>
    <row r="9782" spans="1:1" x14ac:dyDescent="0.55000000000000004">
      <c r="A9782" s="17"/>
    </row>
    <row r="9783" spans="1:1" x14ac:dyDescent="0.55000000000000004">
      <c r="A9783" s="17"/>
    </row>
    <row r="9784" spans="1:1" x14ac:dyDescent="0.55000000000000004">
      <c r="A9784" s="17"/>
    </row>
    <row r="9785" spans="1:1" x14ac:dyDescent="0.55000000000000004">
      <c r="A9785" s="17"/>
    </row>
    <row r="9786" spans="1:1" x14ac:dyDescent="0.55000000000000004">
      <c r="A9786" s="17"/>
    </row>
    <row r="9787" spans="1:1" x14ac:dyDescent="0.55000000000000004">
      <c r="A9787" s="17"/>
    </row>
    <row r="9788" spans="1:1" x14ac:dyDescent="0.55000000000000004">
      <c r="A9788" s="17"/>
    </row>
    <row r="9789" spans="1:1" x14ac:dyDescent="0.55000000000000004">
      <c r="A9789" s="17"/>
    </row>
    <row r="9790" spans="1:1" x14ac:dyDescent="0.55000000000000004">
      <c r="A9790" s="17"/>
    </row>
    <row r="9791" spans="1:1" x14ac:dyDescent="0.55000000000000004">
      <c r="A9791" s="17"/>
    </row>
    <row r="9792" spans="1:1" x14ac:dyDescent="0.55000000000000004">
      <c r="A9792" s="17"/>
    </row>
    <row r="9793" spans="1:1" x14ac:dyDescent="0.55000000000000004">
      <c r="A9793" s="17"/>
    </row>
    <row r="9794" spans="1:1" x14ac:dyDescent="0.55000000000000004">
      <c r="A9794" s="17"/>
    </row>
    <row r="9795" spans="1:1" x14ac:dyDescent="0.55000000000000004">
      <c r="A9795" s="17"/>
    </row>
    <row r="9796" spans="1:1" x14ac:dyDescent="0.55000000000000004">
      <c r="A9796" s="17"/>
    </row>
    <row r="9797" spans="1:1" x14ac:dyDescent="0.55000000000000004">
      <c r="A9797" s="17"/>
    </row>
    <row r="9798" spans="1:1" x14ac:dyDescent="0.55000000000000004">
      <c r="A9798" s="17"/>
    </row>
    <row r="9799" spans="1:1" x14ac:dyDescent="0.55000000000000004">
      <c r="A9799" s="17"/>
    </row>
    <row r="9800" spans="1:1" x14ac:dyDescent="0.55000000000000004">
      <c r="A9800" s="17"/>
    </row>
    <row r="9801" spans="1:1" x14ac:dyDescent="0.55000000000000004">
      <c r="A9801" s="17"/>
    </row>
    <row r="9802" spans="1:1" x14ac:dyDescent="0.55000000000000004">
      <c r="A9802" s="17"/>
    </row>
    <row r="9803" spans="1:1" x14ac:dyDescent="0.55000000000000004">
      <c r="A9803" s="17"/>
    </row>
    <row r="9804" spans="1:1" x14ac:dyDescent="0.55000000000000004">
      <c r="A9804" s="17"/>
    </row>
    <row r="9805" spans="1:1" x14ac:dyDescent="0.55000000000000004">
      <c r="A9805" s="17"/>
    </row>
    <row r="9806" spans="1:1" x14ac:dyDescent="0.55000000000000004">
      <c r="A9806" s="17"/>
    </row>
    <row r="9807" spans="1:1" x14ac:dyDescent="0.55000000000000004">
      <c r="A9807" s="17"/>
    </row>
    <row r="9808" spans="1:1" x14ac:dyDescent="0.55000000000000004">
      <c r="A9808" s="17"/>
    </row>
    <row r="9809" spans="1:1" x14ac:dyDescent="0.55000000000000004">
      <c r="A9809" s="17"/>
    </row>
    <row r="9810" spans="1:1" x14ac:dyDescent="0.55000000000000004">
      <c r="A9810" s="17"/>
    </row>
    <row r="9811" spans="1:1" x14ac:dyDescent="0.55000000000000004">
      <c r="A9811" s="17"/>
    </row>
    <row r="9812" spans="1:1" x14ac:dyDescent="0.55000000000000004">
      <c r="A9812" s="17"/>
    </row>
    <row r="9813" spans="1:1" x14ac:dyDescent="0.55000000000000004">
      <c r="A9813" s="17"/>
    </row>
    <row r="9814" spans="1:1" x14ac:dyDescent="0.55000000000000004">
      <c r="A9814" s="17"/>
    </row>
    <row r="9815" spans="1:1" x14ac:dyDescent="0.55000000000000004">
      <c r="A9815" s="17"/>
    </row>
    <row r="9816" spans="1:1" x14ac:dyDescent="0.55000000000000004">
      <c r="A9816" s="17"/>
    </row>
    <row r="9817" spans="1:1" x14ac:dyDescent="0.55000000000000004">
      <c r="A9817" s="17"/>
    </row>
    <row r="9818" spans="1:1" x14ac:dyDescent="0.55000000000000004">
      <c r="A9818" s="17"/>
    </row>
    <row r="9819" spans="1:1" x14ac:dyDescent="0.55000000000000004">
      <c r="A9819" s="17"/>
    </row>
    <row r="9820" spans="1:1" x14ac:dyDescent="0.55000000000000004">
      <c r="A9820" s="17"/>
    </row>
    <row r="9821" spans="1:1" x14ac:dyDescent="0.55000000000000004">
      <c r="A9821" s="17"/>
    </row>
    <row r="9822" spans="1:1" x14ac:dyDescent="0.55000000000000004">
      <c r="A9822" s="17"/>
    </row>
    <row r="9823" spans="1:1" x14ac:dyDescent="0.55000000000000004">
      <c r="A9823" s="17"/>
    </row>
    <row r="9824" spans="1:1" x14ac:dyDescent="0.55000000000000004">
      <c r="A9824" s="17"/>
    </row>
    <row r="9825" spans="1:1" x14ac:dyDescent="0.55000000000000004">
      <c r="A9825" s="17"/>
    </row>
    <row r="9826" spans="1:1" x14ac:dyDescent="0.55000000000000004">
      <c r="A9826" s="17"/>
    </row>
    <row r="9827" spans="1:1" x14ac:dyDescent="0.55000000000000004">
      <c r="A9827" s="17"/>
    </row>
    <row r="9828" spans="1:1" x14ac:dyDescent="0.55000000000000004">
      <c r="A9828" s="17"/>
    </row>
    <row r="9829" spans="1:1" x14ac:dyDescent="0.55000000000000004">
      <c r="A9829" s="17"/>
    </row>
    <row r="9830" spans="1:1" x14ac:dyDescent="0.55000000000000004">
      <c r="A9830" s="17"/>
    </row>
    <row r="9831" spans="1:1" x14ac:dyDescent="0.55000000000000004">
      <c r="A9831" s="17"/>
    </row>
    <row r="9832" spans="1:1" x14ac:dyDescent="0.55000000000000004">
      <c r="A9832" s="17"/>
    </row>
    <row r="9833" spans="1:1" x14ac:dyDescent="0.55000000000000004">
      <c r="A9833" s="17"/>
    </row>
    <row r="9834" spans="1:1" x14ac:dyDescent="0.55000000000000004">
      <c r="A9834" s="17"/>
    </row>
    <row r="9835" spans="1:1" x14ac:dyDescent="0.55000000000000004">
      <c r="A9835" s="17"/>
    </row>
    <row r="9836" spans="1:1" x14ac:dyDescent="0.55000000000000004">
      <c r="A9836" s="17"/>
    </row>
    <row r="9837" spans="1:1" x14ac:dyDescent="0.55000000000000004">
      <c r="A9837" s="17"/>
    </row>
    <row r="9838" spans="1:1" x14ac:dyDescent="0.55000000000000004">
      <c r="A9838" s="17"/>
    </row>
    <row r="9839" spans="1:1" x14ac:dyDescent="0.55000000000000004">
      <c r="A9839" s="17"/>
    </row>
    <row r="9840" spans="1:1" x14ac:dyDescent="0.55000000000000004">
      <c r="A9840" s="17"/>
    </row>
    <row r="9841" spans="1:1" x14ac:dyDescent="0.55000000000000004">
      <c r="A9841" s="17"/>
    </row>
    <row r="9842" spans="1:1" x14ac:dyDescent="0.55000000000000004">
      <c r="A9842" s="17"/>
    </row>
    <row r="9843" spans="1:1" x14ac:dyDescent="0.55000000000000004">
      <c r="A9843" s="17"/>
    </row>
    <row r="9844" spans="1:1" x14ac:dyDescent="0.55000000000000004">
      <c r="A9844" s="17"/>
    </row>
    <row r="9845" spans="1:1" x14ac:dyDescent="0.55000000000000004">
      <c r="A9845" s="17"/>
    </row>
    <row r="9846" spans="1:1" x14ac:dyDescent="0.55000000000000004">
      <c r="A9846" s="17"/>
    </row>
    <row r="9847" spans="1:1" x14ac:dyDescent="0.55000000000000004">
      <c r="A9847" s="17"/>
    </row>
    <row r="9848" spans="1:1" x14ac:dyDescent="0.55000000000000004">
      <c r="A9848" s="17"/>
    </row>
    <row r="9849" spans="1:1" x14ac:dyDescent="0.55000000000000004">
      <c r="A9849" s="17"/>
    </row>
    <row r="9850" spans="1:1" x14ac:dyDescent="0.55000000000000004">
      <c r="A9850" s="17"/>
    </row>
    <row r="9851" spans="1:1" x14ac:dyDescent="0.55000000000000004">
      <c r="A9851" s="17"/>
    </row>
    <row r="9852" spans="1:1" x14ac:dyDescent="0.55000000000000004">
      <c r="A9852" s="17"/>
    </row>
    <row r="9853" spans="1:1" x14ac:dyDescent="0.55000000000000004">
      <c r="A9853" s="17"/>
    </row>
    <row r="9854" spans="1:1" x14ac:dyDescent="0.55000000000000004">
      <c r="A9854" s="17"/>
    </row>
    <row r="9855" spans="1:1" x14ac:dyDescent="0.55000000000000004">
      <c r="A9855" s="17"/>
    </row>
    <row r="9856" spans="1:1" x14ac:dyDescent="0.55000000000000004">
      <c r="A9856" s="17"/>
    </row>
    <row r="9857" spans="1:1" x14ac:dyDescent="0.55000000000000004">
      <c r="A9857" s="17"/>
    </row>
    <row r="9858" spans="1:1" x14ac:dyDescent="0.55000000000000004">
      <c r="A9858" s="17"/>
    </row>
    <row r="9859" spans="1:1" x14ac:dyDescent="0.55000000000000004">
      <c r="A9859" s="17"/>
    </row>
    <row r="9860" spans="1:1" x14ac:dyDescent="0.55000000000000004">
      <c r="A9860" s="17"/>
    </row>
    <row r="9861" spans="1:1" x14ac:dyDescent="0.55000000000000004">
      <c r="A9861" s="17"/>
    </row>
    <row r="9862" spans="1:1" x14ac:dyDescent="0.55000000000000004">
      <c r="A9862" s="17"/>
    </row>
    <row r="9863" spans="1:1" x14ac:dyDescent="0.55000000000000004">
      <c r="A9863" s="17"/>
    </row>
    <row r="9864" spans="1:1" x14ac:dyDescent="0.55000000000000004">
      <c r="A9864" s="17"/>
    </row>
    <row r="9865" spans="1:1" x14ac:dyDescent="0.55000000000000004">
      <c r="A9865" s="17"/>
    </row>
    <row r="9866" spans="1:1" x14ac:dyDescent="0.55000000000000004">
      <c r="A9866" s="17"/>
    </row>
    <row r="9867" spans="1:1" x14ac:dyDescent="0.55000000000000004">
      <c r="A9867" s="17"/>
    </row>
    <row r="9868" spans="1:1" x14ac:dyDescent="0.55000000000000004">
      <c r="A9868" s="17"/>
    </row>
    <row r="9869" spans="1:1" x14ac:dyDescent="0.55000000000000004">
      <c r="A9869" s="17"/>
    </row>
    <row r="9870" spans="1:1" x14ac:dyDescent="0.55000000000000004">
      <c r="A9870" s="17"/>
    </row>
    <row r="9871" spans="1:1" x14ac:dyDescent="0.55000000000000004">
      <c r="A9871" s="17"/>
    </row>
    <row r="9872" spans="1:1" x14ac:dyDescent="0.55000000000000004">
      <c r="A9872" s="17"/>
    </row>
    <row r="9873" spans="1:1" x14ac:dyDescent="0.55000000000000004">
      <c r="A9873" s="17"/>
    </row>
    <row r="9874" spans="1:1" x14ac:dyDescent="0.55000000000000004">
      <c r="A9874" s="17"/>
    </row>
    <row r="9875" spans="1:1" x14ac:dyDescent="0.55000000000000004">
      <c r="A9875" s="17"/>
    </row>
    <row r="9876" spans="1:1" x14ac:dyDescent="0.55000000000000004">
      <c r="A9876" s="17"/>
    </row>
    <row r="9877" spans="1:1" x14ac:dyDescent="0.55000000000000004">
      <c r="A9877" s="17"/>
    </row>
    <row r="9878" spans="1:1" x14ac:dyDescent="0.55000000000000004">
      <c r="A9878" s="17"/>
    </row>
    <row r="9879" spans="1:1" x14ac:dyDescent="0.55000000000000004">
      <c r="A9879" s="17"/>
    </row>
    <row r="9880" spans="1:1" x14ac:dyDescent="0.55000000000000004">
      <c r="A9880" s="17"/>
    </row>
    <row r="9881" spans="1:1" x14ac:dyDescent="0.55000000000000004">
      <c r="A9881" s="17"/>
    </row>
    <row r="9882" spans="1:1" x14ac:dyDescent="0.55000000000000004">
      <c r="A9882" s="17"/>
    </row>
    <row r="9883" spans="1:1" x14ac:dyDescent="0.55000000000000004">
      <c r="A9883" s="17"/>
    </row>
    <row r="9884" spans="1:1" x14ac:dyDescent="0.55000000000000004">
      <c r="A9884" s="17"/>
    </row>
    <row r="9885" spans="1:1" x14ac:dyDescent="0.55000000000000004">
      <c r="A9885" s="17"/>
    </row>
    <row r="9886" spans="1:1" x14ac:dyDescent="0.55000000000000004">
      <c r="A9886" s="17"/>
    </row>
    <row r="9887" spans="1:1" x14ac:dyDescent="0.55000000000000004">
      <c r="A9887" s="17"/>
    </row>
    <row r="9888" spans="1:1" x14ac:dyDescent="0.55000000000000004">
      <c r="A9888" s="17"/>
    </row>
    <row r="9889" spans="1:1" x14ac:dyDescent="0.55000000000000004">
      <c r="A9889" s="17"/>
    </row>
    <row r="9890" spans="1:1" x14ac:dyDescent="0.55000000000000004">
      <c r="A9890" s="17"/>
    </row>
    <row r="9891" spans="1:1" x14ac:dyDescent="0.55000000000000004">
      <c r="A9891" s="17"/>
    </row>
    <row r="9892" spans="1:1" x14ac:dyDescent="0.55000000000000004">
      <c r="A9892" s="17"/>
    </row>
    <row r="9893" spans="1:1" x14ac:dyDescent="0.55000000000000004">
      <c r="A9893" s="17"/>
    </row>
    <row r="9894" spans="1:1" x14ac:dyDescent="0.55000000000000004">
      <c r="A9894" s="17"/>
    </row>
    <row r="9895" spans="1:1" x14ac:dyDescent="0.55000000000000004">
      <c r="A9895" s="17"/>
    </row>
    <row r="9896" spans="1:1" x14ac:dyDescent="0.55000000000000004">
      <c r="A9896" s="17"/>
    </row>
    <row r="9897" spans="1:1" x14ac:dyDescent="0.55000000000000004">
      <c r="A9897" s="17"/>
    </row>
    <row r="9898" spans="1:1" x14ac:dyDescent="0.55000000000000004">
      <c r="A9898" s="17"/>
    </row>
    <row r="9899" spans="1:1" x14ac:dyDescent="0.55000000000000004">
      <c r="A9899" s="17"/>
    </row>
    <row r="9900" spans="1:1" x14ac:dyDescent="0.55000000000000004">
      <c r="A9900" s="17"/>
    </row>
    <row r="9901" spans="1:1" x14ac:dyDescent="0.55000000000000004">
      <c r="A9901" s="17"/>
    </row>
    <row r="9902" spans="1:1" x14ac:dyDescent="0.55000000000000004">
      <c r="A9902" s="17"/>
    </row>
    <row r="9903" spans="1:1" x14ac:dyDescent="0.55000000000000004">
      <c r="A9903" s="17"/>
    </row>
    <row r="9904" spans="1:1" x14ac:dyDescent="0.55000000000000004">
      <c r="A9904" s="17"/>
    </row>
    <row r="9905" spans="1:1" x14ac:dyDescent="0.55000000000000004">
      <c r="A9905" s="17"/>
    </row>
    <row r="9906" spans="1:1" x14ac:dyDescent="0.55000000000000004">
      <c r="A9906" s="17"/>
    </row>
    <row r="9907" spans="1:1" x14ac:dyDescent="0.55000000000000004">
      <c r="A9907" s="17"/>
    </row>
    <row r="9908" spans="1:1" x14ac:dyDescent="0.55000000000000004">
      <c r="A9908" s="17"/>
    </row>
    <row r="9909" spans="1:1" x14ac:dyDescent="0.55000000000000004">
      <c r="A9909" s="17"/>
    </row>
    <row r="9910" spans="1:1" x14ac:dyDescent="0.55000000000000004">
      <c r="A9910" s="17"/>
    </row>
    <row r="9911" spans="1:1" x14ac:dyDescent="0.55000000000000004">
      <c r="A9911" s="17"/>
    </row>
    <row r="9912" spans="1:1" x14ac:dyDescent="0.55000000000000004">
      <c r="A9912" s="17"/>
    </row>
    <row r="9913" spans="1:1" x14ac:dyDescent="0.55000000000000004">
      <c r="A9913" s="17"/>
    </row>
    <row r="9914" spans="1:1" x14ac:dyDescent="0.55000000000000004">
      <c r="A9914" s="17"/>
    </row>
    <row r="9915" spans="1:1" x14ac:dyDescent="0.55000000000000004">
      <c r="A9915" s="17"/>
    </row>
    <row r="9916" spans="1:1" x14ac:dyDescent="0.55000000000000004">
      <c r="A9916" s="17"/>
    </row>
    <row r="9917" spans="1:1" x14ac:dyDescent="0.55000000000000004">
      <c r="A9917" s="17"/>
    </row>
    <row r="9918" spans="1:1" x14ac:dyDescent="0.55000000000000004">
      <c r="A9918" s="17"/>
    </row>
    <row r="9919" spans="1:1" x14ac:dyDescent="0.55000000000000004">
      <c r="A9919" s="17"/>
    </row>
    <row r="9920" spans="1:1" x14ac:dyDescent="0.55000000000000004">
      <c r="A9920" s="17"/>
    </row>
    <row r="9921" spans="1:1" x14ac:dyDescent="0.55000000000000004">
      <c r="A9921" s="17"/>
    </row>
    <row r="9922" spans="1:1" x14ac:dyDescent="0.55000000000000004">
      <c r="A9922" s="17"/>
    </row>
    <row r="9923" spans="1:1" x14ac:dyDescent="0.55000000000000004">
      <c r="A9923" s="17"/>
    </row>
    <row r="9924" spans="1:1" x14ac:dyDescent="0.55000000000000004">
      <c r="A9924" s="17"/>
    </row>
    <row r="9925" spans="1:1" x14ac:dyDescent="0.55000000000000004">
      <c r="A9925" s="17"/>
    </row>
    <row r="9926" spans="1:1" x14ac:dyDescent="0.55000000000000004">
      <c r="A9926" s="17"/>
    </row>
    <row r="9927" spans="1:1" x14ac:dyDescent="0.55000000000000004">
      <c r="A9927" s="17"/>
    </row>
    <row r="9928" spans="1:1" x14ac:dyDescent="0.55000000000000004">
      <c r="A9928" s="17"/>
    </row>
    <row r="9929" spans="1:1" x14ac:dyDescent="0.55000000000000004">
      <c r="A9929" s="17"/>
    </row>
    <row r="9930" spans="1:1" x14ac:dyDescent="0.55000000000000004">
      <c r="A9930" s="17"/>
    </row>
    <row r="9931" spans="1:1" x14ac:dyDescent="0.55000000000000004">
      <c r="A9931" s="17"/>
    </row>
    <row r="9932" spans="1:1" x14ac:dyDescent="0.55000000000000004">
      <c r="A9932" s="17"/>
    </row>
    <row r="9933" spans="1:1" x14ac:dyDescent="0.55000000000000004">
      <c r="A9933" s="17"/>
    </row>
    <row r="9934" spans="1:1" x14ac:dyDescent="0.55000000000000004">
      <c r="A9934" s="17"/>
    </row>
    <row r="9935" spans="1:1" x14ac:dyDescent="0.55000000000000004">
      <c r="A9935" s="17"/>
    </row>
    <row r="9936" spans="1:1" x14ac:dyDescent="0.55000000000000004">
      <c r="A9936" s="17"/>
    </row>
    <row r="9937" spans="1:1" x14ac:dyDescent="0.55000000000000004">
      <c r="A9937" s="17"/>
    </row>
    <row r="9938" spans="1:1" x14ac:dyDescent="0.55000000000000004">
      <c r="A9938" s="17"/>
    </row>
    <row r="9939" spans="1:1" x14ac:dyDescent="0.55000000000000004">
      <c r="A9939" s="17"/>
    </row>
    <row r="9940" spans="1:1" x14ac:dyDescent="0.55000000000000004">
      <c r="A9940" s="17"/>
    </row>
    <row r="9941" spans="1:1" x14ac:dyDescent="0.55000000000000004">
      <c r="A9941" s="17"/>
    </row>
    <row r="9942" spans="1:1" x14ac:dyDescent="0.55000000000000004">
      <c r="A9942" s="17"/>
    </row>
    <row r="9943" spans="1:1" x14ac:dyDescent="0.55000000000000004">
      <c r="A9943" s="17"/>
    </row>
    <row r="9944" spans="1:1" x14ac:dyDescent="0.55000000000000004">
      <c r="A9944" s="17"/>
    </row>
    <row r="9945" spans="1:1" x14ac:dyDescent="0.55000000000000004">
      <c r="A9945" s="17"/>
    </row>
    <row r="9946" spans="1:1" x14ac:dyDescent="0.55000000000000004">
      <c r="A9946" s="17"/>
    </row>
    <row r="9947" spans="1:1" x14ac:dyDescent="0.55000000000000004">
      <c r="A9947" s="17"/>
    </row>
    <row r="9948" spans="1:1" x14ac:dyDescent="0.55000000000000004">
      <c r="A9948" s="17"/>
    </row>
    <row r="9949" spans="1:1" x14ac:dyDescent="0.55000000000000004">
      <c r="A9949" s="17"/>
    </row>
    <row r="9950" spans="1:1" x14ac:dyDescent="0.55000000000000004">
      <c r="A9950" s="17"/>
    </row>
    <row r="9951" spans="1:1" x14ac:dyDescent="0.55000000000000004">
      <c r="A9951" s="17"/>
    </row>
    <row r="9952" spans="1:1" x14ac:dyDescent="0.55000000000000004">
      <c r="A9952" s="17"/>
    </row>
    <row r="9953" spans="1:1" x14ac:dyDescent="0.55000000000000004">
      <c r="A9953" s="17"/>
    </row>
    <row r="9954" spans="1:1" x14ac:dyDescent="0.55000000000000004">
      <c r="A9954" s="17"/>
    </row>
    <row r="9955" spans="1:1" x14ac:dyDescent="0.55000000000000004">
      <c r="A9955" s="17"/>
    </row>
    <row r="9956" spans="1:1" x14ac:dyDescent="0.55000000000000004">
      <c r="A9956" s="17"/>
    </row>
    <row r="9957" spans="1:1" x14ac:dyDescent="0.55000000000000004">
      <c r="A9957" s="17"/>
    </row>
    <row r="9958" spans="1:1" x14ac:dyDescent="0.55000000000000004">
      <c r="A9958" s="17"/>
    </row>
    <row r="9959" spans="1:1" x14ac:dyDescent="0.55000000000000004">
      <c r="A9959" s="17"/>
    </row>
    <row r="9960" spans="1:1" x14ac:dyDescent="0.55000000000000004">
      <c r="A9960" s="17"/>
    </row>
    <row r="9961" spans="1:1" x14ac:dyDescent="0.55000000000000004">
      <c r="A9961" s="17"/>
    </row>
    <row r="9962" spans="1:1" x14ac:dyDescent="0.55000000000000004">
      <c r="A9962" s="17"/>
    </row>
    <row r="9963" spans="1:1" x14ac:dyDescent="0.55000000000000004">
      <c r="A9963" s="17"/>
    </row>
    <row r="9964" spans="1:1" x14ac:dyDescent="0.55000000000000004">
      <c r="A9964" s="17"/>
    </row>
    <row r="9965" spans="1:1" x14ac:dyDescent="0.55000000000000004">
      <c r="A9965" s="17"/>
    </row>
    <row r="9966" spans="1:1" x14ac:dyDescent="0.55000000000000004">
      <c r="A9966" s="17"/>
    </row>
    <row r="9967" spans="1:1" x14ac:dyDescent="0.55000000000000004">
      <c r="A9967" s="17"/>
    </row>
    <row r="9968" spans="1:1" x14ac:dyDescent="0.55000000000000004">
      <c r="A9968" s="17"/>
    </row>
    <row r="9969" spans="1:1" x14ac:dyDescent="0.55000000000000004">
      <c r="A9969" s="17"/>
    </row>
    <row r="9970" spans="1:1" x14ac:dyDescent="0.55000000000000004">
      <c r="A9970" s="17"/>
    </row>
    <row r="9971" spans="1:1" x14ac:dyDescent="0.55000000000000004">
      <c r="A9971" s="17"/>
    </row>
    <row r="9972" spans="1:1" x14ac:dyDescent="0.55000000000000004">
      <c r="A9972" s="17"/>
    </row>
    <row r="9973" spans="1:1" x14ac:dyDescent="0.55000000000000004">
      <c r="A9973" s="17"/>
    </row>
    <row r="9974" spans="1:1" x14ac:dyDescent="0.55000000000000004">
      <c r="A9974" s="17"/>
    </row>
    <row r="9975" spans="1:1" x14ac:dyDescent="0.55000000000000004">
      <c r="A9975" s="17"/>
    </row>
    <row r="9976" spans="1:1" x14ac:dyDescent="0.55000000000000004">
      <c r="A9976" s="17"/>
    </row>
    <row r="9977" spans="1:1" x14ac:dyDescent="0.55000000000000004">
      <c r="A9977" s="17"/>
    </row>
    <row r="9978" spans="1:1" x14ac:dyDescent="0.55000000000000004">
      <c r="A9978" s="17"/>
    </row>
    <row r="9979" spans="1:1" x14ac:dyDescent="0.55000000000000004">
      <c r="A9979" s="17"/>
    </row>
    <row r="9980" spans="1:1" x14ac:dyDescent="0.55000000000000004">
      <c r="A9980" s="17"/>
    </row>
    <row r="9981" spans="1:1" x14ac:dyDescent="0.55000000000000004">
      <c r="A9981" s="17"/>
    </row>
    <row r="9982" spans="1:1" x14ac:dyDescent="0.55000000000000004">
      <c r="A9982" s="17"/>
    </row>
    <row r="9983" spans="1:1" x14ac:dyDescent="0.55000000000000004">
      <c r="A9983" s="17"/>
    </row>
    <row r="9984" spans="1:1" x14ac:dyDescent="0.55000000000000004">
      <c r="A9984" s="17"/>
    </row>
    <row r="9985" spans="1:1" x14ac:dyDescent="0.55000000000000004">
      <c r="A9985" s="17"/>
    </row>
    <row r="9986" spans="1:1" x14ac:dyDescent="0.55000000000000004">
      <c r="A9986" s="17"/>
    </row>
    <row r="9987" spans="1:1" x14ac:dyDescent="0.55000000000000004">
      <c r="A9987" s="17"/>
    </row>
    <row r="9988" spans="1:1" x14ac:dyDescent="0.55000000000000004">
      <c r="A9988" s="17"/>
    </row>
    <row r="9989" spans="1:1" x14ac:dyDescent="0.55000000000000004">
      <c r="A9989" s="17"/>
    </row>
    <row r="9990" spans="1:1" x14ac:dyDescent="0.55000000000000004">
      <c r="A9990" s="17"/>
    </row>
    <row r="9991" spans="1:1" x14ac:dyDescent="0.55000000000000004">
      <c r="A9991" s="17"/>
    </row>
    <row r="9992" spans="1:1" x14ac:dyDescent="0.55000000000000004">
      <c r="A9992" s="17"/>
    </row>
    <row r="9993" spans="1:1" x14ac:dyDescent="0.55000000000000004">
      <c r="A9993" s="17"/>
    </row>
    <row r="9994" spans="1:1" x14ac:dyDescent="0.55000000000000004">
      <c r="A9994" s="17"/>
    </row>
    <row r="9995" spans="1:1" x14ac:dyDescent="0.55000000000000004">
      <c r="A9995" s="17"/>
    </row>
    <row r="9996" spans="1:1" x14ac:dyDescent="0.55000000000000004">
      <c r="A9996" s="17"/>
    </row>
    <row r="9997" spans="1:1" x14ac:dyDescent="0.55000000000000004">
      <c r="A9997" s="17"/>
    </row>
    <row r="9998" spans="1:1" x14ac:dyDescent="0.55000000000000004">
      <c r="A9998" s="17"/>
    </row>
    <row r="9999" spans="1:1" x14ac:dyDescent="0.55000000000000004">
      <c r="A9999" s="17"/>
    </row>
    <row r="10000" spans="1:1" x14ac:dyDescent="0.55000000000000004">
      <c r="A10000" s="17"/>
    </row>
    <row r="10001" spans="1:1" x14ac:dyDescent="0.55000000000000004">
      <c r="A10001" s="17"/>
    </row>
    <row r="10002" spans="1:1" x14ac:dyDescent="0.55000000000000004">
      <c r="A10002" s="17"/>
    </row>
    <row r="10003" spans="1:1" x14ac:dyDescent="0.55000000000000004">
      <c r="A10003" s="17"/>
    </row>
    <row r="10004" spans="1:1" x14ac:dyDescent="0.55000000000000004">
      <c r="A10004" s="17"/>
    </row>
    <row r="10005" spans="1:1" x14ac:dyDescent="0.55000000000000004">
      <c r="A10005" s="17"/>
    </row>
    <row r="10006" spans="1:1" x14ac:dyDescent="0.55000000000000004">
      <c r="A10006" s="17"/>
    </row>
    <row r="10007" spans="1:1" x14ac:dyDescent="0.55000000000000004">
      <c r="A10007" s="17"/>
    </row>
    <row r="10008" spans="1:1" x14ac:dyDescent="0.55000000000000004">
      <c r="A10008" s="17"/>
    </row>
    <row r="10009" spans="1:1" x14ac:dyDescent="0.55000000000000004">
      <c r="A10009" s="17"/>
    </row>
    <row r="10010" spans="1:1" x14ac:dyDescent="0.55000000000000004">
      <c r="A10010" s="17"/>
    </row>
    <row r="10011" spans="1:1" x14ac:dyDescent="0.55000000000000004">
      <c r="A10011" s="17"/>
    </row>
    <row r="10012" spans="1:1" x14ac:dyDescent="0.55000000000000004">
      <c r="A10012" s="17"/>
    </row>
    <row r="10013" spans="1:1" x14ac:dyDescent="0.55000000000000004">
      <c r="A10013" s="17"/>
    </row>
    <row r="10014" spans="1:1" x14ac:dyDescent="0.55000000000000004">
      <c r="A10014" s="17"/>
    </row>
    <row r="10015" spans="1:1" x14ac:dyDescent="0.55000000000000004">
      <c r="A10015" s="17"/>
    </row>
    <row r="10016" spans="1:1" x14ac:dyDescent="0.55000000000000004">
      <c r="A10016" s="17"/>
    </row>
    <row r="10017" spans="1:1" x14ac:dyDescent="0.55000000000000004">
      <c r="A10017" s="17"/>
    </row>
    <row r="10018" spans="1:1" x14ac:dyDescent="0.55000000000000004">
      <c r="A10018" s="17"/>
    </row>
    <row r="10019" spans="1:1" x14ac:dyDescent="0.55000000000000004">
      <c r="A10019" s="17"/>
    </row>
    <row r="10020" spans="1:1" x14ac:dyDescent="0.55000000000000004">
      <c r="A10020" s="17"/>
    </row>
    <row r="10021" spans="1:1" x14ac:dyDescent="0.55000000000000004">
      <c r="A10021" s="17"/>
    </row>
    <row r="10022" spans="1:1" x14ac:dyDescent="0.55000000000000004">
      <c r="A10022" s="17"/>
    </row>
    <row r="10023" spans="1:1" x14ac:dyDescent="0.55000000000000004">
      <c r="A10023" s="17"/>
    </row>
    <row r="10024" spans="1:1" x14ac:dyDescent="0.55000000000000004">
      <c r="A10024" s="17"/>
    </row>
    <row r="10025" spans="1:1" x14ac:dyDescent="0.55000000000000004">
      <c r="A10025" s="17"/>
    </row>
    <row r="10026" spans="1:1" x14ac:dyDescent="0.55000000000000004">
      <c r="A10026" s="17"/>
    </row>
    <row r="10027" spans="1:1" x14ac:dyDescent="0.55000000000000004">
      <c r="A10027" s="17"/>
    </row>
    <row r="10028" spans="1:1" x14ac:dyDescent="0.55000000000000004">
      <c r="A10028" s="17"/>
    </row>
    <row r="10029" spans="1:1" x14ac:dyDescent="0.55000000000000004">
      <c r="A10029" s="17"/>
    </row>
    <row r="10030" spans="1:1" x14ac:dyDescent="0.55000000000000004">
      <c r="A10030" s="17"/>
    </row>
    <row r="10031" spans="1:1" x14ac:dyDescent="0.55000000000000004">
      <c r="A10031" s="17"/>
    </row>
    <row r="10032" spans="1:1" x14ac:dyDescent="0.55000000000000004">
      <c r="A10032" s="17"/>
    </row>
    <row r="10033" spans="1:1" x14ac:dyDescent="0.55000000000000004">
      <c r="A10033" s="17"/>
    </row>
    <row r="10034" spans="1:1" x14ac:dyDescent="0.55000000000000004">
      <c r="A10034" s="17"/>
    </row>
    <row r="10035" spans="1:1" x14ac:dyDescent="0.55000000000000004">
      <c r="A10035" s="17"/>
    </row>
    <row r="10036" spans="1:1" x14ac:dyDescent="0.55000000000000004">
      <c r="A10036" s="17"/>
    </row>
    <row r="10037" spans="1:1" x14ac:dyDescent="0.55000000000000004">
      <c r="A10037" s="17"/>
    </row>
    <row r="10038" spans="1:1" x14ac:dyDescent="0.55000000000000004">
      <c r="A10038" s="17"/>
    </row>
    <row r="10039" spans="1:1" x14ac:dyDescent="0.55000000000000004">
      <c r="A10039" s="17"/>
    </row>
    <row r="10040" spans="1:1" x14ac:dyDescent="0.55000000000000004">
      <c r="A10040" s="17"/>
    </row>
    <row r="10041" spans="1:1" x14ac:dyDescent="0.55000000000000004">
      <c r="A10041" s="17"/>
    </row>
    <row r="10042" spans="1:1" x14ac:dyDescent="0.55000000000000004">
      <c r="A10042" s="17"/>
    </row>
    <row r="10043" spans="1:1" x14ac:dyDescent="0.55000000000000004">
      <c r="A10043" s="17"/>
    </row>
    <row r="10044" spans="1:1" x14ac:dyDescent="0.55000000000000004">
      <c r="A10044" s="17"/>
    </row>
    <row r="10045" spans="1:1" x14ac:dyDescent="0.55000000000000004">
      <c r="A10045" s="17"/>
    </row>
    <row r="10046" spans="1:1" x14ac:dyDescent="0.55000000000000004">
      <c r="A10046" s="17"/>
    </row>
    <row r="10047" spans="1:1" x14ac:dyDescent="0.55000000000000004">
      <c r="A10047" s="17"/>
    </row>
    <row r="10048" spans="1:1" x14ac:dyDescent="0.55000000000000004">
      <c r="A10048" s="17"/>
    </row>
    <row r="10049" spans="1:1" x14ac:dyDescent="0.55000000000000004">
      <c r="A10049" s="17"/>
    </row>
    <row r="10050" spans="1:1" x14ac:dyDescent="0.55000000000000004">
      <c r="A10050" s="17"/>
    </row>
    <row r="10051" spans="1:1" x14ac:dyDescent="0.55000000000000004">
      <c r="A10051" s="17"/>
    </row>
    <row r="10052" spans="1:1" x14ac:dyDescent="0.55000000000000004">
      <c r="A10052" s="17"/>
    </row>
    <row r="10053" spans="1:1" x14ac:dyDescent="0.55000000000000004">
      <c r="A10053" s="17"/>
    </row>
    <row r="10054" spans="1:1" x14ac:dyDescent="0.55000000000000004">
      <c r="A10054" s="17"/>
    </row>
    <row r="10055" spans="1:1" x14ac:dyDescent="0.55000000000000004">
      <c r="A10055" s="17"/>
    </row>
    <row r="10056" spans="1:1" x14ac:dyDescent="0.55000000000000004">
      <c r="A10056" s="17"/>
    </row>
    <row r="10057" spans="1:1" x14ac:dyDescent="0.55000000000000004">
      <c r="A10057" s="17"/>
    </row>
    <row r="10058" spans="1:1" x14ac:dyDescent="0.55000000000000004">
      <c r="A10058" s="17"/>
    </row>
    <row r="10059" spans="1:1" x14ac:dyDescent="0.55000000000000004">
      <c r="A10059" s="17"/>
    </row>
    <row r="10060" spans="1:1" x14ac:dyDescent="0.55000000000000004">
      <c r="A10060" s="17"/>
    </row>
    <row r="10061" spans="1:1" x14ac:dyDescent="0.55000000000000004">
      <c r="A10061" s="17"/>
    </row>
    <row r="10062" spans="1:1" x14ac:dyDescent="0.55000000000000004">
      <c r="A10062" s="17"/>
    </row>
    <row r="10063" spans="1:1" x14ac:dyDescent="0.55000000000000004">
      <c r="A10063" s="17"/>
    </row>
    <row r="10064" spans="1:1" x14ac:dyDescent="0.55000000000000004">
      <c r="A10064" s="17"/>
    </row>
    <row r="10065" spans="1:1" x14ac:dyDescent="0.55000000000000004">
      <c r="A10065" s="17"/>
    </row>
    <row r="10066" spans="1:1" x14ac:dyDescent="0.55000000000000004">
      <c r="A10066" s="17"/>
    </row>
    <row r="10067" spans="1:1" x14ac:dyDescent="0.55000000000000004">
      <c r="A10067" s="17"/>
    </row>
    <row r="10068" spans="1:1" x14ac:dyDescent="0.55000000000000004">
      <c r="A10068" s="17"/>
    </row>
    <row r="10069" spans="1:1" x14ac:dyDescent="0.55000000000000004">
      <c r="A10069" s="17"/>
    </row>
    <row r="10070" spans="1:1" x14ac:dyDescent="0.55000000000000004">
      <c r="A10070" s="17"/>
    </row>
    <row r="10071" spans="1:1" x14ac:dyDescent="0.55000000000000004">
      <c r="A10071" s="17"/>
    </row>
    <row r="10072" spans="1:1" x14ac:dyDescent="0.55000000000000004">
      <c r="A10072" s="17"/>
    </row>
    <row r="10073" spans="1:1" x14ac:dyDescent="0.55000000000000004">
      <c r="A10073" s="17"/>
    </row>
    <row r="10074" spans="1:1" x14ac:dyDescent="0.55000000000000004">
      <c r="A10074" s="17"/>
    </row>
    <row r="10075" spans="1:1" x14ac:dyDescent="0.55000000000000004">
      <c r="A10075" s="17"/>
    </row>
    <row r="10076" spans="1:1" x14ac:dyDescent="0.55000000000000004">
      <c r="A10076" s="17"/>
    </row>
    <row r="10077" spans="1:1" x14ac:dyDescent="0.55000000000000004">
      <c r="A10077" s="17"/>
    </row>
    <row r="10078" spans="1:1" x14ac:dyDescent="0.55000000000000004">
      <c r="A10078" s="17"/>
    </row>
    <row r="10079" spans="1:1" x14ac:dyDescent="0.55000000000000004">
      <c r="A10079" s="17"/>
    </row>
    <row r="10080" spans="1:1" x14ac:dyDescent="0.55000000000000004">
      <c r="A10080" s="17"/>
    </row>
    <row r="10081" spans="1:1" x14ac:dyDescent="0.55000000000000004">
      <c r="A10081" s="17"/>
    </row>
    <row r="10082" spans="1:1" x14ac:dyDescent="0.55000000000000004">
      <c r="A10082" s="17"/>
    </row>
    <row r="10083" spans="1:1" x14ac:dyDescent="0.55000000000000004">
      <c r="A10083" s="17"/>
    </row>
    <row r="10084" spans="1:1" x14ac:dyDescent="0.55000000000000004">
      <c r="A10084" s="17"/>
    </row>
    <row r="10085" spans="1:1" x14ac:dyDescent="0.55000000000000004">
      <c r="A10085" s="17"/>
    </row>
    <row r="10086" spans="1:1" x14ac:dyDescent="0.55000000000000004">
      <c r="A10086" s="17"/>
    </row>
    <row r="10087" spans="1:1" x14ac:dyDescent="0.55000000000000004">
      <c r="A10087" s="17"/>
    </row>
    <row r="10088" spans="1:1" x14ac:dyDescent="0.55000000000000004">
      <c r="A10088" s="17"/>
    </row>
    <row r="10089" spans="1:1" x14ac:dyDescent="0.55000000000000004">
      <c r="A10089" s="17"/>
    </row>
    <row r="10090" spans="1:1" x14ac:dyDescent="0.55000000000000004">
      <c r="A10090" s="17"/>
    </row>
    <row r="10091" spans="1:1" x14ac:dyDescent="0.55000000000000004">
      <c r="A10091" s="17"/>
    </row>
    <row r="10092" spans="1:1" x14ac:dyDescent="0.55000000000000004">
      <c r="A10092" s="17"/>
    </row>
    <row r="10093" spans="1:1" x14ac:dyDescent="0.55000000000000004">
      <c r="A10093" s="17"/>
    </row>
    <row r="10094" spans="1:1" x14ac:dyDescent="0.55000000000000004">
      <c r="A10094" s="17"/>
    </row>
    <row r="10095" spans="1:1" x14ac:dyDescent="0.55000000000000004">
      <c r="A10095" s="17"/>
    </row>
    <row r="10096" spans="1:1" x14ac:dyDescent="0.55000000000000004">
      <c r="A10096" s="17"/>
    </row>
    <row r="10097" spans="1:1" x14ac:dyDescent="0.55000000000000004">
      <c r="A10097" s="17"/>
    </row>
    <row r="10098" spans="1:1" x14ac:dyDescent="0.55000000000000004">
      <c r="A10098" s="17"/>
    </row>
    <row r="10099" spans="1:1" x14ac:dyDescent="0.55000000000000004">
      <c r="A10099" s="17"/>
    </row>
    <row r="10100" spans="1:1" x14ac:dyDescent="0.55000000000000004">
      <c r="A10100" s="17"/>
    </row>
    <row r="10101" spans="1:1" x14ac:dyDescent="0.55000000000000004">
      <c r="A10101" s="17"/>
    </row>
    <row r="10102" spans="1:1" x14ac:dyDescent="0.55000000000000004">
      <c r="A10102" s="17"/>
    </row>
    <row r="10103" spans="1:1" x14ac:dyDescent="0.55000000000000004">
      <c r="A10103" s="17"/>
    </row>
    <row r="10104" spans="1:1" x14ac:dyDescent="0.55000000000000004">
      <c r="A10104" s="17"/>
    </row>
    <row r="10105" spans="1:1" x14ac:dyDescent="0.55000000000000004">
      <c r="A10105" s="17"/>
    </row>
    <row r="10106" spans="1:1" x14ac:dyDescent="0.55000000000000004">
      <c r="A10106" s="17"/>
    </row>
    <row r="10107" spans="1:1" x14ac:dyDescent="0.55000000000000004">
      <c r="A10107" s="17"/>
    </row>
    <row r="10108" spans="1:1" x14ac:dyDescent="0.55000000000000004">
      <c r="A10108" s="17"/>
    </row>
    <row r="10109" spans="1:1" x14ac:dyDescent="0.55000000000000004">
      <c r="A10109" s="17"/>
    </row>
    <row r="10110" spans="1:1" x14ac:dyDescent="0.55000000000000004">
      <c r="A10110" s="17"/>
    </row>
    <row r="10111" spans="1:1" x14ac:dyDescent="0.55000000000000004">
      <c r="A10111" s="17"/>
    </row>
    <row r="10112" spans="1:1" x14ac:dyDescent="0.55000000000000004">
      <c r="A10112" s="17"/>
    </row>
    <row r="10113" spans="1:1" x14ac:dyDescent="0.55000000000000004">
      <c r="A10113" s="17"/>
    </row>
    <row r="10114" spans="1:1" x14ac:dyDescent="0.55000000000000004">
      <c r="A10114" s="17"/>
    </row>
    <row r="10115" spans="1:1" x14ac:dyDescent="0.55000000000000004">
      <c r="A10115" s="17"/>
    </row>
    <row r="10116" spans="1:1" x14ac:dyDescent="0.55000000000000004">
      <c r="A10116" s="17"/>
    </row>
    <row r="10117" spans="1:1" x14ac:dyDescent="0.55000000000000004">
      <c r="A10117" s="17"/>
    </row>
    <row r="10118" spans="1:1" x14ac:dyDescent="0.55000000000000004">
      <c r="A10118" s="17"/>
    </row>
    <row r="10119" spans="1:1" x14ac:dyDescent="0.55000000000000004">
      <c r="A10119" s="17"/>
    </row>
    <row r="10120" spans="1:1" x14ac:dyDescent="0.55000000000000004">
      <c r="A10120" s="17"/>
    </row>
    <row r="10121" spans="1:1" x14ac:dyDescent="0.55000000000000004">
      <c r="A10121" s="17"/>
    </row>
    <row r="10122" spans="1:1" x14ac:dyDescent="0.55000000000000004">
      <c r="A10122" s="17"/>
    </row>
    <row r="10123" spans="1:1" x14ac:dyDescent="0.55000000000000004">
      <c r="A10123" s="17"/>
    </row>
    <row r="10124" spans="1:1" x14ac:dyDescent="0.55000000000000004">
      <c r="A10124" s="17"/>
    </row>
    <row r="10125" spans="1:1" x14ac:dyDescent="0.55000000000000004">
      <c r="A10125" s="17"/>
    </row>
    <row r="10126" spans="1:1" x14ac:dyDescent="0.55000000000000004">
      <c r="A10126" s="17"/>
    </row>
    <row r="10127" spans="1:1" x14ac:dyDescent="0.55000000000000004">
      <c r="A10127" s="17"/>
    </row>
    <row r="10128" spans="1:1" x14ac:dyDescent="0.55000000000000004">
      <c r="A10128" s="17"/>
    </row>
    <row r="10129" spans="1:1" x14ac:dyDescent="0.55000000000000004">
      <c r="A10129" s="17"/>
    </row>
    <row r="10130" spans="1:1" x14ac:dyDescent="0.55000000000000004">
      <c r="A10130" s="17"/>
    </row>
    <row r="10131" spans="1:1" x14ac:dyDescent="0.55000000000000004">
      <c r="A10131" s="17"/>
    </row>
    <row r="10132" spans="1:1" x14ac:dyDescent="0.55000000000000004">
      <c r="A10132" s="17"/>
    </row>
    <row r="10133" spans="1:1" x14ac:dyDescent="0.55000000000000004">
      <c r="A10133" s="17"/>
    </row>
    <row r="10134" spans="1:1" x14ac:dyDescent="0.55000000000000004">
      <c r="A10134" s="17"/>
    </row>
    <row r="10135" spans="1:1" x14ac:dyDescent="0.55000000000000004">
      <c r="A10135" s="17"/>
    </row>
    <row r="10136" spans="1:1" x14ac:dyDescent="0.55000000000000004">
      <c r="A10136" s="17"/>
    </row>
    <row r="10137" spans="1:1" x14ac:dyDescent="0.55000000000000004">
      <c r="A10137" s="17"/>
    </row>
    <row r="10138" spans="1:1" x14ac:dyDescent="0.55000000000000004">
      <c r="A10138" s="17"/>
    </row>
    <row r="10139" spans="1:1" x14ac:dyDescent="0.55000000000000004">
      <c r="A10139" s="17"/>
    </row>
    <row r="10140" spans="1:1" x14ac:dyDescent="0.55000000000000004">
      <c r="A10140" s="17"/>
    </row>
    <row r="10141" spans="1:1" x14ac:dyDescent="0.55000000000000004">
      <c r="A10141" s="17"/>
    </row>
    <row r="10142" spans="1:1" x14ac:dyDescent="0.55000000000000004">
      <c r="A10142" s="17"/>
    </row>
    <row r="10143" spans="1:1" x14ac:dyDescent="0.55000000000000004">
      <c r="A10143" s="17"/>
    </row>
    <row r="10144" spans="1:1" x14ac:dyDescent="0.55000000000000004">
      <c r="A10144" s="17"/>
    </row>
    <row r="10145" spans="1:1" x14ac:dyDescent="0.55000000000000004">
      <c r="A10145" s="17"/>
    </row>
    <row r="10146" spans="1:1" x14ac:dyDescent="0.55000000000000004">
      <c r="A10146" s="17"/>
    </row>
    <row r="10147" spans="1:1" x14ac:dyDescent="0.55000000000000004">
      <c r="A10147" s="17"/>
    </row>
    <row r="10148" spans="1:1" x14ac:dyDescent="0.55000000000000004">
      <c r="A10148" s="17"/>
    </row>
    <row r="10149" spans="1:1" x14ac:dyDescent="0.55000000000000004">
      <c r="A10149" s="17"/>
    </row>
    <row r="10150" spans="1:1" x14ac:dyDescent="0.55000000000000004">
      <c r="A10150" s="17"/>
    </row>
    <row r="10151" spans="1:1" x14ac:dyDescent="0.55000000000000004">
      <c r="A10151" s="17"/>
    </row>
    <row r="10152" spans="1:1" x14ac:dyDescent="0.55000000000000004">
      <c r="A10152" s="17"/>
    </row>
    <row r="10153" spans="1:1" x14ac:dyDescent="0.55000000000000004">
      <c r="A10153" s="17"/>
    </row>
    <row r="10154" spans="1:1" x14ac:dyDescent="0.55000000000000004">
      <c r="A10154" s="17"/>
    </row>
    <row r="10155" spans="1:1" x14ac:dyDescent="0.55000000000000004">
      <c r="A10155" s="17"/>
    </row>
    <row r="10156" spans="1:1" x14ac:dyDescent="0.55000000000000004">
      <c r="A10156" s="17"/>
    </row>
    <row r="10157" spans="1:1" x14ac:dyDescent="0.55000000000000004">
      <c r="A10157" s="17"/>
    </row>
    <row r="10158" spans="1:1" x14ac:dyDescent="0.55000000000000004">
      <c r="A10158" s="17"/>
    </row>
    <row r="10159" spans="1:1" x14ac:dyDescent="0.55000000000000004">
      <c r="A10159" s="17"/>
    </row>
    <row r="10160" spans="1:1" x14ac:dyDescent="0.55000000000000004">
      <c r="A10160" s="17"/>
    </row>
    <row r="10161" spans="1:1" x14ac:dyDescent="0.55000000000000004">
      <c r="A10161" s="17"/>
    </row>
    <row r="10162" spans="1:1" x14ac:dyDescent="0.55000000000000004">
      <c r="A10162" s="17"/>
    </row>
    <row r="10163" spans="1:1" x14ac:dyDescent="0.55000000000000004">
      <c r="A10163" s="17"/>
    </row>
    <row r="10164" spans="1:1" x14ac:dyDescent="0.55000000000000004">
      <c r="A10164" s="17"/>
    </row>
    <row r="10165" spans="1:1" x14ac:dyDescent="0.55000000000000004">
      <c r="A10165" s="17"/>
    </row>
    <row r="10166" spans="1:1" x14ac:dyDescent="0.55000000000000004">
      <c r="A10166" s="17"/>
    </row>
    <row r="10167" spans="1:1" x14ac:dyDescent="0.55000000000000004">
      <c r="A10167" s="17"/>
    </row>
    <row r="10168" spans="1:1" x14ac:dyDescent="0.55000000000000004">
      <c r="A10168" s="17"/>
    </row>
    <row r="10169" spans="1:1" x14ac:dyDescent="0.55000000000000004">
      <c r="A10169" s="17"/>
    </row>
    <row r="10170" spans="1:1" x14ac:dyDescent="0.55000000000000004">
      <c r="A10170" s="17"/>
    </row>
    <row r="10171" spans="1:1" x14ac:dyDescent="0.55000000000000004">
      <c r="A10171" s="17"/>
    </row>
    <row r="10172" spans="1:1" x14ac:dyDescent="0.55000000000000004">
      <c r="A10172" s="17"/>
    </row>
    <row r="10173" spans="1:1" x14ac:dyDescent="0.55000000000000004">
      <c r="A10173" s="17"/>
    </row>
    <row r="10174" spans="1:1" x14ac:dyDescent="0.55000000000000004">
      <c r="A10174" s="17"/>
    </row>
    <row r="10175" spans="1:1" x14ac:dyDescent="0.55000000000000004">
      <c r="A10175" s="17"/>
    </row>
    <row r="10176" spans="1:1" x14ac:dyDescent="0.55000000000000004">
      <c r="A10176" s="17"/>
    </row>
    <row r="10177" spans="1:1" x14ac:dyDescent="0.55000000000000004">
      <c r="A10177" s="17"/>
    </row>
    <row r="10178" spans="1:1" x14ac:dyDescent="0.55000000000000004">
      <c r="A10178" s="17"/>
    </row>
    <row r="10179" spans="1:1" x14ac:dyDescent="0.55000000000000004">
      <c r="A10179" s="17"/>
    </row>
    <row r="10180" spans="1:1" x14ac:dyDescent="0.55000000000000004">
      <c r="A10180" s="17"/>
    </row>
    <row r="10181" spans="1:1" x14ac:dyDescent="0.55000000000000004">
      <c r="A10181" s="17"/>
    </row>
    <row r="10182" spans="1:1" x14ac:dyDescent="0.55000000000000004">
      <c r="A10182" s="17"/>
    </row>
    <row r="10183" spans="1:1" x14ac:dyDescent="0.55000000000000004">
      <c r="A10183" s="17"/>
    </row>
    <row r="10184" spans="1:1" x14ac:dyDescent="0.55000000000000004">
      <c r="A10184" s="17"/>
    </row>
    <row r="10185" spans="1:1" x14ac:dyDescent="0.55000000000000004">
      <c r="A10185" s="17"/>
    </row>
    <row r="10186" spans="1:1" x14ac:dyDescent="0.55000000000000004">
      <c r="A10186" s="17"/>
    </row>
    <row r="10187" spans="1:1" x14ac:dyDescent="0.55000000000000004">
      <c r="A10187" s="17"/>
    </row>
    <row r="10188" spans="1:1" x14ac:dyDescent="0.55000000000000004">
      <c r="A10188" s="17"/>
    </row>
    <row r="10189" spans="1:1" x14ac:dyDescent="0.55000000000000004">
      <c r="A10189" s="17"/>
    </row>
    <row r="10190" spans="1:1" x14ac:dyDescent="0.55000000000000004">
      <c r="A10190" s="17"/>
    </row>
    <row r="10191" spans="1:1" x14ac:dyDescent="0.55000000000000004">
      <c r="A10191" s="17"/>
    </row>
    <row r="10192" spans="1:1" x14ac:dyDescent="0.55000000000000004">
      <c r="A10192" s="17"/>
    </row>
    <row r="10193" spans="1:1" x14ac:dyDescent="0.55000000000000004">
      <c r="A10193" s="17"/>
    </row>
    <row r="10194" spans="1:1" x14ac:dyDescent="0.55000000000000004">
      <c r="A10194" s="17"/>
    </row>
    <row r="10195" spans="1:1" x14ac:dyDescent="0.55000000000000004">
      <c r="A10195" s="17"/>
    </row>
    <row r="10196" spans="1:1" x14ac:dyDescent="0.55000000000000004">
      <c r="A10196" s="17"/>
    </row>
    <row r="10197" spans="1:1" x14ac:dyDescent="0.55000000000000004">
      <c r="A10197" s="17"/>
    </row>
    <row r="10198" spans="1:1" x14ac:dyDescent="0.55000000000000004">
      <c r="A10198" s="17"/>
    </row>
    <row r="10199" spans="1:1" x14ac:dyDescent="0.55000000000000004">
      <c r="A10199" s="17"/>
    </row>
    <row r="10200" spans="1:1" x14ac:dyDescent="0.55000000000000004">
      <c r="A10200" s="17"/>
    </row>
    <row r="10201" spans="1:1" x14ac:dyDescent="0.55000000000000004">
      <c r="A10201" s="17"/>
    </row>
    <row r="10202" spans="1:1" x14ac:dyDescent="0.55000000000000004">
      <c r="A10202" s="17"/>
    </row>
    <row r="10203" spans="1:1" x14ac:dyDescent="0.55000000000000004">
      <c r="A10203" s="17"/>
    </row>
    <row r="10204" spans="1:1" x14ac:dyDescent="0.55000000000000004">
      <c r="A10204" s="17"/>
    </row>
    <row r="10205" spans="1:1" x14ac:dyDescent="0.55000000000000004">
      <c r="A10205" s="17"/>
    </row>
    <row r="10206" spans="1:1" x14ac:dyDescent="0.55000000000000004">
      <c r="A10206" s="17"/>
    </row>
    <row r="10207" spans="1:1" x14ac:dyDescent="0.55000000000000004">
      <c r="A10207" s="17"/>
    </row>
    <row r="10208" spans="1:1" x14ac:dyDescent="0.55000000000000004">
      <c r="A10208" s="17"/>
    </row>
    <row r="10209" spans="1:1" x14ac:dyDescent="0.55000000000000004">
      <c r="A10209" s="17"/>
    </row>
    <row r="10210" spans="1:1" x14ac:dyDescent="0.55000000000000004">
      <c r="A10210" s="17"/>
    </row>
    <row r="10211" spans="1:1" x14ac:dyDescent="0.55000000000000004">
      <c r="A10211" s="17"/>
    </row>
    <row r="10212" spans="1:1" x14ac:dyDescent="0.55000000000000004">
      <c r="A10212" s="17"/>
    </row>
    <row r="10213" spans="1:1" x14ac:dyDescent="0.55000000000000004">
      <c r="A10213" s="17"/>
    </row>
    <row r="10214" spans="1:1" x14ac:dyDescent="0.55000000000000004">
      <c r="A10214" s="17"/>
    </row>
    <row r="10215" spans="1:1" x14ac:dyDescent="0.55000000000000004">
      <c r="A10215" s="17"/>
    </row>
    <row r="10216" spans="1:1" x14ac:dyDescent="0.55000000000000004">
      <c r="A10216" s="17"/>
    </row>
    <row r="10217" spans="1:1" x14ac:dyDescent="0.55000000000000004">
      <c r="A10217" s="17"/>
    </row>
    <row r="10218" spans="1:1" x14ac:dyDescent="0.55000000000000004">
      <c r="A10218" s="17"/>
    </row>
    <row r="10219" spans="1:1" x14ac:dyDescent="0.55000000000000004">
      <c r="A10219" s="17"/>
    </row>
    <row r="10220" spans="1:1" x14ac:dyDescent="0.55000000000000004">
      <c r="A10220" s="17"/>
    </row>
    <row r="10221" spans="1:1" x14ac:dyDescent="0.55000000000000004">
      <c r="A10221" s="17"/>
    </row>
    <row r="10222" spans="1:1" x14ac:dyDescent="0.55000000000000004">
      <c r="A10222" s="17"/>
    </row>
    <row r="10223" spans="1:1" x14ac:dyDescent="0.55000000000000004">
      <c r="A10223" s="17"/>
    </row>
    <row r="10224" spans="1:1" x14ac:dyDescent="0.55000000000000004">
      <c r="A10224" s="17"/>
    </row>
    <row r="10225" spans="1:1" x14ac:dyDescent="0.55000000000000004">
      <c r="A10225" s="17"/>
    </row>
    <row r="10226" spans="1:1" x14ac:dyDescent="0.55000000000000004">
      <c r="A10226" s="17"/>
    </row>
    <row r="10227" spans="1:1" x14ac:dyDescent="0.55000000000000004">
      <c r="A10227" s="17"/>
    </row>
    <row r="10228" spans="1:1" x14ac:dyDescent="0.55000000000000004">
      <c r="A10228" s="17"/>
    </row>
    <row r="10229" spans="1:1" x14ac:dyDescent="0.55000000000000004">
      <c r="A10229" s="17"/>
    </row>
    <row r="10230" spans="1:1" x14ac:dyDescent="0.55000000000000004">
      <c r="A10230" s="17"/>
    </row>
    <row r="10231" spans="1:1" x14ac:dyDescent="0.55000000000000004">
      <c r="A10231" s="17"/>
    </row>
    <row r="10232" spans="1:1" x14ac:dyDescent="0.55000000000000004">
      <c r="A10232" s="17"/>
    </row>
    <row r="10233" spans="1:1" x14ac:dyDescent="0.55000000000000004">
      <c r="A10233" s="17"/>
    </row>
    <row r="10234" spans="1:1" x14ac:dyDescent="0.55000000000000004">
      <c r="A10234" s="17"/>
    </row>
    <row r="10235" spans="1:1" x14ac:dyDescent="0.55000000000000004">
      <c r="A10235" s="17"/>
    </row>
    <row r="10236" spans="1:1" x14ac:dyDescent="0.55000000000000004">
      <c r="A10236" s="17"/>
    </row>
    <row r="10237" spans="1:1" x14ac:dyDescent="0.55000000000000004">
      <c r="A10237" s="17"/>
    </row>
    <row r="10238" spans="1:1" x14ac:dyDescent="0.55000000000000004">
      <c r="A10238" s="17"/>
    </row>
    <row r="10239" spans="1:1" x14ac:dyDescent="0.55000000000000004">
      <c r="A10239" s="17"/>
    </row>
    <row r="10240" spans="1:1" x14ac:dyDescent="0.55000000000000004">
      <c r="A10240" s="17"/>
    </row>
    <row r="10241" spans="1:1" x14ac:dyDescent="0.55000000000000004">
      <c r="A10241" s="17"/>
    </row>
    <row r="10242" spans="1:1" x14ac:dyDescent="0.55000000000000004">
      <c r="A10242" s="17"/>
    </row>
    <row r="10243" spans="1:1" x14ac:dyDescent="0.55000000000000004">
      <c r="A10243" s="17"/>
    </row>
    <row r="10244" spans="1:1" x14ac:dyDescent="0.55000000000000004">
      <c r="A10244" s="17"/>
    </row>
    <row r="10245" spans="1:1" x14ac:dyDescent="0.55000000000000004">
      <c r="A10245" s="17"/>
    </row>
    <row r="10246" spans="1:1" x14ac:dyDescent="0.55000000000000004">
      <c r="A10246" s="17"/>
    </row>
    <row r="10247" spans="1:1" x14ac:dyDescent="0.55000000000000004">
      <c r="A10247" s="17"/>
    </row>
    <row r="10248" spans="1:1" x14ac:dyDescent="0.55000000000000004">
      <c r="A10248" s="17"/>
    </row>
    <row r="10249" spans="1:1" x14ac:dyDescent="0.55000000000000004">
      <c r="A10249" s="17"/>
    </row>
    <row r="10250" spans="1:1" x14ac:dyDescent="0.55000000000000004">
      <c r="A10250" s="17"/>
    </row>
    <row r="10251" spans="1:1" x14ac:dyDescent="0.55000000000000004">
      <c r="A10251" s="17"/>
    </row>
    <row r="10252" spans="1:1" x14ac:dyDescent="0.55000000000000004">
      <c r="A10252" s="17"/>
    </row>
    <row r="10253" spans="1:1" x14ac:dyDescent="0.55000000000000004">
      <c r="A10253" s="17"/>
    </row>
    <row r="10254" spans="1:1" x14ac:dyDescent="0.55000000000000004">
      <c r="A10254" s="17"/>
    </row>
    <row r="10255" spans="1:1" x14ac:dyDescent="0.55000000000000004">
      <c r="A10255" s="17"/>
    </row>
    <row r="10256" spans="1:1" x14ac:dyDescent="0.55000000000000004">
      <c r="A10256" s="17"/>
    </row>
    <row r="10257" spans="1:1" x14ac:dyDescent="0.55000000000000004">
      <c r="A10257" s="17"/>
    </row>
    <row r="10258" spans="1:1" x14ac:dyDescent="0.55000000000000004">
      <c r="A10258" s="17"/>
    </row>
    <row r="10259" spans="1:1" x14ac:dyDescent="0.55000000000000004">
      <c r="A10259" s="17"/>
    </row>
    <row r="10260" spans="1:1" x14ac:dyDescent="0.55000000000000004">
      <c r="A10260" s="17"/>
    </row>
    <row r="10261" spans="1:1" x14ac:dyDescent="0.55000000000000004">
      <c r="A10261" s="17"/>
    </row>
    <row r="10262" spans="1:1" x14ac:dyDescent="0.55000000000000004">
      <c r="A10262" s="17"/>
    </row>
    <row r="10263" spans="1:1" x14ac:dyDescent="0.55000000000000004">
      <c r="A10263" s="17"/>
    </row>
    <row r="10264" spans="1:1" x14ac:dyDescent="0.55000000000000004">
      <c r="A10264" s="17"/>
    </row>
    <row r="10265" spans="1:1" x14ac:dyDescent="0.55000000000000004">
      <c r="A10265" s="17"/>
    </row>
    <row r="10266" spans="1:1" x14ac:dyDescent="0.55000000000000004">
      <c r="A10266" s="17"/>
    </row>
    <row r="10267" spans="1:1" x14ac:dyDescent="0.55000000000000004">
      <c r="A10267" s="17"/>
    </row>
    <row r="10268" spans="1:1" x14ac:dyDescent="0.55000000000000004">
      <c r="A10268" s="17"/>
    </row>
    <row r="10269" spans="1:1" x14ac:dyDescent="0.55000000000000004">
      <c r="A10269" s="17"/>
    </row>
    <row r="10270" spans="1:1" x14ac:dyDescent="0.55000000000000004">
      <c r="A10270" s="17"/>
    </row>
    <row r="10271" spans="1:1" x14ac:dyDescent="0.55000000000000004">
      <c r="A10271" s="17"/>
    </row>
    <row r="10272" spans="1:1" x14ac:dyDescent="0.55000000000000004">
      <c r="A10272" s="17"/>
    </row>
    <row r="10273" spans="1:1" x14ac:dyDescent="0.55000000000000004">
      <c r="A10273" s="17"/>
    </row>
    <row r="10274" spans="1:1" x14ac:dyDescent="0.55000000000000004">
      <c r="A10274" s="17"/>
    </row>
    <row r="10275" spans="1:1" x14ac:dyDescent="0.55000000000000004">
      <c r="A10275" s="17"/>
    </row>
    <row r="10276" spans="1:1" x14ac:dyDescent="0.55000000000000004">
      <c r="A10276" s="17"/>
    </row>
    <row r="10277" spans="1:1" x14ac:dyDescent="0.55000000000000004">
      <c r="A10277" s="17"/>
    </row>
    <row r="10278" spans="1:1" x14ac:dyDescent="0.55000000000000004">
      <c r="A10278" s="17"/>
    </row>
    <row r="10279" spans="1:1" x14ac:dyDescent="0.55000000000000004">
      <c r="A10279" s="17"/>
    </row>
    <row r="10280" spans="1:1" x14ac:dyDescent="0.55000000000000004">
      <c r="A10280" s="17"/>
    </row>
    <row r="10281" spans="1:1" x14ac:dyDescent="0.55000000000000004">
      <c r="A10281" s="17"/>
    </row>
    <row r="10282" spans="1:1" x14ac:dyDescent="0.55000000000000004">
      <c r="A10282" s="17"/>
    </row>
    <row r="10283" spans="1:1" x14ac:dyDescent="0.55000000000000004">
      <c r="A10283" s="17"/>
    </row>
    <row r="10284" spans="1:1" x14ac:dyDescent="0.55000000000000004">
      <c r="A10284" s="17"/>
    </row>
    <row r="10285" spans="1:1" x14ac:dyDescent="0.55000000000000004">
      <c r="A10285" s="17"/>
    </row>
    <row r="10286" spans="1:1" x14ac:dyDescent="0.55000000000000004">
      <c r="A10286" s="17"/>
    </row>
    <row r="10287" spans="1:1" x14ac:dyDescent="0.55000000000000004">
      <c r="A10287" s="17"/>
    </row>
    <row r="10288" spans="1:1" x14ac:dyDescent="0.55000000000000004">
      <c r="A10288" s="17"/>
    </row>
    <row r="10289" spans="1:1" x14ac:dyDescent="0.55000000000000004">
      <c r="A10289" s="17"/>
    </row>
    <row r="10290" spans="1:1" x14ac:dyDescent="0.55000000000000004">
      <c r="A10290" s="17"/>
    </row>
    <row r="10291" spans="1:1" x14ac:dyDescent="0.55000000000000004">
      <c r="A10291" s="17"/>
    </row>
    <row r="10292" spans="1:1" x14ac:dyDescent="0.55000000000000004">
      <c r="A10292" s="17"/>
    </row>
    <row r="10293" spans="1:1" x14ac:dyDescent="0.55000000000000004">
      <c r="A10293" s="17"/>
    </row>
    <row r="10294" spans="1:1" x14ac:dyDescent="0.55000000000000004">
      <c r="A10294" s="17"/>
    </row>
    <row r="10295" spans="1:1" x14ac:dyDescent="0.55000000000000004">
      <c r="A10295" s="17"/>
    </row>
    <row r="10296" spans="1:1" x14ac:dyDescent="0.55000000000000004">
      <c r="A10296" s="17"/>
    </row>
    <row r="10297" spans="1:1" x14ac:dyDescent="0.55000000000000004">
      <c r="A10297" s="17"/>
    </row>
    <row r="10298" spans="1:1" x14ac:dyDescent="0.55000000000000004">
      <c r="A10298" s="17"/>
    </row>
    <row r="10299" spans="1:1" x14ac:dyDescent="0.55000000000000004">
      <c r="A10299" s="17"/>
    </row>
    <row r="10300" spans="1:1" x14ac:dyDescent="0.55000000000000004">
      <c r="A10300" s="17"/>
    </row>
    <row r="10301" spans="1:1" x14ac:dyDescent="0.55000000000000004">
      <c r="A10301" s="17"/>
    </row>
    <row r="10302" spans="1:1" x14ac:dyDescent="0.55000000000000004">
      <c r="A10302" s="17"/>
    </row>
    <row r="10303" spans="1:1" x14ac:dyDescent="0.55000000000000004">
      <c r="A10303" s="17"/>
    </row>
    <row r="10304" spans="1:1" x14ac:dyDescent="0.55000000000000004">
      <c r="A10304" s="17"/>
    </row>
    <row r="10305" spans="1:1" x14ac:dyDescent="0.55000000000000004">
      <c r="A10305" s="17"/>
    </row>
    <row r="10306" spans="1:1" x14ac:dyDescent="0.55000000000000004">
      <c r="A10306" s="17"/>
    </row>
    <row r="10307" spans="1:1" x14ac:dyDescent="0.55000000000000004">
      <c r="A10307" s="17"/>
    </row>
    <row r="10308" spans="1:1" x14ac:dyDescent="0.55000000000000004">
      <c r="A10308" s="17"/>
    </row>
    <row r="10309" spans="1:1" x14ac:dyDescent="0.55000000000000004">
      <c r="A10309" s="17"/>
    </row>
    <row r="10310" spans="1:1" x14ac:dyDescent="0.55000000000000004">
      <c r="A10310" s="17"/>
    </row>
    <row r="10311" spans="1:1" x14ac:dyDescent="0.55000000000000004">
      <c r="A10311" s="17"/>
    </row>
    <row r="10312" spans="1:1" x14ac:dyDescent="0.55000000000000004">
      <c r="A10312" s="17"/>
    </row>
    <row r="10313" spans="1:1" x14ac:dyDescent="0.55000000000000004">
      <c r="A10313" s="17"/>
    </row>
    <row r="10314" spans="1:1" x14ac:dyDescent="0.55000000000000004">
      <c r="A10314" s="17"/>
    </row>
    <row r="10315" spans="1:1" x14ac:dyDescent="0.55000000000000004">
      <c r="A10315" s="17"/>
    </row>
    <row r="10316" spans="1:1" x14ac:dyDescent="0.55000000000000004">
      <c r="A10316" s="17"/>
    </row>
    <row r="10317" spans="1:1" x14ac:dyDescent="0.55000000000000004">
      <c r="A10317" s="17"/>
    </row>
    <row r="10318" spans="1:1" x14ac:dyDescent="0.55000000000000004">
      <c r="A10318" s="17"/>
    </row>
    <row r="10319" spans="1:1" x14ac:dyDescent="0.55000000000000004">
      <c r="A10319" s="17"/>
    </row>
    <row r="10320" spans="1:1" x14ac:dyDescent="0.55000000000000004">
      <c r="A10320" s="17"/>
    </row>
    <row r="10321" spans="1:1" x14ac:dyDescent="0.55000000000000004">
      <c r="A10321" s="17"/>
    </row>
    <row r="10322" spans="1:1" x14ac:dyDescent="0.55000000000000004">
      <c r="A10322" s="17"/>
    </row>
    <row r="10323" spans="1:1" x14ac:dyDescent="0.55000000000000004">
      <c r="A10323" s="17"/>
    </row>
    <row r="10324" spans="1:1" x14ac:dyDescent="0.55000000000000004">
      <c r="A10324" s="17"/>
    </row>
    <row r="10325" spans="1:1" x14ac:dyDescent="0.55000000000000004">
      <c r="A10325" s="17"/>
    </row>
    <row r="10326" spans="1:1" x14ac:dyDescent="0.55000000000000004">
      <c r="A10326" s="17"/>
    </row>
    <row r="10327" spans="1:1" x14ac:dyDescent="0.55000000000000004">
      <c r="A10327" s="17"/>
    </row>
    <row r="10328" spans="1:1" x14ac:dyDescent="0.55000000000000004">
      <c r="A10328" s="17"/>
    </row>
    <row r="10329" spans="1:1" x14ac:dyDescent="0.55000000000000004">
      <c r="A10329" s="17"/>
    </row>
    <row r="10330" spans="1:1" x14ac:dyDescent="0.55000000000000004">
      <c r="A10330" s="17"/>
    </row>
    <row r="10331" spans="1:1" x14ac:dyDescent="0.55000000000000004">
      <c r="A10331" s="17"/>
    </row>
    <row r="10332" spans="1:1" x14ac:dyDescent="0.55000000000000004">
      <c r="A10332" s="17"/>
    </row>
    <row r="10333" spans="1:1" x14ac:dyDescent="0.55000000000000004">
      <c r="A10333" s="17"/>
    </row>
    <row r="10334" spans="1:1" x14ac:dyDescent="0.55000000000000004">
      <c r="A10334" s="17"/>
    </row>
    <row r="10335" spans="1:1" x14ac:dyDescent="0.55000000000000004">
      <c r="A10335" s="17"/>
    </row>
    <row r="10336" spans="1:1" x14ac:dyDescent="0.55000000000000004">
      <c r="A10336" s="17"/>
    </row>
    <row r="10337" spans="1:1" x14ac:dyDescent="0.55000000000000004">
      <c r="A10337" s="17"/>
    </row>
    <row r="10338" spans="1:1" x14ac:dyDescent="0.55000000000000004">
      <c r="A10338" s="17"/>
    </row>
    <row r="10339" spans="1:1" x14ac:dyDescent="0.55000000000000004">
      <c r="A10339" s="17"/>
    </row>
    <row r="10340" spans="1:1" x14ac:dyDescent="0.55000000000000004">
      <c r="A10340" s="17"/>
    </row>
    <row r="10341" spans="1:1" x14ac:dyDescent="0.55000000000000004">
      <c r="A10341" s="17"/>
    </row>
    <row r="10342" spans="1:1" x14ac:dyDescent="0.55000000000000004">
      <c r="A10342" s="17"/>
    </row>
    <row r="10343" spans="1:1" x14ac:dyDescent="0.55000000000000004">
      <c r="A10343" s="17"/>
    </row>
    <row r="10344" spans="1:1" x14ac:dyDescent="0.55000000000000004">
      <c r="A10344" s="17"/>
    </row>
    <row r="10345" spans="1:1" x14ac:dyDescent="0.55000000000000004">
      <c r="A10345" s="17"/>
    </row>
    <row r="10346" spans="1:1" x14ac:dyDescent="0.55000000000000004">
      <c r="A10346" s="17"/>
    </row>
    <row r="10347" spans="1:1" x14ac:dyDescent="0.55000000000000004">
      <c r="A10347" s="17"/>
    </row>
    <row r="10348" spans="1:1" x14ac:dyDescent="0.55000000000000004">
      <c r="A10348" s="17"/>
    </row>
    <row r="10349" spans="1:1" x14ac:dyDescent="0.55000000000000004">
      <c r="A10349" s="17"/>
    </row>
    <row r="10350" spans="1:1" x14ac:dyDescent="0.55000000000000004">
      <c r="A10350" s="17"/>
    </row>
    <row r="10351" spans="1:1" x14ac:dyDescent="0.55000000000000004">
      <c r="A10351" s="17"/>
    </row>
    <row r="10352" spans="1:1" x14ac:dyDescent="0.55000000000000004">
      <c r="A10352" s="17"/>
    </row>
    <row r="10353" spans="1:1" x14ac:dyDescent="0.55000000000000004">
      <c r="A10353" s="17"/>
    </row>
    <row r="10354" spans="1:1" x14ac:dyDescent="0.55000000000000004">
      <c r="A10354" s="17"/>
    </row>
    <row r="10355" spans="1:1" x14ac:dyDescent="0.55000000000000004">
      <c r="A10355" s="17"/>
    </row>
    <row r="10356" spans="1:1" x14ac:dyDescent="0.55000000000000004">
      <c r="A10356" s="17"/>
    </row>
    <row r="10357" spans="1:1" x14ac:dyDescent="0.55000000000000004">
      <c r="A10357" s="17"/>
    </row>
    <row r="10358" spans="1:1" x14ac:dyDescent="0.55000000000000004">
      <c r="A10358" s="17"/>
    </row>
    <row r="10359" spans="1:1" x14ac:dyDescent="0.55000000000000004">
      <c r="A10359" s="17"/>
    </row>
    <row r="10360" spans="1:1" x14ac:dyDescent="0.55000000000000004">
      <c r="A10360" s="17"/>
    </row>
    <row r="10361" spans="1:1" x14ac:dyDescent="0.55000000000000004">
      <c r="A10361" s="17"/>
    </row>
    <row r="10362" spans="1:1" x14ac:dyDescent="0.55000000000000004">
      <c r="A10362" s="17"/>
    </row>
    <row r="10363" spans="1:1" x14ac:dyDescent="0.55000000000000004">
      <c r="A10363" s="17"/>
    </row>
    <row r="10364" spans="1:1" x14ac:dyDescent="0.55000000000000004">
      <c r="A10364" s="17"/>
    </row>
    <row r="10365" spans="1:1" x14ac:dyDescent="0.55000000000000004">
      <c r="A10365" s="17"/>
    </row>
    <row r="10366" spans="1:1" x14ac:dyDescent="0.55000000000000004">
      <c r="A10366" s="17"/>
    </row>
    <row r="10367" spans="1:1" x14ac:dyDescent="0.55000000000000004">
      <c r="A10367" s="17"/>
    </row>
    <row r="10368" spans="1:1" x14ac:dyDescent="0.55000000000000004">
      <c r="A10368" s="17"/>
    </row>
    <row r="10369" spans="1:1" x14ac:dyDescent="0.55000000000000004">
      <c r="A10369" s="17"/>
    </row>
    <row r="10370" spans="1:1" x14ac:dyDescent="0.55000000000000004">
      <c r="A10370" s="17"/>
    </row>
    <row r="10371" spans="1:1" x14ac:dyDescent="0.55000000000000004">
      <c r="A10371" s="17"/>
    </row>
    <row r="10372" spans="1:1" x14ac:dyDescent="0.55000000000000004">
      <c r="A10372" s="17"/>
    </row>
    <row r="10373" spans="1:1" x14ac:dyDescent="0.55000000000000004">
      <c r="A10373" s="17"/>
    </row>
    <row r="10374" spans="1:1" x14ac:dyDescent="0.55000000000000004">
      <c r="A10374" s="17"/>
    </row>
    <row r="10375" spans="1:1" x14ac:dyDescent="0.55000000000000004">
      <c r="A10375" s="17"/>
    </row>
    <row r="10376" spans="1:1" x14ac:dyDescent="0.55000000000000004">
      <c r="A10376" s="17"/>
    </row>
    <row r="10377" spans="1:1" x14ac:dyDescent="0.55000000000000004">
      <c r="A10377" s="17"/>
    </row>
    <row r="10378" spans="1:1" x14ac:dyDescent="0.55000000000000004">
      <c r="A10378" s="17"/>
    </row>
    <row r="10379" spans="1:1" x14ac:dyDescent="0.55000000000000004">
      <c r="A10379" s="17"/>
    </row>
    <row r="10380" spans="1:1" x14ac:dyDescent="0.55000000000000004">
      <c r="A10380" s="17"/>
    </row>
    <row r="10381" spans="1:1" x14ac:dyDescent="0.55000000000000004">
      <c r="A10381" s="17"/>
    </row>
    <row r="10382" spans="1:1" x14ac:dyDescent="0.55000000000000004">
      <c r="A10382" s="17"/>
    </row>
    <row r="10383" spans="1:1" x14ac:dyDescent="0.55000000000000004">
      <c r="A10383" s="17"/>
    </row>
    <row r="10384" spans="1:1" x14ac:dyDescent="0.55000000000000004">
      <c r="A10384" s="17"/>
    </row>
    <row r="10385" spans="1:1" x14ac:dyDescent="0.55000000000000004">
      <c r="A10385" s="17"/>
    </row>
    <row r="10386" spans="1:1" x14ac:dyDescent="0.55000000000000004">
      <c r="A10386" s="17"/>
    </row>
    <row r="10387" spans="1:1" x14ac:dyDescent="0.55000000000000004">
      <c r="A10387" s="17"/>
    </row>
    <row r="10388" spans="1:1" x14ac:dyDescent="0.55000000000000004">
      <c r="A10388" s="17"/>
    </row>
    <row r="10389" spans="1:1" x14ac:dyDescent="0.55000000000000004">
      <c r="A10389" s="17"/>
    </row>
    <row r="10390" spans="1:1" x14ac:dyDescent="0.55000000000000004">
      <c r="A10390" s="17"/>
    </row>
    <row r="10391" spans="1:1" x14ac:dyDescent="0.55000000000000004">
      <c r="A10391" s="17"/>
    </row>
    <row r="10392" spans="1:1" x14ac:dyDescent="0.55000000000000004">
      <c r="A10392" s="17"/>
    </row>
    <row r="10393" spans="1:1" x14ac:dyDescent="0.55000000000000004">
      <c r="A10393" s="17"/>
    </row>
    <row r="10394" spans="1:1" x14ac:dyDescent="0.55000000000000004">
      <c r="A10394" s="17"/>
    </row>
    <row r="10395" spans="1:1" x14ac:dyDescent="0.55000000000000004">
      <c r="A10395" s="17"/>
    </row>
    <row r="10396" spans="1:1" x14ac:dyDescent="0.55000000000000004">
      <c r="A10396" s="17"/>
    </row>
    <row r="10397" spans="1:1" x14ac:dyDescent="0.55000000000000004">
      <c r="A10397" s="17"/>
    </row>
    <row r="10398" spans="1:1" x14ac:dyDescent="0.55000000000000004">
      <c r="A10398" s="17"/>
    </row>
    <row r="10399" spans="1:1" x14ac:dyDescent="0.55000000000000004">
      <c r="A10399" s="17"/>
    </row>
    <row r="10400" spans="1:1" x14ac:dyDescent="0.55000000000000004">
      <c r="A10400" s="17"/>
    </row>
    <row r="10401" spans="1:1" x14ac:dyDescent="0.55000000000000004">
      <c r="A10401" s="17"/>
    </row>
    <row r="10402" spans="1:1" x14ac:dyDescent="0.55000000000000004">
      <c r="A10402" s="17"/>
    </row>
    <row r="10403" spans="1:1" x14ac:dyDescent="0.55000000000000004">
      <c r="A10403" s="17"/>
    </row>
    <row r="10404" spans="1:1" x14ac:dyDescent="0.55000000000000004">
      <c r="A10404" s="17"/>
    </row>
    <row r="10405" spans="1:1" x14ac:dyDescent="0.55000000000000004">
      <c r="A10405" s="17"/>
    </row>
    <row r="10406" spans="1:1" x14ac:dyDescent="0.55000000000000004">
      <c r="A10406" s="17"/>
    </row>
    <row r="10407" spans="1:1" x14ac:dyDescent="0.55000000000000004">
      <c r="A10407" s="17"/>
    </row>
    <row r="10408" spans="1:1" x14ac:dyDescent="0.55000000000000004">
      <c r="A10408" s="17"/>
    </row>
    <row r="10409" spans="1:1" x14ac:dyDescent="0.55000000000000004">
      <c r="A10409" s="17"/>
    </row>
    <row r="10410" spans="1:1" x14ac:dyDescent="0.55000000000000004">
      <c r="A10410" s="17"/>
    </row>
    <row r="10411" spans="1:1" x14ac:dyDescent="0.55000000000000004">
      <c r="A10411" s="17"/>
    </row>
    <row r="10412" spans="1:1" x14ac:dyDescent="0.55000000000000004">
      <c r="A10412" s="17"/>
    </row>
    <row r="10413" spans="1:1" x14ac:dyDescent="0.55000000000000004">
      <c r="A10413" s="17"/>
    </row>
    <row r="10414" spans="1:1" x14ac:dyDescent="0.55000000000000004">
      <c r="A10414" s="17"/>
    </row>
    <row r="10415" spans="1:1" x14ac:dyDescent="0.55000000000000004">
      <c r="A10415" s="17"/>
    </row>
    <row r="10416" spans="1:1" x14ac:dyDescent="0.55000000000000004">
      <c r="A10416" s="17"/>
    </row>
    <row r="10417" spans="1:1" x14ac:dyDescent="0.55000000000000004">
      <c r="A10417" s="17"/>
    </row>
    <row r="10418" spans="1:1" x14ac:dyDescent="0.55000000000000004">
      <c r="A10418" s="17"/>
    </row>
    <row r="10419" spans="1:1" x14ac:dyDescent="0.55000000000000004">
      <c r="A10419" s="17"/>
    </row>
    <row r="10420" spans="1:1" x14ac:dyDescent="0.55000000000000004">
      <c r="A10420" s="17"/>
    </row>
    <row r="10421" spans="1:1" x14ac:dyDescent="0.55000000000000004">
      <c r="A10421" s="17"/>
    </row>
    <row r="10422" spans="1:1" x14ac:dyDescent="0.55000000000000004">
      <c r="A10422" s="17"/>
    </row>
    <row r="10423" spans="1:1" x14ac:dyDescent="0.55000000000000004">
      <c r="A10423" s="17"/>
    </row>
    <row r="10424" spans="1:1" x14ac:dyDescent="0.55000000000000004">
      <c r="A10424" s="17"/>
    </row>
    <row r="10425" spans="1:1" x14ac:dyDescent="0.55000000000000004">
      <c r="A10425" s="17"/>
    </row>
    <row r="10426" spans="1:1" x14ac:dyDescent="0.55000000000000004">
      <c r="A10426" s="17"/>
    </row>
    <row r="10427" spans="1:1" x14ac:dyDescent="0.55000000000000004">
      <c r="A10427" s="17"/>
    </row>
    <row r="10428" spans="1:1" x14ac:dyDescent="0.55000000000000004">
      <c r="A10428" s="17"/>
    </row>
    <row r="10429" spans="1:1" x14ac:dyDescent="0.55000000000000004">
      <c r="A10429" s="17"/>
    </row>
    <row r="10430" spans="1:1" x14ac:dyDescent="0.55000000000000004">
      <c r="A10430" s="17"/>
    </row>
    <row r="10431" spans="1:1" x14ac:dyDescent="0.55000000000000004">
      <c r="A10431" s="17"/>
    </row>
    <row r="10432" spans="1:1" x14ac:dyDescent="0.55000000000000004">
      <c r="A10432" s="17"/>
    </row>
    <row r="10433" spans="1:1" x14ac:dyDescent="0.55000000000000004">
      <c r="A10433" s="17"/>
    </row>
    <row r="10434" spans="1:1" x14ac:dyDescent="0.55000000000000004">
      <c r="A10434" s="17"/>
    </row>
    <row r="10435" spans="1:1" x14ac:dyDescent="0.55000000000000004">
      <c r="A10435" s="17"/>
    </row>
    <row r="10436" spans="1:1" x14ac:dyDescent="0.55000000000000004">
      <c r="A10436" s="17"/>
    </row>
    <row r="10437" spans="1:1" x14ac:dyDescent="0.55000000000000004">
      <c r="A10437" s="17"/>
    </row>
    <row r="10438" spans="1:1" x14ac:dyDescent="0.55000000000000004">
      <c r="A10438" s="17"/>
    </row>
    <row r="10439" spans="1:1" x14ac:dyDescent="0.55000000000000004">
      <c r="A10439" s="17"/>
    </row>
    <row r="10440" spans="1:1" x14ac:dyDescent="0.55000000000000004">
      <c r="A10440" s="17"/>
    </row>
    <row r="10441" spans="1:1" x14ac:dyDescent="0.55000000000000004">
      <c r="A10441" s="17"/>
    </row>
    <row r="10442" spans="1:1" x14ac:dyDescent="0.55000000000000004">
      <c r="A10442" s="17"/>
    </row>
    <row r="10443" spans="1:1" x14ac:dyDescent="0.55000000000000004">
      <c r="A10443" s="17"/>
    </row>
    <row r="10444" spans="1:1" x14ac:dyDescent="0.55000000000000004">
      <c r="A10444" s="17"/>
    </row>
    <row r="10445" spans="1:1" x14ac:dyDescent="0.55000000000000004">
      <c r="A10445" s="17"/>
    </row>
    <row r="10446" spans="1:1" x14ac:dyDescent="0.55000000000000004">
      <c r="A10446" s="17"/>
    </row>
    <row r="10447" spans="1:1" x14ac:dyDescent="0.55000000000000004">
      <c r="A10447" s="17"/>
    </row>
    <row r="10448" spans="1:1" x14ac:dyDescent="0.55000000000000004">
      <c r="A10448" s="17"/>
    </row>
    <row r="10449" spans="1:1" x14ac:dyDescent="0.55000000000000004">
      <c r="A10449" s="17"/>
    </row>
    <row r="10450" spans="1:1" x14ac:dyDescent="0.55000000000000004">
      <c r="A10450" s="17"/>
    </row>
    <row r="10451" spans="1:1" x14ac:dyDescent="0.55000000000000004">
      <c r="A10451" s="17"/>
    </row>
    <row r="10452" spans="1:1" x14ac:dyDescent="0.55000000000000004">
      <c r="A10452" s="17"/>
    </row>
    <row r="10453" spans="1:1" x14ac:dyDescent="0.55000000000000004">
      <c r="A10453" s="17"/>
    </row>
    <row r="10454" spans="1:1" x14ac:dyDescent="0.55000000000000004">
      <c r="A10454" s="17"/>
    </row>
    <row r="10455" spans="1:1" x14ac:dyDescent="0.55000000000000004">
      <c r="A10455" s="17"/>
    </row>
    <row r="10456" spans="1:1" x14ac:dyDescent="0.55000000000000004">
      <c r="A10456" s="17"/>
    </row>
    <row r="10457" spans="1:1" x14ac:dyDescent="0.55000000000000004">
      <c r="A10457" s="17"/>
    </row>
    <row r="10458" spans="1:1" x14ac:dyDescent="0.55000000000000004">
      <c r="A10458" s="17"/>
    </row>
    <row r="10459" spans="1:1" x14ac:dyDescent="0.55000000000000004">
      <c r="A10459" s="17"/>
    </row>
    <row r="10460" spans="1:1" x14ac:dyDescent="0.55000000000000004">
      <c r="A10460" s="17"/>
    </row>
    <row r="10461" spans="1:1" x14ac:dyDescent="0.55000000000000004">
      <c r="A10461" s="17"/>
    </row>
    <row r="10462" spans="1:1" x14ac:dyDescent="0.55000000000000004">
      <c r="A10462" s="17"/>
    </row>
    <row r="10463" spans="1:1" x14ac:dyDescent="0.55000000000000004">
      <c r="A10463" s="17"/>
    </row>
    <row r="10464" spans="1:1" x14ac:dyDescent="0.55000000000000004">
      <c r="A10464" s="17"/>
    </row>
    <row r="10465" spans="1:1" x14ac:dyDescent="0.55000000000000004">
      <c r="A10465" s="17"/>
    </row>
    <row r="10466" spans="1:1" x14ac:dyDescent="0.55000000000000004">
      <c r="A10466" s="17"/>
    </row>
    <row r="10467" spans="1:1" x14ac:dyDescent="0.55000000000000004">
      <c r="A10467" s="17"/>
    </row>
    <row r="10468" spans="1:1" x14ac:dyDescent="0.55000000000000004">
      <c r="A10468" s="17"/>
    </row>
    <row r="10469" spans="1:1" x14ac:dyDescent="0.55000000000000004">
      <c r="A10469" s="17"/>
    </row>
    <row r="10470" spans="1:1" x14ac:dyDescent="0.55000000000000004">
      <c r="A10470" s="17"/>
    </row>
    <row r="10471" spans="1:1" x14ac:dyDescent="0.55000000000000004">
      <c r="A10471" s="17"/>
    </row>
    <row r="10472" spans="1:1" x14ac:dyDescent="0.55000000000000004">
      <c r="A10472" s="17"/>
    </row>
    <row r="10473" spans="1:1" x14ac:dyDescent="0.55000000000000004">
      <c r="A10473" s="17"/>
    </row>
    <row r="10474" spans="1:1" x14ac:dyDescent="0.55000000000000004">
      <c r="A10474" s="17"/>
    </row>
    <row r="10475" spans="1:1" x14ac:dyDescent="0.55000000000000004">
      <c r="A10475" s="17"/>
    </row>
    <row r="10476" spans="1:1" x14ac:dyDescent="0.55000000000000004">
      <c r="A10476" s="17"/>
    </row>
    <row r="10477" spans="1:1" x14ac:dyDescent="0.55000000000000004">
      <c r="A10477" s="17"/>
    </row>
    <row r="10478" spans="1:1" x14ac:dyDescent="0.55000000000000004">
      <c r="A10478" s="17"/>
    </row>
    <row r="10479" spans="1:1" x14ac:dyDescent="0.55000000000000004">
      <c r="A10479" s="17"/>
    </row>
    <row r="10480" spans="1:1" x14ac:dyDescent="0.55000000000000004">
      <c r="A10480" s="17"/>
    </row>
    <row r="10481" spans="1:1" x14ac:dyDescent="0.55000000000000004">
      <c r="A10481" s="17"/>
    </row>
    <row r="10482" spans="1:1" x14ac:dyDescent="0.55000000000000004">
      <c r="A10482" s="17"/>
    </row>
    <row r="10483" spans="1:1" x14ac:dyDescent="0.55000000000000004">
      <c r="A10483" s="17"/>
    </row>
    <row r="10484" spans="1:1" x14ac:dyDescent="0.55000000000000004">
      <c r="A10484" s="17"/>
    </row>
    <row r="10485" spans="1:1" x14ac:dyDescent="0.55000000000000004">
      <c r="A10485" s="17"/>
    </row>
    <row r="10486" spans="1:1" x14ac:dyDescent="0.55000000000000004">
      <c r="A10486" s="17"/>
    </row>
    <row r="10487" spans="1:1" x14ac:dyDescent="0.55000000000000004">
      <c r="A10487" s="17"/>
    </row>
    <row r="10488" spans="1:1" x14ac:dyDescent="0.55000000000000004">
      <c r="A10488" s="17"/>
    </row>
    <row r="10489" spans="1:1" x14ac:dyDescent="0.55000000000000004">
      <c r="A10489" s="17"/>
    </row>
    <row r="10490" spans="1:1" x14ac:dyDescent="0.55000000000000004">
      <c r="A10490" s="17"/>
    </row>
    <row r="10491" spans="1:1" x14ac:dyDescent="0.55000000000000004">
      <c r="A10491" s="17"/>
    </row>
    <row r="10492" spans="1:1" x14ac:dyDescent="0.55000000000000004">
      <c r="A10492" s="17"/>
    </row>
    <row r="10493" spans="1:1" x14ac:dyDescent="0.55000000000000004">
      <c r="A10493" s="17"/>
    </row>
    <row r="10494" spans="1:1" x14ac:dyDescent="0.55000000000000004">
      <c r="A10494" s="17"/>
    </row>
    <row r="10495" spans="1:1" x14ac:dyDescent="0.55000000000000004">
      <c r="A10495" s="17"/>
    </row>
    <row r="10496" spans="1:1" x14ac:dyDescent="0.55000000000000004">
      <c r="A10496" s="17"/>
    </row>
    <row r="10497" spans="1:1" x14ac:dyDescent="0.55000000000000004">
      <c r="A10497" s="17"/>
    </row>
    <row r="10498" spans="1:1" x14ac:dyDescent="0.55000000000000004">
      <c r="A10498" s="17"/>
    </row>
    <row r="10499" spans="1:1" x14ac:dyDescent="0.55000000000000004">
      <c r="A10499" s="17"/>
    </row>
    <row r="10500" spans="1:1" x14ac:dyDescent="0.55000000000000004">
      <c r="A10500" s="17"/>
    </row>
    <row r="10501" spans="1:1" x14ac:dyDescent="0.55000000000000004">
      <c r="A10501" s="17"/>
    </row>
    <row r="10502" spans="1:1" x14ac:dyDescent="0.55000000000000004">
      <c r="A10502" s="17"/>
    </row>
    <row r="10503" spans="1:1" x14ac:dyDescent="0.55000000000000004">
      <c r="A10503" s="17"/>
    </row>
    <row r="10504" spans="1:1" x14ac:dyDescent="0.55000000000000004">
      <c r="A10504" s="17"/>
    </row>
    <row r="10505" spans="1:1" x14ac:dyDescent="0.55000000000000004">
      <c r="A10505" s="17"/>
    </row>
    <row r="10506" spans="1:1" x14ac:dyDescent="0.55000000000000004">
      <c r="A10506" s="17"/>
    </row>
    <row r="10507" spans="1:1" x14ac:dyDescent="0.55000000000000004">
      <c r="A10507" s="17"/>
    </row>
    <row r="10508" spans="1:1" x14ac:dyDescent="0.55000000000000004">
      <c r="A10508" s="17"/>
    </row>
    <row r="10509" spans="1:1" x14ac:dyDescent="0.55000000000000004">
      <c r="A10509" s="17"/>
    </row>
    <row r="10510" spans="1:1" x14ac:dyDescent="0.55000000000000004">
      <c r="A10510" s="17"/>
    </row>
    <row r="10511" spans="1:1" x14ac:dyDescent="0.55000000000000004">
      <c r="A10511" s="17"/>
    </row>
    <row r="10512" spans="1:1" x14ac:dyDescent="0.55000000000000004">
      <c r="A10512" s="17"/>
    </row>
    <row r="10513" spans="1:1" x14ac:dyDescent="0.55000000000000004">
      <c r="A10513" s="17"/>
    </row>
    <row r="10514" spans="1:1" x14ac:dyDescent="0.55000000000000004">
      <c r="A10514" s="17"/>
    </row>
    <row r="10515" spans="1:1" x14ac:dyDescent="0.55000000000000004">
      <c r="A10515" s="17"/>
    </row>
    <row r="10516" spans="1:1" x14ac:dyDescent="0.55000000000000004">
      <c r="A10516" s="17"/>
    </row>
    <row r="10517" spans="1:1" x14ac:dyDescent="0.55000000000000004">
      <c r="A10517" s="17"/>
    </row>
    <row r="10518" spans="1:1" x14ac:dyDescent="0.55000000000000004">
      <c r="A10518" s="17"/>
    </row>
    <row r="10519" spans="1:1" x14ac:dyDescent="0.55000000000000004">
      <c r="A10519" s="17"/>
    </row>
    <row r="10520" spans="1:1" x14ac:dyDescent="0.55000000000000004">
      <c r="A10520" s="17"/>
    </row>
    <row r="10521" spans="1:1" x14ac:dyDescent="0.55000000000000004">
      <c r="A10521" s="17"/>
    </row>
    <row r="10522" spans="1:1" x14ac:dyDescent="0.55000000000000004">
      <c r="A10522" s="17"/>
    </row>
    <row r="10523" spans="1:1" x14ac:dyDescent="0.55000000000000004">
      <c r="A10523" s="17"/>
    </row>
    <row r="10524" spans="1:1" x14ac:dyDescent="0.55000000000000004">
      <c r="A10524" s="17"/>
    </row>
    <row r="10525" spans="1:1" x14ac:dyDescent="0.55000000000000004">
      <c r="A10525" s="17"/>
    </row>
    <row r="10526" spans="1:1" x14ac:dyDescent="0.55000000000000004">
      <c r="A10526" s="17"/>
    </row>
    <row r="10527" spans="1:1" x14ac:dyDescent="0.55000000000000004">
      <c r="A10527" s="17"/>
    </row>
    <row r="10528" spans="1:1" x14ac:dyDescent="0.55000000000000004">
      <c r="A10528" s="17"/>
    </row>
    <row r="10529" spans="1:1" x14ac:dyDescent="0.55000000000000004">
      <c r="A10529" s="17"/>
    </row>
    <row r="10530" spans="1:1" x14ac:dyDescent="0.55000000000000004">
      <c r="A10530" s="17"/>
    </row>
    <row r="10531" spans="1:1" x14ac:dyDescent="0.55000000000000004">
      <c r="A10531" s="17"/>
    </row>
    <row r="10532" spans="1:1" x14ac:dyDescent="0.55000000000000004">
      <c r="A10532" s="17"/>
    </row>
    <row r="10533" spans="1:1" x14ac:dyDescent="0.55000000000000004">
      <c r="A10533" s="17"/>
    </row>
    <row r="10534" spans="1:1" x14ac:dyDescent="0.55000000000000004">
      <c r="A10534" s="17"/>
    </row>
    <row r="10535" spans="1:1" x14ac:dyDescent="0.55000000000000004">
      <c r="A10535" s="17"/>
    </row>
    <row r="10536" spans="1:1" x14ac:dyDescent="0.55000000000000004">
      <c r="A10536" s="17"/>
    </row>
    <row r="10537" spans="1:1" x14ac:dyDescent="0.55000000000000004">
      <c r="A10537" s="17"/>
    </row>
    <row r="10538" spans="1:1" x14ac:dyDescent="0.55000000000000004">
      <c r="A10538" s="17"/>
    </row>
    <row r="10539" spans="1:1" x14ac:dyDescent="0.55000000000000004">
      <c r="A10539" s="17"/>
    </row>
    <row r="10540" spans="1:1" x14ac:dyDescent="0.55000000000000004">
      <c r="A10540" s="17"/>
    </row>
    <row r="10541" spans="1:1" x14ac:dyDescent="0.55000000000000004">
      <c r="A10541" s="17"/>
    </row>
    <row r="10542" spans="1:1" x14ac:dyDescent="0.55000000000000004">
      <c r="A10542" s="17"/>
    </row>
    <row r="10543" spans="1:1" x14ac:dyDescent="0.55000000000000004">
      <c r="A10543" s="17"/>
    </row>
    <row r="10544" spans="1:1" x14ac:dyDescent="0.55000000000000004">
      <c r="A10544" s="17"/>
    </row>
    <row r="10545" spans="1:1" x14ac:dyDescent="0.55000000000000004">
      <c r="A10545" s="17"/>
    </row>
    <row r="10546" spans="1:1" x14ac:dyDescent="0.55000000000000004">
      <c r="A10546" s="17"/>
    </row>
    <row r="10547" spans="1:1" x14ac:dyDescent="0.55000000000000004">
      <c r="A10547" s="17"/>
    </row>
    <row r="10548" spans="1:1" x14ac:dyDescent="0.55000000000000004">
      <c r="A10548" s="17"/>
    </row>
    <row r="10549" spans="1:1" x14ac:dyDescent="0.55000000000000004">
      <c r="A10549" s="17"/>
    </row>
    <row r="10550" spans="1:1" x14ac:dyDescent="0.55000000000000004">
      <c r="A10550" s="17"/>
    </row>
    <row r="10551" spans="1:1" x14ac:dyDescent="0.55000000000000004">
      <c r="A10551" s="17"/>
    </row>
    <row r="10552" spans="1:1" x14ac:dyDescent="0.55000000000000004">
      <c r="A10552" s="17"/>
    </row>
    <row r="10553" spans="1:1" x14ac:dyDescent="0.55000000000000004">
      <c r="A10553" s="17"/>
    </row>
    <row r="10554" spans="1:1" x14ac:dyDescent="0.55000000000000004">
      <c r="A10554" s="17"/>
    </row>
    <row r="10555" spans="1:1" x14ac:dyDescent="0.55000000000000004">
      <c r="A10555" s="17"/>
    </row>
    <row r="10556" spans="1:1" x14ac:dyDescent="0.55000000000000004">
      <c r="A10556" s="17"/>
    </row>
    <row r="10557" spans="1:1" x14ac:dyDescent="0.55000000000000004">
      <c r="A10557" s="17"/>
    </row>
    <row r="10558" spans="1:1" x14ac:dyDescent="0.55000000000000004">
      <c r="A10558" s="17"/>
    </row>
    <row r="10559" spans="1:1" x14ac:dyDescent="0.55000000000000004">
      <c r="A10559" s="17"/>
    </row>
    <row r="10560" spans="1:1" x14ac:dyDescent="0.55000000000000004">
      <c r="A10560" s="17"/>
    </row>
    <row r="10561" spans="1:1" x14ac:dyDescent="0.55000000000000004">
      <c r="A10561" s="17"/>
    </row>
    <row r="10562" spans="1:1" x14ac:dyDescent="0.55000000000000004">
      <c r="A10562" s="17"/>
    </row>
    <row r="10563" spans="1:1" x14ac:dyDescent="0.55000000000000004">
      <c r="A10563" s="17"/>
    </row>
    <row r="10564" spans="1:1" x14ac:dyDescent="0.55000000000000004">
      <c r="A10564" s="17"/>
    </row>
    <row r="10565" spans="1:1" x14ac:dyDescent="0.55000000000000004">
      <c r="A10565" s="17"/>
    </row>
    <row r="10566" spans="1:1" x14ac:dyDescent="0.55000000000000004">
      <c r="A10566" s="17"/>
    </row>
    <row r="10567" spans="1:1" x14ac:dyDescent="0.55000000000000004">
      <c r="A10567" s="17"/>
    </row>
    <row r="10568" spans="1:1" x14ac:dyDescent="0.55000000000000004">
      <c r="A10568" s="17"/>
    </row>
    <row r="10569" spans="1:1" x14ac:dyDescent="0.55000000000000004">
      <c r="A10569" s="17"/>
    </row>
    <row r="10570" spans="1:1" x14ac:dyDescent="0.55000000000000004">
      <c r="A10570" s="17"/>
    </row>
    <row r="10571" spans="1:1" x14ac:dyDescent="0.55000000000000004">
      <c r="A10571" s="17"/>
    </row>
    <row r="10572" spans="1:1" x14ac:dyDescent="0.55000000000000004">
      <c r="A10572" s="17"/>
    </row>
    <row r="10573" spans="1:1" x14ac:dyDescent="0.55000000000000004">
      <c r="A10573" s="17"/>
    </row>
    <row r="10574" spans="1:1" x14ac:dyDescent="0.55000000000000004">
      <c r="A10574" s="17"/>
    </row>
    <row r="10575" spans="1:1" x14ac:dyDescent="0.55000000000000004">
      <c r="A10575" s="17"/>
    </row>
    <row r="10576" spans="1:1" x14ac:dyDescent="0.55000000000000004">
      <c r="A10576" s="17"/>
    </row>
    <row r="10577" spans="1:1" x14ac:dyDescent="0.55000000000000004">
      <c r="A10577" s="17"/>
    </row>
    <row r="10578" spans="1:1" x14ac:dyDescent="0.55000000000000004">
      <c r="A10578" s="17"/>
    </row>
    <row r="10579" spans="1:1" x14ac:dyDescent="0.55000000000000004">
      <c r="A10579" s="17"/>
    </row>
    <row r="10580" spans="1:1" x14ac:dyDescent="0.55000000000000004">
      <c r="A10580" s="17"/>
    </row>
    <row r="10581" spans="1:1" x14ac:dyDescent="0.55000000000000004">
      <c r="A10581" s="17"/>
    </row>
    <row r="10582" spans="1:1" x14ac:dyDescent="0.55000000000000004">
      <c r="A10582" s="17"/>
    </row>
    <row r="10583" spans="1:1" x14ac:dyDescent="0.55000000000000004">
      <c r="A10583" s="17"/>
    </row>
    <row r="10584" spans="1:1" x14ac:dyDescent="0.55000000000000004">
      <c r="A10584" s="17"/>
    </row>
    <row r="10585" spans="1:1" x14ac:dyDescent="0.55000000000000004">
      <c r="A10585" s="17"/>
    </row>
    <row r="10586" spans="1:1" x14ac:dyDescent="0.55000000000000004">
      <c r="A10586" s="17"/>
    </row>
    <row r="10587" spans="1:1" x14ac:dyDescent="0.55000000000000004">
      <c r="A10587" s="17"/>
    </row>
    <row r="10588" spans="1:1" x14ac:dyDescent="0.55000000000000004">
      <c r="A10588" s="17"/>
    </row>
    <row r="10589" spans="1:1" x14ac:dyDescent="0.55000000000000004">
      <c r="A10589" s="17"/>
    </row>
    <row r="10590" spans="1:1" x14ac:dyDescent="0.55000000000000004">
      <c r="A10590" s="17"/>
    </row>
    <row r="10591" spans="1:1" x14ac:dyDescent="0.55000000000000004">
      <c r="A10591" s="17"/>
    </row>
    <row r="10592" spans="1:1" x14ac:dyDescent="0.55000000000000004">
      <c r="A10592" s="17"/>
    </row>
    <row r="10593" spans="1:1" x14ac:dyDescent="0.55000000000000004">
      <c r="A10593" s="17"/>
    </row>
    <row r="10594" spans="1:1" x14ac:dyDescent="0.55000000000000004">
      <c r="A10594" s="17"/>
    </row>
    <row r="10595" spans="1:1" x14ac:dyDescent="0.55000000000000004">
      <c r="A10595" s="17"/>
    </row>
    <row r="10596" spans="1:1" x14ac:dyDescent="0.55000000000000004">
      <c r="A10596" s="17"/>
    </row>
    <row r="10597" spans="1:1" x14ac:dyDescent="0.55000000000000004">
      <c r="A10597" s="17"/>
    </row>
    <row r="10598" spans="1:1" x14ac:dyDescent="0.55000000000000004">
      <c r="A10598" s="17"/>
    </row>
    <row r="10599" spans="1:1" x14ac:dyDescent="0.55000000000000004">
      <c r="A10599" s="17"/>
    </row>
    <row r="10600" spans="1:1" x14ac:dyDescent="0.55000000000000004">
      <c r="A10600" s="17"/>
    </row>
    <row r="10601" spans="1:1" x14ac:dyDescent="0.55000000000000004">
      <c r="A10601" s="17"/>
    </row>
    <row r="10602" spans="1:1" x14ac:dyDescent="0.55000000000000004">
      <c r="A10602" s="17"/>
    </row>
    <row r="10603" spans="1:1" x14ac:dyDescent="0.55000000000000004">
      <c r="A10603" s="17"/>
    </row>
    <row r="10604" spans="1:1" x14ac:dyDescent="0.55000000000000004">
      <c r="A10604" s="17"/>
    </row>
    <row r="10605" spans="1:1" x14ac:dyDescent="0.55000000000000004">
      <c r="A10605" s="17"/>
    </row>
    <row r="10606" spans="1:1" x14ac:dyDescent="0.55000000000000004">
      <c r="A10606" s="17"/>
    </row>
    <row r="10607" spans="1:1" x14ac:dyDescent="0.55000000000000004">
      <c r="A10607" s="17"/>
    </row>
    <row r="10608" spans="1:1" x14ac:dyDescent="0.55000000000000004">
      <c r="A10608" s="17"/>
    </row>
    <row r="10609" spans="1:1" x14ac:dyDescent="0.55000000000000004">
      <c r="A10609" s="17"/>
    </row>
    <row r="10610" spans="1:1" x14ac:dyDescent="0.55000000000000004">
      <c r="A10610" s="17"/>
    </row>
    <row r="10611" spans="1:1" x14ac:dyDescent="0.55000000000000004">
      <c r="A10611" s="17"/>
    </row>
    <row r="10612" spans="1:1" x14ac:dyDescent="0.55000000000000004">
      <c r="A10612" s="17"/>
    </row>
    <row r="10613" spans="1:1" x14ac:dyDescent="0.55000000000000004">
      <c r="A10613" s="17"/>
    </row>
    <row r="10614" spans="1:1" x14ac:dyDescent="0.55000000000000004">
      <c r="A10614" s="17"/>
    </row>
    <row r="10615" spans="1:1" x14ac:dyDescent="0.55000000000000004">
      <c r="A10615" s="17"/>
    </row>
    <row r="10616" spans="1:1" x14ac:dyDescent="0.55000000000000004">
      <c r="A10616" s="17"/>
    </row>
    <row r="10617" spans="1:1" x14ac:dyDescent="0.55000000000000004">
      <c r="A10617" s="17"/>
    </row>
    <row r="10618" spans="1:1" x14ac:dyDescent="0.55000000000000004">
      <c r="A10618" s="17"/>
    </row>
    <row r="10619" spans="1:1" x14ac:dyDescent="0.55000000000000004">
      <c r="A10619" s="17"/>
    </row>
    <row r="10620" spans="1:1" x14ac:dyDescent="0.55000000000000004">
      <c r="A10620" s="17"/>
    </row>
    <row r="10621" spans="1:1" x14ac:dyDescent="0.55000000000000004">
      <c r="A10621" s="17"/>
    </row>
    <row r="10622" spans="1:1" x14ac:dyDescent="0.55000000000000004">
      <c r="A10622" s="17"/>
    </row>
    <row r="10623" spans="1:1" x14ac:dyDescent="0.55000000000000004">
      <c r="A10623" s="17"/>
    </row>
    <row r="10624" spans="1:1" x14ac:dyDescent="0.55000000000000004">
      <c r="A10624" s="17"/>
    </row>
    <row r="10625" spans="1:1" x14ac:dyDescent="0.55000000000000004">
      <c r="A10625" s="17"/>
    </row>
    <row r="10626" spans="1:1" x14ac:dyDescent="0.55000000000000004">
      <c r="A10626" s="17"/>
    </row>
    <row r="10627" spans="1:1" x14ac:dyDescent="0.55000000000000004">
      <c r="A10627" s="17"/>
    </row>
    <row r="10628" spans="1:1" x14ac:dyDescent="0.55000000000000004">
      <c r="A10628" s="17"/>
    </row>
    <row r="10629" spans="1:1" x14ac:dyDescent="0.55000000000000004">
      <c r="A10629" s="17"/>
    </row>
    <row r="10630" spans="1:1" x14ac:dyDescent="0.55000000000000004">
      <c r="A10630" s="17"/>
    </row>
    <row r="10631" spans="1:1" x14ac:dyDescent="0.55000000000000004">
      <c r="A10631" s="17"/>
    </row>
    <row r="10632" spans="1:1" x14ac:dyDescent="0.55000000000000004">
      <c r="A10632" s="17"/>
    </row>
    <row r="10633" spans="1:1" x14ac:dyDescent="0.55000000000000004">
      <c r="A10633" s="17"/>
    </row>
    <row r="10634" spans="1:1" x14ac:dyDescent="0.55000000000000004">
      <c r="A10634" s="17"/>
    </row>
    <row r="10635" spans="1:1" x14ac:dyDescent="0.55000000000000004">
      <c r="A10635" s="17"/>
    </row>
    <row r="10636" spans="1:1" x14ac:dyDescent="0.55000000000000004">
      <c r="A10636" s="17"/>
    </row>
    <row r="10637" spans="1:1" x14ac:dyDescent="0.55000000000000004">
      <c r="A10637" s="17"/>
    </row>
    <row r="10638" spans="1:1" x14ac:dyDescent="0.55000000000000004">
      <c r="A10638" s="17"/>
    </row>
    <row r="10639" spans="1:1" x14ac:dyDescent="0.55000000000000004">
      <c r="A10639" s="17"/>
    </row>
    <row r="10640" spans="1:1" x14ac:dyDescent="0.55000000000000004">
      <c r="A10640" s="17"/>
    </row>
    <row r="10641" spans="1:1" x14ac:dyDescent="0.55000000000000004">
      <c r="A10641" s="17"/>
    </row>
    <row r="10642" spans="1:1" x14ac:dyDescent="0.55000000000000004">
      <c r="A10642" s="17"/>
    </row>
    <row r="10643" spans="1:1" x14ac:dyDescent="0.55000000000000004">
      <c r="A10643" s="17"/>
    </row>
    <row r="10644" spans="1:1" x14ac:dyDescent="0.55000000000000004">
      <c r="A10644" s="17"/>
    </row>
    <row r="10645" spans="1:1" x14ac:dyDescent="0.55000000000000004">
      <c r="A10645" s="17"/>
    </row>
    <row r="10646" spans="1:1" x14ac:dyDescent="0.55000000000000004">
      <c r="A10646" s="17"/>
    </row>
    <row r="10647" spans="1:1" x14ac:dyDescent="0.55000000000000004">
      <c r="A10647" s="17"/>
    </row>
    <row r="10648" spans="1:1" x14ac:dyDescent="0.55000000000000004">
      <c r="A10648" s="17"/>
    </row>
    <row r="10649" spans="1:1" x14ac:dyDescent="0.55000000000000004">
      <c r="A10649" s="17"/>
    </row>
    <row r="10650" spans="1:1" x14ac:dyDescent="0.55000000000000004">
      <c r="A10650" s="17"/>
    </row>
    <row r="10651" spans="1:1" x14ac:dyDescent="0.55000000000000004">
      <c r="A10651" s="17"/>
    </row>
    <row r="10652" spans="1:1" x14ac:dyDescent="0.55000000000000004">
      <c r="A10652" s="17"/>
    </row>
    <row r="10653" spans="1:1" x14ac:dyDescent="0.55000000000000004">
      <c r="A10653" s="17"/>
    </row>
    <row r="10654" spans="1:1" x14ac:dyDescent="0.55000000000000004">
      <c r="A10654" s="17"/>
    </row>
    <row r="10655" spans="1:1" x14ac:dyDescent="0.55000000000000004">
      <c r="A10655" s="17"/>
    </row>
    <row r="10656" spans="1:1" x14ac:dyDescent="0.55000000000000004">
      <c r="A10656" s="17"/>
    </row>
    <row r="10657" spans="1:1" x14ac:dyDescent="0.55000000000000004">
      <c r="A10657" s="17"/>
    </row>
    <row r="10658" spans="1:1" x14ac:dyDescent="0.55000000000000004">
      <c r="A10658" s="17"/>
    </row>
    <row r="10659" spans="1:1" x14ac:dyDescent="0.55000000000000004">
      <c r="A10659" s="17"/>
    </row>
    <row r="10660" spans="1:1" x14ac:dyDescent="0.55000000000000004">
      <c r="A10660" s="17"/>
    </row>
    <row r="10661" spans="1:1" x14ac:dyDescent="0.55000000000000004">
      <c r="A10661" s="17"/>
    </row>
    <row r="10662" spans="1:1" x14ac:dyDescent="0.55000000000000004">
      <c r="A10662" s="17"/>
    </row>
    <row r="10663" spans="1:1" x14ac:dyDescent="0.55000000000000004">
      <c r="A10663" s="17"/>
    </row>
    <row r="10664" spans="1:1" x14ac:dyDescent="0.55000000000000004">
      <c r="A10664" s="17"/>
    </row>
    <row r="10665" spans="1:1" x14ac:dyDescent="0.55000000000000004">
      <c r="A10665" s="17"/>
    </row>
    <row r="10666" spans="1:1" x14ac:dyDescent="0.55000000000000004">
      <c r="A10666" s="17"/>
    </row>
    <row r="10667" spans="1:1" x14ac:dyDescent="0.55000000000000004">
      <c r="A10667" s="17"/>
    </row>
    <row r="10668" spans="1:1" x14ac:dyDescent="0.55000000000000004">
      <c r="A10668" s="17"/>
    </row>
    <row r="10669" spans="1:1" x14ac:dyDescent="0.55000000000000004">
      <c r="A10669" s="17"/>
    </row>
    <row r="10670" spans="1:1" x14ac:dyDescent="0.55000000000000004">
      <c r="A10670" s="17"/>
    </row>
    <row r="10671" spans="1:1" x14ac:dyDescent="0.55000000000000004">
      <c r="A10671" s="17"/>
    </row>
    <row r="10672" spans="1:1" x14ac:dyDescent="0.55000000000000004">
      <c r="A10672" s="17"/>
    </row>
    <row r="10673" spans="1:1" x14ac:dyDescent="0.55000000000000004">
      <c r="A10673" s="17"/>
    </row>
    <row r="10674" spans="1:1" x14ac:dyDescent="0.55000000000000004">
      <c r="A10674" s="17"/>
    </row>
    <row r="10675" spans="1:1" x14ac:dyDescent="0.55000000000000004">
      <c r="A10675" s="17"/>
    </row>
    <row r="10676" spans="1:1" x14ac:dyDescent="0.55000000000000004">
      <c r="A10676" s="17"/>
    </row>
    <row r="10677" spans="1:1" x14ac:dyDescent="0.55000000000000004">
      <c r="A10677" s="17"/>
    </row>
    <row r="10678" spans="1:1" x14ac:dyDescent="0.55000000000000004">
      <c r="A10678" s="17"/>
    </row>
    <row r="10679" spans="1:1" x14ac:dyDescent="0.55000000000000004">
      <c r="A10679" s="17"/>
    </row>
    <row r="10680" spans="1:1" x14ac:dyDescent="0.55000000000000004">
      <c r="A10680" s="17"/>
    </row>
    <row r="10681" spans="1:1" x14ac:dyDescent="0.55000000000000004">
      <c r="A10681" s="17"/>
    </row>
    <row r="10682" spans="1:1" x14ac:dyDescent="0.55000000000000004">
      <c r="A10682" s="17"/>
    </row>
    <row r="10683" spans="1:1" x14ac:dyDescent="0.55000000000000004">
      <c r="A10683" s="17"/>
    </row>
    <row r="10684" spans="1:1" x14ac:dyDescent="0.55000000000000004">
      <c r="A10684" s="17"/>
    </row>
    <row r="10685" spans="1:1" x14ac:dyDescent="0.55000000000000004">
      <c r="A10685" s="17"/>
    </row>
    <row r="10686" spans="1:1" x14ac:dyDescent="0.55000000000000004">
      <c r="A10686" s="17"/>
    </row>
    <row r="10687" spans="1:1" x14ac:dyDescent="0.55000000000000004">
      <c r="A10687" s="17"/>
    </row>
    <row r="10688" spans="1:1" x14ac:dyDescent="0.55000000000000004">
      <c r="A10688" s="17"/>
    </row>
    <row r="10689" spans="1:1" x14ac:dyDescent="0.55000000000000004">
      <c r="A10689" s="17"/>
    </row>
    <row r="10690" spans="1:1" x14ac:dyDescent="0.55000000000000004">
      <c r="A10690" s="17"/>
    </row>
    <row r="10691" spans="1:1" x14ac:dyDescent="0.55000000000000004">
      <c r="A10691" s="17"/>
    </row>
    <row r="10692" spans="1:1" x14ac:dyDescent="0.55000000000000004">
      <c r="A10692" s="17"/>
    </row>
    <row r="10693" spans="1:1" x14ac:dyDescent="0.55000000000000004">
      <c r="A10693" s="17"/>
    </row>
    <row r="10694" spans="1:1" x14ac:dyDescent="0.55000000000000004">
      <c r="A10694" s="17"/>
    </row>
    <row r="10695" spans="1:1" x14ac:dyDescent="0.55000000000000004">
      <c r="A10695" s="17"/>
    </row>
    <row r="10696" spans="1:1" x14ac:dyDescent="0.55000000000000004">
      <c r="A10696" s="17"/>
    </row>
    <row r="10697" spans="1:1" x14ac:dyDescent="0.55000000000000004">
      <c r="A10697" s="17"/>
    </row>
    <row r="10698" spans="1:1" x14ac:dyDescent="0.55000000000000004">
      <c r="A10698" s="17"/>
    </row>
    <row r="10699" spans="1:1" x14ac:dyDescent="0.55000000000000004">
      <c r="A10699" s="17"/>
    </row>
    <row r="10700" spans="1:1" x14ac:dyDescent="0.55000000000000004">
      <c r="A10700" s="17"/>
    </row>
    <row r="10701" spans="1:1" x14ac:dyDescent="0.55000000000000004">
      <c r="A10701" s="17"/>
    </row>
    <row r="10702" spans="1:1" x14ac:dyDescent="0.55000000000000004">
      <c r="A10702" s="17"/>
    </row>
    <row r="10703" spans="1:1" x14ac:dyDescent="0.55000000000000004">
      <c r="A10703" s="17"/>
    </row>
    <row r="10704" spans="1:1" x14ac:dyDescent="0.55000000000000004">
      <c r="A10704" s="17"/>
    </row>
    <row r="10705" spans="1:1" x14ac:dyDescent="0.55000000000000004">
      <c r="A10705" s="17"/>
    </row>
    <row r="10706" spans="1:1" x14ac:dyDescent="0.55000000000000004">
      <c r="A10706" s="17"/>
    </row>
    <row r="10707" spans="1:1" x14ac:dyDescent="0.55000000000000004">
      <c r="A10707" s="17"/>
    </row>
    <row r="10708" spans="1:1" x14ac:dyDescent="0.55000000000000004">
      <c r="A10708" s="17"/>
    </row>
    <row r="10709" spans="1:1" x14ac:dyDescent="0.55000000000000004">
      <c r="A10709" s="17"/>
    </row>
    <row r="10710" spans="1:1" x14ac:dyDescent="0.55000000000000004">
      <c r="A10710" s="17"/>
    </row>
    <row r="10711" spans="1:1" x14ac:dyDescent="0.55000000000000004">
      <c r="A10711" s="17"/>
    </row>
    <row r="10712" spans="1:1" x14ac:dyDescent="0.55000000000000004">
      <c r="A10712" s="17"/>
    </row>
    <row r="10713" spans="1:1" x14ac:dyDescent="0.55000000000000004">
      <c r="A10713" s="17"/>
    </row>
    <row r="10714" spans="1:1" x14ac:dyDescent="0.55000000000000004">
      <c r="A10714" s="17"/>
    </row>
    <row r="10715" spans="1:1" x14ac:dyDescent="0.55000000000000004">
      <c r="A10715" s="17"/>
    </row>
    <row r="10716" spans="1:1" x14ac:dyDescent="0.55000000000000004">
      <c r="A10716" s="17"/>
    </row>
    <row r="10717" spans="1:1" x14ac:dyDescent="0.55000000000000004">
      <c r="A10717" s="17"/>
    </row>
    <row r="10718" spans="1:1" x14ac:dyDescent="0.55000000000000004">
      <c r="A10718" s="17"/>
    </row>
    <row r="10719" spans="1:1" x14ac:dyDescent="0.55000000000000004">
      <c r="A10719" s="17"/>
    </row>
    <row r="10720" spans="1:1" x14ac:dyDescent="0.55000000000000004">
      <c r="A10720" s="17"/>
    </row>
    <row r="10721" spans="1:1" x14ac:dyDescent="0.55000000000000004">
      <c r="A10721" s="17"/>
    </row>
    <row r="10722" spans="1:1" x14ac:dyDescent="0.55000000000000004">
      <c r="A10722" s="17"/>
    </row>
    <row r="10723" spans="1:1" x14ac:dyDescent="0.55000000000000004">
      <c r="A10723" s="17"/>
    </row>
    <row r="10724" spans="1:1" x14ac:dyDescent="0.55000000000000004">
      <c r="A10724" s="17"/>
    </row>
    <row r="10725" spans="1:1" x14ac:dyDescent="0.55000000000000004">
      <c r="A10725" s="17"/>
    </row>
    <row r="10726" spans="1:1" x14ac:dyDescent="0.55000000000000004">
      <c r="A10726" s="17"/>
    </row>
    <row r="10727" spans="1:1" x14ac:dyDescent="0.55000000000000004">
      <c r="A10727" s="17"/>
    </row>
    <row r="10728" spans="1:1" x14ac:dyDescent="0.55000000000000004">
      <c r="A10728" s="17"/>
    </row>
    <row r="10729" spans="1:1" x14ac:dyDescent="0.55000000000000004">
      <c r="A10729" s="17"/>
    </row>
    <row r="10730" spans="1:1" x14ac:dyDescent="0.55000000000000004">
      <c r="A10730" s="17"/>
    </row>
    <row r="10731" spans="1:1" x14ac:dyDescent="0.55000000000000004">
      <c r="A10731" s="17"/>
    </row>
    <row r="10732" spans="1:1" x14ac:dyDescent="0.55000000000000004">
      <c r="A10732" s="17"/>
    </row>
    <row r="10733" spans="1:1" x14ac:dyDescent="0.55000000000000004">
      <c r="A10733" s="17"/>
    </row>
    <row r="10734" spans="1:1" x14ac:dyDescent="0.55000000000000004">
      <c r="A10734" s="17"/>
    </row>
    <row r="10735" spans="1:1" x14ac:dyDescent="0.55000000000000004">
      <c r="A10735" s="17"/>
    </row>
    <row r="10736" spans="1:1" x14ac:dyDescent="0.55000000000000004">
      <c r="A10736" s="17"/>
    </row>
    <row r="10737" spans="1:1" x14ac:dyDescent="0.55000000000000004">
      <c r="A10737" s="17"/>
    </row>
    <row r="10738" spans="1:1" x14ac:dyDescent="0.55000000000000004">
      <c r="A10738" s="17"/>
    </row>
    <row r="10739" spans="1:1" x14ac:dyDescent="0.55000000000000004">
      <c r="A10739" s="17"/>
    </row>
    <row r="10740" spans="1:1" x14ac:dyDescent="0.55000000000000004">
      <c r="A10740" s="17"/>
    </row>
    <row r="10741" spans="1:1" x14ac:dyDescent="0.55000000000000004">
      <c r="A10741" s="17"/>
    </row>
    <row r="10742" spans="1:1" x14ac:dyDescent="0.55000000000000004">
      <c r="A10742" s="17"/>
    </row>
    <row r="10743" spans="1:1" x14ac:dyDescent="0.55000000000000004">
      <c r="A10743" s="17"/>
    </row>
    <row r="10744" spans="1:1" x14ac:dyDescent="0.55000000000000004">
      <c r="A10744" s="17"/>
    </row>
    <row r="10745" spans="1:1" x14ac:dyDescent="0.55000000000000004">
      <c r="A10745" s="17"/>
    </row>
    <row r="10746" spans="1:1" x14ac:dyDescent="0.55000000000000004">
      <c r="A10746" s="17"/>
    </row>
    <row r="10747" spans="1:1" x14ac:dyDescent="0.55000000000000004">
      <c r="A10747" s="17"/>
    </row>
    <row r="10748" spans="1:1" x14ac:dyDescent="0.55000000000000004">
      <c r="A10748" s="17"/>
    </row>
    <row r="10749" spans="1:1" x14ac:dyDescent="0.55000000000000004">
      <c r="A10749" s="17"/>
    </row>
    <row r="10750" spans="1:1" x14ac:dyDescent="0.55000000000000004">
      <c r="A10750" s="17"/>
    </row>
    <row r="10751" spans="1:1" x14ac:dyDescent="0.55000000000000004">
      <c r="A10751" s="17"/>
    </row>
    <row r="10752" spans="1:1" x14ac:dyDescent="0.55000000000000004">
      <c r="A10752" s="17"/>
    </row>
    <row r="10753" spans="1:1" x14ac:dyDescent="0.55000000000000004">
      <c r="A10753" s="17"/>
    </row>
    <row r="10754" spans="1:1" x14ac:dyDescent="0.55000000000000004">
      <c r="A10754" s="17"/>
    </row>
    <row r="10755" spans="1:1" x14ac:dyDescent="0.55000000000000004">
      <c r="A10755" s="17"/>
    </row>
    <row r="10756" spans="1:1" x14ac:dyDescent="0.55000000000000004">
      <c r="A10756" s="17"/>
    </row>
    <row r="10757" spans="1:1" x14ac:dyDescent="0.55000000000000004">
      <c r="A10757" s="17"/>
    </row>
    <row r="10758" spans="1:1" x14ac:dyDescent="0.55000000000000004">
      <c r="A10758" s="17"/>
    </row>
    <row r="10759" spans="1:1" x14ac:dyDescent="0.55000000000000004">
      <c r="A10759" s="17"/>
    </row>
    <row r="10760" spans="1:1" x14ac:dyDescent="0.55000000000000004">
      <c r="A10760" s="17"/>
    </row>
    <row r="10761" spans="1:1" x14ac:dyDescent="0.55000000000000004">
      <c r="A10761" s="17"/>
    </row>
    <row r="10762" spans="1:1" x14ac:dyDescent="0.55000000000000004">
      <c r="A10762" s="17"/>
    </row>
    <row r="10763" spans="1:1" x14ac:dyDescent="0.55000000000000004">
      <c r="A10763" s="17"/>
    </row>
    <row r="10764" spans="1:1" x14ac:dyDescent="0.55000000000000004">
      <c r="A10764" s="17"/>
    </row>
    <row r="10765" spans="1:1" x14ac:dyDescent="0.55000000000000004">
      <c r="A10765" s="17"/>
    </row>
    <row r="10766" spans="1:1" x14ac:dyDescent="0.55000000000000004">
      <c r="A10766" s="17"/>
    </row>
    <row r="10767" spans="1:1" x14ac:dyDescent="0.55000000000000004">
      <c r="A10767" s="17"/>
    </row>
    <row r="10768" spans="1:1" x14ac:dyDescent="0.55000000000000004">
      <c r="A10768" s="17"/>
    </row>
    <row r="10769" spans="1:1" x14ac:dyDescent="0.55000000000000004">
      <c r="A10769" s="17"/>
    </row>
    <row r="10770" spans="1:1" x14ac:dyDescent="0.55000000000000004">
      <c r="A10770" s="17"/>
    </row>
    <row r="10771" spans="1:1" x14ac:dyDescent="0.55000000000000004">
      <c r="A10771" s="17"/>
    </row>
    <row r="10772" spans="1:1" x14ac:dyDescent="0.55000000000000004">
      <c r="A10772" s="17"/>
    </row>
    <row r="10773" spans="1:1" x14ac:dyDescent="0.55000000000000004">
      <c r="A10773" s="17"/>
    </row>
    <row r="10774" spans="1:1" x14ac:dyDescent="0.55000000000000004">
      <c r="A10774" s="17"/>
    </row>
    <row r="10775" spans="1:1" x14ac:dyDescent="0.55000000000000004">
      <c r="A10775" s="17"/>
    </row>
    <row r="10776" spans="1:1" x14ac:dyDescent="0.55000000000000004">
      <c r="A10776" s="17"/>
    </row>
    <row r="10777" spans="1:1" x14ac:dyDescent="0.55000000000000004">
      <c r="A10777" s="17"/>
    </row>
    <row r="10778" spans="1:1" x14ac:dyDescent="0.55000000000000004">
      <c r="A10778" s="17"/>
    </row>
    <row r="10779" spans="1:1" x14ac:dyDescent="0.55000000000000004">
      <c r="A10779" s="17"/>
    </row>
    <row r="10780" spans="1:1" x14ac:dyDescent="0.55000000000000004">
      <c r="A10780" s="17"/>
    </row>
    <row r="10781" spans="1:1" x14ac:dyDescent="0.55000000000000004">
      <c r="A10781" s="17"/>
    </row>
    <row r="10782" spans="1:1" x14ac:dyDescent="0.55000000000000004">
      <c r="A10782" s="17"/>
    </row>
    <row r="10783" spans="1:1" x14ac:dyDescent="0.55000000000000004">
      <c r="A10783" s="17"/>
    </row>
    <row r="10784" spans="1:1" x14ac:dyDescent="0.55000000000000004">
      <c r="A10784" s="17"/>
    </row>
    <row r="10785" spans="1:1" x14ac:dyDescent="0.55000000000000004">
      <c r="A10785" s="17"/>
    </row>
    <row r="10786" spans="1:1" x14ac:dyDescent="0.55000000000000004">
      <c r="A10786" s="17"/>
    </row>
    <row r="10787" spans="1:1" x14ac:dyDescent="0.55000000000000004">
      <c r="A10787" s="17"/>
    </row>
    <row r="10788" spans="1:1" x14ac:dyDescent="0.55000000000000004">
      <c r="A10788" s="17"/>
    </row>
    <row r="10789" spans="1:1" x14ac:dyDescent="0.55000000000000004">
      <c r="A10789" s="17"/>
    </row>
    <row r="10790" spans="1:1" x14ac:dyDescent="0.55000000000000004">
      <c r="A10790" s="17"/>
    </row>
    <row r="10791" spans="1:1" x14ac:dyDescent="0.55000000000000004">
      <c r="A10791" s="17"/>
    </row>
    <row r="10792" spans="1:1" x14ac:dyDescent="0.55000000000000004">
      <c r="A10792" s="17"/>
    </row>
    <row r="10793" spans="1:1" x14ac:dyDescent="0.55000000000000004">
      <c r="A10793" s="17"/>
    </row>
    <row r="10794" spans="1:1" x14ac:dyDescent="0.55000000000000004">
      <c r="A10794" s="17"/>
    </row>
    <row r="10795" spans="1:1" x14ac:dyDescent="0.55000000000000004">
      <c r="A10795" s="17"/>
    </row>
    <row r="10796" spans="1:1" x14ac:dyDescent="0.55000000000000004">
      <c r="A10796" s="17"/>
    </row>
    <row r="10797" spans="1:1" x14ac:dyDescent="0.55000000000000004">
      <c r="A10797" s="17"/>
    </row>
    <row r="10798" spans="1:1" x14ac:dyDescent="0.55000000000000004">
      <c r="A10798" s="17"/>
    </row>
    <row r="10799" spans="1:1" x14ac:dyDescent="0.55000000000000004">
      <c r="A10799" s="17"/>
    </row>
    <row r="10800" spans="1:1" x14ac:dyDescent="0.55000000000000004">
      <c r="A10800" s="17"/>
    </row>
    <row r="10801" spans="1:1" x14ac:dyDescent="0.55000000000000004">
      <c r="A10801" s="17"/>
    </row>
    <row r="10802" spans="1:1" x14ac:dyDescent="0.55000000000000004">
      <c r="A10802" s="17"/>
    </row>
    <row r="10803" spans="1:1" x14ac:dyDescent="0.55000000000000004">
      <c r="A10803" s="17"/>
    </row>
    <row r="10804" spans="1:1" x14ac:dyDescent="0.55000000000000004">
      <c r="A10804" s="17"/>
    </row>
    <row r="10805" spans="1:1" x14ac:dyDescent="0.55000000000000004">
      <c r="A10805" s="17"/>
    </row>
    <row r="10806" spans="1:1" x14ac:dyDescent="0.55000000000000004">
      <c r="A10806" s="17"/>
    </row>
    <row r="10807" spans="1:1" x14ac:dyDescent="0.55000000000000004">
      <c r="A10807" s="17"/>
    </row>
    <row r="10808" spans="1:1" x14ac:dyDescent="0.55000000000000004">
      <c r="A10808" s="17"/>
    </row>
    <row r="10809" spans="1:1" x14ac:dyDescent="0.55000000000000004">
      <c r="A10809" s="17"/>
    </row>
    <row r="10810" spans="1:1" x14ac:dyDescent="0.55000000000000004">
      <c r="A10810" s="17"/>
    </row>
    <row r="10811" spans="1:1" x14ac:dyDescent="0.55000000000000004">
      <c r="A10811" s="17"/>
    </row>
    <row r="10812" spans="1:1" x14ac:dyDescent="0.55000000000000004">
      <c r="A10812" s="17"/>
    </row>
    <row r="10813" spans="1:1" x14ac:dyDescent="0.55000000000000004">
      <c r="A10813" s="17"/>
    </row>
    <row r="10814" spans="1:1" x14ac:dyDescent="0.55000000000000004">
      <c r="A10814" s="17"/>
    </row>
    <row r="10815" spans="1:1" x14ac:dyDescent="0.55000000000000004">
      <c r="A10815" s="17"/>
    </row>
    <row r="10816" spans="1:1" x14ac:dyDescent="0.55000000000000004">
      <c r="A10816" s="17"/>
    </row>
    <row r="10817" spans="1:1" x14ac:dyDescent="0.55000000000000004">
      <c r="A10817" s="17"/>
    </row>
    <row r="10818" spans="1:1" x14ac:dyDescent="0.55000000000000004">
      <c r="A10818" s="17"/>
    </row>
    <row r="10819" spans="1:1" x14ac:dyDescent="0.55000000000000004">
      <c r="A10819" s="17"/>
    </row>
    <row r="10820" spans="1:1" x14ac:dyDescent="0.55000000000000004">
      <c r="A10820" s="17"/>
    </row>
    <row r="10821" spans="1:1" x14ac:dyDescent="0.55000000000000004">
      <c r="A10821" s="17"/>
    </row>
    <row r="10822" spans="1:1" x14ac:dyDescent="0.55000000000000004">
      <c r="A10822" s="17"/>
    </row>
    <row r="10823" spans="1:1" x14ac:dyDescent="0.55000000000000004">
      <c r="A10823" s="17"/>
    </row>
    <row r="10824" spans="1:1" x14ac:dyDescent="0.55000000000000004">
      <c r="A10824" s="17"/>
    </row>
    <row r="10825" spans="1:1" x14ac:dyDescent="0.55000000000000004">
      <c r="A10825" s="17"/>
    </row>
    <row r="10826" spans="1:1" x14ac:dyDescent="0.55000000000000004">
      <c r="A10826" s="17"/>
    </row>
    <row r="10827" spans="1:1" x14ac:dyDescent="0.55000000000000004">
      <c r="A10827" s="17"/>
    </row>
    <row r="10828" spans="1:1" x14ac:dyDescent="0.55000000000000004">
      <c r="A10828" s="17"/>
    </row>
    <row r="10829" spans="1:1" x14ac:dyDescent="0.55000000000000004">
      <c r="A10829" s="17"/>
    </row>
    <row r="10830" spans="1:1" x14ac:dyDescent="0.55000000000000004">
      <c r="A10830" s="17"/>
    </row>
    <row r="10831" spans="1:1" x14ac:dyDescent="0.55000000000000004">
      <c r="A10831" s="17"/>
    </row>
    <row r="10832" spans="1:1" x14ac:dyDescent="0.55000000000000004">
      <c r="A10832" s="17"/>
    </row>
    <row r="10833" spans="1:1" x14ac:dyDescent="0.55000000000000004">
      <c r="A10833" s="17"/>
    </row>
    <row r="10834" spans="1:1" x14ac:dyDescent="0.55000000000000004">
      <c r="A10834" s="17"/>
    </row>
    <row r="10835" spans="1:1" x14ac:dyDescent="0.55000000000000004">
      <c r="A10835" s="17"/>
    </row>
    <row r="10836" spans="1:1" x14ac:dyDescent="0.55000000000000004">
      <c r="A10836" s="17"/>
    </row>
    <row r="10837" spans="1:1" x14ac:dyDescent="0.55000000000000004">
      <c r="A10837" s="17"/>
    </row>
    <row r="10838" spans="1:1" x14ac:dyDescent="0.55000000000000004">
      <c r="A10838" s="17"/>
    </row>
    <row r="10839" spans="1:1" x14ac:dyDescent="0.55000000000000004">
      <c r="A10839" s="17"/>
    </row>
    <row r="10840" spans="1:1" x14ac:dyDescent="0.55000000000000004">
      <c r="A10840" s="17"/>
    </row>
    <row r="10841" spans="1:1" x14ac:dyDescent="0.55000000000000004">
      <c r="A10841" s="17"/>
    </row>
    <row r="10842" spans="1:1" x14ac:dyDescent="0.55000000000000004">
      <c r="A10842" s="17"/>
    </row>
    <row r="10843" spans="1:1" x14ac:dyDescent="0.55000000000000004">
      <c r="A10843" s="17"/>
    </row>
    <row r="10844" spans="1:1" x14ac:dyDescent="0.55000000000000004">
      <c r="A10844" s="17"/>
    </row>
    <row r="10845" spans="1:1" x14ac:dyDescent="0.55000000000000004">
      <c r="A10845" s="17"/>
    </row>
    <row r="10846" spans="1:1" x14ac:dyDescent="0.55000000000000004">
      <c r="A10846" s="17"/>
    </row>
    <row r="10847" spans="1:1" x14ac:dyDescent="0.55000000000000004">
      <c r="A10847" s="17"/>
    </row>
    <row r="10848" spans="1:1" x14ac:dyDescent="0.55000000000000004">
      <c r="A10848" s="17"/>
    </row>
    <row r="10849" spans="1:1" x14ac:dyDescent="0.55000000000000004">
      <c r="A10849" s="17"/>
    </row>
    <row r="10850" spans="1:1" x14ac:dyDescent="0.55000000000000004">
      <c r="A10850" s="17"/>
    </row>
    <row r="10851" spans="1:1" x14ac:dyDescent="0.55000000000000004">
      <c r="A10851" s="17"/>
    </row>
    <row r="10852" spans="1:1" x14ac:dyDescent="0.55000000000000004">
      <c r="A10852" s="17"/>
    </row>
    <row r="10853" spans="1:1" x14ac:dyDescent="0.55000000000000004">
      <c r="A10853" s="17"/>
    </row>
    <row r="10854" spans="1:1" x14ac:dyDescent="0.55000000000000004">
      <c r="A10854" s="17"/>
    </row>
    <row r="10855" spans="1:1" x14ac:dyDescent="0.55000000000000004">
      <c r="A10855" s="17"/>
    </row>
    <row r="10856" spans="1:1" x14ac:dyDescent="0.55000000000000004">
      <c r="A10856" s="17"/>
    </row>
    <row r="10857" spans="1:1" x14ac:dyDescent="0.55000000000000004">
      <c r="A10857" s="17"/>
    </row>
    <row r="10858" spans="1:1" x14ac:dyDescent="0.55000000000000004">
      <c r="A10858" s="17"/>
    </row>
    <row r="10859" spans="1:1" x14ac:dyDescent="0.55000000000000004">
      <c r="A10859" s="17"/>
    </row>
    <row r="10860" spans="1:1" x14ac:dyDescent="0.55000000000000004">
      <c r="A10860" s="17"/>
    </row>
    <row r="10861" spans="1:1" x14ac:dyDescent="0.55000000000000004">
      <c r="A10861" s="17"/>
    </row>
    <row r="10862" spans="1:1" x14ac:dyDescent="0.55000000000000004">
      <c r="A10862" s="17"/>
    </row>
    <row r="10863" spans="1:1" x14ac:dyDescent="0.55000000000000004">
      <c r="A10863" s="17"/>
    </row>
    <row r="10864" spans="1:1" x14ac:dyDescent="0.55000000000000004">
      <c r="A10864" s="17"/>
    </row>
    <row r="10865" spans="1:1" x14ac:dyDescent="0.55000000000000004">
      <c r="A10865" s="17"/>
    </row>
    <row r="10866" spans="1:1" x14ac:dyDescent="0.55000000000000004">
      <c r="A10866" s="17"/>
    </row>
    <row r="10867" spans="1:1" x14ac:dyDescent="0.55000000000000004">
      <c r="A10867" s="17"/>
    </row>
    <row r="10868" spans="1:1" x14ac:dyDescent="0.55000000000000004">
      <c r="A10868" s="17"/>
    </row>
    <row r="10869" spans="1:1" x14ac:dyDescent="0.55000000000000004">
      <c r="A10869" s="17"/>
    </row>
    <row r="10870" spans="1:1" x14ac:dyDescent="0.55000000000000004">
      <c r="A10870" s="17"/>
    </row>
    <row r="10871" spans="1:1" x14ac:dyDescent="0.55000000000000004">
      <c r="A10871" s="17"/>
    </row>
    <row r="10872" spans="1:1" x14ac:dyDescent="0.55000000000000004">
      <c r="A10872" s="17"/>
    </row>
    <row r="10873" spans="1:1" x14ac:dyDescent="0.55000000000000004">
      <c r="A10873" s="17"/>
    </row>
    <row r="10874" spans="1:1" x14ac:dyDescent="0.55000000000000004">
      <c r="A10874" s="17"/>
    </row>
    <row r="10875" spans="1:1" x14ac:dyDescent="0.55000000000000004">
      <c r="A10875" s="17"/>
    </row>
    <row r="10876" spans="1:1" x14ac:dyDescent="0.55000000000000004">
      <c r="A10876" s="17"/>
    </row>
    <row r="10877" spans="1:1" x14ac:dyDescent="0.55000000000000004">
      <c r="A10877" s="17"/>
    </row>
    <row r="10878" spans="1:1" x14ac:dyDescent="0.55000000000000004">
      <c r="A10878" s="17"/>
    </row>
    <row r="10879" spans="1:1" x14ac:dyDescent="0.55000000000000004">
      <c r="A10879" s="17"/>
    </row>
    <row r="10880" spans="1:1" x14ac:dyDescent="0.55000000000000004">
      <c r="A10880" s="17"/>
    </row>
    <row r="10881" spans="1:1" x14ac:dyDescent="0.55000000000000004">
      <c r="A10881" s="17"/>
    </row>
    <row r="10882" spans="1:1" x14ac:dyDescent="0.55000000000000004">
      <c r="A10882" s="17"/>
    </row>
    <row r="10883" spans="1:1" x14ac:dyDescent="0.55000000000000004">
      <c r="A10883" s="17"/>
    </row>
    <row r="10884" spans="1:1" x14ac:dyDescent="0.55000000000000004">
      <c r="A10884" s="17"/>
    </row>
    <row r="10885" spans="1:1" x14ac:dyDescent="0.55000000000000004">
      <c r="A10885" s="17"/>
    </row>
    <row r="10886" spans="1:1" x14ac:dyDescent="0.55000000000000004">
      <c r="A10886" s="17"/>
    </row>
    <row r="10887" spans="1:1" x14ac:dyDescent="0.55000000000000004">
      <c r="A10887" s="17"/>
    </row>
    <row r="10888" spans="1:1" x14ac:dyDescent="0.55000000000000004">
      <c r="A10888" s="17"/>
    </row>
    <row r="10889" spans="1:1" x14ac:dyDescent="0.55000000000000004">
      <c r="A10889" s="17"/>
    </row>
    <row r="10890" spans="1:1" x14ac:dyDescent="0.55000000000000004">
      <c r="A10890" s="17"/>
    </row>
    <row r="10891" spans="1:1" x14ac:dyDescent="0.55000000000000004">
      <c r="A10891" s="17"/>
    </row>
    <row r="10892" spans="1:1" x14ac:dyDescent="0.55000000000000004">
      <c r="A10892" s="17"/>
    </row>
    <row r="10893" spans="1:1" x14ac:dyDescent="0.55000000000000004">
      <c r="A10893" s="17"/>
    </row>
    <row r="10894" spans="1:1" x14ac:dyDescent="0.55000000000000004">
      <c r="A10894" s="17"/>
    </row>
    <row r="10895" spans="1:1" x14ac:dyDescent="0.55000000000000004">
      <c r="A10895" s="17"/>
    </row>
    <row r="10896" spans="1:1" x14ac:dyDescent="0.55000000000000004">
      <c r="A10896" s="17"/>
    </row>
    <row r="10897" spans="1:1" x14ac:dyDescent="0.55000000000000004">
      <c r="A10897" s="17"/>
    </row>
    <row r="10898" spans="1:1" x14ac:dyDescent="0.55000000000000004">
      <c r="A10898" s="17"/>
    </row>
    <row r="10899" spans="1:1" x14ac:dyDescent="0.55000000000000004">
      <c r="A10899" s="17"/>
    </row>
    <row r="10900" spans="1:1" x14ac:dyDescent="0.55000000000000004">
      <c r="A10900" s="17"/>
    </row>
    <row r="10901" spans="1:1" x14ac:dyDescent="0.55000000000000004">
      <c r="A10901" s="17"/>
    </row>
    <row r="10902" spans="1:1" x14ac:dyDescent="0.55000000000000004">
      <c r="A10902" s="17"/>
    </row>
    <row r="10903" spans="1:1" x14ac:dyDescent="0.55000000000000004">
      <c r="A10903" s="17"/>
    </row>
    <row r="10904" spans="1:1" x14ac:dyDescent="0.55000000000000004">
      <c r="A10904" s="17"/>
    </row>
    <row r="10905" spans="1:1" x14ac:dyDescent="0.55000000000000004">
      <c r="A10905" s="17"/>
    </row>
    <row r="10906" spans="1:1" x14ac:dyDescent="0.55000000000000004">
      <c r="A10906" s="17"/>
    </row>
    <row r="10907" spans="1:1" x14ac:dyDescent="0.55000000000000004">
      <c r="A10907" s="17"/>
    </row>
    <row r="10908" spans="1:1" x14ac:dyDescent="0.55000000000000004">
      <c r="A10908" s="17"/>
    </row>
    <row r="10909" spans="1:1" x14ac:dyDescent="0.55000000000000004">
      <c r="A10909" s="17"/>
    </row>
    <row r="10910" spans="1:1" x14ac:dyDescent="0.55000000000000004">
      <c r="A10910" s="17"/>
    </row>
    <row r="10911" spans="1:1" x14ac:dyDescent="0.55000000000000004">
      <c r="A10911" s="17"/>
    </row>
    <row r="10912" spans="1:1" x14ac:dyDescent="0.55000000000000004">
      <c r="A10912" s="17"/>
    </row>
    <row r="10913" spans="1:1" x14ac:dyDescent="0.55000000000000004">
      <c r="A10913" s="17"/>
    </row>
    <row r="10914" spans="1:1" x14ac:dyDescent="0.55000000000000004">
      <c r="A10914" s="17"/>
    </row>
    <row r="10915" spans="1:1" x14ac:dyDescent="0.55000000000000004">
      <c r="A10915" s="17"/>
    </row>
    <row r="10916" spans="1:1" x14ac:dyDescent="0.55000000000000004">
      <c r="A10916" s="17"/>
    </row>
    <row r="10917" spans="1:1" x14ac:dyDescent="0.55000000000000004">
      <c r="A10917" s="17"/>
    </row>
    <row r="10918" spans="1:1" x14ac:dyDescent="0.55000000000000004">
      <c r="A10918" s="17"/>
    </row>
    <row r="10919" spans="1:1" x14ac:dyDescent="0.55000000000000004">
      <c r="A10919" s="17"/>
    </row>
    <row r="10920" spans="1:1" x14ac:dyDescent="0.55000000000000004">
      <c r="A10920" s="17"/>
    </row>
    <row r="10921" spans="1:1" x14ac:dyDescent="0.55000000000000004">
      <c r="A10921" s="17"/>
    </row>
    <row r="10922" spans="1:1" x14ac:dyDescent="0.55000000000000004">
      <c r="A10922" s="17"/>
    </row>
    <row r="10923" spans="1:1" x14ac:dyDescent="0.55000000000000004">
      <c r="A10923" s="17"/>
    </row>
    <row r="10924" spans="1:1" x14ac:dyDescent="0.55000000000000004">
      <c r="A10924" s="17"/>
    </row>
    <row r="10925" spans="1:1" x14ac:dyDescent="0.55000000000000004">
      <c r="A10925" s="17"/>
    </row>
    <row r="10926" spans="1:1" x14ac:dyDescent="0.55000000000000004">
      <c r="A10926" s="17"/>
    </row>
    <row r="10927" spans="1:1" x14ac:dyDescent="0.55000000000000004">
      <c r="A10927" s="17"/>
    </row>
    <row r="10928" spans="1:1" x14ac:dyDescent="0.55000000000000004">
      <c r="A10928" s="17"/>
    </row>
    <row r="10929" spans="1:1" x14ac:dyDescent="0.55000000000000004">
      <c r="A10929" s="17"/>
    </row>
    <row r="10930" spans="1:1" x14ac:dyDescent="0.55000000000000004">
      <c r="A10930" s="17"/>
    </row>
    <row r="10931" spans="1:1" x14ac:dyDescent="0.55000000000000004">
      <c r="A10931" s="17"/>
    </row>
    <row r="10932" spans="1:1" x14ac:dyDescent="0.55000000000000004">
      <c r="A10932" s="17"/>
    </row>
    <row r="10933" spans="1:1" x14ac:dyDescent="0.55000000000000004">
      <c r="A10933" s="17"/>
    </row>
    <row r="10934" spans="1:1" x14ac:dyDescent="0.55000000000000004">
      <c r="A10934" s="17"/>
    </row>
    <row r="10935" spans="1:1" x14ac:dyDescent="0.55000000000000004">
      <c r="A10935" s="17"/>
    </row>
    <row r="10936" spans="1:1" x14ac:dyDescent="0.55000000000000004">
      <c r="A10936" s="17"/>
    </row>
    <row r="10937" spans="1:1" x14ac:dyDescent="0.55000000000000004">
      <c r="A10937" s="17"/>
    </row>
    <row r="10938" spans="1:1" x14ac:dyDescent="0.55000000000000004">
      <c r="A10938" s="17"/>
    </row>
    <row r="10939" spans="1:1" x14ac:dyDescent="0.55000000000000004">
      <c r="A10939" s="17"/>
    </row>
    <row r="10940" spans="1:1" x14ac:dyDescent="0.55000000000000004">
      <c r="A10940" s="17"/>
    </row>
    <row r="10941" spans="1:1" x14ac:dyDescent="0.55000000000000004">
      <c r="A10941" s="17"/>
    </row>
    <row r="10942" spans="1:1" x14ac:dyDescent="0.55000000000000004">
      <c r="A10942" s="17"/>
    </row>
    <row r="10943" spans="1:1" x14ac:dyDescent="0.55000000000000004">
      <c r="A10943" s="17"/>
    </row>
    <row r="10944" spans="1:1" x14ac:dyDescent="0.55000000000000004">
      <c r="A10944" s="17"/>
    </row>
    <row r="10945" spans="1:1" x14ac:dyDescent="0.55000000000000004">
      <c r="A10945" s="17"/>
    </row>
    <row r="10946" spans="1:1" x14ac:dyDescent="0.55000000000000004">
      <c r="A10946" s="17"/>
    </row>
    <row r="10947" spans="1:1" x14ac:dyDescent="0.55000000000000004">
      <c r="A10947" s="17"/>
    </row>
    <row r="10948" spans="1:1" x14ac:dyDescent="0.55000000000000004">
      <c r="A10948" s="17"/>
    </row>
    <row r="10949" spans="1:1" x14ac:dyDescent="0.55000000000000004">
      <c r="A10949" s="17"/>
    </row>
    <row r="10950" spans="1:1" x14ac:dyDescent="0.55000000000000004">
      <c r="A10950" s="17"/>
    </row>
    <row r="10951" spans="1:1" x14ac:dyDescent="0.55000000000000004">
      <c r="A10951" s="17"/>
    </row>
    <row r="10952" spans="1:1" x14ac:dyDescent="0.55000000000000004">
      <c r="A10952" s="17"/>
    </row>
    <row r="10953" spans="1:1" x14ac:dyDescent="0.55000000000000004">
      <c r="A10953" s="17"/>
    </row>
    <row r="10954" spans="1:1" x14ac:dyDescent="0.55000000000000004">
      <c r="A10954" s="17"/>
    </row>
    <row r="10955" spans="1:1" x14ac:dyDescent="0.55000000000000004">
      <c r="A10955" s="17"/>
    </row>
    <row r="10956" spans="1:1" x14ac:dyDescent="0.55000000000000004">
      <c r="A10956" s="17"/>
    </row>
    <row r="10957" spans="1:1" x14ac:dyDescent="0.55000000000000004">
      <c r="A10957" s="17"/>
    </row>
    <row r="10958" spans="1:1" x14ac:dyDescent="0.55000000000000004">
      <c r="A10958" s="17"/>
    </row>
    <row r="10959" spans="1:1" x14ac:dyDescent="0.55000000000000004">
      <c r="A10959" s="17"/>
    </row>
    <row r="10960" spans="1:1" x14ac:dyDescent="0.55000000000000004">
      <c r="A10960" s="17"/>
    </row>
    <row r="10961" spans="1:1" x14ac:dyDescent="0.55000000000000004">
      <c r="A10961" s="17"/>
    </row>
    <row r="10962" spans="1:1" x14ac:dyDescent="0.55000000000000004">
      <c r="A10962" s="17"/>
    </row>
    <row r="10963" spans="1:1" x14ac:dyDescent="0.55000000000000004">
      <c r="A10963" s="17"/>
    </row>
    <row r="10964" spans="1:1" x14ac:dyDescent="0.55000000000000004">
      <c r="A10964" s="17"/>
    </row>
    <row r="10965" spans="1:1" x14ac:dyDescent="0.55000000000000004">
      <c r="A10965" s="17"/>
    </row>
    <row r="10966" spans="1:1" x14ac:dyDescent="0.55000000000000004">
      <c r="A10966" s="17"/>
    </row>
    <row r="10967" spans="1:1" x14ac:dyDescent="0.55000000000000004">
      <c r="A10967" s="17"/>
    </row>
    <row r="10968" spans="1:1" x14ac:dyDescent="0.55000000000000004">
      <c r="A10968" s="17"/>
    </row>
    <row r="10969" spans="1:1" x14ac:dyDescent="0.55000000000000004">
      <c r="A10969" s="17"/>
    </row>
    <row r="10970" spans="1:1" x14ac:dyDescent="0.55000000000000004">
      <c r="A10970" s="17"/>
    </row>
    <row r="10971" spans="1:1" x14ac:dyDescent="0.55000000000000004">
      <c r="A10971" s="17"/>
    </row>
    <row r="10972" spans="1:1" x14ac:dyDescent="0.55000000000000004">
      <c r="A10972" s="17"/>
    </row>
    <row r="10973" spans="1:1" x14ac:dyDescent="0.55000000000000004">
      <c r="A10973" s="17"/>
    </row>
    <row r="10974" spans="1:1" x14ac:dyDescent="0.55000000000000004">
      <c r="A10974" s="17"/>
    </row>
    <row r="10975" spans="1:1" x14ac:dyDescent="0.55000000000000004">
      <c r="A10975" s="17"/>
    </row>
    <row r="10976" spans="1:1" x14ac:dyDescent="0.55000000000000004">
      <c r="A10976" s="17"/>
    </row>
    <row r="10977" spans="1:1" x14ac:dyDescent="0.55000000000000004">
      <c r="A10977" s="17"/>
    </row>
    <row r="10978" spans="1:1" x14ac:dyDescent="0.55000000000000004">
      <c r="A10978" s="17"/>
    </row>
    <row r="10979" spans="1:1" x14ac:dyDescent="0.55000000000000004">
      <c r="A10979" s="17"/>
    </row>
    <row r="10980" spans="1:1" x14ac:dyDescent="0.55000000000000004">
      <c r="A10980" s="17"/>
    </row>
    <row r="10981" spans="1:1" x14ac:dyDescent="0.55000000000000004">
      <c r="A10981" s="17"/>
    </row>
    <row r="10982" spans="1:1" x14ac:dyDescent="0.55000000000000004">
      <c r="A10982" s="17"/>
    </row>
    <row r="10983" spans="1:1" x14ac:dyDescent="0.55000000000000004">
      <c r="A10983" s="17"/>
    </row>
    <row r="10984" spans="1:1" x14ac:dyDescent="0.55000000000000004">
      <c r="A10984" s="17"/>
    </row>
    <row r="10985" spans="1:1" x14ac:dyDescent="0.55000000000000004">
      <c r="A10985" s="17"/>
    </row>
    <row r="10986" spans="1:1" x14ac:dyDescent="0.55000000000000004">
      <c r="A10986" s="17"/>
    </row>
    <row r="10987" spans="1:1" x14ac:dyDescent="0.55000000000000004">
      <c r="A10987" s="17"/>
    </row>
    <row r="10988" spans="1:1" x14ac:dyDescent="0.55000000000000004">
      <c r="A10988" s="17"/>
    </row>
    <row r="10989" spans="1:1" x14ac:dyDescent="0.55000000000000004">
      <c r="A10989" s="17"/>
    </row>
    <row r="10990" spans="1:1" x14ac:dyDescent="0.55000000000000004">
      <c r="A10990" s="17"/>
    </row>
    <row r="10991" spans="1:1" x14ac:dyDescent="0.55000000000000004">
      <c r="A10991" s="17"/>
    </row>
    <row r="10992" spans="1:1" x14ac:dyDescent="0.55000000000000004">
      <c r="A10992" s="17"/>
    </row>
    <row r="10993" spans="1:1" x14ac:dyDescent="0.55000000000000004">
      <c r="A10993" s="17"/>
    </row>
    <row r="10994" spans="1:1" x14ac:dyDescent="0.55000000000000004">
      <c r="A10994" s="17"/>
    </row>
    <row r="10995" spans="1:1" x14ac:dyDescent="0.55000000000000004">
      <c r="A10995" s="17"/>
    </row>
    <row r="10996" spans="1:1" x14ac:dyDescent="0.55000000000000004">
      <c r="A10996" s="17"/>
    </row>
    <row r="10997" spans="1:1" x14ac:dyDescent="0.55000000000000004">
      <c r="A10997" s="17"/>
    </row>
    <row r="10998" spans="1:1" x14ac:dyDescent="0.55000000000000004">
      <c r="A10998" s="17"/>
    </row>
    <row r="10999" spans="1:1" x14ac:dyDescent="0.55000000000000004">
      <c r="A10999" s="17"/>
    </row>
    <row r="11000" spans="1:1" x14ac:dyDescent="0.55000000000000004">
      <c r="A11000" s="17"/>
    </row>
    <row r="11001" spans="1:1" x14ac:dyDescent="0.55000000000000004">
      <c r="A11001" s="17"/>
    </row>
    <row r="11002" spans="1:1" x14ac:dyDescent="0.55000000000000004">
      <c r="A11002" s="17"/>
    </row>
    <row r="11003" spans="1:1" x14ac:dyDescent="0.55000000000000004">
      <c r="A11003" s="17"/>
    </row>
    <row r="11004" spans="1:1" x14ac:dyDescent="0.55000000000000004">
      <c r="A11004" s="17"/>
    </row>
    <row r="11005" spans="1:1" x14ac:dyDescent="0.55000000000000004">
      <c r="A11005" s="17"/>
    </row>
    <row r="11006" spans="1:1" x14ac:dyDescent="0.55000000000000004">
      <c r="A11006" s="17"/>
    </row>
    <row r="11007" spans="1:1" x14ac:dyDescent="0.55000000000000004">
      <c r="A11007" s="17"/>
    </row>
    <row r="11008" spans="1:1" x14ac:dyDescent="0.55000000000000004">
      <c r="A11008" s="17"/>
    </row>
    <row r="11009" spans="1:1" x14ac:dyDescent="0.55000000000000004">
      <c r="A11009" s="17"/>
    </row>
    <row r="11010" spans="1:1" x14ac:dyDescent="0.55000000000000004">
      <c r="A11010" s="17"/>
    </row>
    <row r="11011" spans="1:1" x14ac:dyDescent="0.55000000000000004">
      <c r="A11011" s="17"/>
    </row>
    <row r="11012" spans="1:1" x14ac:dyDescent="0.55000000000000004">
      <c r="A11012" s="17"/>
    </row>
    <row r="11013" spans="1:1" x14ac:dyDescent="0.55000000000000004">
      <c r="A11013" s="17"/>
    </row>
    <row r="11014" spans="1:1" x14ac:dyDescent="0.55000000000000004">
      <c r="A11014" s="17"/>
    </row>
    <row r="11015" spans="1:1" x14ac:dyDescent="0.55000000000000004">
      <c r="A11015" s="17"/>
    </row>
    <row r="11016" spans="1:1" x14ac:dyDescent="0.55000000000000004">
      <c r="A11016" s="17"/>
    </row>
    <row r="11017" spans="1:1" x14ac:dyDescent="0.55000000000000004">
      <c r="A11017" s="17"/>
    </row>
    <row r="11018" spans="1:1" x14ac:dyDescent="0.55000000000000004">
      <c r="A11018" s="17"/>
    </row>
    <row r="11019" spans="1:1" x14ac:dyDescent="0.55000000000000004">
      <c r="A11019" s="17"/>
    </row>
    <row r="11020" spans="1:1" x14ac:dyDescent="0.55000000000000004">
      <c r="A11020" s="17"/>
    </row>
    <row r="11021" spans="1:1" x14ac:dyDescent="0.55000000000000004">
      <c r="A11021" s="17"/>
    </row>
    <row r="11022" spans="1:1" x14ac:dyDescent="0.55000000000000004">
      <c r="A11022" s="17"/>
    </row>
    <row r="11023" spans="1:1" x14ac:dyDescent="0.55000000000000004">
      <c r="A11023" s="17"/>
    </row>
    <row r="11024" spans="1:1" x14ac:dyDescent="0.55000000000000004">
      <c r="A11024" s="17"/>
    </row>
    <row r="11025" spans="1:1" x14ac:dyDescent="0.55000000000000004">
      <c r="A11025" s="17"/>
    </row>
    <row r="11026" spans="1:1" x14ac:dyDescent="0.55000000000000004">
      <c r="A11026" s="17"/>
    </row>
    <row r="11027" spans="1:1" x14ac:dyDescent="0.55000000000000004">
      <c r="A11027" s="17"/>
    </row>
    <row r="11028" spans="1:1" x14ac:dyDescent="0.55000000000000004">
      <c r="A11028" s="17"/>
    </row>
    <row r="11029" spans="1:1" x14ac:dyDescent="0.55000000000000004">
      <c r="A11029" s="17"/>
    </row>
    <row r="11030" spans="1:1" x14ac:dyDescent="0.55000000000000004">
      <c r="A11030" s="17"/>
    </row>
    <row r="11031" spans="1:1" x14ac:dyDescent="0.55000000000000004">
      <c r="A11031" s="17"/>
    </row>
    <row r="11032" spans="1:1" x14ac:dyDescent="0.55000000000000004">
      <c r="A11032" s="17"/>
    </row>
    <row r="11033" spans="1:1" x14ac:dyDescent="0.55000000000000004">
      <c r="A11033" s="17"/>
    </row>
    <row r="11034" spans="1:1" x14ac:dyDescent="0.55000000000000004">
      <c r="A11034" s="17"/>
    </row>
    <row r="11035" spans="1:1" x14ac:dyDescent="0.55000000000000004">
      <c r="A11035" s="17"/>
    </row>
    <row r="11036" spans="1:1" x14ac:dyDescent="0.55000000000000004">
      <c r="A11036" s="17"/>
    </row>
    <row r="11037" spans="1:1" x14ac:dyDescent="0.55000000000000004">
      <c r="A11037" s="17"/>
    </row>
    <row r="11038" spans="1:1" x14ac:dyDescent="0.55000000000000004">
      <c r="A11038" s="17"/>
    </row>
    <row r="11039" spans="1:1" x14ac:dyDescent="0.55000000000000004">
      <c r="A11039" s="17"/>
    </row>
    <row r="11040" spans="1:1" x14ac:dyDescent="0.55000000000000004">
      <c r="A11040" s="17"/>
    </row>
    <row r="11041" spans="1:1" x14ac:dyDescent="0.55000000000000004">
      <c r="A11041" s="17"/>
    </row>
    <row r="11042" spans="1:1" x14ac:dyDescent="0.55000000000000004">
      <c r="A11042" s="17"/>
    </row>
    <row r="11043" spans="1:1" x14ac:dyDescent="0.55000000000000004">
      <c r="A11043" s="17"/>
    </row>
    <row r="11044" spans="1:1" x14ac:dyDescent="0.55000000000000004">
      <c r="A11044" s="17"/>
    </row>
    <row r="11045" spans="1:1" x14ac:dyDescent="0.55000000000000004">
      <c r="A11045" s="17"/>
    </row>
    <row r="11046" spans="1:1" x14ac:dyDescent="0.55000000000000004">
      <c r="A11046" s="17"/>
    </row>
    <row r="11047" spans="1:1" x14ac:dyDescent="0.55000000000000004">
      <c r="A11047" s="17"/>
    </row>
    <row r="11048" spans="1:1" x14ac:dyDescent="0.55000000000000004">
      <c r="A11048" s="17"/>
    </row>
    <row r="11049" spans="1:1" x14ac:dyDescent="0.55000000000000004">
      <c r="A11049" s="17"/>
    </row>
    <row r="11050" spans="1:1" x14ac:dyDescent="0.55000000000000004">
      <c r="A11050" s="17"/>
    </row>
    <row r="11051" spans="1:1" x14ac:dyDescent="0.55000000000000004">
      <c r="A11051" s="17"/>
    </row>
    <row r="11052" spans="1:1" x14ac:dyDescent="0.55000000000000004">
      <c r="A11052" s="17"/>
    </row>
    <row r="11053" spans="1:1" x14ac:dyDescent="0.55000000000000004">
      <c r="A11053" s="17"/>
    </row>
    <row r="11054" spans="1:1" x14ac:dyDescent="0.55000000000000004">
      <c r="A11054" s="17"/>
    </row>
    <row r="11055" spans="1:1" x14ac:dyDescent="0.55000000000000004">
      <c r="A11055" s="17"/>
    </row>
    <row r="11056" spans="1:1" x14ac:dyDescent="0.55000000000000004">
      <c r="A11056" s="17"/>
    </row>
    <row r="11057" spans="1:1" x14ac:dyDescent="0.55000000000000004">
      <c r="A11057" s="17"/>
    </row>
    <row r="11058" spans="1:1" x14ac:dyDescent="0.55000000000000004">
      <c r="A11058" s="17"/>
    </row>
    <row r="11059" spans="1:1" x14ac:dyDescent="0.55000000000000004">
      <c r="A11059" s="17"/>
    </row>
    <row r="11060" spans="1:1" x14ac:dyDescent="0.55000000000000004">
      <c r="A11060" s="17"/>
    </row>
    <row r="11061" spans="1:1" x14ac:dyDescent="0.55000000000000004">
      <c r="A11061" s="17"/>
    </row>
    <row r="11062" spans="1:1" x14ac:dyDescent="0.55000000000000004">
      <c r="A11062" s="17"/>
    </row>
    <row r="11063" spans="1:1" x14ac:dyDescent="0.55000000000000004">
      <c r="A11063" s="17"/>
    </row>
    <row r="11064" spans="1:1" x14ac:dyDescent="0.55000000000000004">
      <c r="A11064" s="17"/>
    </row>
    <row r="11065" spans="1:1" x14ac:dyDescent="0.55000000000000004">
      <c r="A11065" s="17"/>
    </row>
    <row r="11066" spans="1:1" x14ac:dyDescent="0.55000000000000004">
      <c r="A11066" s="17"/>
    </row>
    <row r="11067" spans="1:1" x14ac:dyDescent="0.55000000000000004">
      <c r="A11067" s="17"/>
    </row>
    <row r="11068" spans="1:1" x14ac:dyDescent="0.55000000000000004">
      <c r="A11068" s="17"/>
    </row>
    <row r="11069" spans="1:1" x14ac:dyDescent="0.55000000000000004">
      <c r="A11069" s="17"/>
    </row>
    <row r="11070" spans="1:1" x14ac:dyDescent="0.55000000000000004">
      <c r="A11070" s="17"/>
    </row>
    <row r="11071" spans="1:1" x14ac:dyDescent="0.55000000000000004">
      <c r="A11071" s="17"/>
    </row>
    <row r="11072" spans="1:1" x14ac:dyDescent="0.55000000000000004">
      <c r="A11072" s="17"/>
    </row>
    <row r="11073" spans="1:1" x14ac:dyDescent="0.55000000000000004">
      <c r="A11073" s="17"/>
    </row>
    <row r="11074" spans="1:1" x14ac:dyDescent="0.55000000000000004">
      <c r="A11074" s="17"/>
    </row>
    <row r="11075" spans="1:1" x14ac:dyDescent="0.55000000000000004">
      <c r="A11075" s="17"/>
    </row>
    <row r="11076" spans="1:1" x14ac:dyDescent="0.55000000000000004">
      <c r="A11076" s="17"/>
    </row>
    <row r="11077" spans="1:1" x14ac:dyDescent="0.55000000000000004">
      <c r="A11077" s="17"/>
    </row>
    <row r="11078" spans="1:1" x14ac:dyDescent="0.55000000000000004">
      <c r="A11078" s="17"/>
    </row>
    <row r="11079" spans="1:1" x14ac:dyDescent="0.55000000000000004">
      <c r="A11079" s="17"/>
    </row>
    <row r="11080" spans="1:1" x14ac:dyDescent="0.55000000000000004">
      <c r="A11080" s="17"/>
    </row>
    <row r="11081" spans="1:1" x14ac:dyDescent="0.55000000000000004">
      <c r="A11081" s="17"/>
    </row>
    <row r="11082" spans="1:1" x14ac:dyDescent="0.55000000000000004">
      <c r="A11082" s="17"/>
    </row>
    <row r="11083" spans="1:1" x14ac:dyDescent="0.55000000000000004">
      <c r="A11083" s="17"/>
    </row>
    <row r="11084" spans="1:1" x14ac:dyDescent="0.55000000000000004">
      <c r="A11084" s="17"/>
    </row>
    <row r="11085" spans="1:1" x14ac:dyDescent="0.55000000000000004">
      <c r="A11085" s="17"/>
    </row>
    <row r="11086" spans="1:1" x14ac:dyDescent="0.55000000000000004">
      <c r="A11086" s="17"/>
    </row>
    <row r="11087" spans="1:1" x14ac:dyDescent="0.55000000000000004">
      <c r="A11087" s="17"/>
    </row>
    <row r="11088" spans="1:1" x14ac:dyDescent="0.55000000000000004">
      <c r="A11088" s="17"/>
    </row>
    <row r="11089" spans="1:1" x14ac:dyDescent="0.55000000000000004">
      <c r="A11089" s="17"/>
    </row>
    <row r="11090" spans="1:1" x14ac:dyDescent="0.55000000000000004">
      <c r="A11090" s="17"/>
    </row>
    <row r="11091" spans="1:1" x14ac:dyDescent="0.55000000000000004">
      <c r="A11091" s="17"/>
    </row>
    <row r="11092" spans="1:1" x14ac:dyDescent="0.55000000000000004">
      <c r="A11092" s="17"/>
    </row>
    <row r="11093" spans="1:1" x14ac:dyDescent="0.55000000000000004">
      <c r="A11093" s="17"/>
    </row>
    <row r="11094" spans="1:1" x14ac:dyDescent="0.55000000000000004">
      <c r="A11094" s="17"/>
    </row>
    <row r="11095" spans="1:1" x14ac:dyDescent="0.55000000000000004">
      <c r="A11095" s="17"/>
    </row>
    <row r="11096" spans="1:1" x14ac:dyDescent="0.55000000000000004">
      <c r="A11096" s="17"/>
    </row>
    <row r="11097" spans="1:1" x14ac:dyDescent="0.55000000000000004">
      <c r="A11097" s="17"/>
    </row>
    <row r="11098" spans="1:1" x14ac:dyDescent="0.55000000000000004">
      <c r="A11098" s="17"/>
    </row>
    <row r="11099" spans="1:1" x14ac:dyDescent="0.55000000000000004">
      <c r="A11099" s="17"/>
    </row>
    <row r="11100" spans="1:1" x14ac:dyDescent="0.55000000000000004">
      <c r="A11100" s="17"/>
    </row>
    <row r="11101" spans="1:1" x14ac:dyDescent="0.55000000000000004">
      <c r="A11101" s="17"/>
    </row>
    <row r="11102" spans="1:1" x14ac:dyDescent="0.55000000000000004">
      <c r="A11102" s="17"/>
    </row>
    <row r="11103" spans="1:1" x14ac:dyDescent="0.55000000000000004">
      <c r="A11103" s="17"/>
    </row>
    <row r="11104" spans="1:1" x14ac:dyDescent="0.55000000000000004">
      <c r="A11104" s="17"/>
    </row>
    <row r="11105" spans="1:1" x14ac:dyDescent="0.55000000000000004">
      <c r="A11105" s="17"/>
    </row>
    <row r="11106" spans="1:1" x14ac:dyDescent="0.55000000000000004">
      <c r="A11106" s="17"/>
    </row>
    <row r="11107" spans="1:1" x14ac:dyDescent="0.55000000000000004">
      <c r="A11107" s="17"/>
    </row>
    <row r="11108" spans="1:1" x14ac:dyDescent="0.55000000000000004">
      <c r="A11108" s="17"/>
    </row>
    <row r="11109" spans="1:1" x14ac:dyDescent="0.55000000000000004">
      <c r="A11109" s="17"/>
    </row>
    <row r="11110" spans="1:1" x14ac:dyDescent="0.55000000000000004">
      <c r="A11110" s="17"/>
    </row>
    <row r="11111" spans="1:1" x14ac:dyDescent="0.55000000000000004">
      <c r="A11111" s="17"/>
    </row>
    <row r="11112" spans="1:1" x14ac:dyDescent="0.55000000000000004">
      <c r="A11112" s="17"/>
    </row>
    <row r="11113" spans="1:1" x14ac:dyDescent="0.55000000000000004">
      <c r="A11113" s="17"/>
    </row>
    <row r="11114" spans="1:1" x14ac:dyDescent="0.55000000000000004">
      <c r="A11114" s="17"/>
    </row>
    <row r="11115" spans="1:1" x14ac:dyDescent="0.55000000000000004">
      <c r="A11115" s="17"/>
    </row>
    <row r="11116" spans="1:1" x14ac:dyDescent="0.55000000000000004">
      <c r="A11116" s="17"/>
    </row>
    <row r="11117" spans="1:1" x14ac:dyDescent="0.55000000000000004">
      <c r="A11117" s="17"/>
    </row>
    <row r="11118" spans="1:1" x14ac:dyDescent="0.55000000000000004">
      <c r="A11118" s="17"/>
    </row>
    <row r="11119" spans="1:1" x14ac:dyDescent="0.55000000000000004">
      <c r="A11119" s="17"/>
    </row>
    <row r="11120" spans="1:1" x14ac:dyDescent="0.55000000000000004">
      <c r="A11120" s="17"/>
    </row>
    <row r="11121" spans="1:1" x14ac:dyDescent="0.55000000000000004">
      <c r="A11121" s="17"/>
    </row>
    <row r="11122" spans="1:1" x14ac:dyDescent="0.55000000000000004">
      <c r="A11122" s="17"/>
    </row>
    <row r="11123" spans="1:1" x14ac:dyDescent="0.55000000000000004">
      <c r="A11123" s="17"/>
    </row>
    <row r="11124" spans="1:1" x14ac:dyDescent="0.55000000000000004">
      <c r="A11124" s="17"/>
    </row>
    <row r="11125" spans="1:1" x14ac:dyDescent="0.55000000000000004">
      <c r="A11125" s="17"/>
    </row>
    <row r="11126" spans="1:1" x14ac:dyDescent="0.55000000000000004">
      <c r="A11126" s="17"/>
    </row>
    <row r="11127" spans="1:1" x14ac:dyDescent="0.55000000000000004">
      <c r="A11127" s="17"/>
    </row>
    <row r="11128" spans="1:1" x14ac:dyDescent="0.55000000000000004">
      <c r="A11128" s="17"/>
    </row>
    <row r="11129" spans="1:1" x14ac:dyDescent="0.55000000000000004">
      <c r="A11129" s="17"/>
    </row>
    <row r="11130" spans="1:1" x14ac:dyDescent="0.55000000000000004">
      <c r="A11130" s="17"/>
    </row>
    <row r="11131" spans="1:1" x14ac:dyDescent="0.55000000000000004">
      <c r="A11131" s="17"/>
    </row>
    <row r="11132" spans="1:1" x14ac:dyDescent="0.55000000000000004">
      <c r="A11132" s="17"/>
    </row>
    <row r="11133" spans="1:1" x14ac:dyDescent="0.55000000000000004">
      <c r="A11133" s="17"/>
    </row>
    <row r="11134" spans="1:1" x14ac:dyDescent="0.55000000000000004">
      <c r="A11134" s="17"/>
    </row>
    <row r="11135" spans="1:1" x14ac:dyDescent="0.55000000000000004">
      <c r="A11135" s="17"/>
    </row>
    <row r="11136" spans="1:1" x14ac:dyDescent="0.55000000000000004">
      <c r="A11136" s="17"/>
    </row>
    <row r="11137" spans="1:1" x14ac:dyDescent="0.55000000000000004">
      <c r="A11137" s="17"/>
    </row>
    <row r="11138" spans="1:1" x14ac:dyDescent="0.55000000000000004">
      <c r="A11138" s="17"/>
    </row>
    <row r="11139" spans="1:1" x14ac:dyDescent="0.55000000000000004">
      <c r="A11139" s="17"/>
    </row>
    <row r="11140" spans="1:1" x14ac:dyDescent="0.55000000000000004">
      <c r="A11140" s="17"/>
    </row>
    <row r="11141" spans="1:1" x14ac:dyDescent="0.55000000000000004">
      <c r="A11141" s="17"/>
    </row>
    <row r="11142" spans="1:1" x14ac:dyDescent="0.55000000000000004">
      <c r="A11142" s="17"/>
    </row>
    <row r="11143" spans="1:1" x14ac:dyDescent="0.55000000000000004">
      <c r="A11143" s="17"/>
    </row>
    <row r="11144" spans="1:1" x14ac:dyDescent="0.55000000000000004">
      <c r="A11144" s="17"/>
    </row>
    <row r="11145" spans="1:1" x14ac:dyDescent="0.55000000000000004">
      <c r="A11145" s="17"/>
    </row>
    <row r="11146" spans="1:1" x14ac:dyDescent="0.55000000000000004">
      <c r="A11146" s="17"/>
    </row>
    <row r="11147" spans="1:1" x14ac:dyDescent="0.55000000000000004">
      <c r="A11147" s="17"/>
    </row>
    <row r="11148" spans="1:1" x14ac:dyDescent="0.55000000000000004">
      <c r="A11148" s="17"/>
    </row>
    <row r="11149" spans="1:1" x14ac:dyDescent="0.55000000000000004">
      <c r="A11149" s="17"/>
    </row>
    <row r="11150" spans="1:1" x14ac:dyDescent="0.55000000000000004">
      <c r="A11150" s="17"/>
    </row>
    <row r="11151" spans="1:1" x14ac:dyDescent="0.55000000000000004">
      <c r="A11151" s="17"/>
    </row>
    <row r="11152" spans="1:1" x14ac:dyDescent="0.55000000000000004">
      <c r="A11152" s="17"/>
    </row>
    <row r="11153" spans="1:1" x14ac:dyDescent="0.55000000000000004">
      <c r="A11153" s="17"/>
    </row>
    <row r="11154" spans="1:1" x14ac:dyDescent="0.55000000000000004">
      <c r="A11154" s="17"/>
    </row>
    <row r="11155" spans="1:1" x14ac:dyDescent="0.55000000000000004">
      <c r="A11155" s="17"/>
    </row>
    <row r="11156" spans="1:1" x14ac:dyDescent="0.55000000000000004">
      <c r="A11156" s="17"/>
    </row>
    <row r="11157" spans="1:1" x14ac:dyDescent="0.55000000000000004">
      <c r="A11157" s="17"/>
    </row>
    <row r="11158" spans="1:1" x14ac:dyDescent="0.55000000000000004">
      <c r="A11158" s="17"/>
    </row>
    <row r="11159" spans="1:1" x14ac:dyDescent="0.55000000000000004">
      <c r="A11159" s="17"/>
    </row>
    <row r="11160" spans="1:1" x14ac:dyDescent="0.55000000000000004">
      <c r="A11160" s="17"/>
    </row>
    <row r="11161" spans="1:1" x14ac:dyDescent="0.55000000000000004">
      <c r="A11161" s="17"/>
    </row>
    <row r="11162" spans="1:1" x14ac:dyDescent="0.55000000000000004">
      <c r="A11162" s="17"/>
    </row>
    <row r="11163" spans="1:1" x14ac:dyDescent="0.55000000000000004">
      <c r="A11163" s="17"/>
    </row>
    <row r="11164" spans="1:1" x14ac:dyDescent="0.55000000000000004">
      <c r="A11164" s="17"/>
    </row>
    <row r="11165" spans="1:1" x14ac:dyDescent="0.55000000000000004">
      <c r="A11165" s="17"/>
    </row>
    <row r="11166" spans="1:1" x14ac:dyDescent="0.55000000000000004">
      <c r="A11166" s="17"/>
    </row>
    <row r="11167" spans="1:1" x14ac:dyDescent="0.55000000000000004">
      <c r="A11167" s="17"/>
    </row>
    <row r="11168" spans="1:1" x14ac:dyDescent="0.55000000000000004">
      <c r="A11168" s="17"/>
    </row>
    <row r="11169" spans="1:1" x14ac:dyDescent="0.55000000000000004">
      <c r="A11169" s="17"/>
    </row>
    <row r="11170" spans="1:1" x14ac:dyDescent="0.55000000000000004">
      <c r="A11170" s="17"/>
    </row>
    <row r="11171" spans="1:1" x14ac:dyDescent="0.55000000000000004">
      <c r="A11171" s="17"/>
    </row>
    <row r="11172" spans="1:1" x14ac:dyDescent="0.55000000000000004">
      <c r="A11172" s="17"/>
    </row>
    <row r="11173" spans="1:1" x14ac:dyDescent="0.55000000000000004">
      <c r="A11173" s="17"/>
    </row>
    <row r="11174" spans="1:1" x14ac:dyDescent="0.55000000000000004">
      <c r="A11174" s="17"/>
    </row>
    <row r="11175" spans="1:1" x14ac:dyDescent="0.55000000000000004">
      <c r="A11175" s="17"/>
    </row>
    <row r="11176" spans="1:1" x14ac:dyDescent="0.55000000000000004">
      <c r="A11176" s="17"/>
    </row>
    <row r="11177" spans="1:1" x14ac:dyDescent="0.55000000000000004">
      <c r="A11177" s="17"/>
    </row>
    <row r="11178" spans="1:1" x14ac:dyDescent="0.55000000000000004">
      <c r="A11178" s="17"/>
    </row>
    <row r="11179" spans="1:1" x14ac:dyDescent="0.55000000000000004">
      <c r="A11179" s="17"/>
    </row>
    <row r="11180" spans="1:1" x14ac:dyDescent="0.55000000000000004">
      <c r="A11180" s="17"/>
    </row>
    <row r="11181" spans="1:1" x14ac:dyDescent="0.55000000000000004">
      <c r="A11181" s="17"/>
    </row>
    <row r="11182" spans="1:1" x14ac:dyDescent="0.55000000000000004">
      <c r="A11182" s="17"/>
    </row>
    <row r="11183" spans="1:1" x14ac:dyDescent="0.55000000000000004">
      <c r="A11183" s="17"/>
    </row>
    <row r="11184" spans="1:1" x14ac:dyDescent="0.55000000000000004">
      <c r="A11184" s="17"/>
    </row>
    <row r="11185" spans="1:1" x14ac:dyDescent="0.55000000000000004">
      <c r="A11185" s="17"/>
    </row>
    <row r="11186" spans="1:1" x14ac:dyDescent="0.55000000000000004">
      <c r="A11186" s="17"/>
    </row>
    <row r="11187" spans="1:1" x14ac:dyDescent="0.55000000000000004">
      <c r="A11187" s="17"/>
    </row>
    <row r="11188" spans="1:1" x14ac:dyDescent="0.55000000000000004">
      <c r="A11188" s="17"/>
    </row>
    <row r="11189" spans="1:1" x14ac:dyDescent="0.55000000000000004">
      <c r="A11189" s="17"/>
    </row>
    <row r="11190" spans="1:1" x14ac:dyDescent="0.55000000000000004">
      <c r="A11190" s="17"/>
    </row>
    <row r="11191" spans="1:1" x14ac:dyDescent="0.55000000000000004">
      <c r="A11191" s="17"/>
    </row>
    <row r="11192" spans="1:1" x14ac:dyDescent="0.55000000000000004">
      <c r="A11192" s="17"/>
    </row>
    <row r="11193" spans="1:1" x14ac:dyDescent="0.55000000000000004">
      <c r="A11193" s="17"/>
    </row>
    <row r="11194" spans="1:1" x14ac:dyDescent="0.55000000000000004">
      <c r="A11194" s="17"/>
    </row>
    <row r="11195" spans="1:1" x14ac:dyDescent="0.55000000000000004">
      <c r="A11195" s="17"/>
    </row>
    <row r="11196" spans="1:1" x14ac:dyDescent="0.55000000000000004">
      <c r="A11196" s="17"/>
    </row>
    <row r="11197" spans="1:1" x14ac:dyDescent="0.55000000000000004">
      <c r="A11197" s="17"/>
    </row>
    <row r="11198" spans="1:1" x14ac:dyDescent="0.55000000000000004">
      <c r="A11198" s="17"/>
    </row>
    <row r="11199" spans="1:1" x14ac:dyDescent="0.55000000000000004">
      <c r="A11199" s="17"/>
    </row>
    <row r="11200" spans="1:1" x14ac:dyDescent="0.55000000000000004">
      <c r="A11200" s="17"/>
    </row>
    <row r="11201" spans="1:1" x14ac:dyDescent="0.55000000000000004">
      <c r="A11201" s="17"/>
    </row>
    <row r="11202" spans="1:1" x14ac:dyDescent="0.55000000000000004">
      <c r="A11202" s="17"/>
    </row>
    <row r="11203" spans="1:1" x14ac:dyDescent="0.55000000000000004">
      <c r="A11203" s="17"/>
    </row>
    <row r="11204" spans="1:1" x14ac:dyDescent="0.55000000000000004">
      <c r="A11204" s="17"/>
    </row>
    <row r="11205" spans="1:1" x14ac:dyDescent="0.55000000000000004">
      <c r="A11205" s="17"/>
    </row>
    <row r="11206" spans="1:1" x14ac:dyDescent="0.55000000000000004">
      <c r="A11206" s="17"/>
    </row>
    <row r="11207" spans="1:1" x14ac:dyDescent="0.55000000000000004">
      <c r="A11207" s="17"/>
    </row>
    <row r="11208" spans="1:1" x14ac:dyDescent="0.55000000000000004">
      <c r="A11208" s="17"/>
    </row>
    <row r="11209" spans="1:1" x14ac:dyDescent="0.55000000000000004">
      <c r="A11209" s="17"/>
    </row>
    <row r="11210" spans="1:1" x14ac:dyDescent="0.55000000000000004">
      <c r="A11210" s="17"/>
    </row>
    <row r="11211" spans="1:1" x14ac:dyDescent="0.55000000000000004">
      <c r="A11211" s="17"/>
    </row>
    <row r="11212" spans="1:1" x14ac:dyDescent="0.55000000000000004">
      <c r="A11212" s="17"/>
    </row>
    <row r="11213" spans="1:1" x14ac:dyDescent="0.55000000000000004">
      <c r="A11213" s="17"/>
    </row>
    <row r="11214" spans="1:1" x14ac:dyDescent="0.55000000000000004">
      <c r="A11214" s="17"/>
    </row>
    <row r="11215" spans="1:1" x14ac:dyDescent="0.55000000000000004">
      <c r="A11215" s="17"/>
    </row>
    <row r="11216" spans="1:1" x14ac:dyDescent="0.55000000000000004">
      <c r="A11216" s="17"/>
    </row>
    <row r="11217" spans="1:1" x14ac:dyDescent="0.55000000000000004">
      <c r="A11217" s="17"/>
    </row>
    <row r="11218" spans="1:1" x14ac:dyDescent="0.55000000000000004">
      <c r="A11218" s="17"/>
    </row>
    <row r="11219" spans="1:1" x14ac:dyDescent="0.55000000000000004">
      <c r="A11219" s="17"/>
    </row>
    <row r="11220" spans="1:1" x14ac:dyDescent="0.55000000000000004">
      <c r="A11220" s="17"/>
    </row>
    <row r="11221" spans="1:1" x14ac:dyDescent="0.55000000000000004">
      <c r="A11221" s="17"/>
    </row>
    <row r="11222" spans="1:1" x14ac:dyDescent="0.55000000000000004">
      <c r="A11222" s="17"/>
    </row>
    <row r="11223" spans="1:1" x14ac:dyDescent="0.55000000000000004">
      <c r="A11223" s="17"/>
    </row>
    <row r="11224" spans="1:1" x14ac:dyDescent="0.55000000000000004">
      <c r="A11224" s="17"/>
    </row>
    <row r="11225" spans="1:1" x14ac:dyDescent="0.55000000000000004">
      <c r="A11225" s="17"/>
    </row>
    <row r="11226" spans="1:1" x14ac:dyDescent="0.55000000000000004">
      <c r="A11226" s="17"/>
    </row>
    <row r="11227" spans="1:1" x14ac:dyDescent="0.55000000000000004">
      <c r="A11227" s="17"/>
    </row>
    <row r="11228" spans="1:1" x14ac:dyDescent="0.55000000000000004">
      <c r="A11228" s="17"/>
    </row>
    <row r="11229" spans="1:1" x14ac:dyDescent="0.55000000000000004">
      <c r="A11229" s="17"/>
    </row>
    <row r="11230" spans="1:1" x14ac:dyDescent="0.55000000000000004">
      <c r="A11230" s="17"/>
    </row>
    <row r="11231" spans="1:1" x14ac:dyDescent="0.55000000000000004">
      <c r="A11231" s="17"/>
    </row>
    <row r="11232" spans="1:1" x14ac:dyDescent="0.55000000000000004">
      <c r="A11232" s="17"/>
    </row>
    <row r="11233" spans="1:1" x14ac:dyDescent="0.55000000000000004">
      <c r="A11233" s="17"/>
    </row>
    <row r="11234" spans="1:1" x14ac:dyDescent="0.55000000000000004">
      <c r="A11234" s="17"/>
    </row>
    <row r="11235" spans="1:1" x14ac:dyDescent="0.55000000000000004">
      <c r="A11235" s="17"/>
    </row>
    <row r="11236" spans="1:1" x14ac:dyDescent="0.55000000000000004">
      <c r="A11236" s="17"/>
    </row>
    <row r="11237" spans="1:1" x14ac:dyDescent="0.55000000000000004">
      <c r="A11237" s="17"/>
    </row>
    <row r="11238" spans="1:1" x14ac:dyDescent="0.55000000000000004">
      <c r="A11238" s="17"/>
    </row>
    <row r="11239" spans="1:1" x14ac:dyDescent="0.55000000000000004">
      <c r="A11239" s="17"/>
    </row>
    <row r="11240" spans="1:1" x14ac:dyDescent="0.55000000000000004">
      <c r="A11240" s="17"/>
    </row>
    <row r="11241" spans="1:1" x14ac:dyDescent="0.55000000000000004">
      <c r="A11241" s="17"/>
    </row>
    <row r="11242" spans="1:1" x14ac:dyDescent="0.55000000000000004">
      <c r="A11242" s="17"/>
    </row>
    <row r="11243" spans="1:1" x14ac:dyDescent="0.55000000000000004">
      <c r="A11243" s="17"/>
    </row>
    <row r="11244" spans="1:1" x14ac:dyDescent="0.55000000000000004">
      <c r="A11244" s="17"/>
    </row>
    <row r="11245" spans="1:1" x14ac:dyDescent="0.55000000000000004">
      <c r="A11245" s="17"/>
    </row>
    <row r="11246" spans="1:1" x14ac:dyDescent="0.55000000000000004">
      <c r="A11246" s="17"/>
    </row>
    <row r="11247" spans="1:1" x14ac:dyDescent="0.55000000000000004">
      <c r="A11247" s="17"/>
    </row>
    <row r="11248" spans="1:1" x14ac:dyDescent="0.55000000000000004">
      <c r="A11248" s="17"/>
    </row>
    <row r="11249" spans="1:1" x14ac:dyDescent="0.55000000000000004">
      <c r="A11249" s="17"/>
    </row>
    <row r="11250" spans="1:1" x14ac:dyDescent="0.55000000000000004">
      <c r="A11250" s="17"/>
    </row>
    <row r="11251" spans="1:1" x14ac:dyDescent="0.55000000000000004">
      <c r="A11251" s="17"/>
    </row>
    <row r="11252" spans="1:1" x14ac:dyDescent="0.55000000000000004">
      <c r="A11252" s="17"/>
    </row>
    <row r="11253" spans="1:1" x14ac:dyDescent="0.55000000000000004">
      <c r="A11253" s="17"/>
    </row>
    <row r="11254" spans="1:1" x14ac:dyDescent="0.55000000000000004">
      <c r="A11254" s="17"/>
    </row>
    <row r="11255" spans="1:1" x14ac:dyDescent="0.55000000000000004">
      <c r="A11255" s="17"/>
    </row>
    <row r="11256" spans="1:1" x14ac:dyDescent="0.55000000000000004">
      <c r="A11256" s="17"/>
    </row>
    <row r="11257" spans="1:1" x14ac:dyDescent="0.55000000000000004">
      <c r="A11257" s="17"/>
    </row>
    <row r="11258" spans="1:1" x14ac:dyDescent="0.55000000000000004">
      <c r="A11258" s="17"/>
    </row>
    <row r="11259" spans="1:1" x14ac:dyDescent="0.55000000000000004">
      <c r="A11259" s="17"/>
    </row>
    <row r="11260" spans="1:1" x14ac:dyDescent="0.55000000000000004">
      <c r="A11260" s="17"/>
    </row>
    <row r="11261" spans="1:1" x14ac:dyDescent="0.55000000000000004">
      <c r="A11261" s="17"/>
    </row>
    <row r="11262" spans="1:1" x14ac:dyDescent="0.55000000000000004">
      <c r="A11262" s="17"/>
    </row>
    <row r="11263" spans="1:1" x14ac:dyDescent="0.55000000000000004">
      <c r="A11263" s="17"/>
    </row>
    <row r="11264" spans="1:1" x14ac:dyDescent="0.55000000000000004">
      <c r="A11264" s="17"/>
    </row>
    <row r="11265" spans="1:1" x14ac:dyDescent="0.55000000000000004">
      <c r="A11265" s="17"/>
    </row>
    <row r="11266" spans="1:1" x14ac:dyDescent="0.55000000000000004">
      <c r="A11266" s="17"/>
    </row>
    <row r="11267" spans="1:1" x14ac:dyDescent="0.55000000000000004">
      <c r="A11267" s="17"/>
    </row>
    <row r="11268" spans="1:1" x14ac:dyDescent="0.55000000000000004">
      <c r="A11268" s="17"/>
    </row>
    <row r="11269" spans="1:1" x14ac:dyDescent="0.55000000000000004">
      <c r="A11269" s="17"/>
    </row>
    <row r="11270" spans="1:1" x14ac:dyDescent="0.55000000000000004">
      <c r="A11270" s="17"/>
    </row>
    <row r="11271" spans="1:1" x14ac:dyDescent="0.55000000000000004">
      <c r="A11271" s="17"/>
    </row>
    <row r="11272" spans="1:1" x14ac:dyDescent="0.55000000000000004">
      <c r="A11272" s="17"/>
    </row>
    <row r="11273" spans="1:1" x14ac:dyDescent="0.55000000000000004">
      <c r="A11273" s="17"/>
    </row>
    <row r="11274" spans="1:1" x14ac:dyDescent="0.55000000000000004">
      <c r="A11274" s="17"/>
    </row>
    <row r="11275" spans="1:1" x14ac:dyDescent="0.55000000000000004">
      <c r="A11275" s="17"/>
    </row>
    <row r="11276" spans="1:1" x14ac:dyDescent="0.55000000000000004">
      <c r="A11276" s="17"/>
    </row>
    <row r="11277" spans="1:1" x14ac:dyDescent="0.55000000000000004">
      <c r="A11277" s="17"/>
    </row>
    <row r="11278" spans="1:1" x14ac:dyDescent="0.55000000000000004">
      <c r="A11278" s="17"/>
    </row>
    <row r="11279" spans="1:1" x14ac:dyDescent="0.55000000000000004">
      <c r="A11279" s="17"/>
    </row>
    <row r="11280" spans="1:1" x14ac:dyDescent="0.55000000000000004">
      <c r="A11280" s="17"/>
    </row>
    <row r="11281" spans="1:1" x14ac:dyDescent="0.55000000000000004">
      <c r="A11281" s="17"/>
    </row>
    <row r="11282" spans="1:1" x14ac:dyDescent="0.55000000000000004">
      <c r="A11282" s="17"/>
    </row>
    <row r="11283" spans="1:1" x14ac:dyDescent="0.55000000000000004">
      <c r="A11283" s="17"/>
    </row>
    <row r="11284" spans="1:1" x14ac:dyDescent="0.55000000000000004">
      <c r="A11284" s="17"/>
    </row>
    <row r="11285" spans="1:1" x14ac:dyDescent="0.55000000000000004">
      <c r="A11285" s="17"/>
    </row>
    <row r="11286" spans="1:1" x14ac:dyDescent="0.55000000000000004">
      <c r="A11286" s="17"/>
    </row>
    <row r="11287" spans="1:1" x14ac:dyDescent="0.55000000000000004">
      <c r="A11287" s="17"/>
    </row>
    <row r="11288" spans="1:1" x14ac:dyDescent="0.55000000000000004">
      <c r="A11288" s="17"/>
    </row>
    <row r="11289" spans="1:1" x14ac:dyDescent="0.55000000000000004">
      <c r="A11289" s="17"/>
    </row>
    <row r="11290" spans="1:1" x14ac:dyDescent="0.55000000000000004">
      <c r="A11290" s="17"/>
    </row>
    <row r="11291" spans="1:1" x14ac:dyDescent="0.55000000000000004">
      <c r="A11291" s="17"/>
    </row>
    <row r="11292" spans="1:1" x14ac:dyDescent="0.55000000000000004">
      <c r="A11292" s="17"/>
    </row>
    <row r="11293" spans="1:1" x14ac:dyDescent="0.55000000000000004">
      <c r="A11293" s="17"/>
    </row>
    <row r="11294" spans="1:1" x14ac:dyDescent="0.55000000000000004">
      <c r="A11294" s="17"/>
    </row>
    <row r="11295" spans="1:1" x14ac:dyDescent="0.55000000000000004">
      <c r="A11295" s="17"/>
    </row>
    <row r="11296" spans="1:1" x14ac:dyDescent="0.55000000000000004">
      <c r="A11296" s="17"/>
    </row>
    <row r="11297" spans="1:1" x14ac:dyDescent="0.55000000000000004">
      <c r="A11297" s="17"/>
    </row>
    <row r="11298" spans="1:1" x14ac:dyDescent="0.55000000000000004">
      <c r="A11298" s="17"/>
    </row>
    <row r="11299" spans="1:1" x14ac:dyDescent="0.55000000000000004">
      <c r="A11299" s="17"/>
    </row>
    <row r="11300" spans="1:1" x14ac:dyDescent="0.55000000000000004">
      <c r="A11300" s="17"/>
    </row>
    <row r="11301" spans="1:1" x14ac:dyDescent="0.55000000000000004">
      <c r="A11301" s="17"/>
    </row>
    <row r="11302" spans="1:1" x14ac:dyDescent="0.55000000000000004">
      <c r="A11302" s="17"/>
    </row>
    <row r="11303" spans="1:1" x14ac:dyDescent="0.55000000000000004">
      <c r="A11303" s="17"/>
    </row>
    <row r="11304" spans="1:1" x14ac:dyDescent="0.55000000000000004">
      <c r="A11304" s="17"/>
    </row>
    <row r="11305" spans="1:1" x14ac:dyDescent="0.55000000000000004">
      <c r="A11305" s="17"/>
    </row>
    <row r="11306" spans="1:1" x14ac:dyDescent="0.55000000000000004">
      <c r="A11306" s="17"/>
    </row>
    <row r="11307" spans="1:1" x14ac:dyDescent="0.55000000000000004">
      <c r="A11307" s="17"/>
    </row>
    <row r="11308" spans="1:1" x14ac:dyDescent="0.55000000000000004">
      <c r="A11308" s="17"/>
    </row>
    <row r="11309" spans="1:1" x14ac:dyDescent="0.55000000000000004">
      <c r="A11309" s="17"/>
    </row>
    <row r="11310" spans="1:1" x14ac:dyDescent="0.55000000000000004">
      <c r="A11310" s="17"/>
    </row>
    <row r="11311" spans="1:1" x14ac:dyDescent="0.55000000000000004">
      <c r="A11311" s="17"/>
    </row>
    <row r="11312" spans="1:1" x14ac:dyDescent="0.55000000000000004">
      <c r="A11312" s="17"/>
    </row>
    <row r="11313" spans="1:1" x14ac:dyDescent="0.55000000000000004">
      <c r="A11313" s="17"/>
    </row>
    <row r="11314" spans="1:1" x14ac:dyDescent="0.55000000000000004">
      <c r="A11314" s="17"/>
    </row>
    <row r="11315" spans="1:1" x14ac:dyDescent="0.55000000000000004">
      <c r="A11315" s="17"/>
    </row>
    <row r="11316" spans="1:1" x14ac:dyDescent="0.55000000000000004">
      <c r="A11316" s="17"/>
    </row>
    <row r="11317" spans="1:1" x14ac:dyDescent="0.55000000000000004">
      <c r="A11317" s="17"/>
    </row>
    <row r="11318" spans="1:1" x14ac:dyDescent="0.55000000000000004">
      <c r="A11318" s="17"/>
    </row>
    <row r="11319" spans="1:1" x14ac:dyDescent="0.55000000000000004">
      <c r="A11319" s="17"/>
    </row>
    <row r="11320" spans="1:1" x14ac:dyDescent="0.55000000000000004">
      <c r="A11320" s="17"/>
    </row>
    <row r="11321" spans="1:1" x14ac:dyDescent="0.55000000000000004">
      <c r="A11321" s="17"/>
    </row>
    <row r="11322" spans="1:1" x14ac:dyDescent="0.55000000000000004">
      <c r="A11322" s="17"/>
    </row>
    <row r="11323" spans="1:1" x14ac:dyDescent="0.55000000000000004">
      <c r="A11323" s="17"/>
    </row>
    <row r="11324" spans="1:1" x14ac:dyDescent="0.55000000000000004">
      <c r="A11324" s="17"/>
    </row>
    <row r="11325" spans="1:1" x14ac:dyDescent="0.55000000000000004">
      <c r="A11325" s="17"/>
    </row>
    <row r="11326" spans="1:1" x14ac:dyDescent="0.55000000000000004">
      <c r="A11326" s="17"/>
    </row>
    <row r="11327" spans="1:1" x14ac:dyDescent="0.55000000000000004">
      <c r="A11327" s="17"/>
    </row>
    <row r="11328" spans="1:1" x14ac:dyDescent="0.55000000000000004">
      <c r="A11328" s="17"/>
    </row>
    <row r="11329" spans="1:1" x14ac:dyDescent="0.55000000000000004">
      <c r="A11329" s="17"/>
    </row>
    <row r="11330" spans="1:1" x14ac:dyDescent="0.55000000000000004">
      <c r="A11330" s="17"/>
    </row>
    <row r="11331" spans="1:1" x14ac:dyDescent="0.55000000000000004">
      <c r="A11331" s="17"/>
    </row>
    <row r="11332" spans="1:1" x14ac:dyDescent="0.55000000000000004">
      <c r="A11332" s="17"/>
    </row>
    <row r="11333" spans="1:1" x14ac:dyDescent="0.55000000000000004">
      <c r="A11333" s="17"/>
    </row>
    <row r="11334" spans="1:1" x14ac:dyDescent="0.55000000000000004">
      <c r="A11334" s="17"/>
    </row>
    <row r="11335" spans="1:1" x14ac:dyDescent="0.55000000000000004">
      <c r="A11335" s="17"/>
    </row>
    <row r="11336" spans="1:1" x14ac:dyDescent="0.55000000000000004">
      <c r="A11336" s="17"/>
    </row>
    <row r="11337" spans="1:1" x14ac:dyDescent="0.55000000000000004">
      <c r="A11337" s="17"/>
    </row>
    <row r="11338" spans="1:1" x14ac:dyDescent="0.55000000000000004">
      <c r="A11338" s="17"/>
    </row>
    <row r="11339" spans="1:1" x14ac:dyDescent="0.55000000000000004">
      <c r="A11339" s="17"/>
    </row>
    <row r="11340" spans="1:1" x14ac:dyDescent="0.55000000000000004">
      <c r="A11340" s="17"/>
    </row>
    <row r="11341" spans="1:1" x14ac:dyDescent="0.55000000000000004">
      <c r="A11341" s="17"/>
    </row>
    <row r="11342" spans="1:1" x14ac:dyDescent="0.55000000000000004">
      <c r="A11342" s="17"/>
    </row>
    <row r="11343" spans="1:1" x14ac:dyDescent="0.55000000000000004">
      <c r="A11343" s="17"/>
    </row>
    <row r="11344" spans="1:1" x14ac:dyDescent="0.55000000000000004">
      <c r="A11344" s="17"/>
    </row>
    <row r="11345" spans="1:1" x14ac:dyDescent="0.55000000000000004">
      <c r="A11345" s="17"/>
    </row>
    <row r="11346" spans="1:1" x14ac:dyDescent="0.55000000000000004">
      <c r="A11346" s="17"/>
    </row>
    <row r="11347" spans="1:1" x14ac:dyDescent="0.55000000000000004">
      <c r="A11347" s="17"/>
    </row>
    <row r="11348" spans="1:1" x14ac:dyDescent="0.55000000000000004">
      <c r="A11348" s="17"/>
    </row>
    <row r="11349" spans="1:1" x14ac:dyDescent="0.55000000000000004">
      <c r="A11349" s="17"/>
    </row>
    <row r="11350" spans="1:1" x14ac:dyDescent="0.55000000000000004">
      <c r="A11350" s="17"/>
    </row>
    <row r="11351" spans="1:1" x14ac:dyDescent="0.55000000000000004">
      <c r="A11351" s="17"/>
    </row>
    <row r="11352" spans="1:1" x14ac:dyDescent="0.55000000000000004">
      <c r="A11352" s="17"/>
    </row>
    <row r="11353" spans="1:1" x14ac:dyDescent="0.55000000000000004">
      <c r="A11353" s="17"/>
    </row>
    <row r="11354" spans="1:1" x14ac:dyDescent="0.55000000000000004">
      <c r="A11354" s="17"/>
    </row>
    <row r="11355" spans="1:1" x14ac:dyDescent="0.55000000000000004">
      <c r="A11355" s="17"/>
    </row>
    <row r="11356" spans="1:1" x14ac:dyDescent="0.55000000000000004">
      <c r="A11356" s="17"/>
    </row>
    <row r="11357" spans="1:1" x14ac:dyDescent="0.55000000000000004">
      <c r="A11357" s="17"/>
    </row>
    <row r="11358" spans="1:1" x14ac:dyDescent="0.55000000000000004">
      <c r="A11358" s="17"/>
    </row>
    <row r="11359" spans="1:1" x14ac:dyDescent="0.55000000000000004">
      <c r="A11359" s="17"/>
    </row>
    <row r="11360" spans="1:1" x14ac:dyDescent="0.55000000000000004">
      <c r="A11360" s="17"/>
    </row>
    <row r="11361" spans="1:1" x14ac:dyDescent="0.55000000000000004">
      <c r="A11361" s="17"/>
    </row>
    <row r="11362" spans="1:1" x14ac:dyDescent="0.55000000000000004">
      <c r="A11362" s="17"/>
    </row>
    <row r="11363" spans="1:1" x14ac:dyDescent="0.55000000000000004">
      <c r="A11363" s="17"/>
    </row>
    <row r="11364" spans="1:1" x14ac:dyDescent="0.55000000000000004">
      <c r="A11364" s="17"/>
    </row>
    <row r="11365" spans="1:1" x14ac:dyDescent="0.55000000000000004">
      <c r="A11365" s="17"/>
    </row>
    <row r="11366" spans="1:1" x14ac:dyDescent="0.55000000000000004">
      <c r="A11366" s="17"/>
    </row>
    <row r="11367" spans="1:1" x14ac:dyDescent="0.55000000000000004">
      <c r="A11367" s="17"/>
    </row>
    <row r="11368" spans="1:1" x14ac:dyDescent="0.55000000000000004">
      <c r="A11368" s="17"/>
    </row>
    <row r="11369" spans="1:1" x14ac:dyDescent="0.55000000000000004">
      <c r="A11369" s="17"/>
    </row>
    <row r="11370" spans="1:1" x14ac:dyDescent="0.55000000000000004">
      <c r="A11370" s="17"/>
    </row>
    <row r="11371" spans="1:1" x14ac:dyDescent="0.55000000000000004">
      <c r="A11371" s="17"/>
    </row>
    <row r="11372" spans="1:1" x14ac:dyDescent="0.55000000000000004">
      <c r="A11372" s="17"/>
    </row>
    <row r="11373" spans="1:1" x14ac:dyDescent="0.55000000000000004">
      <c r="A11373" s="17"/>
    </row>
    <row r="11374" spans="1:1" x14ac:dyDescent="0.55000000000000004">
      <c r="A11374" s="17"/>
    </row>
    <row r="11375" spans="1:1" x14ac:dyDescent="0.55000000000000004">
      <c r="A11375" s="17"/>
    </row>
    <row r="11376" spans="1:1" x14ac:dyDescent="0.55000000000000004">
      <c r="A11376" s="17"/>
    </row>
    <row r="11377" spans="1:1" x14ac:dyDescent="0.55000000000000004">
      <c r="A11377" s="17"/>
    </row>
    <row r="11378" spans="1:1" x14ac:dyDescent="0.55000000000000004">
      <c r="A11378" s="17"/>
    </row>
    <row r="11379" spans="1:1" x14ac:dyDescent="0.55000000000000004">
      <c r="A11379" s="17"/>
    </row>
    <row r="11380" spans="1:1" x14ac:dyDescent="0.55000000000000004">
      <c r="A11380" s="17"/>
    </row>
    <row r="11381" spans="1:1" x14ac:dyDescent="0.55000000000000004">
      <c r="A11381" s="17"/>
    </row>
    <row r="11382" spans="1:1" x14ac:dyDescent="0.55000000000000004">
      <c r="A11382" s="17"/>
    </row>
    <row r="11383" spans="1:1" x14ac:dyDescent="0.55000000000000004">
      <c r="A11383" s="17"/>
    </row>
    <row r="11384" spans="1:1" x14ac:dyDescent="0.55000000000000004">
      <c r="A11384" s="17"/>
    </row>
    <row r="11385" spans="1:1" x14ac:dyDescent="0.55000000000000004">
      <c r="A11385" s="17"/>
    </row>
    <row r="11386" spans="1:1" x14ac:dyDescent="0.55000000000000004">
      <c r="A11386" s="17"/>
    </row>
    <row r="11387" spans="1:1" x14ac:dyDescent="0.55000000000000004">
      <c r="A11387" s="17"/>
    </row>
    <row r="11388" spans="1:1" x14ac:dyDescent="0.55000000000000004">
      <c r="A11388" s="17"/>
    </row>
    <row r="11389" spans="1:1" x14ac:dyDescent="0.55000000000000004">
      <c r="A11389" s="17"/>
    </row>
    <row r="11390" spans="1:1" x14ac:dyDescent="0.55000000000000004">
      <c r="A11390" s="17"/>
    </row>
    <row r="11391" spans="1:1" x14ac:dyDescent="0.55000000000000004">
      <c r="A11391" s="17"/>
    </row>
    <row r="11392" spans="1:1" x14ac:dyDescent="0.55000000000000004">
      <c r="A11392" s="17"/>
    </row>
    <row r="11393" spans="1:1" x14ac:dyDescent="0.55000000000000004">
      <c r="A11393" s="17"/>
    </row>
    <row r="11394" spans="1:1" x14ac:dyDescent="0.55000000000000004">
      <c r="A11394" s="17"/>
    </row>
    <row r="11395" spans="1:1" x14ac:dyDescent="0.55000000000000004">
      <c r="A11395" s="17"/>
    </row>
    <row r="11396" spans="1:1" x14ac:dyDescent="0.55000000000000004">
      <c r="A11396" s="17"/>
    </row>
    <row r="11397" spans="1:1" x14ac:dyDescent="0.55000000000000004">
      <c r="A11397" s="17"/>
    </row>
    <row r="11398" spans="1:1" x14ac:dyDescent="0.55000000000000004">
      <c r="A11398" s="17"/>
    </row>
    <row r="11399" spans="1:1" x14ac:dyDescent="0.55000000000000004">
      <c r="A11399" s="17"/>
    </row>
    <row r="11400" spans="1:1" x14ac:dyDescent="0.55000000000000004">
      <c r="A11400" s="17"/>
    </row>
    <row r="11401" spans="1:1" x14ac:dyDescent="0.55000000000000004">
      <c r="A11401" s="17"/>
    </row>
    <row r="11402" spans="1:1" x14ac:dyDescent="0.55000000000000004">
      <c r="A11402" s="17"/>
    </row>
    <row r="11403" spans="1:1" x14ac:dyDescent="0.55000000000000004">
      <c r="A11403" s="17"/>
    </row>
    <row r="11404" spans="1:1" x14ac:dyDescent="0.55000000000000004">
      <c r="A11404" s="17"/>
    </row>
    <row r="11405" spans="1:1" x14ac:dyDescent="0.55000000000000004">
      <c r="A11405" s="17"/>
    </row>
    <row r="11406" spans="1:1" x14ac:dyDescent="0.55000000000000004">
      <c r="A11406" s="17"/>
    </row>
    <row r="11407" spans="1:1" x14ac:dyDescent="0.55000000000000004">
      <c r="A11407" s="17"/>
    </row>
    <row r="11408" spans="1:1" x14ac:dyDescent="0.55000000000000004">
      <c r="A11408" s="17"/>
    </row>
    <row r="11409" spans="1:1" x14ac:dyDescent="0.55000000000000004">
      <c r="A11409" s="17"/>
    </row>
    <row r="11410" spans="1:1" x14ac:dyDescent="0.55000000000000004">
      <c r="A11410" s="17"/>
    </row>
    <row r="11411" spans="1:1" x14ac:dyDescent="0.55000000000000004">
      <c r="A11411" s="17"/>
    </row>
    <row r="11412" spans="1:1" x14ac:dyDescent="0.55000000000000004">
      <c r="A11412" s="17"/>
    </row>
    <row r="11413" spans="1:1" x14ac:dyDescent="0.55000000000000004">
      <c r="A11413" s="17"/>
    </row>
    <row r="11414" spans="1:1" x14ac:dyDescent="0.55000000000000004">
      <c r="A11414" s="17"/>
    </row>
    <row r="11415" spans="1:1" x14ac:dyDescent="0.55000000000000004">
      <c r="A11415" s="17"/>
    </row>
    <row r="11416" spans="1:1" x14ac:dyDescent="0.55000000000000004">
      <c r="A11416" s="17"/>
    </row>
    <row r="11417" spans="1:1" x14ac:dyDescent="0.55000000000000004">
      <c r="A11417" s="17"/>
    </row>
    <row r="11418" spans="1:1" x14ac:dyDescent="0.55000000000000004">
      <c r="A11418" s="17"/>
    </row>
    <row r="11419" spans="1:1" x14ac:dyDescent="0.55000000000000004">
      <c r="A11419" s="17"/>
    </row>
    <row r="11420" spans="1:1" x14ac:dyDescent="0.55000000000000004">
      <c r="A11420" s="17"/>
    </row>
    <row r="11421" spans="1:1" x14ac:dyDescent="0.55000000000000004">
      <c r="A11421" s="17"/>
    </row>
    <row r="11422" spans="1:1" x14ac:dyDescent="0.55000000000000004">
      <c r="A11422" s="17"/>
    </row>
    <row r="11423" spans="1:1" x14ac:dyDescent="0.55000000000000004">
      <c r="A11423" s="17"/>
    </row>
    <row r="11424" spans="1:1" x14ac:dyDescent="0.55000000000000004">
      <c r="A11424" s="17"/>
    </row>
    <row r="11425" spans="1:1" x14ac:dyDescent="0.55000000000000004">
      <c r="A11425" s="17"/>
    </row>
    <row r="11426" spans="1:1" x14ac:dyDescent="0.55000000000000004">
      <c r="A11426" s="17"/>
    </row>
    <row r="11427" spans="1:1" x14ac:dyDescent="0.55000000000000004">
      <c r="A11427" s="17"/>
    </row>
    <row r="11428" spans="1:1" x14ac:dyDescent="0.55000000000000004">
      <c r="A11428" s="17"/>
    </row>
    <row r="11429" spans="1:1" x14ac:dyDescent="0.55000000000000004">
      <c r="A11429" s="17"/>
    </row>
    <row r="11430" spans="1:1" x14ac:dyDescent="0.55000000000000004">
      <c r="A11430" s="17"/>
    </row>
    <row r="11431" spans="1:1" x14ac:dyDescent="0.55000000000000004">
      <c r="A11431" s="17"/>
    </row>
    <row r="11432" spans="1:1" x14ac:dyDescent="0.55000000000000004">
      <c r="A11432" s="17"/>
    </row>
    <row r="11433" spans="1:1" x14ac:dyDescent="0.55000000000000004">
      <c r="A11433" s="17"/>
    </row>
    <row r="11434" spans="1:1" x14ac:dyDescent="0.55000000000000004">
      <c r="A11434" s="17"/>
    </row>
    <row r="11435" spans="1:1" x14ac:dyDescent="0.55000000000000004">
      <c r="A11435" s="17"/>
    </row>
    <row r="11436" spans="1:1" x14ac:dyDescent="0.55000000000000004">
      <c r="A11436" s="17"/>
    </row>
    <row r="11437" spans="1:1" x14ac:dyDescent="0.55000000000000004">
      <c r="A11437" s="17"/>
    </row>
    <row r="11438" spans="1:1" x14ac:dyDescent="0.55000000000000004">
      <c r="A11438" s="17"/>
    </row>
    <row r="11439" spans="1:1" x14ac:dyDescent="0.55000000000000004">
      <c r="A11439" s="17"/>
    </row>
    <row r="11440" spans="1:1" x14ac:dyDescent="0.55000000000000004">
      <c r="A11440" s="17"/>
    </row>
    <row r="11441" spans="1:1" x14ac:dyDescent="0.55000000000000004">
      <c r="A11441" s="17"/>
    </row>
    <row r="11442" spans="1:1" x14ac:dyDescent="0.55000000000000004">
      <c r="A11442" s="17"/>
    </row>
    <row r="11443" spans="1:1" x14ac:dyDescent="0.55000000000000004">
      <c r="A11443" s="17"/>
    </row>
    <row r="11444" spans="1:1" x14ac:dyDescent="0.55000000000000004">
      <c r="A11444" s="17"/>
    </row>
    <row r="11445" spans="1:1" x14ac:dyDescent="0.55000000000000004">
      <c r="A11445" s="17"/>
    </row>
    <row r="11446" spans="1:1" x14ac:dyDescent="0.55000000000000004">
      <c r="A11446" s="17"/>
    </row>
    <row r="11447" spans="1:1" x14ac:dyDescent="0.55000000000000004">
      <c r="A11447" s="17"/>
    </row>
    <row r="11448" spans="1:1" x14ac:dyDescent="0.55000000000000004">
      <c r="A11448" s="17"/>
    </row>
    <row r="11449" spans="1:1" x14ac:dyDescent="0.55000000000000004">
      <c r="A11449" s="17"/>
    </row>
    <row r="11450" spans="1:1" x14ac:dyDescent="0.55000000000000004">
      <c r="A11450" s="17"/>
    </row>
    <row r="11451" spans="1:1" x14ac:dyDescent="0.55000000000000004">
      <c r="A11451" s="17"/>
    </row>
    <row r="11452" spans="1:1" x14ac:dyDescent="0.55000000000000004">
      <c r="A11452" s="17"/>
    </row>
    <row r="11453" spans="1:1" x14ac:dyDescent="0.55000000000000004">
      <c r="A11453" s="17"/>
    </row>
    <row r="11454" spans="1:1" x14ac:dyDescent="0.55000000000000004">
      <c r="A11454" s="17"/>
    </row>
    <row r="11455" spans="1:1" x14ac:dyDescent="0.55000000000000004">
      <c r="A11455" s="17"/>
    </row>
    <row r="11456" spans="1:1" x14ac:dyDescent="0.55000000000000004">
      <c r="A11456" s="17"/>
    </row>
    <row r="11457" spans="1:1" x14ac:dyDescent="0.55000000000000004">
      <c r="A11457" s="17"/>
    </row>
    <row r="11458" spans="1:1" x14ac:dyDescent="0.55000000000000004">
      <c r="A11458" s="17"/>
    </row>
    <row r="11459" spans="1:1" x14ac:dyDescent="0.55000000000000004">
      <c r="A11459" s="17"/>
    </row>
    <row r="11460" spans="1:1" x14ac:dyDescent="0.55000000000000004">
      <c r="A11460" s="17"/>
    </row>
    <row r="11461" spans="1:1" x14ac:dyDescent="0.55000000000000004">
      <c r="A11461" s="17"/>
    </row>
    <row r="11462" spans="1:1" x14ac:dyDescent="0.55000000000000004">
      <c r="A11462" s="17"/>
    </row>
    <row r="11463" spans="1:1" x14ac:dyDescent="0.55000000000000004">
      <c r="A11463" s="17"/>
    </row>
    <row r="11464" spans="1:1" x14ac:dyDescent="0.55000000000000004">
      <c r="A11464" s="17"/>
    </row>
    <row r="11465" spans="1:1" x14ac:dyDescent="0.55000000000000004">
      <c r="A11465" s="17"/>
    </row>
    <row r="11466" spans="1:1" x14ac:dyDescent="0.55000000000000004">
      <c r="A11466" s="17"/>
    </row>
    <row r="11467" spans="1:1" x14ac:dyDescent="0.55000000000000004">
      <c r="A11467" s="17"/>
    </row>
    <row r="11468" spans="1:1" x14ac:dyDescent="0.55000000000000004">
      <c r="A11468" s="17"/>
    </row>
    <row r="11469" spans="1:1" x14ac:dyDescent="0.55000000000000004">
      <c r="A11469" s="17"/>
    </row>
    <row r="11470" spans="1:1" x14ac:dyDescent="0.55000000000000004">
      <c r="A11470" s="17"/>
    </row>
    <row r="11471" spans="1:1" x14ac:dyDescent="0.55000000000000004">
      <c r="A11471" s="17"/>
    </row>
    <row r="11472" spans="1:1" x14ac:dyDescent="0.55000000000000004">
      <c r="A11472" s="17"/>
    </row>
    <row r="11473" spans="1:1" x14ac:dyDescent="0.55000000000000004">
      <c r="A11473" s="17"/>
    </row>
    <row r="11474" spans="1:1" x14ac:dyDescent="0.55000000000000004">
      <c r="A11474" s="17"/>
    </row>
    <row r="11475" spans="1:1" x14ac:dyDescent="0.55000000000000004">
      <c r="A11475" s="17"/>
    </row>
    <row r="11476" spans="1:1" x14ac:dyDescent="0.55000000000000004">
      <c r="A11476" s="17"/>
    </row>
    <row r="11477" spans="1:1" x14ac:dyDescent="0.55000000000000004">
      <c r="A11477" s="17"/>
    </row>
    <row r="11478" spans="1:1" x14ac:dyDescent="0.55000000000000004">
      <c r="A11478" s="17"/>
    </row>
    <row r="11479" spans="1:1" x14ac:dyDescent="0.55000000000000004">
      <c r="A11479" s="17"/>
    </row>
    <row r="11480" spans="1:1" x14ac:dyDescent="0.55000000000000004">
      <c r="A11480" s="17"/>
    </row>
    <row r="11481" spans="1:1" x14ac:dyDescent="0.55000000000000004">
      <c r="A11481" s="17"/>
    </row>
    <row r="11482" spans="1:1" x14ac:dyDescent="0.55000000000000004">
      <c r="A11482" s="17"/>
    </row>
    <row r="11483" spans="1:1" x14ac:dyDescent="0.55000000000000004">
      <c r="A11483" s="17"/>
    </row>
    <row r="11484" spans="1:1" x14ac:dyDescent="0.55000000000000004">
      <c r="A11484" s="17"/>
    </row>
    <row r="11485" spans="1:1" x14ac:dyDescent="0.55000000000000004">
      <c r="A11485" s="17"/>
    </row>
    <row r="11486" spans="1:1" x14ac:dyDescent="0.55000000000000004">
      <c r="A11486" s="17"/>
    </row>
    <row r="11487" spans="1:1" x14ac:dyDescent="0.55000000000000004">
      <c r="A11487" s="17"/>
    </row>
    <row r="11488" spans="1:1" x14ac:dyDescent="0.55000000000000004">
      <c r="A11488" s="17"/>
    </row>
    <row r="11489" spans="1:1" x14ac:dyDescent="0.55000000000000004">
      <c r="A11489" s="17"/>
    </row>
    <row r="11490" spans="1:1" x14ac:dyDescent="0.55000000000000004">
      <c r="A11490" s="17"/>
    </row>
    <row r="11491" spans="1:1" x14ac:dyDescent="0.55000000000000004">
      <c r="A11491" s="17"/>
    </row>
    <row r="11492" spans="1:1" x14ac:dyDescent="0.55000000000000004">
      <c r="A11492" s="17"/>
    </row>
    <row r="11493" spans="1:1" x14ac:dyDescent="0.55000000000000004">
      <c r="A11493" s="17"/>
    </row>
    <row r="11494" spans="1:1" x14ac:dyDescent="0.55000000000000004">
      <c r="A11494" s="17"/>
    </row>
    <row r="11495" spans="1:1" x14ac:dyDescent="0.55000000000000004">
      <c r="A11495" s="17"/>
    </row>
    <row r="11496" spans="1:1" x14ac:dyDescent="0.55000000000000004">
      <c r="A11496" s="17"/>
    </row>
    <row r="11497" spans="1:1" x14ac:dyDescent="0.55000000000000004">
      <c r="A11497" s="17"/>
    </row>
    <row r="11498" spans="1:1" x14ac:dyDescent="0.55000000000000004">
      <c r="A11498" s="17"/>
    </row>
    <row r="11499" spans="1:1" x14ac:dyDescent="0.55000000000000004">
      <c r="A11499" s="17"/>
    </row>
    <row r="11500" spans="1:1" x14ac:dyDescent="0.55000000000000004">
      <c r="A11500" s="17"/>
    </row>
    <row r="11501" spans="1:1" x14ac:dyDescent="0.55000000000000004">
      <c r="A11501" s="17"/>
    </row>
    <row r="11502" spans="1:1" x14ac:dyDescent="0.55000000000000004">
      <c r="A11502" s="17"/>
    </row>
    <row r="11503" spans="1:1" x14ac:dyDescent="0.55000000000000004">
      <c r="A11503" s="17"/>
    </row>
    <row r="11504" spans="1:1" x14ac:dyDescent="0.55000000000000004">
      <c r="A11504" s="17"/>
    </row>
    <row r="11505" spans="1:1" x14ac:dyDescent="0.55000000000000004">
      <c r="A11505" s="17"/>
    </row>
    <row r="11506" spans="1:1" x14ac:dyDescent="0.55000000000000004">
      <c r="A11506" s="17"/>
    </row>
    <row r="11507" spans="1:1" x14ac:dyDescent="0.55000000000000004">
      <c r="A11507" s="17"/>
    </row>
    <row r="11508" spans="1:1" x14ac:dyDescent="0.55000000000000004">
      <c r="A11508" s="17"/>
    </row>
    <row r="11509" spans="1:1" x14ac:dyDescent="0.55000000000000004">
      <c r="A11509" s="17"/>
    </row>
    <row r="11510" spans="1:1" x14ac:dyDescent="0.55000000000000004">
      <c r="A11510" s="17"/>
    </row>
    <row r="11511" spans="1:1" x14ac:dyDescent="0.55000000000000004">
      <c r="A11511" s="17"/>
    </row>
    <row r="11512" spans="1:1" x14ac:dyDescent="0.55000000000000004">
      <c r="A11512" s="17"/>
    </row>
    <row r="11513" spans="1:1" x14ac:dyDescent="0.55000000000000004">
      <c r="A11513" s="17"/>
    </row>
    <row r="11514" spans="1:1" x14ac:dyDescent="0.55000000000000004">
      <c r="A11514" s="17"/>
    </row>
    <row r="11515" spans="1:1" x14ac:dyDescent="0.55000000000000004">
      <c r="A11515" s="17"/>
    </row>
    <row r="11516" spans="1:1" x14ac:dyDescent="0.55000000000000004">
      <c r="A11516" s="17"/>
    </row>
    <row r="11517" spans="1:1" x14ac:dyDescent="0.55000000000000004">
      <c r="A11517" s="17"/>
    </row>
    <row r="11518" spans="1:1" x14ac:dyDescent="0.55000000000000004">
      <c r="A11518" s="17"/>
    </row>
    <row r="11519" spans="1:1" x14ac:dyDescent="0.55000000000000004">
      <c r="A11519" s="17"/>
    </row>
    <row r="11520" spans="1:1" x14ac:dyDescent="0.55000000000000004">
      <c r="A11520" s="17"/>
    </row>
    <row r="11521" spans="1:1" x14ac:dyDescent="0.55000000000000004">
      <c r="A11521" s="17"/>
    </row>
    <row r="11522" spans="1:1" x14ac:dyDescent="0.55000000000000004">
      <c r="A11522" s="17"/>
    </row>
    <row r="11523" spans="1:1" x14ac:dyDescent="0.55000000000000004">
      <c r="A11523" s="17"/>
    </row>
    <row r="11524" spans="1:1" x14ac:dyDescent="0.55000000000000004">
      <c r="A11524" s="17"/>
    </row>
    <row r="11525" spans="1:1" x14ac:dyDescent="0.55000000000000004">
      <c r="A11525" s="17"/>
    </row>
    <row r="11526" spans="1:1" x14ac:dyDescent="0.55000000000000004">
      <c r="A11526" s="17"/>
    </row>
    <row r="11527" spans="1:1" x14ac:dyDescent="0.55000000000000004">
      <c r="A11527" s="17"/>
    </row>
    <row r="11528" spans="1:1" x14ac:dyDescent="0.55000000000000004">
      <c r="A11528" s="17"/>
    </row>
    <row r="11529" spans="1:1" x14ac:dyDescent="0.55000000000000004">
      <c r="A11529" s="17"/>
    </row>
    <row r="11530" spans="1:1" x14ac:dyDescent="0.55000000000000004">
      <c r="A11530" s="17"/>
    </row>
    <row r="11531" spans="1:1" x14ac:dyDescent="0.55000000000000004">
      <c r="A11531" s="17"/>
    </row>
    <row r="11532" spans="1:1" x14ac:dyDescent="0.55000000000000004">
      <c r="A11532" s="17"/>
    </row>
    <row r="11533" spans="1:1" x14ac:dyDescent="0.55000000000000004">
      <c r="A11533" s="17"/>
    </row>
    <row r="11534" spans="1:1" x14ac:dyDescent="0.55000000000000004">
      <c r="A11534" s="17"/>
    </row>
    <row r="11535" spans="1:1" x14ac:dyDescent="0.55000000000000004">
      <c r="A11535" s="17"/>
    </row>
    <row r="11536" spans="1:1" x14ac:dyDescent="0.55000000000000004">
      <c r="A11536" s="17"/>
    </row>
    <row r="11537" spans="1:1" x14ac:dyDescent="0.55000000000000004">
      <c r="A11537" s="17"/>
    </row>
    <row r="11538" spans="1:1" x14ac:dyDescent="0.55000000000000004">
      <c r="A11538" s="17"/>
    </row>
    <row r="11539" spans="1:1" x14ac:dyDescent="0.55000000000000004">
      <c r="A11539" s="17"/>
    </row>
    <row r="11540" spans="1:1" x14ac:dyDescent="0.55000000000000004">
      <c r="A11540" s="17"/>
    </row>
    <row r="11541" spans="1:1" x14ac:dyDescent="0.55000000000000004">
      <c r="A11541" s="17"/>
    </row>
    <row r="11542" spans="1:1" x14ac:dyDescent="0.55000000000000004">
      <c r="A11542" s="17"/>
    </row>
    <row r="11543" spans="1:1" x14ac:dyDescent="0.55000000000000004">
      <c r="A11543" s="17"/>
    </row>
    <row r="11544" spans="1:1" x14ac:dyDescent="0.55000000000000004">
      <c r="A11544" s="17"/>
    </row>
    <row r="11545" spans="1:1" x14ac:dyDescent="0.55000000000000004">
      <c r="A11545" s="17"/>
    </row>
    <row r="11546" spans="1:1" x14ac:dyDescent="0.55000000000000004">
      <c r="A11546" s="17"/>
    </row>
    <row r="11547" spans="1:1" x14ac:dyDescent="0.55000000000000004">
      <c r="A11547" s="17"/>
    </row>
    <row r="11548" spans="1:1" x14ac:dyDescent="0.55000000000000004">
      <c r="A11548" s="17"/>
    </row>
    <row r="11549" spans="1:1" x14ac:dyDescent="0.55000000000000004">
      <c r="A11549" s="17"/>
    </row>
    <row r="11550" spans="1:1" x14ac:dyDescent="0.55000000000000004">
      <c r="A11550" s="17"/>
    </row>
    <row r="11551" spans="1:1" x14ac:dyDescent="0.55000000000000004">
      <c r="A11551" s="17"/>
    </row>
    <row r="11552" spans="1:1" x14ac:dyDescent="0.55000000000000004">
      <c r="A11552" s="17"/>
    </row>
    <row r="11553" spans="1:1" x14ac:dyDescent="0.55000000000000004">
      <c r="A11553" s="17"/>
    </row>
    <row r="11554" spans="1:1" x14ac:dyDescent="0.55000000000000004">
      <c r="A11554" s="17"/>
    </row>
    <row r="11555" spans="1:1" x14ac:dyDescent="0.55000000000000004">
      <c r="A11555" s="17"/>
    </row>
    <row r="11556" spans="1:1" x14ac:dyDescent="0.55000000000000004">
      <c r="A11556" s="17"/>
    </row>
    <row r="11557" spans="1:1" x14ac:dyDescent="0.55000000000000004">
      <c r="A11557" s="17"/>
    </row>
    <row r="11558" spans="1:1" x14ac:dyDescent="0.55000000000000004">
      <c r="A11558" s="17"/>
    </row>
    <row r="11559" spans="1:1" x14ac:dyDescent="0.55000000000000004">
      <c r="A11559" s="17"/>
    </row>
    <row r="11560" spans="1:1" x14ac:dyDescent="0.55000000000000004">
      <c r="A11560" s="17"/>
    </row>
    <row r="11561" spans="1:1" x14ac:dyDescent="0.55000000000000004">
      <c r="A11561" s="17"/>
    </row>
    <row r="11562" spans="1:1" x14ac:dyDescent="0.55000000000000004">
      <c r="A11562" s="17"/>
    </row>
    <row r="11563" spans="1:1" x14ac:dyDescent="0.55000000000000004">
      <c r="A11563" s="17"/>
    </row>
    <row r="11564" spans="1:1" x14ac:dyDescent="0.55000000000000004">
      <c r="A11564" s="17"/>
    </row>
    <row r="11565" spans="1:1" x14ac:dyDescent="0.55000000000000004">
      <c r="A11565" s="17"/>
    </row>
    <row r="11566" spans="1:1" x14ac:dyDescent="0.55000000000000004">
      <c r="A11566" s="17"/>
    </row>
    <row r="11567" spans="1:1" x14ac:dyDescent="0.55000000000000004">
      <c r="A11567" s="17"/>
    </row>
    <row r="11568" spans="1:1" x14ac:dyDescent="0.55000000000000004">
      <c r="A11568" s="17"/>
    </row>
    <row r="11569" spans="1:1" x14ac:dyDescent="0.55000000000000004">
      <c r="A11569" s="17"/>
    </row>
    <row r="11570" spans="1:1" x14ac:dyDescent="0.55000000000000004">
      <c r="A11570" s="17"/>
    </row>
    <row r="11571" spans="1:1" x14ac:dyDescent="0.55000000000000004">
      <c r="A11571" s="17"/>
    </row>
    <row r="11572" spans="1:1" x14ac:dyDescent="0.55000000000000004">
      <c r="A11572" s="17"/>
    </row>
    <row r="11573" spans="1:1" x14ac:dyDescent="0.55000000000000004">
      <c r="A11573" s="17"/>
    </row>
    <row r="11574" spans="1:1" x14ac:dyDescent="0.55000000000000004">
      <c r="A11574" s="17"/>
    </row>
    <row r="11575" spans="1:1" x14ac:dyDescent="0.55000000000000004">
      <c r="A11575" s="17"/>
    </row>
    <row r="11576" spans="1:1" x14ac:dyDescent="0.55000000000000004">
      <c r="A11576" s="17"/>
    </row>
    <row r="11577" spans="1:1" x14ac:dyDescent="0.55000000000000004">
      <c r="A11577" s="17"/>
    </row>
    <row r="11578" spans="1:1" x14ac:dyDescent="0.55000000000000004">
      <c r="A11578" s="17"/>
    </row>
    <row r="11579" spans="1:1" x14ac:dyDescent="0.55000000000000004">
      <c r="A11579" s="17"/>
    </row>
    <row r="11580" spans="1:1" x14ac:dyDescent="0.55000000000000004">
      <c r="A11580" s="17"/>
    </row>
    <row r="11581" spans="1:1" x14ac:dyDescent="0.55000000000000004">
      <c r="A11581" s="17"/>
    </row>
    <row r="11582" spans="1:1" x14ac:dyDescent="0.55000000000000004">
      <c r="A11582" s="17"/>
    </row>
    <row r="11583" spans="1:1" x14ac:dyDescent="0.55000000000000004">
      <c r="A11583" s="17"/>
    </row>
    <row r="11584" spans="1:1" x14ac:dyDescent="0.55000000000000004">
      <c r="A11584" s="17"/>
    </row>
    <row r="11585" spans="1:1" x14ac:dyDescent="0.55000000000000004">
      <c r="A11585" s="17"/>
    </row>
    <row r="11586" spans="1:1" x14ac:dyDescent="0.55000000000000004">
      <c r="A11586" s="17"/>
    </row>
    <row r="11587" spans="1:1" x14ac:dyDescent="0.55000000000000004">
      <c r="A11587" s="17"/>
    </row>
    <row r="11588" spans="1:1" x14ac:dyDescent="0.55000000000000004">
      <c r="A11588" s="17"/>
    </row>
    <row r="11589" spans="1:1" x14ac:dyDescent="0.55000000000000004">
      <c r="A11589" s="17"/>
    </row>
    <row r="11590" spans="1:1" x14ac:dyDescent="0.55000000000000004">
      <c r="A11590" s="17"/>
    </row>
    <row r="11591" spans="1:1" x14ac:dyDescent="0.55000000000000004">
      <c r="A11591" s="17"/>
    </row>
    <row r="11592" spans="1:1" x14ac:dyDescent="0.55000000000000004">
      <c r="A11592" s="17"/>
    </row>
    <row r="11593" spans="1:1" x14ac:dyDescent="0.55000000000000004">
      <c r="A11593" s="17"/>
    </row>
    <row r="11594" spans="1:1" x14ac:dyDescent="0.55000000000000004">
      <c r="A11594" s="17"/>
    </row>
    <row r="11595" spans="1:1" x14ac:dyDescent="0.55000000000000004">
      <c r="A11595" s="17"/>
    </row>
    <row r="11596" spans="1:1" x14ac:dyDescent="0.55000000000000004">
      <c r="A11596" s="17"/>
    </row>
    <row r="11597" spans="1:1" x14ac:dyDescent="0.55000000000000004">
      <c r="A11597" s="17"/>
    </row>
    <row r="11598" spans="1:1" x14ac:dyDescent="0.55000000000000004">
      <c r="A11598" s="17"/>
    </row>
    <row r="11599" spans="1:1" x14ac:dyDescent="0.55000000000000004">
      <c r="A11599" s="17"/>
    </row>
    <row r="11600" spans="1:1" x14ac:dyDescent="0.55000000000000004">
      <c r="A11600" s="17"/>
    </row>
    <row r="11601" spans="1:1" x14ac:dyDescent="0.55000000000000004">
      <c r="A11601" s="17"/>
    </row>
    <row r="11602" spans="1:1" x14ac:dyDescent="0.55000000000000004">
      <c r="A11602" s="17"/>
    </row>
    <row r="11603" spans="1:1" x14ac:dyDescent="0.55000000000000004">
      <c r="A11603" s="17"/>
    </row>
    <row r="11604" spans="1:1" x14ac:dyDescent="0.55000000000000004">
      <c r="A11604" s="17"/>
    </row>
    <row r="11605" spans="1:1" x14ac:dyDescent="0.55000000000000004">
      <c r="A11605" s="17"/>
    </row>
    <row r="11606" spans="1:1" x14ac:dyDescent="0.55000000000000004">
      <c r="A11606" s="17"/>
    </row>
    <row r="11607" spans="1:1" x14ac:dyDescent="0.55000000000000004">
      <c r="A11607" s="17"/>
    </row>
    <row r="11608" spans="1:1" x14ac:dyDescent="0.55000000000000004">
      <c r="A11608" s="17"/>
    </row>
    <row r="11609" spans="1:1" x14ac:dyDescent="0.55000000000000004">
      <c r="A11609" s="17"/>
    </row>
    <row r="11610" spans="1:1" x14ac:dyDescent="0.55000000000000004">
      <c r="A11610" s="17"/>
    </row>
    <row r="11611" spans="1:1" x14ac:dyDescent="0.55000000000000004">
      <c r="A11611" s="17"/>
    </row>
    <row r="11612" spans="1:1" x14ac:dyDescent="0.55000000000000004">
      <c r="A11612" s="17"/>
    </row>
    <row r="11613" spans="1:1" x14ac:dyDescent="0.55000000000000004">
      <c r="A11613" s="17"/>
    </row>
    <row r="11614" spans="1:1" x14ac:dyDescent="0.55000000000000004">
      <c r="A11614" s="17"/>
    </row>
    <row r="11615" spans="1:1" x14ac:dyDescent="0.55000000000000004">
      <c r="A11615" s="17"/>
    </row>
    <row r="11616" spans="1:1" x14ac:dyDescent="0.55000000000000004">
      <c r="A11616" s="17"/>
    </row>
    <row r="11617" spans="1:1" x14ac:dyDescent="0.55000000000000004">
      <c r="A11617" s="17"/>
    </row>
    <row r="11618" spans="1:1" x14ac:dyDescent="0.55000000000000004">
      <c r="A11618" s="17"/>
    </row>
    <row r="11619" spans="1:1" x14ac:dyDescent="0.55000000000000004">
      <c r="A11619" s="17"/>
    </row>
    <row r="11620" spans="1:1" x14ac:dyDescent="0.55000000000000004">
      <c r="A11620" s="17"/>
    </row>
    <row r="11621" spans="1:1" x14ac:dyDescent="0.55000000000000004">
      <c r="A11621" s="17"/>
    </row>
    <row r="11622" spans="1:1" x14ac:dyDescent="0.55000000000000004">
      <c r="A11622" s="17"/>
    </row>
    <row r="11623" spans="1:1" x14ac:dyDescent="0.55000000000000004">
      <c r="A11623" s="17"/>
    </row>
    <row r="11624" spans="1:1" x14ac:dyDescent="0.55000000000000004">
      <c r="A11624" s="17"/>
    </row>
    <row r="11625" spans="1:1" x14ac:dyDescent="0.55000000000000004">
      <c r="A11625" s="17"/>
    </row>
    <row r="11626" spans="1:1" x14ac:dyDescent="0.55000000000000004">
      <c r="A11626" s="17"/>
    </row>
    <row r="11627" spans="1:1" x14ac:dyDescent="0.55000000000000004">
      <c r="A11627" s="17"/>
    </row>
    <row r="11628" spans="1:1" x14ac:dyDescent="0.55000000000000004">
      <c r="A11628" s="17"/>
    </row>
    <row r="11629" spans="1:1" x14ac:dyDescent="0.55000000000000004">
      <c r="A11629" s="17"/>
    </row>
    <row r="11630" spans="1:1" x14ac:dyDescent="0.55000000000000004">
      <c r="A11630" s="17"/>
    </row>
    <row r="11631" spans="1:1" x14ac:dyDescent="0.55000000000000004">
      <c r="A11631" s="17"/>
    </row>
    <row r="11632" spans="1:1" x14ac:dyDescent="0.55000000000000004">
      <c r="A11632" s="17"/>
    </row>
    <row r="11633" spans="1:1" x14ac:dyDescent="0.55000000000000004">
      <c r="A11633" s="17"/>
    </row>
    <row r="11634" spans="1:1" x14ac:dyDescent="0.55000000000000004">
      <c r="A11634" s="17"/>
    </row>
    <row r="11635" spans="1:1" x14ac:dyDescent="0.55000000000000004">
      <c r="A11635" s="17"/>
    </row>
    <row r="11636" spans="1:1" x14ac:dyDescent="0.55000000000000004">
      <c r="A11636" s="17"/>
    </row>
    <row r="11637" spans="1:1" x14ac:dyDescent="0.55000000000000004">
      <c r="A11637" s="17"/>
    </row>
    <row r="11638" spans="1:1" x14ac:dyDescent="0.55000000000000004">
      <c r="A11638" s="17"/>
    </row>
    <row r="11639" spans="1:1" x14ac:dyDescent="0.55000000000000004">
      <c r="A11639" s="17"/>
    </row>
    <row r="11640" spans="1:1" x14ac:dyDescent="0.55000000000000004">
      <c r="A11640" s="17"/>
    </row>
    <row r="11641" spans="1:1" x14ac:dyDescent="0.55000000000000004">
      <c r="A11641" s="17"/>
    </row>
    <row r="11642" spans="1:1" x14ac:dyDescent="0.55000000000000004">
      <c r="A11642" s="17"/>
    </row>
    <row r="11643" spans="1:1" x14ac:dyDescent="0.55000000000000004">
      <c r="A11643" s="17"/>
    </row>
    <row r="11644" spans="1:1" x14ac:dyDescent="0.55000000000000004">
      <c r="A11644" s="17"/>
    </row>
    <row r="11645" spans="1:1" x14ac:dyDescent="0.55000000000000004">
      <c r="A11645" s="17"/>
    </row>
    <row r="11646" spans="1:1" x14ac:dyDescent="0.55000000000000004">
      <c r="A11646" s="17"/>
    </row>
    <row r="11647" spans="1:1" x14ac:dyDescent="0.55000000000000004">
      <c r="A11647" s="17"/>
    </row>
    <row r="11648" spans="1:1" x14ac:dyDescent="0.55000000000000004">
      <c r="A11648" s="17"/>
    </row>
    <row r="11649" spans="1:1" x14ac:dyDescent="0.55000000000000004">
      <c r="A11649" s="17"/>
    </row>
    <row r="11650" spans="1:1" x14ac:dyDescent="0.55000000000000004">
      <c r="A11650" s="17"/>
    </row>
    <row r="11651" spans="1:1" x14ac:dyDescent="0.55000000000000004">
      <c r="A11651" s="17"/>
    </row>
    <row r="11652" spans="1:1" x14ac:dyDescent="0.55000000000000004">
      <c r="A11652" s="17"/>
    </row>
    <row r="11653" spans="1:1" x14ac:dyDescent="0.55000000000000004">
      <c r="A11653" s="17"/>
    </row>
    <row r="11654" spans="1:1" x14ac:dyDescent="0.55000000000000004">
      <c r="A11654" s="17"/>
    </row>
    <row r="11655" spans="1:1" x14ac:dyDescent="0.55000000000000004">
      <c r="A11655" s="17"/>
    </row>
    <row r="11656" spans="1:1" x14ac:dyDescent="0.55000000000000004">
      <c r="A11656" s="17"/>
    </row>
    <row r="11657" spans="1:1" x14ac:dyDescent="0.55000000000000004">
      <c r="A11657" s="17"/>
    </row>
    <row r="11658" spans="1:1" x14ac:dyDescent="0.55000000000000004">
      <c r="A11658" s="17"/>
    </row>
    <row r="11659" spans="1:1" x14ac:dyDescent="0.55000000000000004">
      <c r="A11659" s="17"/>
    </row>
    <row r="11660" spans="1:1" x14ac:dyDescent="0.55000000000000004">
      <c r="A11660" s="17"/>
    </row>
    <row r="11661" spans="1:1" x14ac:dyDescent="0.55000000000000004">
      <c r="A11661" s="17"/>
    </row>
    <row r="11662" spans="1:1" x14ac:dyDescent="0.55000000000000004">
      <c r="A11662" s="17"/>
    </row>
    <row r="11663" spans="1:1" x14ac:dyDescent="0.55000000000000004">
      <c r="A11663" s="17"/>
    </row>
    <row r="11664" spans="1:1" x14ac:dyDescent="0.55000000000000004">
      <c r="A11664" s="17"/>
    </row>
    <row r="11665" spans="1:1" x14ac:dyDescent="0.55000000000000004">
      <c r="A11665" s="17"/>
    </row>
    <row r="11666" spans="1:1" x14ac:dyDescent="0.55000000000000004">
      <c r="A11666" s="17"/>
    </row>
    <row r="11667" spans="1:1" x14ac:dyDescent="0.55000000000000004">
      <c r="A11667" s="17"/>
    </row>
    <row r="11668" spans="1:1" x14ac:dyDescent="0.55000000000000004">
      <c r="A11668" s="17"/>
    </row>
    <row r="11669" spans="1:1" x14ac:dyDescent="0.55000000000000004">
      <c r="A11669" s="17"/>
    </row>
    <row r="11670" spans="1:1" x14ac:dyDescent="0.55000000000000004">
      <c r="A11670" s="17"/>
    </row>
    <row r="11671" spans="1:1" x14ac:dyDescent="0.55000000000000004">
      <c r="A11671" s="17"/>
    </row>
    <row r="11672" spans="1:1" x14ac:dyDescent="0.55000000000000004">
      <c r="A11672" s="17"/>
    </row>
    <row r="11673" spans="1:1" x14ac:dyDescent="0.55000000000000004">
      <c r="A11673" s="17"/>
    </row>
    <row r="11674" spans="1:1" x14ac:dyDescent="0.55000000000000004">
      <c r="A11674" s="17"/>
    </row>
    <row r="11675" spans="1:1" x14ac:dyDescent="0.55000000000000004">
      <c r="A11675" s="17"/>
    </row>
    <row r="11676" spans="1:1" x14ac:dyDescent="0.55000000000000004">
      <c r="A11676" s="17"/>
    </row>
    <row r="11677" spans="1:1" x14ac:dyDescent="0.55000000000000004">
      <c r="A11677" s="17"/>
    </row>
    <row r="11678" spans="1:1" x14ac:dyDescent="0.55000000000000004">
      <c r="A11678" s="17"/>
    </row>
    <row r="11679" spans="1:1" x14ac:dyDescent="0.55000000000000004">
      <c r="A11679" s="17"/>
    </row>
    <row r="11680" spans="1:1" x14ac:dyDescent="0.55000000000000004">
      <c r="A11680" s="17"/>
    </row>
    <row r="11681" spans="1:1" x14ac:dyDescent="0.55000000000000004">
      <c r="A11681" s="17"/>
    </row>
    <row r="11682" spans="1:1" x14ac:dyDescent="0.55000000000000004">
      <c r="A11682" s="17"/>
    </row>
    <row r="11683" spans="1:1" x14ac:dyDescent="0.55000000000000004">
      <c r="A11683" s="17"/>
    </row>
    <row r="11684" spans="1:1" x14ac:dyDescent="0.55000000000000004">
      <c r="A11684" s="17"/>
    </row>
    <row r="11685" spans="1:1" x14ac:dyDescent="0.55000000000000004">
      <c r="A11685" s="17"/>
    </row>
    <row r="11686" spans="1:1" x14ac:dyDescent="0.55000000000000004">
      <c r="A11686" s="17"/>
    </row>
    <row r="11687" spans="1:1" x14ac:dyDescent="0.55000000000000004">
      <c r="A11687" s="17"/>
    </row>
    <row r="11688" spans="1:1" x14ac:dyDescent="0.55000000000000004">
      <c r="A11688" s="17"/>
    </row>
    <row r="11689" spans="1:1" x14ac:dyDescent="0.55000000000000004">
      <c r="A11689" s="17"/>
    </row>
    <row r="11690" spans="1:1" x14ac:dyDescent="0.55000000000000004">
      <c r="A11690" s="17"/>
    </row>
    <row r="11691" spans="1:1" x14ac:dyDescent="0.55000000000000004">
      <c r="A11691" s="17"/>
    </row>
    <row r="11692" spans="1:1" x14ac:dyDescent="0.55000000000000004">
      <c r="A11692" s="17"/>
    </row>
    <row r="11693" spans="1:1" x14ac:dyDescent="0.55000000000000004">
      <c r="A11693" s="17"/>
    </row>
    <row r="11694" spans="1:1" x14ac:dyDescent="0.55000000000000004">
      <c r="A11694" s="17"/>
    </row>
    <row r="11695" spans="1:1" x14ac:dyDescent="0.55000000000000004">
      <c r="A11695" s="17"/>
    </row>
    <row r="11696" spans="1:1" x14ac:dyDescent="0.55000000000000004">
      <c r="A11696" s="17"/>
    </row>
    <row r="11697" spans="1:1" x14ac:dyDescent="0.55000000000000004">
      <c r="A11697" s="17"/>
    </row>
    <row r="11698" spans="1:1" x14ac:dyDescent="0.55000000000000004">
      <c r="A11698" s="17"/>
    </row>
    <row r="11699" spans="1:1" x14ac:dyDescent="0.55000000000000004">
      <c r="A11699" s="17"/>
    </row>
    <row r="11700" spans="1:1" x14ac:dyDescent="0.55000000000000004">
      <c r="A11700" s="17"/>
    </row>
    <row r="11701" spans="1:1" x14ac:dyDescent="0.55000000000000004">
      <c r="A11701" s="17"/>
    </row>
    <row r="11702" spans="1:1" x14ac:dyDescent="0.55000000000000004">
      <c r="A11702" s="17"/>
    </row>
    <row r="11703" spans="1:1" x14ac:dyDescent="0.55000000000000004">
      <c r="A11703" s="17"/>
    </row>
    <row r="11704" spans="1:1" x14ac:dyDescent="0.55000000000000004">
      <c r="A11704" s="17"/>
    </row>
    <row r="11705" spans="1:1" x14ac:dyDescent="0.55000000000000004">
      <c r="A11705" s="17"/>
    </row>
    <row r="11706" spans="1:1" x14ac:dyDescent="0.55000000000000004">
      <c r="A11706" s="17"/>
    </row>
    <row r="11707" spans="1:1" x14ac:dyDescent="0.55000000000000004">
      <c r="A11707" s="17"/>
    </row>
    <row r="11708" spans="1:1" x14ac:dyDescent="0.55000000000000004">
      <c r="A11708" s="17"/>
    </row>
    <row r="11709" spans="1:1" x14ac:dyDescent="0.55000000000000004">
      <c r="A11709" s="17"/>
    </row>
    <row r="11710" spans="1:1" x14ac:dyDescent="0.55000000000000004">
      <c r="A11710" s="17"/>
    </row>
    <row r="11711" spans="1:1" x14ac:dyDescent="0.55000000000000004">
      <c r="A11711" s="17"/>
    </row>
    <row r="11712" spans="1:1" x14ac:dyDescent="0.55000000000000004">
      <c r="A11712" s="17"/>
    </row>
    <row r="11713" spans="1:1" x14ac:dyDescent="0.55000000000000004">
      <c r="A11713" s="17"/>
    </row>
    <row r="11714" spans="1:1" x14ac:dyDescent="0.55000000000000004">
      <c r="A11714" s="17"/>
    </row>
    <row r="11715" spans="1:1" x14ac:dyDescent="0.55000000000000004">
      <c r="A11715" s="17"/>
    </row>
    <row r="11716" spans="1:1" x14ac:dyDescent="0.55000000000000004">
      <c r="A11716" s="17"/>
    </row>
    <row r="11717" spans="1:1" x14ac:dyDescent="0.55000000000000004">
      <c r="A11717" s="17"/>
    </row>
    <row r="11718" spans="1:1" x14ac:dyDescent="0.55000000000000004">
      <c r="A11718" s="17"/>
    </row>
    <row r="11719" spans="1:1" x14ac:dyDescent="0.55000000000000004">
      <c r="A11719" s="17"/>
    </row>
    <row r="11720" spans="1:1" x14ac:dyDescent="0.55000000000000004">
      <c r="A11720" s="17"/>
    </row>
    <row r="11721" spans="1:1" x14ac:dyDescent="0.55000000000000004">
      <c r="A11721" s="17"/>
    </row>
    <row r="11722" spans="1:1" x14ac:dyDescent="0.55000000000000004">
      <c r="A11722" s="17"/>
    </row>
    <row r="11723" spans="1:1" x14ac:dyDescent="0.55000000000000004">
      <c r="A11723" s="17"/>
    </row>
    <row r="11724" spans="1:1" x14ac:dyDescent="0.55000000000000004">
      <c r="A11724" s="17"/>
    </row>
    <row r="11725" spans="1:1" x14ac:dyDescent="0.55000000000000004">
      <c r="A11725" s="17"/>
    </row>
    <row r="11726" spans="1:1" x14ac:dyDescent="0.55000000000000004">
      <c r="A11726" s="17"/>
    </row>
    <row r="11727" spans="1:1" x14ac:dyDescent="0.55000000000000004">
      <c r="A11727" s="17"/>
    </row>
    <row r="11728" spans="1:1" x14ac:dyDescent="0.55000000000000004">
      <c r="A11728" s="17"/>
    </row>
    <row r="11729" spans="1:1" x14ac:dyDescent="0.55000000000000004">
      <c r="A11729" s="17"/>
    </row>
    <row r="11730" spans="1:1" x14ac:dyDescent="0.55000000000000004">
      <c r="A11730" s="17"/>
    </row>
    <row r="11731" spans="1:1" x14ac:dyDescent="0.55000000000000004">
      <c r="A11731" s="17"/>
    </row>
    <row r="11732" spans="1:1" x14ac:dyDescent="0.55000000000000004">
      <c r="A11732" s="17"/>
    </row>
    <row r="11733" spans="1:1" x14ac:dyDescent="0.55000000000000004">
      <c r="A11733" s="17"/>
    </row>
    <row r="11734" spans="1:1" x14ac:dyDescent="0.55000000000000004">
      <c r="A11734" s="17"/>
    </row>
    <row r="11735" spans="1:1" x14ac:dyDescent="0.55000000000000004">
      <c r="A11735" s="17"/>
    </row>
    <row r="11736" spans="1:1" x14ac:dyDescent="0.55000000000000004">
      <c r="A11736" s="17"/>
    </row>
    <row r="11737" spans="1:1" x14ac:dyDescent="0.55000000000000004">
      <c r="A11737" s="17"/>
    </row>
    <row r="11738" spans="1:1" x14ac:dyDescent="0.55000000000000004">
      <c r="A11738" s="17"/>
    </row>
    <row r="11739" spans="1:1" x14ac:dyDescent="0.55000000000000004">
      <c r="A11739" s="17"/>
    </row>
    <row r="11740" spans="1:1" x14ac:dyDescent="0.55000000000000004">
      <c r="A11740" s="17"/>
    </row>
    <row r="11741" spans="1:1" x14ac:dyDescent="0.55000000000000004">
      <c r="A11741" s="17"/>
    </row>
    <row r="11742" spans="1:1" x14ac:dyDescent="0.55000000000000004">
      <c r="A11742" s="17"/>
    </row>
    <row r="11743" spans="1:1" x14ac:dyDescent="0.55000000000000004">
      <c r="A11743" s="17"/>
    </row>
    <row r="11744" spans="1:1" x14ac:dyDescent="0.55000000000000004">
      <c r="A11744" s="17"/>
    </row>
    <row r="11745" spans="1:1" x14ac:dyDescent="0.55000000000000004">
      <c r="A11745" s="17"/>
    </row>
    <row r="11746" spans="1:1" x14ac:dyDescent="0.55000000000000004">
      <c r="A11746" s="17"/>
    </row>
    <row r="11747" spans="1:1" x14ac:dyDescent="0.55000000000000004">
      <c r="A11747" s="17"/>
    </row>
    <row r="11748" spans="1:1" x14ac:dyDescent="0.55000000000000004">
      <c r="A11748" s="17"/>
    </row>
    <row r="11749" spans="1:1" x14ac:dyDescent="0.55000000000000004">
      <c r="A11749" s="17"/>
    </row>
    <row r="11750" spans="1:1" x14ac:dyDescent="0.55000000000000004">
      <c r="A11750" s="17"/>
    </row>
    <row r="11751" spans="1:1" x14ac:dyDescent="0.55000000000000004">
      <c r="A11751" s="17"/>
    </row>
    <row r="11752" spans="1:1" x14ac:dyDescent="0.55000000000000004">
      <c r="A11752" s="17"/>
    </row>
    <row r="11753" spans="1:1" x14ac:dyDescent="0.55000000000000004">
      <c r="A11753" s="17"/>
    </row>
    <row r="11754" spans="1:1" x14ac:dyDescent="0.55000000000000004">
      <c r="A11754" s="17"/>
    </row>
    <row r="11755" spans="1:1" x14ac:dyDescent="0.55000000000000004">
      <c r="A11755" s="17"/>
    </row>
    <row r="11756" spans="1:1" x14ac:dyDescent="0.55000000000000004">
      <c r="A11756" s="17"/>
    </row>
    <row r="11757" spans="1:1" x14ac:dyDescent="0.55000000000000004">
      <c r="A11757" s="17"/>
    </row>
    <row r="11758" spans="1:1" x14ac:dyDescent="0.55000000000000004">
      <c r="A11758" s="17"/>
    </row>
    <row r="11759" spans="1:1" x14ac:dyDescent="0.55000000000000004">
      <c r="A11759" s="17"/>
    </row>
    <row r="11760" spans="1:1" x14ac:dyDescent="0.55000000000000004">
      <c r="A11760" s="17"/>
    </row>
    <row r="11761" spans="1:1" x14ac:dyDescent="0.55000000000000004">
      <c r="A11761" s="17"/>
    </row>
    <row r="11762" spans="1:1" x14ac:dyDescent="0.55000000000000004">
      <c r="A11762" s="17"/>
    </row>
    <row r="11763" spans="1:1" x14ac:dyDescent="0.55000000000000004">
      <c r="A11763" s="17"/>
    </row>
    <row r="11764" spans="1:1" x14ac:dyDescent="0.55000000000000004">
      <c r="A11764" s="17"/>
    </row>
    <row r="11765" spans="1:1" x14ac:dyDescent="0.55000000000000004">
      <c r="A11765" s="17"/>
    </row>
    <row r="11766" spans="1:1" x14ac:dyDescent="0.55000000000000004">
      <c r="A11766" s="17"/>
    </row>
    <row r="11767" spans="1:1" x14ac:dyDescent="0.55000000000000004">
      <c r="A11767" s="17"/>
    </row>
    <row r="11768" spans="1:1" x14ac:dyDescent="0.55000000000000004">
      <c r="A11768" s="17"/>
    </row>
    <row r="11769" spans="1:1" x14ac:dyDescent="0.55000000000000004">
      <c r="A11769" s="17"/>
    </row>
    <row r="11770" spans="1:1" x14ac:dyDescent="0.55000000000000004">
      <c r="A11770" s="17"/>
    </row>
    <row r="11771" spans="1:1" x14ac:dyDescent="0.55000000000000004">
      <c r="A11771" s="17"/>
    </row>
    <row r="11772" spans="1:1" x14ac:dyDescent="0.55000000000000004">
      <c r="A11772" s="17"/>
    </row>
    <row r="11773" spans="1:1" x14ac:dyDescent="0.55000000000000004">
      <c r="A11773" s="17"/>
    </row>
    <row r="11774" spans="1:1" x14ac:dyDescent="0.55000000000000004">
      <c r="A11774" s="17"/>
    </row>
    <row r="11775" spans="1:1" x14ac:dyDescent="0.55000000000000004">
      <c r="A11775" s="17"/>
    </row>
    <row r="11776" spans="1:1" x14ac:dyDescent="0.55000000000000004">
      <c r="A11776" s="17"/>
    </row>
    <row r="11777" spans="1:1" x14ac:dyDescent="0.55000000000000004">
      <c r="A11777" s="17"/>
    </row>
    <row r="11778" spans="1:1" x14ac:dyDescent="0.55000000000000004">
      <c r="A11778" s="17"/>
    </row>
    <row r="11779" spans="1:1" x14ac:dyDescent="0.55000000000000004">
      <c r="A11779" s="17"/>
    </row>
    <row r="11780" spans="1:1" x14ac:dyDescent="0.55000000000000004">
      <c r="A11780" s="17"/>
    </row>
    <row r="11781" spans="1:1" x14ac:dyDescent="0.55000000000000004">
      <c r="A11781" s="17"/>
    </row>
    <row r="11782" spans="1:1" x14ac:dyDescent="0.55000000000000004">
      <c r="A11782" s="17"/>
    </row>
    <row r="11783" spans="1:1" x14ac:dyDescent="0.55000000000000004">
      <c r="A11783" s="17"/>
    </row>
    <row r="11784" spans="1:1" x14ac:dyDescent="0.55000000000000004">
      <c r="A11784" s="17"/>
    </row>
    <row r="11785" spans="1:1" x14ac:dyDescent="0.55000000000000004">
      <c r="A11785" s="17"/>
    </row>
    <row r="11786" spans="1:1" x14ac:dyDescent="0.55000000000000004">
      <c r="A11786" s="17"/>
    </row>
    <row r="11787" spans="1:1" x14ac:dyDescent="0.55000000000000004">
      <c r="A11787" s="17"/>
    </row>
    <row r="11788" spans="1:1" x14ac:dyDescent="0.55000000000000004">
      <c r="A11788" s="17"/>
    </row>
    <row r="11789" spans="1:1" x14ac:dyDescent="0.55000000000000004">
      <c r="A11789" s="17"/>
    </row>
    <row r="11790" spans="1:1" x14ac:dyDescent="0.55000000000000004">
      <c r="A11790" s="17"/>
    </row>
    <row r="11791" spans="1:1" x14ac:dyDescent="0.55000000000000004">
      <c r="A11791" s="17"/>
    </row>
    <row r="11792" spans="1:1" x14ac:dyDescent="0.55000000000000004">
      <c r="A11792" s="17"/>
    </row>
    <row r="11793" spans="1:1" x14ac:dyDescent="0.55000000000000004">
      <c r="A11793" s="17"/>
    </row>
    <row r="11794" spans="1:1" x14ac:dyDescent="0.55000000000000004">
      <c r="A11794" s="17"/>
    </row>
    <row r="11795" spans="1:1" x14ac:dyDescent="0.55000000000000004">
      <c r="A11795" s="17"/>
    </row>
    <row r="11796" spans="1:1" x14ac:dyDescent="0.55000000000000004">
      <c r="A11796" s="17"/>
    </row>
    <row r="11797" spans="1:1" x14ac:dyDescent="0.55000000000000004">
      <c r="A11797" s="17"/>
    </row>
    <row r="11798" spans="1:1" x14ac:dyDescent="0.55000000000000004">
      <c r="A11798" s="17"/>
    </row>
    <row r="11799" spans="1:1" x14ac:dyDescent="0.55000000000000004">
      <c r="A11799" s="17"/>
    </row>
    <row r="11800" spans="1:1" x14ac:dyDescent="0.55000000000000004">
      <c r="A11800" s="17"/>
    </row>
    <row r="11801" spans="1:1" x14ac:dyDescent="0.55000000000000004">
      <c r="A11801" s="17"/>
    </row>
    <row r="11802" spans="1:1" x14ac:dyDescent="0.55000000000000004">
      <c r="A11802" s="17"/>
    </row>
    <row r="11803" spans="1:1" x14ac:dyDescent="0.55000000000000004">
      <c r="A11803" s="17"/>
    </row>
    <row r="11804" spans="1:1" x14ac:dyDescent="0.55000000000000004">
      <c r="A11804" s="17"/>
    </row>
    <row r="11805" spans="1:1" x14ac:dyDescent="0.55000000000000004">
      <c r="A11805" s="17"/>
    </row>
    <row r="11806" spans="1:1" x14ac:dyDescent="0.55000000000000004">
      <c r="A11806" s="17"/>
    </row>
    <row r="11807" spans="1:1" x14ac:dyDescent="0.55000000000000004">
      <c r="A11807" s="17"/>
    </row>
    <row r="11808" spans="1:1" x14ac:dyDescent="0.55000000000000004">
      <c r="A11808" s="17"/>
    </row>
    <row r="11809" spans="1:1" x14ac:dyDescent="0.55000000000000004">
      <c r="A11809" s="17"/>
    </row>
    <row r="11810" spans="1:1" x14ac:dyDescent="0.55000000000000004">
      <c r="A11810" s="17"/>
    </row>
    <row r="11811" spans="1:1" x14ac:dyDescent="0.55000000000000004">
      <c r="A11811" s="17"/>
    </row>
    <row r="11812" spans="1:1" x14ac:dyDescent="0.55000000000000004">
      <c r="A11812" s="17"/>
    </row>
    <row r="11813" spans="1:1" x14ac:dyDescent="0.55000000000000004">
      <c r="A11813" s="17"/>
    </row>
    <row r="11814" spans="1:1" x14ac:dyDescent="0.55000000000000004">
      <c r="A11814" s="17"/>
    </row>
    <row r="11815" spans="1:1" x14ac:dyDescent="0.55000000000000004">
      <c r="A11815" s="17"/>
    </row>
    <row r="11816" spans="1:1" x14ac:dyDescent="0.55000000000000004">
      <c r="A11816" s="17"/>
    </row>
    <row r="11817" spans="1:1" x14ac:dyDescent="0.55000000000000004">
      <c r="A11817" s="17"/>
    </row>
    <row r="11818" spans="1:1" x14ac:dyDescent="0.55000000000000004">
      <c r="A11818" s="17"/>
    </row>
    <row r="11819" spans="1:1" x14ac:dyDescent="0.55000000000000004">
      <c r="A11819" s="17"/>
    </row>
    <row r="11820" spans="1:1" x14ac:dyDescent="0.55000000000000004">
      <c r="A11820" s="17"/>
    </row>
    <row r="11821" spans="1:1" x14ac:dyDescent="0.55000000000000004">
      <c r="A11821" s="17"/>
    </row>
    <row r="11822" spans="1:1" x14ac:dyDescent="0.55000000000000004">
      <c r="A11822" s="17"/>
    </row>
    <row r="11823" spans="1:1" x14ac:dyDescent="0.55000000000000004">
      <c r="A11823" s="17"/>
    </row>
    <row r="11824" spans="1:1" x14ac:dyDescent="0.55000000000000004">
      <c r="A11824" s="17"/>
    </row>
    <row r="11825" spans="1:1" x14ac:dyDescent="0.55000000000000004">
      <c r="A11825" s="17"/>
    </row>
    <row r="11826" spans="1:1" x14ac:dyDescent="0.55000000000000004">
      <c r="A11826" s="17"/>
    </row>
    <row r="11827" spans="1:1" x14ac:dyDescent="0.55000000000000004">
      <c r="A11827" s="17"/>
    </row>
    <row r="11828" spans="1:1" x14ac:dyDescent="0.55000000000000004">
      <c r="A11828" s="17"/>
    </row>
    <row r="11829" spans="1:1" x14ac:dyDescent="0.55000000000000004">
      <c r="A11829" s="17"/>
    </row>
    <row r="11830" spans="1:1" x14ac:dyDescent="0.55000000000000004">
      <c r="A11830" s="17"/>
    </row>
    <row r="11831" spans="1:1" x14ac:dyDescent="0.55000000000000004">
      <c r="A11831" s="17"/>
    </row>
    <row r="11832" spans="1:1" x14ac:dyDescent="0.55000000000000004">
      <c r="A11832" s="17"/>
    </row>
    <row r="11833" spans="1:1" x14ac:dyDescent="0.55000000000000004">
      <c r="A11833" s="17"/>
    </row>
    <row r="11834" spans="1:1" x14ac:dyDescent="0.55000000000000004">
      <c r="A11834" s="17"/>
    </row>
    <row r="11835" spans="1:1" x14ac:dyDescent="0.55000000000000004">
      <c r="A11835" s="17"/>
    </row>
    <row r="11836" spans="1:1" x14ac:dyDescent="0.55000000000000004">
      <c r="A11836" s="17"/>
    </row>
    <row r="11837" spans="1:1" x14ac:dyDescent="0.55000000000000004">
      <c r="A11837" s="17"/>
    </row>
    <row r="11838" spans="1:1" x14ac:dyDescent="0.55000000000000004">
      <c r="A11838" s="17"/>
    </row>
    <row r="11839" spans="1:1" x14ac:dyDescent="0.55000000000000004">
      <c r="A11839" s="17"/>
    </row>
    <row r="11840" spans="1:1" x14ac:dyDescent="0.55000000000000004">
      <c r="A11840" s="17"/>
    </row>
    <row r="11841" spans="1:1" x14ac:dyDescent="0.55000000000000004">
      <c r="A11841" s="17"/>
    </row>
    <row r="11842" spans="1:1" x14ac:dyDescent="0.55000000000000004">
      <c r="A11842" s="17"/>
    </row>
    <row r="11843" spans="1:1" x14ac:dyDescent="0.55000000000000004">
      <c r="A11843" s="17"/>
    </row>
    <row r="11844" spans="1:1" x14ac:dyDescent="0.55000000000000004">
      <c r="A11844" s="17"/>
    </row>
    <row r="11845" spans="1:1" x14ac:dyDescent="0.55000000000000004">
      <c r="A11845" s="17"/>
    </row>
    <row r="11846" spans="1:1" x14ac:dyDescent="0.55000000000000004">
      <c r="A11846" s="17"/>
    </row>
    <row r="11847" spans="1:1" x14ac:dyDescent="0.55000000000000004">
      <c r="A11847" s="17"/>
    </row>
    <row r="11848" spans="1:1" x14ac:dyDescent="0.55000000000000004">
      <c r="A11848" s="17"/>
    </row>
    <row r="11849" spans="1:1" x14ac:dyDescent="0.55000000000000004">
      <c r="A11849" s="17"/>
    </row>
    <row r="11850" spans="1:1" x14ac:dyDescent="0.55000000000000004">
      <c r="A11850" s="17"/>
    </row>
    <row r="11851" spans="1:1" x14ac:dyDescent="0.55000000000000004">
      <c r="A11851" s="17"/>
    </row>
    <row r="11852" spans="1:1" x14ac:dyDescent="0.55000000000000004">
      <c r="A11852" s="17"/>
    </row>
    <row r="11853" spans="1:1" x14ac:dyDescent="0.55000000000000004">
      <c r="A11853" s="17"/>
    </row>
    <row r="11854" spans="1:1" x14ac:dyDescent="0.55000000000000004">
      <c r="A11854" s="17"/>
    </row>
    <row r="11855" spans="1:1" x14ac:dyDescent="0.55000000000000004">
      <c r="A11855" s="17"/>
    </row>
    <row r="11856" spans="1:1" x14ac:dyDescent="0.55000000000000004">
      <c r="A11856" s="17"/>
    </row>
    <row r="11857" spans="1:1" x14ac:dyDescent="0.55000000000000004">
      <c r="A11857" s="17"/>
    </row>
    <row r="11858" spans="1:1" x14ac:dyDescent="0.55000000000000004">
      <c r="A11858" s="17"/>
    </row>
    <row r="11859" spans="1:1" x14ac:dyDescent="0.55000000000000004">
      <c r="A11859" s="17"/>
    </row>
    <row r="11860" spans="1:1" x14ac:dyDescent="0.55000000000000004">
      <c r="A11860" s="17"/>
    </row>
    <row r="11861" spans="1:1" x14ac:dyDescent="0.55000000000000004">
      <c r="A11861" s="17"/>
    </row>
    <row r="11862" spans="1:1" x14ac:dyDescent="0.55000000000000004">
      <c r="A11862" s="17"/>
    </row>
    <row r="11863" spans="1:1" x14ac:dyDescent="0.55000000000000004">
      <c r="A11863" s="17"/>
    </row>
    <row r="11864" spans="1:1" x14ac:dyDescent="0.55000000000000004">
      <c r="A11864" s="17"/>
    </row>
    <row r="11865" spans="1:1" x14ac:dyDescent="0.55000000000000004">
      <c r="A11865" s="17"/>
    </row>
    <row r="11866" spans="1:1" x14ac:dyDescent="0.55000000000000004">
      <c r="A11866" s="17"/>
    </row>
    <row r="11867" spans="1:1" x14ac:dyDescent="0.55000000000000004">
      <c r="A11867" s="17"/>
    </row>
    <row r="11868" spans="1:1" x14ac:dyDescent="0.55000000000000004">
      <c r="A11868" s="17"/>
    </row>
    <row r="11869" spans="1:1" x14ac:dyDescent="0.55000000000000004">
      <c r="A11869" s="17"/>
    </row>
    <row r="11870" spans="1:1" x14ac:dyDescent="0.55000000000000004">
      <c r="A11870" s="17"/>
    </row>
    <row r="11871" spans="1:1" x14ac:dyDescent="0.55000000000000004">
      <c r="A11871" s="17"/>
    </row>
    <row r="11872" spans="1:1" x14ac:dyDescent="0.55000000000000004">
      <c r="A11872" s="17"/>
    </row>
    <row r="11873" spans="1:1" x14ac:dyDescent="0.55000000000000004">
      <c r="A11873" s="17"/>
    </row>
    <row r="11874" spans="1:1" x14ac:dyDescent="0.55000000000000004">
      <c r="A11874" s="17"/>
    </row>
    <row r="11875" spans="1:1" x14ac:dyDescent="0.55000000000000004">
      <c r="A11875" s="17"/>
    </row>
    <row r="11876" spans="1:1" x14ac:dyDescent="0.55000000000000004">
      <c r="A11876" s="17"/>
    </row>
    <row r="11877" spans="1:1" x14ac:dyDescent="0.55000000000000004">
      <c r="A11877" s="17"/>
    </row>
    <row r="11878" spans="1:1" x14ac:dyDescent="0.55000000000000004">
      <c r="A11878" s="17"/>
    </row>
    <row r="11879" spans="1:1" x14ac:dyDescent="0.55000000000000004">
      <c r="A11879" s="17"/>
    </row>
    <row r="11880" spans="1:1" x14ac:dyDescent="0.55000000000000004">
      <c r="A11880" s="17"/>
    </row>
    <row r="11881" spans="1:1" x14ac:dyDescent="0.55000000000000004">
      <c r="A11881" s="17"/>
    </row>
    <row r="11882" spans="1:1" x14ac:dyDescent="0.55000000000000004">
      <c r="A11882" s="17"/>
    </row>
    <row r="11883" spans="1:1" x14ac:dyDescent="0.55000000000000004">
      <c r="A11883" s="17"/>
    </row>
    <row r="11884" spans="1:1" x14ac:dyDescent="0.55000000000000004">
      <c r="A11884" s="17"/>
    </row>
    <row r="11885" spans="1:1" x14ac:dyDescent="0.55000000000000004">
      <c r="A11885" s="17"/>
    </row>
    <row r="11886" spans="1:1" x14ac:dyDescent="0.55000000000000004">
      <c r="A11886" s="17"/>
    </row>
    <row r="11887" spans="1:1" x14ac:dyDescent="0.55000000000000004">
      <c r="A11887" s="17"/>
    </row>
    <row r="11888" spans="1:1" x14ac:dyDescent="0.55000000000000004">
      <c r="A11888" s="17"/>
    </row>
    <row r="11889" spans="1:1" x14ac:dyDescent="0.55000000000000004">
      <c r="A11889" s="17"/>
    </row>
    <row r="11890" spans="1:1" x14ac:dyDescent="0.55000000000000004">
      <c r="A11890" s="17"/>
    </row>
    <row r="11891" spans="1:1" x14ac:dyDescent="0.55000000000000004">
      <c r="A11891" s="17"/>
    </row>
    <row r="11892" spans="1:1" x14ac:dyDescent="0.55000000000000004">
      <c r="A11892" s="17"/>
    </row>
    <row r="11893" spans="1:1" x14ac:dyDescent="0.55000000000000004">
      <c r="A11893" s="17"/>
    </row>
    <row r="11894" spans="1:1" x14ac:dyDescent="0.55000000000000004">
      <c r="A11894" s="17"/>
    </row>
    <row r="11895" spans="1:1" x14ac:dyDescent="0.55000000000000004">
      <c r="A11895" s="17"/>
    </row>
    <row r="11896" spans="1:1" x14ac:dyDescent="0.55000000000000004">
      <c r="A11896" s="17"/>
    </row>
    <row r="11897" spans="1:1" x14ac:dyDescent="0.55000000000000004">
      <c r="A11897" s="17"/>
    </row>
    <row r="11898" spans="1:1" x14ac:dyDescent="0.55000000000000004">
      <c r="A11898" s="17"/>
    </row>
    <row r="11899" spans="1:1" x14ac:dyDescent="0.55000000000000004">
      <c r="A11899" s="17"/>
    </row>
    <row r="11900" spans="1:1" x14ac:dyDescent="0.55000000000000004">
      <c r="A11900" s="17"/>
    </row>
    <row r="11901" spans="1:1" x14ac:dyDescent="0.55000000000000004">
      <c r="A11901" s="17"/>
    </row>
    <row r="11902" spans="1:1" x14ac:dyDescent="0.55000000000000004">
      <c r="A11902" s="17"/>
    </row>
    <row r="11903" spans="1:1" x14ac:dyDescent="0.55000000000000004">
      <c r="A11903" s="17"/>
    </row>
    <row r="11904" spans="1:1" x14ac:dyDescent="0.55000000000000004">
      <c r="A11904" s="17"/>
    </row>
    <row r="11905" spans="1:1" x14ac:dyDescent="0.55000000000000004">
      <c r="A11905" s="17"/>
    </row>
    <row r="11906" spans="1:1" x14ac:dyDescent="0.55000000000000004">
      <c r="A11906" s="17"/>
    </row>
    <row r="11907" spans="1:1" x14ac:dyDescent="0.55000000000000004">
      <c r="A11907" s="17"/>
    </row>
    <row r="11908" spans="1:1" x14ac:dyDescent="0.55000000000000004">
      <c r="A11908" s="17"/>
    </row>
    <row r="11909" spans="1:1" x14ac:dyDescent="0.55000000000000004">
      <c r="A11909" s="17"/>
    </row>
    <row r="11910" spans="1:1" x14ac:dyDescent="0.55000000000000004">
      <c r="A11910" s="17"/>
    </row>
    <row r="11911" spans="1:1" x14ac:dyDescent="0.55000000000000004">
      <c r="A11911" s="17"/>
    </row>
    <row r="11912" spans="1:1" x14ac:dyDescent="0.55000000000000004">
      <c r="A11912" s="17"/>
    </row>
    <row r="11913" spans="1:1" x14ac:dyDescent="0.55000000000000004">
      <c r="A11913" s="17"/>
    </row>
    <row r="11914" spans="1:1" x14ac:dyDescent="0.55000000000000004">
      <c r="A11914" s="17"/>
    </row>
    <row r="11915" spans="1:1" x14ac:dyDescent="0.55000000000000004">
      <c r="A11915" s="17"/>
    </row>
    <row r="11916" spans="1:1" x14ac:dyDescent="0.55000000000000004">
      <c r="A11916" s="17"/>
    </row>
    <row r="11917" spans="1:1" x14ac:dyDescent="0.55000000000000004">
      <c r="A11917" s="17"/>
    </row>
    <row r="11918" spans="1:1" x14ac:dyDescent="0.55000000000000004">
      <c r="A11918" s="17"/>
    </row>
    <row r="11919" spans="1:1" x14ac:dyDescent="0.55000000000000004">
      <c r="A11919" s="17"/>
    </row>
    <row r="11920" spans="1:1" x14ac:dyDescent="0.55000000000000004">
      <c r="A11920" s="17"/>
    </row>
    <row r="11921" spans="1:1" x14ac:dyDescent="0.55000000000000004">
      <c r="A11921" s="17"/>
    </row>
    <row r="11922" spans="1:1" x14ac:dyDescent="0.55000000000000004">
      <c r="A11922" s="17"/>
    </row>
    <row r="11923" spans="1:1" x14ac:dyDescent="0.55000000000000004">
      <c r="A11923" s="17"/>
    </row>
    <row r="11924" spans="1:1" x14ac:dyDescent="0.55000000000000004">
      <c r="A11924" s="17"/>
    </row>
    <row r="11925" spans="1:1" x14ac:dyDescent="0.55000000000000004">
      <c r="A11925" s="17"/>
    </row>
    <row r="11926" spans="1:1" x14ac:dyDescent="0.55000000000000004">
      <c r="A11926" s="17"/>
    </row>
    <row r="11927" spans="1:1" x14ac:dyDescent="0.55000000000000004">
      <c r="A11927" s="17"/>
    </row>
    <row r="11928" spans="1:1" x14ac:dyDescent="0.55000000000000004">
      <c r="A11928" s="17"/>
    </row>
    <row r="11929" spans="1:1" x14ac:dyDescent="0.55000000000000004">
      <c r="A11929" s="17"/>
    </row>
    <row r="11930" spans="1:1" x14ac:dyDescent="0.55000000000000004">
      <c r="A11930" s="17"/>
    </row>
    <row r="11931" spans="1:1" x14ac:dyDescent="0.55000000000000004">
      <c r="A11931" s="17"/>
    </row>
    <row r="11932" spans="1:1" x14ac:dyDescent="0.55000000000000004">
      <c r="A11932" s="17"/>
    </row>
    <row r="11933" spans="1:1" x14ac:dyDescent="0.55000000000000004">
      <c r="A11933" s="17"/>
    </row>
    <row r="11934" spans="1:1" x14ac:dyDescent="0.55000000000000004">
      <c r="A11934" s="17"/>
    </row>
    <row r="11935" spans="1:1" x14ac:dyDescent="0.55000000000000004">
      <c r="A11935" s="17"/>
    </row>
    <row r="11936" spans="1:1" x14ac:dyDescent="0.55000000000000004">
      <c r="A11936" s="17"/>
    </row>
    <row r="11937" spans="1:1" x14ac:dyDescent="0.55000000000000004">
      <c r="A11937" s="17"/>
    </row>
    <row r="11938" spans="1:1" x14ac:dyDescent="0.55000000000000004">
      <c r="A11938" s="17"/>
    </row>
    <row r="11939" spans="1:1" x14ac:dyDescent="0.55000000000000004">
      <c r="A11939" s="17"/>
    </row>
    <row r="11940" spans="1:1" x14ac:dyDescent="0.55000000000000004">
      <c r="A11940" s="17"/>
    </row>
    <row r="11941" spans="1:1" x14ac:dyDescent="0.55000000000000004">
      <c r="A11941" s="17"/>
    </row>
    <row r="11942" spans="1:1" x14ac:dyDescent="0.55000000000000004">
      <c r="A11942" s="17"/>
    </row>
    <row r="11943" spans="1:1" x14ac:dyDescent="0.55000000000000004">
      <c r="A11943" s="17"/>
    </row>
    <row r="11944" spans="1:1" x14ac:dyDescent="0.55000000000000004">
      <c r="A11944" s="17"/>
    </row>
    <row r="11945" spans="1:1" x14ac:dyDescent="0.55000000000000004">
      <c r="A11945" s="17"/>
    </row>
    <row r="11946" spans="1:1" x14ac:dyDescent="0.55000000000000004">
      <c r="A11946" s="17"/>
    </row>
    <row r="11947" spans="1:1" x14ac:dyDescent="0.55000000000000004">
      <c r="A11947" s="17"/>
    </row>
    <row r="11948" spans="1:1" x14ac:dyDescent="0.55000000000000004">
      <c r="A11948" s="17"/>
    </row>
    <row r="11949" spans="1:1" x14ac:dyDescent="0.55000000000000004">
      <c r="A11949" s="17"/>
    </row>
    <row r="11950" spans="1:1" x14ac:dyDescent="0.55000000000000004">
      <c r="A11950" s="17"/>
    </row>
    <row r="11951" spans="1:1" x14ac:dyDescent="0.55000000000000004">
      <c r="A11951" s="17"/>
    </row>
    <row r="11952" spans="1:1" x14ac:dyDescent="0.55000000000000004">
      <c r="A11952" s="17"/>
    </row>
    <row r="11953" spans="1:1" x14ac:dyDescent="0.55000000000000004">
      <c r="A11953" s="17"/>
    </row>
    <row r="11954" spans="1:1" x14ac:dyDescent="0.55000000000000004">
      <c r="A11954" s="17"/>
    </row>
    <row r="11955" spans="1:1" x14ac:dyDescent="0.55000000000000004">
      <c r="A11955" s="17"/>
    </row>
    <row r="11956" spans="1:1" x14ac:dyDescent="0.55000000000000004">
      <c r="A11956" s="17"/>
    </row>
    <row r="11957" spans="1:1" x14ac:dyDescent="0.55000000000000004">
      <c r="A11957" s="17"/>
    </row>
    <row r="11958" spans="1:1" x14ac:dyDescent="0.55000000000000004">
      <c r="A11958" s="17"/>
    </row>
    <row r="11959" spans="1:1" x14ac:dyDescent="0.55000000000000004">
      <c r="A11959" s="17"/>
    </row>
    <row r="11960" spans="1:1" x14ac:dyDescent="0.55000000000000004">
      <c r="A11960" s="17"/>
    </row>
    <row r="11961" spans="1:1" x14ac:dyDescent="0.55000000000000004">
      <c r="A11961" s="17"/>
    </row>
    <row r="11962" spans="1:1" x14ac:dyDescent="0.55000000000000004">
      <c r="A11962" s="17"/>
    </row>
    <row r="11963" spans="1:1" x14ac:dyDescent="0.55000000000000004">
      <c r="A11963" s="17"/>
    </row>
    <row r="11964" spans="1:1" x14ac:dyDescent="0.55000000000000004">
      <c r="A11964" s="17"/>
    </row>
    <row r="11965" spans="1:1" x14ac:dyDescent="0.55000000000000004">
      <c r="A11965" s="17"/>
    </row>
    <row r="11966" spans="1:1" x14ac:dyDescent="0.55000000000000004">
      <c r="A11966" s="17"/>
    </row>
    <row r="11967" spans="1:1" x14ac:dyDescent="0.55000000000000004">
      <c r="A11967" s="17"/>
    </row>
    <row r="11968" spans="1:1" x14ac:dyDescent="0.55000000000000004">
      <c r="A11968" s="17"/>
    </row>
    <row r="11969" spans="1:1" x14ac:dyDescent="0.55000000000000004">
      <c r="A11969" s="17"/>
    </row>
    <row r="11970" spans="1:1" x14ac:dyDescent="0.55000000000000004">
      <c r="A11970" s="17"/>
    </row>
    <row r="11971" spans="1:1" x14ac:dyDescent="0.55000000000000004">
      <c r="A11971" s="17"/>
    </row>
    <row r="11972" spans="1:1" x14ac:dyDescent="0.55000000000000004">
      <c r="A11972" s="17"/>
    </row>
    <row r="11973" spans="1:1" x14ac:dyDescent="0.55000000000000004">
      <c r="A11973" s="17"/>
    </row>
    <row r="11974" spans="1:1" x14ac:dyDescent="0.55000000000000004">
      <c r="A11974" s="17"/>
    </row>
    <row r="11975" spans="1:1" x14ac:dyDescent="0.55000000000000004">
      <c r="A11975" s="17"/>
    </row>
    <row r="11976" spans="1:1" x14ac:dyDescent="0.55000000000000004">
      <c r="A11976" s="17"/>
    </row>
    <row r="11977" spans="1:1" x14ac:dyDescent="0.55000000000000004">
      <c r="A11977" s="17"/>
    </row>
    <row r="11978" spans="1:1" x14ac:dyDescent="0.55000000000000004">
      <c r="A11978" s="17"/>
    </row>
    <row r="11979" spans="1:1" x14ac:dyDescent="0.55000000000000004">
      <c r="A11979" s="17"/>
    </row>
    <row r="11980" spans="1:1" x14ac:dyDescent="0.55000000000000004">
      <c r="A11980" s="17"/>
    </row>
    <row r="11981" spans="1:1" x14ac:dyDescent="0.55000000000000004">
      <c r="A11981" s="17"/>
    </row>
    <row r="11982" spans="1:1" x14ac:dyDescent="0.55000000000000004">
      <c r="A11982" s="17"/>
    </row>
    <row r="11983" spans="1:1" x14ac:dyDescent="0.55000000000000004">
      <c r="A11983" s="17"/>
    </row>
    <row r="11984" spans="1:1" x14ac:dyDescent="0.55000000000000004">
      <c r="A11984" s="17"/>
    </row>
    <row r="11985" spans="1:1" x14ac:dyDescent="0.55000000000000004">
      <c r="A11985" s="17"/>
    </row>
    <row r="11986" spans="1:1" x14ac:dyDescent="0.55000000000000004">
      <c r="A11986" s="17"/>
    </row>
    <row r="11987" spans="1:1" x14ac:dyDescent="0.55000000000000004">
      <c r="A11987" s="17"/>
    </row>
    <row r="11988" spans="1:1" x14ac:dyDescent="0.55000000000000004">
      <c r="A11988" s="17"/>
    </row>
    <row r="11989" spans="1:1" x14ac:dyDescent="0.55000000000000004">
      <c r="A11989" s="17"/>
    </row>
    <row r="11990" spans="1:1" x14ac:dyDescent="0.55000000000000004">
      <c r="A11990" s="17"/>
    </row>
    <row r="11991" spans="1:1" x14ac:dyDescent="0.55000000000000004">
      <c r="A11991" s="17"/>
    </row>
    <row r="11992" spans="1:1" x14ac:dyDescent="0.55000000000000004">
      <c r="A11992" s="17"/>
    </row>
    <row r="11993" spans="1:1" x14ac:dyDescent="0.55000000000000004">
      <c r="A11993" s="17"/>
    </row>
    <row r="11994" spans="1:1" x14ac:dyDescent="0.55000000000000004">
      <c r="A11994" s="17"/>
    </row>
    <row r="11995" spans="1:1" x14ac:dyDescent="0.55000000000000004">
      <c r="A11995" s="17"/>
    </row>
    <row r="11996" spans="1:1" x14ac:dyDescent="0.55000000000000004">
      <c r="A11996" s="17"/>
    </row>
    <row r="11997" spans="1:1" x14ac:dyDescent="0.55000000000000004">
      <c r="A11997" s="17"/>
    </row>
    <row r="11998" spans="1:1" x14ac:dyDescent="0.55000000000000004">
      <c r="A11998" s="17"/>
    </row>
    <row r="11999" spans="1:1" x14ac:dyDescent="0.55000000000000004">
      <c r="A11999" s="17"/>
    </row>
    <row r="12000" spans="1:1" x14ac:dyDescent="0.55000000000000004">
      <c r="A12000" s="17"/>
    </row>
    <row r="12001" spans="1:1" x14ac:dyDescent="0.55000000000000004">
      <c r="A12001" s="17"/>
    </row>
    <row r="12002" spans="1:1" x14ac:dyDescent="0.55000000000000004">
      <c r="A12002" s="17"/>
    </row>
    <row r="12003" spans="1:1" x14ac:dyDescent="0.55000000000000004">
      <c r="A12003" s="17"/>
    </row>
    <row r="12004" spans="1:1" x14ac:dyDescent="0.55000000000000004">
      <c r="A12004" s="17"/>
    </row>
    <row r="12005" spans="1:1" x14ac:dyDescent="0.55000000000000004">
      <c r="A12005" s="17"/>
    </row>
    <row r="12006" spans="1:1" x14ac:dyDescent="0.55000000000000004">
      <c r="A12006" s="17"/>
    </row>
    <row r="12007" spans="1:1" x14ac:dyDescent="0.55000000000000004">
      <c r="A12007" s="17"/>
    </row>
    <row r="12008" spans="1:1" x14ac:dyDescent="0.55000000000000004">
      <c r="A12008" s="17"/>
    </row>
    <row r="12009" spans="1:1" x14ac:dyDescent="0.55000000000000004">
      <c r="A12009" s="17"/>
    </row>
    <row r="12010" spans="1:1" x14ac:dyDescent="0.55000000000000004">
      <c r="A12010" s="17"/>
    </row>
    <row r="12011" spans="1:1" x14ac:dyDescent="0.55000000000000004">
      <c r="A12011" s="17"/>
    </row>
    <row r="12012" spans="1:1" x14ac:dyDescent="0.55000000000000004">
      <c r="A12012" s="17"/>
    </row>
    <row r="12013" spans="1:1" x14ac:dyDescent="0.55000000000000004">
      <c r="A12013" s="17"/>
    </row>
    <row r="12014" spans="1:1" x14ac:dyDescent="0.55000000000000004">
      <c r="A12014" s="17"/>
    </row>
    <row r="12015" spans="1:1" x14ac:dyDescent="0.55000000000000004">
      <c r="A12015" s="17"/>
    </row>
    <row r="12016" spans="1:1" x14ac:dyDescent="0.55000000000000004">
      <c r="A12016" s="17"/>
    </row>
    <row r="12017" spans="1:1" x14ac:dyDescent="0.55000000000000004">
      <c r="A12017" s="17"/>
    </row>
    <row r="12018" spans="1:1" x14ac:dyDescent="0.55000000000000004">
      <c r="A12018" s="17"/>
    </row>
    <row r="12019" spans="1:1" x14ac:dyDescent="0.55000000000000004">
      <c r="A12019" s="17"/>
    </row>
    <row r="12020" spans="1:1" x14ac:dyDescent="0.55000000000000004">
      <c r="A12020" s="17"/>
    </row>
    <row r="12021" spans="1:1" x14ac:dyDescent="0.55000000000000004">
      <c r="A12021" s="17"/>
    </row>
    <row r="12022" spans="1:1" x14ac:dyDescent="0.55000000000000004">
      <c r="A12022" s="17"/>
    </row>
    <row r="12023" spans="1:1" x14ac:dyDescent="0.55000000000000004">
      <c r="A12023" s="17"/>
    </row>
    <row r="12024" spans="1:1" x14ac:dyDescent="0.55000000000000004">
      <c r="A12024" s="17"/>
    </row>
    <row r="12025" spans="1:1" x14ac:dyDescent="0.55000000000000004">
      <c r="A12025" s="17"/>
    </row>
    <row r="12026" spans="1:1" x14ac:dyDescent="0.55000000000000004">
      <c r="A12026" s="17"/>
    </row>
    <row r="12027" spans="1:1" x14ac:dyDescent="0.55000000000000004">
      <c r="A12027" s="17"/>
    </row>
    <row r="12028" spans="1:1" x14ac:dyDescent="0.55000000000000004">
      <c r="A12028" s="17"/>
    </row>
    <row r="12029" spans="1:1" x14ac:dyDescent="0.55000000000000004">
      <c r="A12029" s="17"/>
    </row>
    <row r="12030" spans="1:1" x14ac:dyDescent="0.55000000000000004">
      <c r="A12030" s="17"/>
    </row>
    <row r="12031" spans="1:1" x14ac:dyDescent="0.55000000000000004">
      <c r="A12031" s="17"/>
    </row>
    <row r="12032" spans="1:1" x14ac:dyDescent="0.55000000000000004">
      <c r="A12032" s="17"/>
    </row>
    <row r="12033" spans="1:1" x14ac:dyDescent="0.55000000000000004">
      <c r="A12033" s="17"/>
    </row>
    <row r="12034" spans="1:1" x14ac:dyDescent="0.55000000000000004">
      <c r="A12034" s="17"/>
    </row>
    <row r="12035" spans="1:1" x14ac:dyDescent="0.55000000000000004">
      <c r="A12035" s="17"/>
    </row>
    <row r="12036" spans="1:1" x14ac:dyDescent="0.55000000000000004">
      <c r="A12036" s="17"/>
    </row>
    <row r="12037" spans="1:1" x14ac:dyDescent="0.55000000000000004">
      <c r="A12037" s="17"/>
    </row>
    <row r="12038" spans="1:1" x14ac:dyDescent="0.55000000000000004">
      <c r="A12038" s="17"/>
    </row>
    <row r="12039" spans="1:1" x14ac:dyDescent="0.55000000000000004">
      <c r="A12039" s="17"/>
    </row>
    <row r="12040" spans="1:1" x14ac:dyDescent="0.55000000000000004">
      <c r="A12040" s="17"/>
    </row>
    <row r="12041" spans="1:1" x14ac:dyDescent="0.55000000000000004">
      <c r="A12041" s="17"/>
    </row>
    <row r="12042" spans="1:1" x14ac:dyDescent="0.55000000000000004">
      <c r="A12042" s="17"/>
    </row>
    <row r="12043" spans="1:1" x14ac:dyDescent="0.55000000000000004">
      <c r="A12043" s="17"/>
    </row>
    <row r="12044" spans="1:1" x14ac:dyDescent="0.55000000000000004">
      <c r="A12044" s="17"/>
    </row>
    <row r="12045" spans="1:1" x14ac:dyDescent="0.55000000000000004">
      <c r="A12045" s="17"/>
    </row>
    <row r="12046" spans="1:1" x14ac:dyDescent="0.55000000000000004">
      <c r="A12046" s="17"/>
    </row>
    <row r="12047" spans="1:1" x14ac:dyDescent="0.55000000000000004">
      <c r="A12047" s="17"/>
    </row>
    <row r="12048" spans="1:1" x14ac:dyDescent="0.55000000000000004">
      <c r="A12048" s="17"/>
    </row>
    <row r="12049" spans="1:1" x14ac:dyDescent="0.55000000000000004">
      <c r="A12049" s="17"/>
    </row>
    <row r="12050" spans="1:1" x14ac:dyDescent="0.55000000000000004">
      <c r="A12050" s="17"/>
    </row>
    <row r="12051" spans="1:1" x14ac:dyDescent="0.55000000000000004">
      <c r="A12051" s="17"/>
    </row>
    <row r="12052" spans="1:1" x14ac:dyDescent="0.55000000000000004">
      <c r="A12052" s="17"/>
    </row>
    <row r="12053" spans="1:1" x14ac:dyDescent="0.55000000000000004">
      <c r="A12053" s="17"/>
    </row>
    <row r="12054" spans="1:1" x14ac:dyDescent="0.55000000000000004">
      <c r="A12054" s="17"/>
    </row>
    <row r="12055" spans="1:1" x14ac:dyDescent="0.55000000000000004">
      <c r="A12055" s="17"/>
    </row>
    <row r="12056" spans="1:1" x14ac:dyDescent="0.55000000000000004">
      <c r="A12056" s="17"/>
    </row>
    <row r="12057" spans="1:1" x14ac:dyDescent="0.55000000000000004">
      <c r="A12057" s="17"/>
    </row>
    <row r="12058" spans="1:1" x14ac:dyDescent="0.55000000000000004">
      <c r="A12058" s="17"/>
    </row>
    <row r="12059" spans="1:1" x14ac:dyDescent="0.55000000000000004">
      <c r="A12059" s="17"/>
    </row>
    <row r="12060" spans="1:1" x14ac:dyDescent="0.55000000000000004">
      <c r="A12060" s="17"/>
    </row>
    <row r="12061" spans="1:1" x14ac:dyDescent="0.55000000000000004">
      <c r="A12061" s="17"/>
    </row>
    <row r="12062" spans="1:1" x14ac:dyDescent="0.55000000000000004">
      <c r="A12062" s="17"/>
    </row>
    <row r="12063" spans="1:1" x14ac:dyDescent="0.55000000000000004">
      <c r="A12063" s="17"/>
    </row>
    <row r="12064" spans="1:1" x14ac:dyDescent="0.55000000000000004">
      <c r="A12064" s="17"/>
    </row>
    <row r="12065" spans="1:1" x14ac:dyDescent="0.55000000000000004">
      <c r="A12065" s="17"/>
    </row>
    <row r="12066" spans="1:1" x14ac:dyDescent="0.55000000000000004">
      <c r="A12066" s="17"/>
    </row>
    <row r="12067" spans="1:1" x14ac:dyDescent="0.55000000000000004">
      <c r="A12067" s="17"/>
    </row>
    <row r="12068" spans="1:1" x14ac:dyDescent="0.55000000000000004">
      <c r="A12068" s="17"/>
    </row>
    <row r="12069" spans="1:1" x14ac:dyDescent="0.55000000000000004">
      <c r="A12069" s="17"/>
    </row>
    <row r="12070" spans="1:1" x14ac:dyDescent="0.55000000000000004">
      <c r="A12070" s="17"/>
    </row>
    <row r="12071" spans="1:1" x14ac:dyDescent="0.55000000000000004">
      <c r="A12071" s="17"/>
    </row>
    <row r="12072" spans="1:1" x14ac:dyDescent="0.55000000000000004">
      <c r="A12072" s="17"/>
    </row>
    <row r="12073" spans="1:1" x14ac:dyDescent="0.55000000000000004">
      <c r="A12073" s="17"/>
    </row>
    <row r="12074" spans="1:1" x14ac:dyDescent="0.55000000000000004">
      <c r="A12074" s="17"/>
    </row>
    <row r="12075" spans="1:1" x14ac:dyDescent="0.55000000000000004">
      <c r="A12075" s="17"/>
    </row>
    <row r="12076" spans="1:1" x14ac:dyDescent="0.55000000000000004">
      <c r="A12076" s="17"/>
    </row>
    <row r="12077" spans="1:1" x14ac:dyDescent="0.55000000000000004">
      <c r="A12077" s="17"/>
    </row>
    <row r="12078" spans="1:1" x14ac:dyDescent="0.55000000000000004">
      <c r="A12078" s="17"/>
    </row>
    <row r="12079" spans="1:1" x14ac:dyDescent="0.55000000000000004">
      <c r="A12079" s="17"/>
    </row>
    <row r="12080" spans="1:1" x14ac:dyDescent="0.55000000000000004">
      <c r="A12080" s="17"/>
    </row>
    <row r="12081" spans="1:1" x14ac:dyDescent="0.55000000000000004">
      <c r="A12081" s="17"/>
    </row>
    <row r="12082" spans="1:1" x14ac:dyDescent="0.55000000000000004">
      <c r="A12082" s="17"/>
    </row>
    <row r="12083" spans="1:1" x14ac:dyDescent="0.55000000000000004">
      <c r="A12083" s="17"/>
    </row>
    <row r="12084" spans="1:1" x14ac:dyDescent="0.55000000000000004">
      <c r="A12084" s="17"/>
    </row>
    <row r="12085" spans="1:1" x14ac:dyDescent="0.55000000000000004">
      <c r="A12085" s="17"/>
    </row>
    <row r="12086" spans="1:1" x14ac:dyDescent="0.55000000000000004">
      <c r="A12086" s="17"/>
    </row>
    <row r="12087" spans="1:1" x14ac:dyDescent="0.55000000000000004">
      <c r="A12087" s="17"/>
    </row>
    <row r="12088" spans="1:1" x14ac:dyDescent="0.55000000000000004">
      <c r="A12088" s="17"/>
    </row>
    <row r="12089" spans="1:1" x14ac:dyDescent="0.55000000000000004">
      <c r="A12089" s="17"/>
    </row>
    <row r="12090" spans="1:1" x14ac:dyDescent="0.55000000000000004">
      <c r="A12090" s="17"/>
    </row>
    <row r="12091" spans="1:1" x14ac:dyDescent="0.55000000000000004">
      <c r="A12091" s="17"/>
    </row>
    <row r="12092" spans="1:1" x14ac:dyDescent="0.55000000000000004">
      <c r="A12092" s="17"/>
    </row>
    <row r="12093" spans="1:1" x14ac:dyDescent="0.55000000000000004">
      <c r="A12093" s="17"/>
    </row>
    <row r="12094" spans="1:1" x14ac:dyDescent="0.55000000000000004">
      <c r="A12094" s="17"/>
    </row>
    <row r="12095" spans="1:1" x14ac:dyDescent="0.55000000000000004">
      <c r="A12095" s="17"/>
    </row>
    <row r="12096" spans="1:1" x14ac:dyDescent="0.55000000000000004">
      <c r="A12096" s="17"/>
    </row>
    <row r="12097" spans="1:1" x14ac:dyDescent="0.55000000000000004">
      <c r="A12097" s="17"/>
    </row>
    <row r="12098" spans="1:1" x14ac:dyDescent="0.55000000000000004">
      <c r="A12098" s="17"/>
    </row>
    <row r="12099" spans="1:1" x14ac:dyDescent="0.55000000000000004">
      <c r="A12099" s="17"/>
    </row>
    <row r="12100" spans="1:1" x14ac:dyDescent="0.55000000000000004">
      <c r="A12100" s="17"/>
    </row>
    <row r="12101" spans="1:1" x14ac:dyDescent="0.55000000000000004">
      <c r="A12101" s="17"/>
    </row>
    <row r="12102" spans="1:1" x14ac:dyDescent="0.55000000000000004">
      <c r="A12102" s="17"/>
    </row>
    <row r="12103" spans="1:1" x14ac:dyDescent="0.55000000000000004">
      <c r="A12103" s="17"/>
    </row>
    <row r="12104" spans="1:1" x14ac:dyDescent="0.55000000000000004">
      <c r="A12104" s="17"/>
    </row>
    <row r="12105" spans="1:1" x14ac:dyDescent="0.55000000000000004">
      <c r="A12105" s="17"/>
    </row>
    <row r="12106" spans="1:1" x14ac:dyDescent="0.55000000000000004">
      <c r="A12106" s="17"/>
    </row>
    <row r="12107" spans="1:1" x14ac:dyDescent="0.55000000000000004">
      <c r="A12107" s="17"/>
    </row>
    <row r="12108" spans="1:1" x14ac:dyDescent="0.55000000000000004">
      <c r="A12108" s="17"/>
    </row>
    <row r="12109" spans="1:1" x14ac:dyDescent="0.55000000000000004">
      <c r="A12109" s="17"/>
    </row>
    <row r="12110" spans="1:1" x14ac:dyDescent="0.55000000000000004">
      <c r="A12110" s="17"/>
    </row>
    <row r="12111" spans="1:1" x14ac:dyDescent="0.55000000000000004">
      <c r="A12111" s="17"/>
    </row>
    <row r="12112" spans="1:1" x14ac:dyDescent="0.55000000000000004">
      <c r="A12112" s="17"/>
    </row>
    <row r="12113" spans="1:1" x14ac:dyDescent="0.55000000000000004">
      <c r="A12113" s="17"/>
    </row>
    <row r="12114" spans="1:1" x14ac:dyDescent="0.55000000000000004">
      <c r="A12114" s="17"/>
    </row>
    <row r="12115" spans="1:1" x14ac:dyDescent="0.55000000000000004">
      <c r="A12115" s="17"/>
    </row>
    <row r="12116" spans="1:1" x14ac:dyDescent="0.55000000000000004">
      <c r="A12116" s="17"/>
    </row>
    <row r="12117" spans="1:1" x14ac:dyDescent="0.55000000000000004">
      <c r="A12117" s="17"/>
    </row>
    <row r="12118" spans="1:1" x14ac:dyDescent="0.55000000000000004">
      <c r="A12118" s="17"/>
    </row>
    <row r="12119" spans="1:1" x14ac:dyDescent="0.55000000000000004">
      <c r="A12119" s="17"/>
    </row>
    <row r="12120" spans="1:1" x14ac:dyDescent="0.55000000000000004">
      <c r="A12120" s="17"/>
    </row>
    <row r="12121" spans="1:1" x14ac:dyDescent="0.55000000000000004">
      <c r="A12121" s="17"/>
    </row>
    <row r="12122" spans="1:1" x14ac:dyDescent="0.55000000000000004">
      <c r="A12122" s="17"/>
    </row>
    <row r="12123" spans="1:1" x14ac:dyDescent="0.55000000000000004">
      <c r="A12123" s="17"/>
    </row>
    <row r="12124" spans="1:1" x14ac:dyDescent="0.55000000000000004">
      <c r="A12124" s="17"/>
    </row>
    <row r="12125" spans="1:1" x14ac:dyDescent="0.55000000000000004">
      <c r="A12125" s="17"/>
    </row>
    <row r="12126" spans="1:1" x14ac:dyDescent="0.55000000000000004">
      <c r="A12126" s="17"/>
    </row>
    <row r="12127" spans="1:1" x14ac:dyDescent="0.55000000000000004">
      <c r="A12127" s="17"/>
    </row>
    <row r="12128" spans="1:1" x14ac:dyDescent="0.55000000000000004">
      <c r="A12128" s="17"/>
    </row>
    <row r="12129" spans="1:1" x14ac:dyDescent="0.55000000000000004">
      <c r="A12129" s="17"/>
    </row>
    <row r="12130" spans="1:1" x14ac:dyDescent="0.55000000000000004">
      <c r="A12130" s="17"/>
    </row>
    <row r="12131" spans="1:1" x14ac:dyDescent="0.55000000000000004">
      <c r="A12131" s="17"/>
    </row>
    <row r="12132" spans="1:1" x14ac:dyDescent="0.55000000000000004">
      <c r="A12132" s="17"/>
    </row>
    <row r="12133" spans="1:1" x14ac:dyDescent="0.55000000000000004">
      <c r="A12133" s="17"/>
    </row>
    <row r="12134" spans="1:1" x14ac:dyDescent="0.55000000000000004">
      <c r="A12134" s="17"/>
    </row>
    <row r="12135" spans="1:1" x14ac:dyDescent="0.55000000000000004">
      <c r="A12135" s="17"/>
    </row>
    <row r="12136" spans="1:1" x14ac:dyDescent="0.55000000000000004">
      <c r="A12136" s="17"/>
    </row>
    <row r="12137" spans="1:1" x14ac:dyDescent="0.55000000000000004">
      <c r="A12137" s="17"/>
    </row>
    <row r="12138" spans="1:1" x14ac:dyDescent="0.55000000000000004">
      <c r="A12138" s="17"/>
    </row>
    <row r="12139" spans="1:1" x14ac:dyDescent="0.55000000000000004">
      <c r="A12139" s="17"/>
    </row>
    <row r="12140" spans="1:1" x14ac:dyDescent="0.55000000000000004">
      <c r="A12140" s="17"/>
    </row>
    <row r="12141" spans="1:1" x14ac:dyDescent="0.55000000000000004">
      <c r="A12141" s="17"/>
    </row>
    <row r="12142" spans="1:1" x14ac:dyDescent="0.55000000000000004">
      <c r="A12142" s="17"/>
    </row>
    <row r="12143" spans="1:1" x14ac:dyDescent="0.55000000000000004">
      <c r="A12143" s="17"/>
    </row>
    <row r="12144" spans="1:1" x14ac:dyDescent="0.55000000000000004">
      <c r="A12144" s="17"/>
    </row>
    <row r="12145" spans="1:1" x14ac:dyDescent="0.55000000000000004">
      <c r="A12145" s="17"/>
    </row>
    <row r="12146" spans="1:1" x14ac:dyDescent="0.55000000000000004">
      <c r="A12146" s="17"/>
    </row>
    <row r="12147" spans="1:1" x14ac:dyDescent="0.55000000000000004">
      <c r="A12147" s="17"/>
    </row>
    <row r="12148" spans="1:1" x14ac:dyDescent="0.55000000000000004">
      <c r="A12148" s="17"/>
    </row>
    <row r="12149" spans="1:1" x14ac:dyDescent="0.55000000000000004">
      <c r="A12149" s="17"/>
    </row>
    <row r="12150" spans="1:1" x14ac:dyDescent="0.55000000000000004">
      <c r="A12150" s="17"/>
    </row>
    <row r="12151" spans="1:1" x14ac:dyDescent="0.55000000000000004">
      <c r="A12151" s="17"/>
    </row>
    <row r="12152" spans="1:1" x14ac:dyDescent="0.55000000000000004">
      <c r="A12152" s="17"/>
    </row>
    <row r="12153" spans="1:1" x14ac:dyDescent="0.55000000000000004">
      <c r="A12153" s="17"/>
    </row>
    <row r="12154" spans="1:1" x14ac:dyDescent="0.55000000000000004">
      <c r="A12154" s="17"/>
    </row>
    <row r="12155" spans="1:1" x14ac:dyDescent="0.55000000000000004">
      <c r="A12155" s="17"/>
    </row>
    <row r="12156" spans="1:1" x14ac:dyDescent="0.55000000000000004">
      <c r="A12156" s="17"/>
    </row>
    <row r="12157" spans="1:1" x14ac:dyDescent="0.55000000000000004">
      <c r="A12157" s="17"/>
    </row>
    <row r="12158" spans="1:1" x14ac:dyDescent="0.55000000000000004">
      <c r="A12158" s="17"/>
    </row>
    <row r="12159" spans="1:1" x14ac:dyDescent="0.55000000000000004">
      <c r="A12159" s="17"/>
    </row>
    <row r="12160" spans="1:1" x14ac:dyDescent="0.55000000000000004">
      <c r="A12160" s="17"/>
    </row>
    <row r="12161" spans="1:1" x14ac:dyDescent="0.55000000000000004">
      <c r="A12161" s="17"/>
    </row>
    <row r="12162" spans="1:1" x14ac:dyDescent="0.55000000000000004">
      <c r="A12162" s="17"/>
    </row>
    <row r="12163" spans="1:1" x14ac:dyDescent="0.55000000000000004">
      <c r="A12163" s="17"/>
    </row>
    <row r="12164" spans="1:1" x14ac:dyDescent="0.55000000000000004">
      <c r="A12164" s="17"/>
    </row>
    <row r="12165" spans="1:1" x14ac:dyDescent="0.55000000000000004">
      <c r="A12165" s="17"/>
    </row>
    <row r="12166" spans="1:1" x14ac:dyDescent="0.55000000000000004">
      <c r="A12166" s="17"/>
    </row>
    <row r="12167" spans="1:1" x14ac:dyDescent="0.55000000000000004">
      <c r="A12167" s="17"/>
    </row>
    <row r="12168" spans="1:1" x14ac:dyDescent="0.55000000000000004">
      <c r="A12168" s="17"/>
    </row>
    <row r="12169" spans="1:1" x14ac:dyDescent="0.55000000000000004">
      <c r="A12169" s="17"/>
    </row>
    <row r="12170" spans="1:1" x14ac:dyDescent="0.55000000000000004">
      <c r="A12170" s="17"/>
    </row>
    <row r="12171" spans="1:1" x14ac:dyDescent="0.55000000000000004">
      <c r="A12171" s="17"/>
    </row>
    <row r="12172" spans="1:1" x14ac:dyDescent="0.55000000000000004">
      <c r="A12172" s="17"/>
    </row>
    <row r="12173" spans="1:1" x14ac:dyDescent="0.55000000000000004">
      <c r="A12173" s="17"/>
    </row>
    <row r="12174" spans="1:1" x14ac:dyDescent="0.55000000000000004">
      <c r="A12174" s="17"/>
    </row>
    <row r="12175" spans="1:1" x14ac:dyDescent="0.55000000000000004">
      <c r="A12175" s="17"/>
    </row>
    <row r="12176" spans="1:1" x14ac:dyDescent="0.55000000000000004">
      <c r="A12176" s="17"/>
    </row>
    <row r="12177" spans="1:1" x14ac:dyDescent="0.55000000000000004">
      <c r="A12177" s="17"/>
    </row>
    <row r="12178" spans="1:1" x14ac:dyDescent="0.55000000000000004">
      <c r="A12178" s="17"/>
    </row>
    <row r="12179" spans="1:1" x14ac:dyDescent="0.55000000000000004">
      <c r="A12179" s="17"/>
    </row>
    <row r="12180" spans="1:1" x14ac:dyDescent="0.55000000000000004">
      <c r="A12180" s="17"/>
    </row>
    <row r="12181" spans="1:1" x14ac:dyDescent="0.55000000000000004">
      <c r="A12181" s="17"/>
    </row>
    <row r="12182" spans="1:1" x14ac:dyDescent="0.55000000000000004">
      <c r="A12182" s="17"/>
    </row>
    <row r="12183" spans="1:1" x14ac:dyDescent="0.55000000000000004">
      <c r="A12183" s="17"/>
    </row>
    <row r="12184" spans="1:1" x14ac:dyDescent="0.55000000000000004">
      <c r="A12184" s="17"/>
    </row>
    <row r="12185" spans="1:1" x14ac:dyDescent="0.55000000000000004">
      <c r="A12185" s="17"/>
    </row>
    <row r="12186" spans="1:1" x14ac:dyDescent="0.55000000000000004">
      <c r="A12186" s="17"/>
    </row>
    <row r="12187" spans="1:1" x14ac:dyDescent="0.55000000000000004">
      <c r="A12187" s="17"/>
    </row>
    <row r="12188" spans="1:1" x14ac:dyDescent="0.55000000000000004">
      <c r="A12188" s="17"/>
    </row>
    <row r="12189" spans="1:1" x14ac:dyDescent="0.55000000000000004">
      <c r="A12189" s="17"/>
    </row>
    <row r="12190" spans="1:1" x14ac:dyDescent="0.55000000000000004">
      <c r="A12190" s="17"/>
    </row>
    <row r="12191" spans="1:1" x14ac:dyDescent="0.55000000000000004">
      <c r="A12191" s="17"/>
    </row>
    <row r="12192" spans="1:1" x14ac:dyDescent="0.55000000000000004">
      <c r="A12192" s="17"/>
    </row>
    <row r="12193" spans="1:1" x14ac:dyDescent="0.55000000000000004">
      <c r="A12193" s="17"/>
    </row>
    <row r="12194" spans="1:1" x14ac:dyDescent="0.55000000000000004">
      <c r="A12194" s="17"/>
    </row>
    <row r="12195" spans="1:1" x14ac:dyDescent="0.55000000000000004">
      <c r="A12195" s="17"/>
    </row>
    <row r="12196" spans="1:1" x14ac:dyDescent="0.55000000000000004">
      <c r="A12196" s="17"/>
    </row>
    <row r="12197" spans="1:1" x14ac:dyDescent="0.55000000000000004">
      <c r="A12197" s="17"/>
    </row>
    <row r="12198" spans="1:1" x14ac:dyDescent="0.55000000000000004">
      <c r="A12198" s="17"/>
    </row>
    <row r="12199" spans="1:1" x14ac:dyDescent="0.55000000000000004">
      <c r="A12199" s="17"/>
    </row>
    <row r="12200" spans="1:1" x14ac:dyDescent="0.55000000000000004">
      <c r="A12200" s="17"/>
    </row>
    <row r="12201" spans="1:1" x14ac:dyDescent="0.55000000000000004">
      <c r="A12201" s="17"/>
    </row>
    <row r="12202" spans="1:1" x14ac:dyDescent="0.55000000000000004">
      <c r="A12202" s="17"/>
    </row>
    <row r="12203" spans="1:1" x14ac:dyDescent="0.55000000000000004">
      <c r="A12203" s="17"/>
    </row>
    <row r="12204" spans="1:1" x14ac:dyDescent="0.55000000000000004">
      <c r="A12204" s="17"/>
    </row>
    <row r="12205" spans="1:1" x14ac:dyDescent="0.55000000000000004">
      <c r="A12205" s="17"/>
    </row>
    <row r="12206" spans="1:1" x14ac:dyDescent="0.55000000000000004">
      <c r="A12206" s="17"/>
    </row>
    <row r="12207" spans="1:1" x14ac:dyDescent="0.55000000000000004">
      <c r="A12207" s="17"/>
    </row>
    <row r="12208" spans="1:1" x14ac:dyDescent="0.55000000000000004">
      <c r="A12208" s="17"/>
    </row>
    <row r="12209" spans="1:1" x14ac:dyDescent="0.55000000000000004">
      <c r="A12209" s="17"/>
    </row>
    <row r="12210" spans="1:1" x14ac:dyDescent="0.55000000000000004">
      <c r="A12210" s="17"/>
    </row>
    <row r="12211" spans="1:1" x14ac:dyDescent="0.55000000000000004">
      <c r="A12211" s="17"/>
    </row>
    <row r="12212" spans="1:1" x14ac:dyDescent="0.55000000000000004">
      <c r="A12212" s="17"/>
    </row>
    <row r="12213" spans="1:1" x14ac:dyDescent="0.55000000000000004">
      <c r="A12213" s="17"/>
    </row>
    <row r="12214" spans="1:1" x14ac:dyDescent="0.55000000000000004">
      <c r="A12214" s="17"/>
    </row>
    <row r="12215" spans="1:1" x14ac:dyDescent="0.55000000000000004">
      <c r="A12215" s="17"/>
    </row>
    <row r="12216" spans="1:1" x14ac:dyDescent="0.55000000000000004">
      <c r="A12216" s="17"/>
    </row>
    <row r="12217" spans="1:1" x14ac:dyDescent="0.55000000000000004">
      <c r="A12217" s="17"/>
    </row>
    <row r="12218" spans="1:1" x14ac:dyDescent="0.55000000000000004">
      <c r="A12218" s="17"/>
    </row>
    <row r="12219" spans="1:1" x14ac:dyDescent="0.55000000000000004">
      <c r="A12219" s="17"/>
    </row>
    <row r="12220" spans="1:1" x14ac:dyDescent="0.55000000000000004">
      <c r="A12220" s="17"/>
    </row>
    <row r="12221" spans="1:1" x14ac:dyDescent="0.55000000000000004">
      <c r="A12221" s="17"/>
    </row>
    <row r="12222" spans="1:1" x14ac:dyDescent="0.55000000000000004">
      <c r="A12222" s="17"/>
    </row>
    <row r="12223" spans="1:1" x14ac:dyDescent="0.55000000000000004">
      <c r="A12223" s="17"/>
    </row>
    <row r="12224" spans="1:1" x14ac:dyDescent="0.55000000000000004">
      <c r="A12224" s="17"/>
    </row>
    <row r="12225" spans="1:1" x14ac:dyDescent="0.55000000000000004">
      <c r="A12225" s="17"/>
    </row>
    <row r="12226" spans="1:1" x14ac:dyDescent="0.55000000000000004">
      <c r="A12226" s="17"/>
    </row>
    <row r="12227" spans="1:1" x14ac:dyDescent="0.55000000000000004">
      <c r="A12227" s="17"/>
    </row>
    <row r="12228" spans="1:1" x14ac:dyDescent="0.55000000000000004">
      <c r="A12228" s="17"/>
    </row>
    <row r="12229" spans="1:1" x14ac:dyDescent="0.55000000000000004">
      <c r="A12229" s="17"/>
    </row>
    <row r="12230" spans="1:1" x14ac:dyDescent="0.55000000000000004">
      <c r="A12230" s="17"/>
    </row>
    <row r="12231" spans="1:1" x14ac:dyDescent="0.55000000000000004">
      <c r="A12231" s="17"/>
    </row>
    <row r="12232" spans="1:1" x14ac:dyDescent="0.55000000000000004">
      <c r="A12232" s="17"/>
    </row>
    <row r="12233" spans="1:1" x14ac:dyDescent="0.55000000000000004">
      <c r="A12233" s="17"/>
    </row>
    <row r="12234" spans="1:1" x14ac:dyDescent="0.55000000000000004">
      <c r="A12234" s="17"/>
    </row>
    <row r="12235" spans="1:1" x14ac:dyDescent="0.55000000000000004">
      <c r="A12235" s="17"/>
    </row>
    <row r="12236" spans="1:1" x14ac:dyDescent="0.55000000000000004">
      <c r="A12236" s="17"/>
    </row>
    <row r="12237" spans="1:1" x14ac:dyDescent="0.55000000000000004">
      <c r="A12237" s="17"/>
    </row>
    <row r="12238" spans="1:1" x14ac:dyDescent="0.55000000000000004">
      <c r="A12238" s="17"/>
    </row>
    <row r="12239" spans="1:1" x14ac:dyDescent="0.55000000000000004">
      <c r="A12239" s="17"/>
    </row>
    <row r="12240" spans="1:1" x14ac:dyDescent="0.55000000000000004">
      <c r="A12240" s="17"/>
    </row>
    <row r="12241" spans="1:1" x14ac:dyDescent="0.55000000000000004">
      <c r="A12241" s="17"/>
    </row>
    <row r="12242" spans="1:1" x14ac:dyDescent="0.55000000000000004">
      <c r="A12242" s="17"/>
    </row>
    <row r="12243" spans="1:1" x14ac:dyDescent="0.55000000000000004">
      <c r="A12243" s="17"/>
    </row>
    <row r="12244" spans="1:1" x14ac:dyDescent="0.55000000000000004">
      <c r="A12244" s="17"/>
    </row>
    <row r="12245" spans="1:1" x14ac:dyDescent="0.55000000000000004">
      <c r="A12245" s="17"/>
    </row>
    <row r="12246" spans="1:1" x14ac:dyDescent="0.55000000000000004">
      <c r="A12246" s="17"/>
    </row>
    <row r="12247" spans="1:1" x14ac:dyDescent="0.55000000000000004">
      <c r="A12247" s="17"/>
    </row>
    <row r="12248" spans="1:1" x14ac:dyDescent="0.55000000000000004">
      <c r="A12248" s="17"/>
    </row>
    <row r="12249" spans="1:1" x14ac:dyDescent="0.55000000000000004">
      <c r="A12249" s="17"/>
    </row>
    <row r="12250" spans="1:1" x14ac:dyDescent="0.55000000000000004">
      <c r="A12250" s="17"/>
    </row>
    <row r="12251" spans="1:1" x14ac:dyDescent="0.55000000000000004">
      <c r="A12251" s="17"/>
    </row>
    <row r="12252" spans="1:1" x14ac:dyDescent="0.55000000000000004">
      <c r="A12252" s="17"/>
    </row>
    <row r="12253" spans="1:1" x14ac:dyDescent="0.55000000000000004">
      <c r="A12253" s="17"/>
    </row>
    <row r="12254" spans="1:1" x14ac:dyDescent="0.55000000000000004">
      <c r="A12254" s="17"/>
    </row>
    <row r="12255" spans="1:1" x14ac:dyDescent="0.55000000000000004">
      <c r="A12255" s="17"/>
    </row>
    <row r="12256" spans="1:1" x14ac:dyDescent="0.55000000000000004">
      <c r="A12256" s="17"/>
    </row>
    <row r="12257" spans="1:1" x14ac:dyDescent="0.55000000000000004">
      <c r="A12257" s="17"/>
    </row>
    <row r="12258" spans="1:1" x14ac:dyDescent="0.55000000000000004">
      <c r="A12258" s="17"/>
    </row>
    <row r="12259" spans="1:1" x14ac:dyDescent="0.55000000000000004">
      <c r="A12259" s="17"/>
    </row>
    <row r="12260" spans="1:1" x14ac:dyDescent="0.55000000000000004">
      <c r="A12260" s="17"/>
    </row>
    <row r="12261" spans="1:1" x14ac:dyDescent="0.55000000000000004">
      <c r="A12261" s="17"/>
    </row>
    <row r="12262" spans="1:1" x14ac:dyDescent="0.55000000000000004">
      <c r="A12262" s="17"/>
    </row>
    <row r="12263" spans="1:1" x14ac:dyDescent="0.55000000000000004">
      <c r="A12263" s="17"/>
    </row>
    <row r="12264" spans="1:1" x14ac:dyDescent="0.55000000000000004">
      <c r="A12264" s="17"/>
    </row>
    <row r="12265" spans="1:1" x14ac:dyDescent="0.55000000000000004">
      <c r="A12265" s="17"/>
    </row>
    <row r="12266" spans="1:1" x14ac:dyDescent="0.55000000000000004">
      <c r="A12266" s="17"/>
    </row>
    <row r="12267" spans="1:1" x14ac:dyDescent="0.55000000000000004">
      <c r="A12267" s="17"/>
    </row>
    <row r="12268" spans="1:1" x14ac:dyDescent="0.55000000000000004">
      <c r="A12268" s="17"/>
    </row>
    <row r="12269" spans="1:1" x14ac:dyDescent="0.55000000000000004">
      <c r="A12269" s="17"/>
    </row>
    <row r="12270" spans="1:1" x14ac:dyDescent="0.55000000000000004">
      <c r="A12270" s="17"/>
    </row>
    <row r="12271" spans="1:1" x14ac:dyDescent="0.55000000000000004">
      <c r="A12271" s="17"/>
    </row>
    <row r="12272" spans="1:1" x14ac:dyDescent="0.55000000000000004">
      <c r="A12272" s="17"/>
    </row>
    <row r="12273" spans="1:1" x14ac:dyDescent="0.55000000000000004">
      <c r="A12273" s="17"/>
    </row>
    <row r="12274" spans="1:1" x14ac:dyDescent="0.55000000000000004">
      <c r="A12274" s="17"/>
    </row>
    <row r="12275" spans="1:1" x14ac:dyDescent="0.55000000000000004">
      <c r="A12275" s="17"/>
    </row>
    <row r="12276" spans="1:1" x14ac:dyDescent="0.55000000000000004">
      <c r="A12276" s="17"/>
    </row>
    <row r="12277" spans="1:1" x14ac:dyDescent="0.55000000000000004">
      <c r="A12277" s="17"/>
    </row>
    <row r="12278" spans="1:1" x14ac:dyDescent="0.55000000000000004">
      <c r="A12278" s="17"/>
    </row>
    <row r="12279" spans="1:1" x14ac:dyDescent="0.55000000000000004">
      <c r="A12279" s="17"/>
    </row>
    <row r="12280" spans="1:1" x14ac:dyDescent="0.55000000000000004">
      <c r="A12280" s="17"/>
    </row>
    <row r="12281" spans="1:1" x14ac:dyDescent="0.55000000000000004">
      <c r="A12281" s="17"/>
    </row>
    <row r="12282" spans="1:1" x14ac:dyDescent="0.55000000000000004">
      <c r="A12282" s="17"/>
    </row>
    <row r="12283" spans="1:1" x14ac:dyDescent="0.55000000000000004">
      <c r="A12283" s="17"/>
    </row>
    <row r="12284" spans="1:1" x14ac:dyDescent="0.55000000000000004">
      <c r="A12284" s="17"/>
    </row>
    <row r="12285" spans="1:1" x14ac:dyDescent="0.55000000000000004">
      <c r="A12285" s="17"/>
    </row>
    <row r="12286" spans="1:1" x14ac:dyDescent="0.55000000000000004">
      <c r="A12286" s="17"/>
    </row>
    <row r="12287" spans="1:1" x14ac:dyDescent="0.55000000000000004">
      <c r="A12287" s="17"/>
    </row>
    <row r="12288" spans="1:1" x14ac:dyDescent="0.55000000000000004">
      <c r="A12288" s="17"/>
    </row>
    <row r="12289" spans="1:1" x14ac:dyDescent="0.55000000000000004">
      <c r="A12289" s="17"/>
    </row>
    <row r="12290" spans="1:1" x14ac:dyDescent="0.55000000000000004">
      <c r="A12290" s="17"/>
    </row>
    <row r="12291" spans="1:1" x14ac:dyDescent="0.55000000000000004">
      <c r="A12291" s="17"/>
    </row>
    <row r="12292" spans="1:1" x14ac:dyDescent="0.55000000000000004">
      <c r="A12292" s="17"/>
    </row>
    <row r="12293" spans="1:1" x14ac:dyDescent="0.55000000000000004">
      <c r="A12293" s="17"/>
    </row>
    <row r="12294" spans="1:1" x14ac:dyDescent="0.55000000000000004">
      <c r="A12294" s="17"/>
    </row>
    <row r="12295" spans="1:1" x14ac:dyDescent="0.55000000000000004">
      <c r="A12295" s="17"/>
    </row>
    <row r="12296" spans="1:1" x14ac:dyDescent="0.55000000000000004">
      <c r="A12296" s="17"/>
    </row>
    <row r="12297" spans="1:1" x14ac:dyDescent="0.55000000000000004">
      <c r="A12297" s="17"/>
    </row>
    <row r="12298" spans="1:1" x14ac:dyDescent="0.55000000000000004">
      <c r="A12298" s="17"/>
    </row>
    <row r="12299" spans="1:1" x14ac:dyDescent="0.55000000000000004">
      <c r="A12299" s="17"/>
    </row>
    <row r="12300" spans="1:1" x14ac:dyDescent="0.55000000000000004">
      <c r="A12300" s="17"/>
    </row>
    <row r="12301" spans="1:1" x14ac:dyDescent="0.55000000000000004">
      <c r="A12301" s="17"/>
    </row>
    <row r="12302" spans="1:1" x14ac:dyDescent="0.55000000000000004">
      <c r="A12302" s="17"/>
    </row>
    <row r="12303" spans="1:1" x14ac:dyDescent="0.55000000000000004">
      <c r="A12303" s="17"/>
    </row>
    <row r="12304" spans="1:1" x14ac:dyDescent="0.55000000000000004">
      <c r="A12304" s="17"/>
    </row>
    <row r="12305" spans="1:1" x14ac:dyDescent="0.55000000000000004">
      <c r="A12305" s="17"/>
    </row>
    <row r="12306" spans="1:1" x14ac:dyDescent="0.55000000000000004">
      <c r="A12306" s="17"/>
    </row>
    <row r="12307" spans="1:1" x14ac:dyDescent="0.55000000000000004">
      <c r="A12307" s="17"/>
    </row>
    <row r="12308" spans="1:1" x14ac:dyDescent="0.55000000000000004">
      <c r="A12308" s="17"/>
    </row>
    <row r="12309" spans="1:1" x14ac:dyDescent="0.55000000000000004">
      <c r="A12309" s="17"/>
    </row>
    <row r="12310" spans="1:1" x14ac:dyDescent="0.55000000000000004">
      <c r="A12310" s="17"/>
    </row>
    <row r="12311" spans="1:1" x14ac:dyDescent="0.55000000000000004">
      <c r="A12311" s="17"/>
    </row>
    <row r="12312" spans="1:1" x14ac:dyDescent="0.55000000000000004">
      <c r="A12312" s="17"/>
    </row>
    <row r="12313" spans="1:1" x14ac:dyDescent="0.55000000000000004">
      <c r="A12313" s="17"/>
    </row>
    <row r="12314" spans="1:1" x14ac:dyDescent="0.55000000000000004">
      <c r="A12314" s="17"/>
    </row>
    <row r="12315" spans="1:1" x14ac:dyDescent="0.55000000000000004">
      <c r="A12315" s="17"/>
    </row>
    <row r="12316" spans="1:1" x14ac:dyDescent="0.55000000000000004">
      <c r="A12316" s="17"/>
    </row>
    <row r="12317" spans="1:1" x14ac:dyDescent="0.55000000000000004">
      <c r="A12317" s="17"/>
    </row>
    <row r="12318" spans="1:1" x14ac:dyDescent="0.55000000000000004">
      <c r="A12318" s="17"/>
    </row>
    <row r="12319" spans="1:1" x14ac:dyDescent="0.55000000000000004">
      <c r="A12319" s="17"/>
    </row>
    <row r="12320" spans="1:1" x14ac:dyDescent="0.55000000000000004">
      <c r="A12320" s="17"/>
    </row>
    <row r="12321" spans="1:1" x14ac:dyDescent="0.55000000000000004">
      <c r="A12321" s="17"/>
    </row>
    <row r="12322" spans="1:1" x14ac:dyDescent="0.55000000000000004">
      <c r="A12322" s="17"/>
    </row>
    <row r="12323" spans="1:1" x14ac:dyDescent="0.55000000000000004">
      <c r="A12323" s="17"/>
    </row>
    <row r="12324" spans="1:1" x14ac:dyDescent="0.55000000000000004">
      <c r="A12324" s="17"/>
    </row>
    <row r="12325" spans="1:1" x14ac:dyDescent="0.55000000000000004">
      <c r="A12325" s="17"/>
    </row>
    <row r="12326" spans="1:1" x14ac:dyDescent="0.55000000000000004">
      <c r="A12326" s="17"/>
    </row>
    <row r="12327" spans="1:1" x14ac:dyDescent="0.55000000000000004">
      <c r="A12327" s="17"/>
    </row>
    <row r="12328" spans="1:1" x14ac:dyDescent="0.55000000000000004">
      <c r="A12328" s="17"/>
    </row>
    <row r="12329" spans="1:1" x14ac:dyDescent="0.55000000000000004">
      <c r="A12329" s="17"/>
    </row>
    <row r="12330" spans="1:1" x14ac:dyDescent="0.55000000000000004">
      <c r="A12330" s="17"/>
    </row>
    <row r="12331" spans="1:1" x14ac:dyDescent="0.55000000000000004">
      <c r="A12331" s="17"/>
    </row>
    <row r="12332" spans="1:1" x14ac:dyDescent="0.55000000000000004">
      <c r="A12332" s="17"/>
    </row>
    <row r="12333" spans="1:1" x14ac:dyDescent="0.55000000000000004">
      <c r="A12333" s="17"/>
    </row>
    <row r="12334" spans="1:1" x14ac:dyDescent="0.55000000000000004">
      <c r="A12334" s="17"/>
    </row>
    <row r="12335" spans="1:1" x14ac:dyDescent="0.55000000000000004">
      <c r="A12335" s="17"/>
    </row>
    <row r="12336" spans="1:1" x14ac:dyDescent="0.55000000000000004">
      <c r="A12336" s="17"/>
    </row>
    <row r="12337" spans="1:1" x14ac:dyDescent="0.55000000000000004">
      <c r="A12337" s="17"/>
    </row>
    <row r="12338" spans="1:1" x14ac:dyDescent="0.55000000000000004">
      <c r="A12338" s="17"/>
    </row>
    <row r="12339" spans="1:1" x14ac:dyDescent="0.55000000000000004">
      <c r="A12339" s="17"/>
    </row>
    <row r="12340" spans="1:1" x14ac:dyDescent="0.55000000000000004">
      <c r="A12340" s="17"/>
    </row>
    <row r="12341" spans="1:1" x14ac:dyDescent="0.55000000000000004">
      <c r="A12341" s="17"/>
    </row>
    <row r="12342" spans="1:1" x14ac:dyDescent="0.55000000000000004">
      <c r="A12342" s="17"/>
    </row>
    <row r="12343" spans="1:1" x14ac:dyDescent="0.55000000000000004">
      <c r="A12343" s="17"/>
    </row>
    <row r="12344" spans="1:1" x14ac:dyDescent="0.55000000000000004">
      <c r="A12344" s="17"/>
    </row>
    <row r="12345" spans="1:1" x14ac:dyDescent="0.55000000000000004">
      <c r="A12345" s="17"/>
    </row>
    <row r="12346" spans="1:1" x14ac:dyDescent="0.55000000000000004">
      <c r="A12346" s="17"/>
    </row>
    <row r="12347" spans="1:1" x14ac:dyDescent="0.55000000000000004">
      <c r="A12347" s="17"/>
    </row>
    <row r="12348" spans="1:1" x14ac:dyDescent="0.55000000000000004">
      <c r="A12348" s="17"/>
    </row>
    <row r="12349" spans="1:1" x14ac:dyDescent="0.55000000000000004">
      <c r="A12349" s="17"/>
    </row>
    <row r="12350" spans="1:1" x14ac:dyDescent="0.55000000000000004">
      <c r="A12350" s="17"/>
    </row>
    <row r="12351" spans="1:1" x14ac:dyDescent="0.55000000000000004">
      <c r="A12351" s="17"/>
    </row>
    <row r="12352" spans="1:1" x14ac:dyDescent="0.55000000000000004">
      <c r="A12352" s="17"/>
    </row>
    <row r="12353" spans="1:1" x14ac:dyDescent="0.55000000000000004">
      <c r="A12353" s="17"/>
    </row>
    <row r="12354" spans="1:1" x14ac:dyDescent="0.55000000000000004">
      <c r="A12354" s="17"/>
    </row>
    <row r="12355" spans="1:1" x14ac:dyDescent="0.55000000000000004">
      <c r="A12355" s="17"/>
    </row>
    <row r="12356" spans="1:1" x14ac:dyDescent="0.55000000000000004">
      <c r="A12356" s="17"/>
    </row>
    <row r="12357" spans="1:1" x14ac:dyDescent="0.55000000000000004">
      <c r="A12357" s="17"/>
    </row>
    <row r="12358" spans="1:1" x14ac:dyDescent="0.55000000000000004">
      <c r="A12358" s="17"/>
    </row>
    <row r="12359" spans="1:1" x14ac:dyDescent="0.55000000000000004">
      <c r="A12359" s="17"/>
    </row>
    <row r="12360" spans="1:1" x14ac:dyDescent="0.55000000000000004">
      <c r="A12360" s="17"/>
    </row>
    <row r="12361" spans="1:1" x14ac:dyDescent="0.55000000000000004">
      <c r="A12361" s="17"/>
    </row>
    <row r="12362" spans="1:1" x14ac:dyDescent="0.55000000000000004">
      <c r="A12362" s="17"/>
    </row>
    <row r="12363" spans="1:1" x14ac:dyDescent="0.55000000000000004">
      <c r="A12363" s="17"/>
    </row>
    <row r="12364" spans="1:1" x14ac:dyDescent="0.55000000000000004">
      <c r="A12364" s="17"/>
    </row>
    <row r="12365" spans="1:1" x14ac:dyDescent="0.55000000000000004">
      <c r="A12365" s="17"/>
    </row>
    <row r="12366" spans="1:1" x14ac:dyDescent="0.55000000000000004">
      <c r="A12366" s="17"/>
    </row>
    <row r="12367" spans="1:1" x14ac:dyDescent="0.55000000000000004">
      <c r="A12367" s="17"/>
    </row>
    <row r="12368" spans="1:1" x14ac:dyDescent="0.55000000000000004">
      <c r="A12368" s="17"/>
    </row>
    <row r="12369" spans="1:1" x14ac:dyDescent="0.55000000000000004">
      <c r="A12369" s="17"/>
    </row>
    <row r="12370" spans="1:1" x14ac:dyDescent="0.55000000000000004">
      <c r="A12370" s="17"/>
    </row>
    <row r="12371" spans="1:1" x14ac:dyDescent="0.55000000000000004">
      <c r="A12371" s="17"/>
    </row>
    <row r="12372" spans="1:1" x14ac:dyDescent="0.55000000000000004">
      <c r="A12372" s="17"/>
    </row>
    <row r="12373" spans="1:1" x14ac:dyDescent="0.55000000000000004">
      <c r="A12373" s="17"/>
    </row>
    <row r="12374" spans="1:1" x14ac:dyDescent="0.55000000000000004">
      <c r="A12374" s="17"/>
    </row>
    <row r="12375" spans="1:1" x14ac:dyDescent="0.55000000000000004">
      <c r="A12375" s="17"/>
    </row>
    <row r="12376" spans="1:1" x14ac:dyDescent="0.55000000000000004">
      <c r="A12376" s="17"/>
    </row>
    <row r="12377" spans="1:1" x14ac:dyDescent="0.55000000000000004">
      <c r="A12377" s="17"/>
    </row>
    <row r="12378" spans="1:1" x14ac:dyDescent="0.55000000000000004">
      <c r="A12378" s="17"/>
    </row>
    <row r="12379" spans="1:1" x14ac:dyDescent="0.55000000000000004">
      <c r="A12379" s="17"/>
    </row>
    <row r="12380" spans="1:1" x14ac:dyDescent="0.55000000000000004">
      <c r="A12380" s="17"/>
    </row>
    <row r="12381" spans="1:1" x14ac:dyDescent="0.55000000000000004">
      <c r="A12381" s="17"/>
    </row>
    <row r="12382" spans="1:1" x14ac:dyDescent="0.55000000000000004">
      <c r="A12382" s="17"/>
    </row>
    <row r="12383" spans="1:1" x14ac:dyDescent="0.55000000000000004">
      <c r="A12383" s="17"/>
    </row>
    <row r="12384" spans="1:1" x14ac:dyDescent="0.55000000000000004">
      <c r="A12384" s="17"/>
    </row>
    <row r="12385" spans="1:1" x14ac:dyDescent="0.55000000000000004">
      <c r="A12385" s="17"/>
    </row>
    <row r="12386" spans="1:1" x14ac:dyDescent="0.55000000000000004">
      <c r="A12386" s="17"/>
    </row>
    <row r="12387" spans="1:1" x14ac:dyDescent="0.55000000000000004">
      <c r="A12387" s="17"/>
    </row>
    <row r="12388" spans="1:1" x14ac:dyDescent="0.55000000000000004">
      <c r="A12388" s="17"/>
    </row>
    <row r="12389" spans="1:1" x14ac:dyDescent="0.55000000000000004">
      <c r="A12389" s="17"/>
    </row>
    <row r="12390" spans="1:1" x14ac:dyDescent="0.55000000000000004">
      <c r="A12390" s="17"/>
    </row>
    <row r="12391" spans="1:1" x14ac:dyDescent="0.55000000000000004">
      <c r="A12391" s="17"/>
    </row>
    <row r="12392" spans="1:1" x14ac:dyDescent="0.55000000000000004">
      <c r="A12392" s="17"/>
    </row>
    <row r="12393" spans="1:1" x14ac:dyDescent="0.55000000000000004">
      <c r="A12393" s="17"/>
    </row>
    <row r="12394" spans="1:1" x14ac:dyDescent="0.55000000000000004">
      <c r="A12394" s="17"/>
    </row>
    <row r="12395" spans="1:1" x14ac:dyDescent="0.55000000000000004">
      <c r="A12395" s="17"/>
    </row>
    <row r="12396" spans="1:1" x14ac:dyDescent="0.55000000000000004">
      <c r="A12396" s="17"/>
    </row>
    <row r="12397" spans="1:1" x14ac:dyDescent="0.55000000000000004">
      <c r="A12397" s="17"/>
    </row>
    <row r="12398" spans="1:1" x14ac:dyDescent="0.55000000000000004">
      <c r="A12398" s="17"/>
    </row>
    <row r="12399" spans="1:1" x14ac:dyDescent="0.55000000000000004">
      <c r="A12399" s="17"/>
    </row>
    <row r="12400" spans="1:1" x14ac:dyDescent="0.55000000000000004">
      <c r="A12400" s="17"/>
    </row>
    <row r="12401" spans="1:1" x14ac:dyDescent="0.55000000000000004">
      <c r="A12401" s="17"/>
    </row>
    <row r="12402" spans="1:1" x14ac:dyDescent="0.55000000000000004">
      <c r="A12402" s="17"/>
    </row>
    <row r="12403" spans="1:1" x14ac:dyDescent="0.55000000000000004">
      <c r="A12403" s="17"/>
    </row>
    <row r="12404" spans="1:1" x14ac:dyDescent="0.55000000000000004">
      <c r="A12404" s="17"/>
    </row>
    <row r="12405" spans="1:1" x14ac:dyDescent="0.55000000000000004">
      <c r="A12405" s="17"/>
    </row>
    <row r="12406" spans="1:1" x14ac:dyDescent="0.55000000000000004">
      <c r="A12406" s="17"/>
    </row>
    <row r="12407" spans="1:1" x14ac:dyDescent="0.55000000000000004">
      <c r="A12407" s="17"/>
    </row>
    <row r="12408" spans="1:1" x14ac:dyDescent="0.55000000000000004">
      <c r="A12408" s="17"/>
    </row>
    <row r="12409" spans="1:1" x14ac:dyDescent="0.55000000000000004">
      <c r="A12409" s="17"/>
    </row>
    <row r="12410" spans="1:1" x14ac:dyDescent="0.55000000000000004">
      <c r="A12410" s="17"/>
    </row>
    <row r="12411" spans="1:1" x14ac:dyDescent="0.55000000000000004">
      <c r="A12411" s="17"/>
    </row>
    <row r="12412" spans="1:1" x14ac:dyDescent="0.55000000000000004">
      <c r="A12412" s="17"/>
    </row>
    <row r="12413" spans="1:1" x14ac:dyDescent="0.55000000000000004">
      <c r="A12413" s="17"/>
    </row>
    <row r="12414" spans="1:1" x14ac:dyDescent="0.55000000000000004">
      <c r="A12414" s="17"/>
    </row>
    <row r="12415" spans="1:1" x14ac:dyDescent="0.55000000000000004">
      <c r="A12415" s="17"/>
    </row>
    <row r="12416" spans="1:1" x14ac:dyDescent="0.55000000000000004">
      <c r="A12416" s="17"/>
    </row>
    <row r="12417" spans="1:1" x14ac:dyDescent="0.55000000000000004">
      <c r="A12417" s="17"/>
    </row>
    <row r="12418" spans="1:1" x14ac:dyDescent="0.55000000000000004">
      <c r="A12418" s="17"/>
    </row>
    <row r="12419" spans="1:1" x14ac:dyDescent="0.55000000000000004">
      <c r="A12419" s="17"/>
    </row>
    <row r="12420" spans="1:1" x14ac:dyDescent="0.55000000000000004">
      <c r="A12420" s="17"/>
    </row>
    <row r="12421" spans="1:1" x14ac:dyDescent="0.55000000000000004">
      <c r="A12421" s="17"/>
    </row>
    <row r="12422" spans="1:1" x14ac:dyDescent="0.55000000000000004">
      <c r="A12422" s="17"/>
    </row>
    <row r="12423" spans="1:1" x14ac:dyDescent="0.55000000000000004">
      <c r="A12423" s="17"/>
    </row>
    <row r="12424" spans="1:1" x14ac:dyDescent="0.55000000000000004">
      <c r="A12424" s="17"/>
    </row>
    <row r="12425" spans="1:1" x14ac:dyDescent="0.55000000000000004">
      <c r="A12425" s="17"/>
    </row>
    <row r="12426" spans="1:1" x14ac:dyDescent="0.55000000000000004">
      <c r="A12426" s="17"/>
    </row>
    <row r="12427" spans="1:1" x14ac:dyDescent="0.55000000000000004">
      <c r="A12427" s="17"/>
    </row>
    <row r="12428" spans="1:1" x14ac:dyDescent="0.55000000000000004">
      <c r="A12428" s="17"/>
    </row>
    <row r="12429" spans="1:1" x14ac:dyDescent="0.55000000000000004">
      <c r="A12429" s="17"/>
    </row>
    <row r="12430" spans="1:1" x14ac:dyDescent="0.55000000000000004">
      <c r="A12430" s="17"/>
    </row>
    <row r="12431" spans="1:1" x14ac:dyDescent="0.55000000000000004">
      <c r="A12431" s="17"/>
    </row>
    <row r="12432" spans="1:1" x14ac:dyDescent="0.55000000000000004">
      <c r="A12432" s="17"/>
    </row>
    <row r="12433" spans="1:1" x14ac:dyDescent="0.55000000000000004">
      <c r="A12433" s="17"/>
    </row>
    <row r="12434" spans="1:1" x14ac:dyDescent="0.55000000000000004">
      <c r="A12434" s="17"/>
    </row>
    <row r="12435" spans="1:1" x14ac:dyDescent="0.55000000000000004">
      <c r="A12435" s="17"/>
    </row>
    <row r="12436" spans="1:1" x14ac:dyDescent="0.55000000000000004">
      <c r="A12436" s="17"/>
    </row>
    <row r="12437" spans="1:1" x14ac:dyDescent="0.55000000000000004">
      <c r="A12437" s="17"/>
    </row>
    <row r="12438" spans="1:1" x14ac:dyDescent="0.55000000000000004">
      <c r="A12438" s="17"/>
    </row>
    <row r="12439" spans="1:1" x14ac:dyDescent="0.55000000000000004">
      <c r="A12439" s="17"/>
    </row>
    <row r="12440" spans="1:1" x14ac:dyDescent="0.55000000000000004">
      <c r="A12440" s="17"/>
    </row>
    <row r="12441" spans="1:1" x14ac:dyDescent="0.55000000000000004">
      <c r="A12441" s="17"/>
    </row>
    <row r="12442" spans="1:1" x14ac:dyDescent="0.55000000000000004">
      <c r="A12442" s="17"/>
    </row>
    <row r="12443" spans="1:1" x14ac:dyDescent="0.55000000000000004">
      <c r="A12443" s="17"/>
    </row>
    <row r="12444" spans="1:1" x14ac:dyDescent="0.55000000000000004">
      <c r="A12444" s="17"/>
    </row>
    <row r="12445" spans="1:1" x14ac:dyDescent="0.55000000000000004">
      <c r="A12445" s="17"/>
    </row>
    <row r="12446" spans="1:1" x14ac:dyDescent="0.55000000000000004">
      <c r="A12446" s="17"/>
    </row>
    <row r="12447" spans="1:1" x14ac:dyDescent="0.55000000000000004">
      <c r="A12447" s="17"/>
    </row>
    <row r="12448" spans="1:1" x14ac:dyDescent="0.55000000000000004">
      <c r="A12448" s="17"/>
    </row>
    <row r="12449" spans="1:1" x14ac:dyDescent="0.55000000000000004">
      <c r="A12449" s="17"/>
    </row>
    <row r="12450" spans="1:1" x14ac:dyDescent="0.55000000000000004">
      <c r="A12450" s="17"/>
    </row>
    <row r="12451" spans="1:1" x14ac:dyDescent="0.55000000000000004">
      <c r="A12451" s="17"/>
    </row>
    <row r="12452" spans="1:1" x14ac:dyDescent="0.55000000000000004">
      <c r="A12452" s="17"/>
    </row>
    <row r="12453" spans="1:1" x14ac:dyDescent="0.55000000000000004">
      <c r="A12453" s="17"/>
    </row>
    <row r="12454" spans="1:1" x14ac:dyDescent="0.55000000000000004">
      <c r="A12454" s="17"/>
    </row>
    <row r="12455" spans="1:1" x14ac:dyDescent="0.55000000000000004">
      <c r="A12455" s="17"/>
    </row>
    <row r="12456" spans="1:1" x14ac:dyDescent="0.55000000000000004">
      <c r="A12456" s="17"/>
    </row>
    <row r="12457" spans="1:1" x14ac:dyDescent="0.55000000000000004">
      <c r="A12457" s="17"/>
    </row>
    <row r="12458" spans="1:1" x14ac:dyDescent="0.55000000000000004">
      <c r="A12458" s="17"/>
    </row>
    <row r="12459" spans="1:1" x14ac:dyDescent="0.55000000000000004">
      <c r="A12459" s="17"/>
    </row>
    <row r="12460" spans="1:1" x14ac:dyDescent="0.55000000000000004">
      <c r="A12460" s="17"/>
    </row>
    <row r="12461" spans="1:1" x14ac:dyDescent="0.55000000000000004">
      <c r="A12461" s="17"/>
    </row>
    <row r="12462" spans="1:1" x14ac:dyDescent="0.55000000000000004">
      <c r="A12462" s="17"/>
    </row>
    <row r="12463" spans="1:1" x14ac:dyDescent="0.55000000000000004">
      <c r="A12463" s="17"/>
    </row>
    <row r="12464" spans="1:1" x14ac:dyDescent="0.55000000000000004">
      <c r="A12464" s="17"/>
    </row>
    <row r="12465" spans="1:1" x14ac:dyDescent="0.55000000000000004">
      <c r="A12465" s="17"/>
    </row>
    <row r="12466" spans="1:1" x14ac:dyDescent="0.55000000000000004">
      <c r="A12466" s="17"/>
    </row>
    <row r="12467" spans="1:1" x14ac:dyDescent="0.55000000000000004">
      <c r="A12467" s="17"/>
    </row>
    <row r="12468" spans="1:1" x14ac:dyDescent="0.55000000000000004">
      <c r="A12468" s="17"/>
    </row>
    <row r="12469" spans="1:1" x14ac:dyDescent="0.55000000000000004">
      <c r="A12469" s="17"/>
    </row>
    <row r="12470" spans="1:1" x14ac:dyDescent="0.55000000000000004">
      <c r="A12470" s="17"/>
    </row>
    <row r="12471" spans="1:1" x14ac:dyDescent="0.55000000000000004">
      <c r="A12471" s="17"/>
    </row>
    <row r="12472" spans="1:1" x14ac:dyDescent="0.55000000000000004">
      <c r="A12472" s="17"/>
    </row>
    <row r="12473" spans="1:1" x14ac:dyDescent="0.55000000000000004">
      <c r="A12473" s="17"/>
    </row>
    <row r="12474" spans="1:1" x14ac:dyDescent="0.55000000000000004">
      <c r="A12474" s="17"/>
    </row>
    <row r="12475" spans="1:1" x14ac:dyDescent="0.55000000000000004">
      <c r="A12475" s="17"/>
    </row>
    <row r="12476" spans="1:1" x14ac:dyDescent="0.55000000000000004">
      <c r="A12476" s="17"/>
    </row>
    <row r="12477" spans="1:1" x14ac:dyDescent="0.55000000000000004">
      <c r="A12477" s="17"/>
    </row>
    <row r="12478" spans="1:1" x14ac:dyDescent="0.55000000000000004">
      <c r="A12478" s="17"/>
    </row>
    <row r="12479" spans="1:1" x14ac:dyDescent="0.55000000000000004">
      <c r="A12479" s="17"/>
    </row>
    <row r="12480" spans="1:1" x14ac:dyDescent="0.55000000000000004">
      <c r="A12480" s="17"/>
    </row>
    <row r="12481" spans="1:1" x14ac:dyDescent="0.55000000000000004">
      <c r="A12481" s="17"/>
    </row>
    <row r="12482" spans="1:1" x14ac:dyDescent="0.55000000000000004">
      <c r="A12482" s="17"/>
    </row>
    <row r="12483" spans="1:1" x14ac:dyDescent="0.55000000000000004">
      <c r="A12483" s="17"/>
    </row>
    <row r="12484" spans="1:1" x14ac:dyDescent="0.55000000000000004">
      <c r="A12484" s="17"/>
    </row>
    <row r="12485" spans="1:1" x14ac:dyDescent="0.55000000000000004">
      <c r="A12485" s="17"/>
    </row>
    <row r="12486" spans="1:1" x14ac:dyDescent="0.55000000000000004">
      <c r="A12486" s="17"/>
    </row>
    <row r="12487" spans="1:1" x14ac:dyDescent="0.55000000000000004">
      <c r="A12487" s="17"/>
    </row>
    <row r="12488" spans="1:1" x14ac:dyDescent="0.55000000000000004">
      <c r="A12488" s="17"/>
    </row>
    <row r="12489" spans="1:1" x14ac:dyDescent="0.55000000000000004">
      <c r="A12489" s="17"/>
    </row>
    <row r="12490" spans="1:1" x14ac:dyDescent="0.55000000000000004">
      <c r="A12490" s="17"/>
    </row>
    <row r="12491" spans="1:1" x14ac:dyDescent="0.55000000000000004">
      <c r="A12491" s="17"/>
    </row>
    <row r="12492" spans="1:1" x14ac:dyDescent="0.55000000000000004">
      <c r="A12492" s="17"/>
    </row>
    <row r="12493" spans="1:1" x14ac:dyDescent="0.55000000000000004">
      <c r="A12493" s="17"/>
    </row>
    <row r="12494" spans="1:1" x14ac:dyDescent="0.55000000000000004">
      <c r="A12494" s="17"/>
    </row>
    <row r="12495" spans="1:1" x14ac:dyDescent="0.55000000000000004">
      <c r="A12495" s="17"/>
    </row>
    <row r="12496" spans="1:1" x14ac:dyDescent="0.55000000000000004">
      <c r="A12496" s="17"/>
    </row>
    <row r="12497" spans="1:1" x14ac:dyDescent="0.55000000000000004">
      <c r="A12497" s="17"/>
    </row>
    <row r="12498" spans="1:1" x14ac:dyDescent="0.55000000000000004">
      <c r="A12498" s="17"/>
    </row>
    <row r="12499" spans="1:1" x14ac:dyDescent="0.55000000000000004">
      <c r="A12499" s="17"/>
    </row>
    <row r="12500" spans="1:1" x14ac:dyDescent="0.55000000000000004">
      <c r="A12500" s="17"/>
    </row>
    <row r="12501" spans="1:1" x14ac:dyDescent="0.55000000000000004">
      <c r="A12501" s="17"/>
    </row>
    <row r="12502" spans="1:1" x14ac:dyDescent="0.55000000000000004">
      <c r="A12502" s="17"/>
    </row>
    <row r="12503" spans="1:1" x14ac:dyDescent="0.55000000000000004">
      <c r="A12503" s="17"/>
    </row>
    <row r="12504" spans="1:1" x14ac:dyDescent="0.55000000000000004">
      <c r="A12504" s="17"/>
    </row>
    <row r="12505" spans="1:1" x14ac:dyDescent="0.55000000000000004">
      <c r="A12505" s="17"/>
    </row>
    <row r="12506" spans="1:1" x14ac:dyDescent="0.55000000000000004">
      <c r="A12506" s="17"/>
    </row>
    <row r="12507" spans="1:1" x14ac:dyDescent="0.55000000000000004">
      <c r="A12507" s="17"/>
    </row>
    <row r="12508" spans="1:1" x14ac:dyDescent="0.55000000000000004">
      <c r="A12508" s="17"/>
    </row>
    <row r="12509" spans="1:1" x14ac:dyDescent="0.55000000000000004">
      <c r="A12509" s="17"/>
    </row>
    <row r="12510" spans="1:1" x14ac:dyDescent="0.55000000000000004">
      <c r="A12510" s="17"/>
    </row>
    <row r="12511" spans="1:1" x14ac:dyDescent="0.55000000000000004">
      <c r="A12511" s="17"/>
    </row>
    <row r="12512" spans="1:1" x14ac:dyDescent="0.55000000000000004">
      <c r="A12512" s="17"/>
    </row>
    <row r="12513" spans="1:1" x14ac:dyDescent="0.55000000000000004">
      <c r="A12513" s="17"/>
    </row>
    <row r="12514" spans="1:1" x14ac:dyDescent="0.55000000000000004">
      <c r="A12514" s="17"/>
    </row>
    <row r="12515" spans="1:1" x14ac:dyDescent="0.55000000000000004">
      <c r="A12515" s="17"/>
    </row>
    <row r="12516" spans="1:1" x14ac:dyDescent="0.55000000000000004">
      <c r="A12516" s="17"/>
    </row>
    <row r="12517" spans="1:1" x14ac:dyDescent="0.55000000000000004">
      <c r="A12517" s="17"/>
    </row>
    <row r="12518" spans="1:1" x14ac:dyDescent="0.55000000000000004">
      <c r="A12518" s="17"/>
    </row>
    <row r="12519" spans="1:1" x14ac:dyDescent="0.55000000000000004">
      <c r="A12519" s="17"/>
    </row>
    <row r="12520" spans="1:1" x14ac:dyDescent="0.55000000000000004">
      <c r="A12520" s="17"/>
    </row>
    <row r="12521" spans="1:1" x14ac:dyDescent="0.55000000000000004">
      <c r="A12521" s="17"/>
    </row>
    <row r="12522" spans="1:1" x14ac:dyDescent="0.55000000000000004">
      <c r="A12522" s="17"/>
    </row>
    <row r="12523" spans="1:1" x14ac:dyDescent="0.55000000000000004">
      <c r="A12523" s="17"/>
    </row>
    <row r="12524" spans="1:1" x14ac:dyDescent="0.55000000000000004">
      <c r="A12524" s="17"/>
    </row>
    <row r="12525" spans="1:1" x14ac:dyDescent="0.55000000000000004">
      <c r="A12525" s="17"/>
    </row>
    <row r="12526" spans="1:1" x14ac:dyDescent="0.55000000000000004">
      <c r="A12526" s="17"/>
    </row>
    <row r="12527" spans="1:1" x14ac:dyDescent="0.55000000000000004">
      <c r="A12527" s="17"/>
    </row>
    <row r="12528" spans="1:1" x14ac:dyDescent="0.55000000000000004">
      <c r="A12528" s="17"/>
    </row>
    <row r="12529" spans="1:1" x14ac:dyDescent="0.55000000000000004">
      <c r="A12529" s="17"/>
    </row>
    <row r="12530" spans="1:1" x14ac:dyDescent="0.55000000000000004">
      <c r="A12530" s="17"/>
    </row>
    <row r="12531" spans="1:1" x14ac:dyDescent="0.55000000000000004">
      <c r="A12531" s="17"/>
    </row>
    <row r="12532" spans="1:1" x14ac:dyDescent="0.55000000000000004">
      <c r="A12532" s="17"/>
    </row>
    <row r="12533" spans="1:1" x14ac:dyDescent="0.55000000000000004">
      <c r="A12533" s="17"/>
    </row>
    <row r="12534" spans="1:1" x14ac:dyDescent="0.55000000000000004">
      <c r="A12534" s="17"/>
    </row>
    <row r="12535" spans="1:1" x14ac:dyDescent="0.55000000000000004">
      <c r="A12535" s="17"/>
    </row>
    <row r="12536" spans="1:1" x14ac:dyDescent="0.55000000000000004">
      <c r="A12536" s="17"/>
    </row>
    <row r="12537" spans="1:1" x14ac:dyDescent="0.55000000000000004">
      <c r="A12537" s="17"/>
    </row>
    <row r="12538" spans="1:1" x14ac:dyDescent="0.55000000000000004">
      <c r="A12538" s="17"/>
    </row>
    <row r="12539" spans="1:1" x14ac:dyDescent="0.55000000000000004">
      <c r="A12539" s="17"/>
    </row>
    <row r="12540" spans="1:1" x14ac:dyDescent="0.55000000000000004">
      <c r="A12540" s="17"/>
    </row>
    <row r="12541" spans="1:1" x14ac:dyDescent="0.55000000000000004">
      <c r="A12541" s="17"/>
    </row>
    <row r="12542" spans="1:1" x14ac:dyDescent="0.55000000000000004">
      <c r="A12542" s="17"/>
    </row>
    <row r="12543" spans="1:1" x14ac:dyDescent="0.55000000000000004">
      <c r="A12543" s="17"/>
    </row>
    <row r="12544" spans="1:1" x14ac:dyDescent="0.55000000000000004">
      <c r="A12544" s="17"/>
    </row>
    <row r="12545" spans="1:1" x14ac:dyDescent="0.55000000000000004">
      <c r="A12545" s="17"/>
    </row>
    <row r="12546" spans="1:1" x14ac:dyDescent="0.55000000000000004">
      <c r="A12546" s="17"/>
    </row>
    <row r="12547" spans="1:1" x14ac:dyDescent="0.55000000000000004">
      <c r="A12547" s="17"/>
    </row>
    <row r="12548" spans="1:1" x14ac:dyDescent="0.55000000000000004">
      <c r="A12548" s="17"/>
    </row>
    <row r="12549" spans="1:1" x14ac:dyDescent="0.55000000000000004">
      <c r="A12549" s="17"/>
    </row>
    <row r="12550" spans="1:1" x14ac:dyDescent="0.55000000000000004">
      <c r="A12550" s="17"/>
    </row>
    <row r="12551" spans="1:1" x14ac:dyDescent="0.55000000000000004">
      <c r="A12551" s="17"/>
    </row>
    <row r="12552" spans="1:1" x14ac:dyDescent="0.55000000000000004">
      <c r="A12552" s="17"/>
    </row>
    <row r="12553" spans="1:1" x14ac:dyDescent="0.55000000000000004">
      <c r="A12553" s="17"/>
    </row>
    <row r="12554" spans="1:1" x14ac:dyDescent="0.55000000000000004">
      <c r="A12554" s="17"/>
    </row>
    <row r="12555" spans="1:1" x14ac:dyDescent="0.55000000000000004">
      <c r="A12555" s="17"/>
    </row>
    <row r="12556" spans="1:1" x14ac:dyDescent="0.55000000000000004">
      <c r="A12556" s="17"/>
    </row>
    <row r="12557" spans="1:1" x14ac:dyDescent="0.55000000000000004">
      <c r="A12557" s="17"/>
    </row>
    <row r="12558" spans="1:1" x14ac:dyDescent="0.55000000000000004">
      <c r="A12558" s="17"/>
    </row>
    <row r="12559" spans="1:1" x14ac:dyDescent="0.55000000000000004">
      <c r="A12559" s="17"/>
    </row>
    <row r="12560" spans="1:1" x14ac:dyDescent="0.55000000000000004">
      <c r="A12560" s="17"/>
    </row>
    <row r="12561" spans="1:1" x14ac:dyDescent="0.55000000000000004">
      <c r="A12561" s="17"/>
    </row>
    <row r="12562" spans="1:1" x14ac:dyDescent="0.55000000000000004">
      <c r="A12562" s="17"/>
    </row>
    <row r="12563" spans="1:1" x14ac:dyDescent="0.55000000000000004">
      <c r="A12563" s="17"/>
    </row>
    <row r="12564" spans="1:1" x14ac:dyDescent="0.55000000000000004">
      <c r="A12564" s="17"/>
    </row>
    <row r="12565" spans="1:1" x14ac:dyDescent="0.55000000000000004">
      <c r="A12565" s="17"/>
    </row>
    <row r="12566" spans="1:1" x14ac:dyDescent="0.55000000000000004">
      <c r="A12566" s="17"/>
    </row>
    <row r="12567" spans="1:1" x14ac:dyDescent="0.55000000000000004">
      <c r="A12567" s="17"/>
    </row>
    <row r="12568" spans="1:1" x14ac:dyDescent="0.55000000000000004">
      <c r="A12568" s="17"/>
    </row>
    <row r="12569" spans="1:1" x14ac:dyDescent="0.55000000000000004">
      <c r="A12569" s="17"/>
    </row>
    <row r="12570" spans="1:1" x14ac:dyDescent="0.55000000000000004">
      <c r="A12570" s="17"/>
    </row>
    <row r="12571" spans="1:1" x14ac:dyDescent="0.55000000000000004">
      <c r="A12571" s="17"/>
    </row>
    <row r="12572" spans="1:1" x14ac:dyDescent="0.55000000000000004">
      <c r="A12572" s="17"/>
    </row>
    <row r="12573" spans="1:1" x14ac:dyDescent="0.55000000000000004">
      <c r="A12573" s="17"/>
    </row>
    <row r="12574" spans="1:1" x14ac:dyDescent="0.55000000000000004">
      <c r="A12574" s="17"/>
    </row>
    <row r="12575" spans="1:1" x14ac:dyDescent="0.55000000000000004">
      <c r="A12575" s="17"/>
    </row>
    <row r="12576" spans="1:1" x14ac:dyDescent="0.55000000000000004">
      <c r="A12576" s="17"/>
    </row>
    <row r="12577" spans="1:1" x14ac:dyDescent="0.55000000000000004">
      <c r="A12577" s="17"/>
    </row>
    <row r="12578" spans="1:1" x14ac:dyDescent="0.55000000000000004">
      <c r="A12578" s="17"/>
    </row>
    <row r="12579" spans="1:1" x14ac:dyDescent="0.55000000000000004">
      <c r="A12579" s="17"/>
    </row>
    <row r="12580" spans="1:1" x14ac:dyDescent="0.55000000000000004">
      <c r="A12580" s="17"/>
    </row>
    <row r="12581" spans="1:1" x14ac:dyDescent="0.55000000000000004">
      <c r="A12581" s="17"/>
    </row>
    <row r="12582" spans="1:1" x14ac:dyDescent="0.55000000000000004">
      <c r="A12582" s="17"/>
    </row>
    <row r="12583" spans="1:1" x14ac:dyDescent="0.55000000000000004">
      <c r="A12583" s="17"/>
    </row>
    <row r="12584" spans="1:1" x14ac:dyDescent="0.55000000000000004">
      <c r="A12584" s="17"/>
    </row>
    <row r="12585" spans="1:1" x14ac:dyDescent="0.55000000000000004">
      <c r="A12585" s="17"/>
    </row>
    <row r="12586" spans="1:1" x14ac:dyDescent="0.55000000000000004">
      <c r="A12586" s="17"/>
    </row>
    <row r="12587" spans="1:1" x14ac:dyDescent="0.55000000000000004">
      <c r="A12587" s="17"/>
    </row>
    <row r="12588" spans="1:1" x14ac:dyDescent="0.55000000000000004">
      <c r="A12588" s="17"/>
    </row>
    <row r="12589" spans="1:1" x14ac:dyDescent="0.55000000000000004">
      <c r="A12589" s="17"/>
    </row>
    <row r="12590" spans="1:1" x14ac:dyDescent="0.55000000000000004">
      <c r="A12590" s="17"/>
    </row>
    <row r="12591" spans="1:1" x14ac:dyDescent="0.55000000000000004">
      <c r="A12591" s="17"/>
    </row>
    <row r="12592" spans="1:1" x14ac:dyDescent="0.55000000000000004">
      <c r="A12592" s="17"/>
    </row>
    <row r="12593" spans="1:1" x14ac:dyDescent="0.55000000000000004">
      <c r="A12593" s="17"/>
    </row>
    <row r="12594" spans="1:1" x14ac:dyDescent="0.55000000000000004">
      <c r="A12594" s="17"/>
    </row>
    <row r="12595" spans="1:1" x14ac:dyDescent="0.55000000000000004">
      <c r="A12595" s="17"/>
    </row>
    <row r="12596" spans="1:1" x14ac:dyDescent="0.55000000000000004">
      <c r="A12596" s="17"/>
    </row>
    <row r="12597" spans="1:1" x14ac:dyDescent="0.55000000000000004">
      <c r="A12597" s="17"/>
    </row>
    <row r="12598" spans="1:1" x14ac:dyDescent="0.55000000000000004">
      <c r="A12598" s="17"/>
    </row>
    <row r="12599" spans="1:1" x14ac:dyDescent="0.55000000000000004">
      <c r="A12599" s="17"/>
    </row>
    <row r="12600" spans="1:1" x14ac:dyDescent="0.55000000000000004">
      <c r="A12600" s="17"/>
    </row>
    <row r="12601" spans="1:1" x14ac:dyDescent="0.55000000000000004">
      <c r="A12601" s="17"/>
    </row>
    <row r="12602" spans="1:1" x14ac:dyDescent="0.55000000000000004">
      <c r="A12602" s="17"/>
    </row>
    <row r="12603" spans="1:1" x14ac:dyDescent="0.55000000000000004">
      <c r="A12603" s="17"/>
    </row>
    <row r="12604" spans="1:1" x14ac:dyDescent="0.55000000000000004">
      <c r="A12604" s="17"/>
    </row>
    <row r="12605" spans="1:1" x14ac:dyDescent="0.55000000000000004">
      <c r="A12605" s="17"/>
    </row>
    <row r="12606" spans="1:1" x14ac:dyDescent="0.55000000000000004">
      <c r="A12606" s="17"/>
    </row>
    <row r="12607" spans="1:1" x14ac:dyDescent="0.55000000000000004">
      <c r="A12607" s="17"/>
    </row>
    <row r="12608" spans="1:1" x14ac:dyDescent="0.55000000000000004">
      <c r="A12608" s="17"/>
    </row>
    <row r="12609" spans="1:1" x14ac:dyDescent="0.55000000000000004">
      <c r="A12609" s="17"/>
    </row>
    <row r="12610" spans="1:1" x14ac:dyDescent="0.55000000000000004">
      <c r="A12610" s="17"/>
    </row>
    <row r="12611" spans="1:1" x14ac:dyDescent="0.55000000000000004">
      <c r="A12611" s="17"/>
    </row>
    <row r="12612" spans="1:1" x14ac:dyDescent="0.55000000000000004">
      <c r="A12612" s="17"/>
    </row>
    <row r="12613" spans="1:1" x14ac:dyDescent="0.55000000000000004">
      <c r="A12613" s="17"/>
    </row>
    <row r="12614" spans="1:1" x14ac:dyDescent="0.55000000000000004">
      <c r="A12614" s="17"/>
    </row>
    <row r="12615" spans="1:1" x14ac:dyDescent="0.55000000000000004">
      <c r="A12615" s="17"/>
    </row>
    <row r="12616" spans="1:1" x14ac:dyDescent="0.55000000000000004">
      <c r="A12616" s="17"/>
    </row>
    <row r="12617" spans="1:1" x14ac:dyDescent="0.55000000000000004">
      <c r="A12617" s="17"/>
    </row>
    <row r="12618" spans="1:1" x14ac:dyDescent="0.55000000000000004">
      <c r="A12618" s="17"/>
    </row>
    <row r="12619" spans="1:1" x14ac:dyDescent="0.55000000000000004">
      <c r="A12619" s="17"/>
    </row>
    <row r="12620" spans="1:1" x14ac:dyDescent="0.55000000000000004">
      <c r="A12620" s="17"/>
    </row>
    <row r="12621" spans="1:1" x14ac:dyDescent="0.55000000000000004">
      <c r="A12621" s="17"/>
    </row>
    <row r="12622" spans="1:1" x14ac:dyDescent="0.55000000000000004">
      <c r="A12622" s="17"/>
    </row>
    <row r="12623" spans="1:1" x14ac:dyDescent="0.55000000000000004">
      <c r="A12623" s="17"/>
    </row>
    <row r="12624" spans="1:1" x14ac:dyDescent="0.55000000000000004">
      <c r="A12624" s="17"/>
    </row>
    <row r="12625" spans="1:1" x14ac:dyDescent="0.55000000000000004">
      <c r="A12625" s="17"/>
    </row>
    <row r="12626" spans="1:1" x14ac:dyDescent="0.55000000000000004">
      <c r="A12626" s="17"/>
    </row>
    <row r="12627" spans="1:1" x14ac:dyDescent="0.55000000000000004">
      <c r="A12627" s="17"/>
    </row>
    <row r="12628" spans="1:1" x14ac:dyDescent="0.55000000000000004">
      <c r="A12628" s="17"/>
    </row>
    <row r="12629" spans="1:1" x14ac:dyDescent="0.55000000000000004">
      <c r="A12629" s="17"/>
    </row>
    <row r="12630" spans="1:1" x14ac:dyDescent="0.55000000000000004">
      <c r="A12630" s="17"/>
    </row>
    <row r="12631" spans="1:1" x14ac:dyDescent="0.55000000000000004">
      <c r="A12631" s="17"/>
    </row>
    <row r="12632" spans="1:1" x14ac:dyDescent="0.55000000000000004">
      <c r="A12632" s="17"/>
    </row>
    <row r="12633" spans="1:1" x14ac:dyDescent="0.55000000000000004">
      <c r="A12633" s="17"/>
    </row>
    <row r="12634" spans="1:1" x14ac:dyDescent="0.55000000000000004">
      <c r="A12634" s="17"/>
    </row>
    <row r="12635" spans="1:1" x14ac:dyDescent="0.55000000000000004">
      <c r="A12635" s="17"/>
    </row>
    <row r="12636" spans="1:1" x14ac:dyDescent="0.55000000000000004">
      <c r="A12636" s="17"/>
    </row>
    <row r="12637" spans="1:1" x14ac:dyDescent="0.55000000000000004">
      <c r="A12637" s="17"/>
    </row>
    <row r="12638" spans="1:1" x14ac:dyDescent="0.55000000000000004">
      <c r="A12638" s="17"/>
    </row>
    <row r="12639" spans="1:1" x14ac:dyDescent="0.55000000000000004">
      <c r="A12639" s="17"/>
    </row>
    <row r="12640" spans="1:1" x14ac:dyDescent="0.55000000000000004">
      <c r="A12640" s="17"/>
    </row>
    <row r="12641" spans="1:1" x14ac:dyDescent="0.55000000000000004">
      <c r="A12641" s="17"/>
    </row>
    <row r="12642" spans="1:1" x14ac:dyDescent="0.55000000000000004">
      <c r="A12642" s="17"/>
    </row>
    <row r="12643" spans="1:1" x14ac:dyDescent="0.55000000000000004">
      <c r="A12643" s="17"/>
    </row>
    <row r="12644" spans="1:1" x14ac:dyDescent="0.55000000000000004">
      <c r="A12644" s="17"/>
    </row>
    <row r="12645" spans="1:1" x14ac:dyDescent="0.55000000000000004">
      <c r="A12645" s="17"/>
    </row>
    <row r="12646" spans="1:1" x14ac:dyDescent="0.55000000000000004">
      <c r="A12646" s="17"/>
    </row>
    <row r="12647" spans="1:1" x14ac:dyDescent="0.55000000000000004">
      <c r="A12647" s="17"/>
    </row>
    <row r="12648" spans="1:1" x14ac:dyDescent="0.55000000000000004">
      <c r="A12648" s="17"/>
    </row>
    <row r="12649" spans="1:1" x14ac:dyDescent="0.55000000000000004">
      <c r="A12649" s="17"/>
    </row>
    <row r="12650" spans="1:1" x14ac:dyDescent="0.55000000000000004">
      <c r="A12650" s="17"/>
    </row>
    <row r="12651" spans="1:1" x14ac:dyDescent="0.55000000000000004">
      <c r="A12651" s="17"/>
    </row>
    <row r="12652" spans="1:1" x14ac:dyDescent="0.55000000000000004">
      <c r="A12652" s="17"/>
    </row>
    <row r="12653" spans="1:1" x14ac:dyDescent="0.55000000000000004">
      <c r="A12653" s="17"/>
    </row>
    <row r="12654" spans="1:1" x14ac:dyDescent="0.55000000000000004">
      <c r="A12654" s="17"/>
    </row>
    <row r="12655" spans="1:1" x14ac:dyDescent="0.55000000000000004">
      <c r="A12655" s="17"/>
    </row>
    <row r="12656" spans="1:1" x14ac:dyDescent="0.55000000000000004">
      <c r="A12656" s="17"/>
    </row>
    <row r="12657" spans="1:1" x14ac:dyDescent="0.55000000000000004">
      <c r="A12657" s="17"/>
    </row>
    <row r="12658" spans="1:1" x14ac:dyDescent="0.55000000000000004">
      <c r="A12658" s="17"/>
    </row>
    <row r="12659" spans="1:1" x14ac:dyDescent="0.55000000000000004">
      <c r="A12659" s="17"/>
    </row>
    <row r="12660" spans="1:1" x14ac:dyDescent="0.55000000000000004">
      <c r="A12660" s="17"/>
    </row>
    <row r="12661" spans="1:1" x14ac:dyDescent="0.55000000000000004">
      <c r="A12661" s="17"/>
    </row>
    <row r="12662" spans="1:1" x14ac:dyDescent="0.55000000000000004">
      <c r="A12662" s="17"/>
    </row>
    <row r="12663" spans="1:1" x14ac:dyDescent="0.55000000000000004">
      <c r="A12663" s="17"/>
    </row>
    <row r="12664" spans="1:1" x14ac:dyDescent="0.55000000000000004">
      <c r="A12664" s="17"/>
    </row>
    <row r="12665" spans="1:1" x14ac:dyDescent="0.55000000000000004">
      <c r="A12665" s="17"/>
    </row>
    <row r="12666" spans="1:1" x14ac:dyDescent="0.55000000000000004">
      <c r="A12666" s="17"/>
    </row>
    <row r="12667" spans="1:1" x14ac:dyDescent="0.55000000000000004">
      <c r="A12667" s="17"/>
    </row>
    <row r="12668" spans="1:1" x14ac:dyDescent="0.55000000000000004">
      <c r="A12668" s="17"/>
    </row>
    <row r="12669" spans="1:1" x14ac:dyDescent="0.55000000000000004">
      <c r="A12669" s="17"/>
    </row>
    <row r="12670" spans="1:1" x14ac:dyDescent="0.55000000000000004">
      <c r="A12670" s="17"/>
    </row>
    <row r="12671" spans="1:1" x14ac:dyDescent="0.55000000000000004">
      <c r="A12671" s="17"/>
    </row>
    <row r="12672" spans="1:1" x14ac:dyDescent="0.55000000000000004">
      <c r="A12672" s="17"/>
    </row>
    <row r="12673" spans="1:1" x14ac:dyDescent="0.55000000000000004">
      <c r="A12673" s="17"/>
    </row>
    <row r="12674" spans="1:1" x14ac:dyDescent="0.55000000000000004">
      <c r="A12674" s="17"/>
    </row>
    <row r="12675" spans="1:1" x14ac:dyDescent="0.55000000000000004">
      <c r="A12675" s="17"/>
    </row>
    <row r="12676" spans="1:1" x14ac:dyDescent="0.55000000000000004">
      <c r="A12676" s="17"/>
    </row>
    <row r="12677" spans="1:1" x14ac:dyDescent="0.55000000000000004">
      <c r="A12677" s="17"/>
    </row>
    <row r="12678" spans="1:1" x14ac:dyDescent="0.55000000000000004">
      <c r="A12678" s="17"/>
    </row>
    <row r="12679" spans="1:1" x14ac:dyDescent="0.55000000000000004">
      <c r="A12679" s="17"/>
    </row>
    <row r="12680" spans="1:1" x14ac:dyDescent="0.55000000000000004">
      <c r="A12680" s="17"/>
    </row>
    <row r="12681" spans="1:1" x14ac:dyDescent="0.55000000000000004">
      <c r="A12681" s="17"/>
    </row>
    <row r="12682" spans="1:1" x14ac:dyDescent="0.55000000000000004">
      <c r="A12682" s="17"/>
    </row>
    <row r="12683" spans="1:1" x14ac:dyDescent="0.55000000000000004">
      <c r="A12683" s="17"/>
    </row>
    <row r="12684" spans="1:1" x14ac:dyDescent="0.55000000000000004">
      <c r="A12684" s="17"/>
    </row>
    <row r="12685" spans="1:1" x14ac:dyDescent="0.55000000000000004">
      <c r="A12685" s="17"/>
    </row>
    <row r="12686" spans="1:1" x14ac:dyDescent="0.55000000000000004">
      <c r="A12686" s="17"/>
    </row>
    <row r="12687" spans="1:1" x14ac:dyDescent="0.55000000000000004">
      <c r="A12687" s="17"/>
    </row>
    <row r="12688" spans="1:1" x14ac:dyDescent="0.55000000000000004">
      <c r="A12688" s="17"/>
    </row>
    <row r="12689" spans="1:1" x14ac:dyDescent="0.55000000000000004">
      <c r="A12689" s="17"/>
    </row>
    <row r="12690" spans="1:1" x14ac:dyDescent="0.55000000000000004">
      <c r="A12690" s="17"/>
    </row>
    <row r="12691" spans="1:1" x14ac:dyDescent="0.55000000000000004">
      <c r="A12691" s="17"/>
    </row>
    <row r="12692" spans="1:1" x14ac:dyDescent="0.55000000000000004">
      <c r="A12692" s="17"/>
    </row>
    <row r="12693" spans="1:1" x14ac:dyDescent="0.55000000000000004">
      <c r="A12693" s="17"/>
    </row>
    <row r="12694" spans="1:1" x14ac:dyDescent="0.55000000000000004">
      <c r="A12694" s="17"/>
    </row>
    <row r="12695" spans="1:1" x14ac:dyDescent="0.55000000000000004">
      <c r="A12695" s="17"/>
    </row>
    <row r="12696" spans="1:1" x14ac:dyDescent="0.55000000000000004">
      <c r="A12696" s="17"/>
    </row>
    <row r="12697" spans="1:1" x14ac:dyDescent="0.55000000000000004">
      <c r="A12697" s="17"/>
    </row>
    <row r="12698" spans="1:1" x14ac:dyDescent="0.55000000000000004">
      <c r="A12698" s="17"/>
    </row>
    <row r="12699" spans="1:1" x14ac:dyDescent="0.55000000000000004">
      <c r="A12699" s="17"/>
    </row>
    <row r="12700" spans="1:1" x14ac:dyDescent="0.55000000000000004">
      <c r="A12700" s="17"/>
    </row>
    <row r="12701" spans="1:1" x14ac:dyDescent="0.55000000000000004">
      <c r="A12701" s="17"/>
    </row>
    <row r="12702" spans="1:1" x14ac:dyDescent="0.55000000000000004">
      <c r="A12702" s="17"/>
    </row>
    <row r="12703" spans="1:1" x14ac:dyDescent="0.55000000000000004">
      <c r="A12703" s="17"/>
    </row>
    <row r="12704" spans="1:1" x14ac:dyDescent="0.55000000000000004">
      <c r="A12704" s="17"/>
    </row>
    <row r="12705" spans="1:1" x14ac:dyDescent="0.55000000000000004">
      <c r="A12705" s="17"/>
    </row>
    <row r="12706" spans="1:1" x14ac:dyDescent="0.55000000000000004">
      <c r="A12706" s="17"/>
    </row>
    <row r="12707" spans="1:1" x14ac:dyDescent="0.55000000000000004">
      <c r="A12707" s="17"/>
    </row>
    <row r="12708" spans="1:1" x14ac:dyDescent="0.55000000000000004">
      <c r="A12708" s="17"/>
    </row>
    <row r="12709" spans="1:1" x14ac:dyDescent="0.55000000000000004">
      <c r="A12709" s="17"/>
    </row>
    <row r="12710" spans="1:1" x14ac:dyDescent="0.55000000000000004">
      <c r="A12710" s="17"/>
    </row>
    <row r="12711" spans="1:1" x14ac:dyDescent="0.55000000000000004">
      <c r="A12711" s="17"/>
    </row>
    <row r="12712" spans="1:1" x14ac:dyDescent="0.55000000000000004">
      <c r="A12712" s="17"/>
    </row>
    <row r="12713" spans="1:1" x14ac:dyDescent="0.55000000000000004">
      <c r="A12713" s="17"/>
    </row>
    <row r="12714" spans="1:1" x14ac:dyDescent="0.55000000000000004">
      <c r="A12714" s="17"/>
    </row>
    <row r="12715" spans="1:1" x14ac:dyDescent="0.55000000000000004">
      <c r="A12715" s="17"/>
    </row>
    <row r="12716" spans="1:1" x14ac:dyDescent="0.55000000000000004">
      <c r="A12716" s="17"/>
    </row>
    <row r="12717" spans="1:1" x14ac:dyDescent="0.55000000000000004">
      <c r="A12717" s="17"/>
    </row>
    <row r="12718" spans="1:1" x14ac:dyDescent="0.55000000000000004">
      <c r="A12718" s="17"/>
    </row>
    <row r="12719" spans="1:1" x14ac:dyDescent="0.55000000000000004">
      <c r="A12719" s="17"/>
    </row>
    <row r="12720" spans="1:1" x14ac:dyDescent="0.55000000000000004">
      <c r="A12720" s="17"/>
    </row>
    <row r="12721" spans="1:1" x14ac:dyDescent="0.55000000000000004">
      <c r="A12721" s="17"/>
    </row>
    <row r="12722" spans="1:1" x14ac:dyDescent="0.55000000000000004">
      <c r="A12722" s="17"/>
    </row>
    <row r="12723" spans="1:1" x14ac:dyDescent="0.55000000000000004">
      <c r="A12723" s="17"/>
    </row>
    <row r="12724" spans="1:1" x14ac:dyDescent="0.55000000000000004">
      <c r="A12724" s="17"/>
    </row>
    <row r="12725" spans="1:1" x14ac:dyDescent="0.55000000000000004">
      <c r="A12725" s="17"/>
    </row>
    <row r="12726" spans="1:1" x14ac:dyDescent="0.55000000000000004">
      <c r="A12726" s="17"/>
    </row>
    <row r="12727" spans="1:1" x14ac:dyDescent="0.55000000000000004">
      <c r="A12727" s="17"/>
    </row>
    <row r="12728" spans="1:1" x14ac:dyDescent="0.55000000000000004">
      <c r="A12728" s="17"/>
    </row>
    <row r="12729" spans="1:1" x14ac:dyDescent="0.55000000000000004">
      <c r="A12729" s="17"/>
    </row>
    <row r="12730" spans="1:1" x14ac:dyDescent="0.55000000000000004">
      <c r="A12730" s="17"/>
    </row>
    <row r="12731" spans="1:1" x14ac:dyDescent="0.55000000000000004">
      <c r="A12731" s="17"/>
    </row>
    <row r="12732" spans="1:1" x14ac:dyDescent="0.55000000000000004">
      <c r="A12732" s="17"/>
    </row>
    <row r="12733" spans="1:1" x14ac:dyDescent="0.55000000000000004">
      <c r="A12733" s="17"/>
    </row>
    <row r="12734" spans="1:1" x14ac:dyDescent="0.55000000000000004">
      <c r="A12734" s="17"/>
    </row>
    <row r="12735" spans="1:1" x14ac:dyDescent="0.55000000000000004">
      <c r="A12735" s="17"/>
    </row>
    <row r="12736" spans="1:1" x14ac:dyDescent="0.55000000000000004">
      <c r="A12736" s="17"/>
    </row>
    <row r="12737" spans="1:1" x14ac:dyDescent="0.55000000000000004">
      <c r="A12737" s="17"/>
    </row>
    <row r="12738" spans="1:1" x14ac:dyDescent="0.55000000000000004">
      <c r="A12738" s="17"/>
    </row>
    <row r="12739" spans="1:1" x14ac:dyDescent="0.55000000000000004">
      <c r="A12739" s="17"/>
    </row>
    <row r="12740" spans="1:1" x14ac:dyDescent="0.55000000000000004">
      <c r="A12740" s="17"/>
    </row>
    <row r="12741" spans="1:1" x14ac:dyDescent="0.55000000000000004">
      <c r="A12741" s="17"/>
    </row>
    <row r="12742" spans="1:1" x14ac:dyDescent="0.55000000000000004">
      <c r="A12742" s="17"/>
    </row>
    <row r="12743" spans="1:1" x14ac:dyDescent="0.55000000000000004">
      <c r="A12743" s="17"/>
    </row>
    <row r="12744" spans="1:1" x14ac:dyDescent="0.55000000000000004">
      <c r="A12744" s="17"/>
    </row>
    <row r="12745" spans="1:1" x14ac:dyDescent="0.55000000000000004">
      <c r="A12745" s="17"/>
    </row>
    <row r="12746" spans="1:1" x14ac:dyDescent="0.55000000000000004">
      <c r="A12746" s="17"/>
    </row>
    <row r="12747" spans="1:1" x14ac:dyDescent="0.55000000000000004">
      <c r="A12747" s="17"/>
    </row>
    <row r="12748" spans="1:1" x14ac:dyDescent="0.55000000000000004">
      <c r="A12748" s="17"/>
    </row>
    <row r="12749" spans="1:1" x14ac:dyDescent="0.55000000000000004">
      <c r="A12749" s="17"/>
    </row>
    <row r="12750" spans="1:1" x14ac:dyDescent="0.55000000000000004">
      <c r="A12750" s="17"/>
    </row>
    <row r="12751" spans="1:1" x14ac:dyDescent="0.55000000000000004">
      <c r="A12751" s="17"/>
    </row>
    <row r="12752" spans="1:1" x14ac:dyDescent="0.55000000000000004">
      <c r="A12752" s="17"/>
    </row>
    <row r="12753" spans="1:1" x14ac:dyDescent="0.55000000000000004">
      <c r="A12753" s="17"/>
    </row>
    <row r="12754" spans="1:1" x14ac:dyDescent="0.55000000000000004">
      <c r="A12754" s="17"/>
    </row>
    <row r="12755" spans="1:1" x14ac:dyDescent="0.55000000000000004">
      <c r="A12755" s="17"/>
    </row>
    <row r="12756" spans="1:1" x14ac:dyDescent="0.55000000000000004">
      <c r="A12756" s="17"/>
    </row>
    <row r="12757" spans="1:1" x14ac:dyDescent="0.55000000000000004">
      <c r="A12757" s="17"/>
    </row>
    <row r="12758" spans="1:1" x14ac:dyDescent="0.55000000000000004">
      <c r="A12758" s="17"/>
    </row>
    <row r="12759" spans="1:1" x14ac:dyDescent="0.55000000000000004">
      <c r="A12759" s="17"/>
    </row>
    <row r="12760" spans="1:1" x14ac:dyDescent="0.55000000000000004">
      <c r="A12760" s="17"/>
    </row>
    <row r="12761" spans="1:1" x14ac:dyDescent="0.55000000000000004">
      <c r="A12761" s="17"/>
    </row>
    <row r="12762" spans="1:1" x14ac:dyDescent="0.55000000000000004">
      <c r="A12762" s="17"/>
    </row>
    <row r="12763" spans="1:1" x14ac:dyDescent="0.55000000000000004">
      <c r="A12763" s="17"/>
    </row>
    <row r="12764" spans="1:1" x14ac:dyDescent="0.55000000000000004">
      <c r="A12764" s="17"/>
    </row>
    <row r="12765" spans="1:1" x14ac:dyDescent="0.55000000000000004">
      <c r="A12765" s="17"/>
    </row>
    <row r="12766" spans="1:1" x14ac:dyDescent="0.55000000000000004">
      <c r="A12766" s="17"/>
    </row>
    <row r="12767" spans="1:1" x14ac:dyDescent="0.55000000000000004">
      <c r="A12767" s="17"/>
    </row>
    <row r="12768" spans="1:1" x14ac:dyDescent="0.55000000000000004">
      <c r="A12768" s="17"/>
    </row>
    <row r="12769" spans="1:1" x14ac:dyDescent="0.55000000000000004">
      <c r="A12769" s="17"/>
    </row>
    <row r="12770" spans="1:1" x14ac:dyDescent="0.55000000000000004">
      <c r="A12770" s="17"/>
    </row>
    <row r="12771" spans="1:1" x14ac:dyDescent="0.55000000000000004">
      <c r="A12771" s="17"/>
    </row>
    <row r="12772" spans="1:1" x14ac:dyDescent="0.55000000000000004">
      <c r="A12772" s="17"/>
    </row>
    <row r="12773" spans="1:1" x14ac:dyDescent="0.55000000000000004">
      <c r="A12773" s="17"/>
    </row>
    <row r="12774" spans="1:1" x14ac:dyDescent="0.55000000000000004">
      <c r="A12774" s="17"/>
    </row>
    <row r="12775" spans="1:1" x14ac:dyDescent="0.55000000000000004">
      <c r="A12775" s="17"/>
    </row>
    <row r="12776" spans="1:1" x14ac:dyDescent="0.55000000000000004">
      <c r="A12776" s="17"/>
    </row>
    <row r="12777" spans="1:1" x14ac:dyDescent="0.55000000000000004">
      <c r="A12777" s="17"/>
    </row>
    <row r="12778" spans="1:1" x14ac:dyDescent="0.55000000000000004">
      <c r="A12778" s="17"/>
    </row>
    <row r="12779" spans="1:1" x14ac:dyDescent="0.55000000000000004">
      <c r="A12779" s="17"/>
    </row>
    <row r="12780" spans="1:1" x14ac:dyDescent="0.55000000000000004">
      <c r="A12780" s="17"/>
    </row>
    <row r="12781" spans="1:1" x14ac:dyDescent="0.55000000000000004">
      <c r="A12781" s="17"/>
    </row>
    <row r="12782" spans="1:1" x14ac:dyDescent="0.55000000000000004">
      <c r="A12782" s="17"/>
    </row>
    <row r="12783" spans="1:1" x14ac:dyDescent="0.55000000000000004">
      <c r="A12783" s="17"/>
    </row>
    <row r="12784" spans="1:1" x14ac:dyDescent="0.55000000000000004">
      <c r="A12784" s="17"/>
    </row>
    <row r="12785" spans="1:1" x14ac:dyDescent="0.55000000000000004">
      <c r="A12785" s="17"/>
    </row>
    <row r="12786" spans="1:1" x14ac:dyDescent="0.55000000000000004">
      <c r="A12786" s="17"/>
    </row>
    <row r="12787" spans="1:1" x14ac:dyDescent="0.55000000000000004">
      <c r="A12787" s="17"/>
    </row>
    <row r="12788" spans="1:1" x14ac:dyDescent="0.55000000000000004">
      <c r="A12788" s="17"/>
    </row>
    <row r="12789" spans="1:1" x14ac:dyDescent="0.55000000000000004">
      <c r="A12789" s="17"/>
    </row>
    <row r="12790" spans="1:1" x14ac:dyDescent="0.55000000000000004">
      <c r="A12790" s="17"/>
    </row>
    <row r="12791" spans="1:1" x14ac:dyDescent="0.55000000000000004">
      <c r="A12791" s="17"/>
    </row>
    <row r="12792" spans="1:1" x14ac:dyDescent="0.55000000000000004">
      <c r="A12792" s="17"/>
    </row>
    <row r="12793" spans="1:1" x14ac:dyDescent="0.55000000000000004">
      <c r="A12793" s="17"/>
    </row>
    <row r="12794" spans="1:1" x14ac:dyDescent="0.55000000000000004">
      <c r="A12794" s="17"/>
    </row>
    <row r="12795" spans="1:1" x14ac:dyDescent="0.55000000000000004">
      <c r="A12795" s="17"/>
    </row>
    <row r="12796" spans="1:1" x14ac:dyDescent="0.55000000000000004">
      <c r="A12796" s="17"/>
    </row>
    <row r="12797" spans="1:1" x14ac:dyDescent="0.55000000000000004">
      <c r="A12797" s="17"/>
    </row>
    <row r="12798" spans="1:1" x14ac:dyDescent="0.55000000000000004">
      <c r="A12798" s="17"/>
    </row>
    <row r="12799" spans="1:1" x14ac:dyDescent="0.55000000000000004">
      <c r="A12799" s="17"/>
    </row>
    <row r="12800" spans="1:1" x14ac:dyDescent="0.55000000000000004">
      <c r="A12800" s="17"/>
    </row>
    <row r="12801" spans="1:1" x14ac:dyDescent="0.55000000000000004">
      <c r="A12801" s="17"/>
    </row>
    <row r="12802" spans="1:1" x14ac:dyDescent="0.55000000000000004">
      <c r="A12802" s="17"/>
    </row>
    <row r="12803" spans="1:1" x14ac:dyDescent="0.55000000000000004">
      <c r="A12803" s="17"/>
    </row>
    <row r="12804" spans="1:1" x14ac:dyDescent="0.55000000000000004">
      <c r="A12804" s="17"/>
    </row>
    <row r="12805" spans="1:1" x14ac:dyDescent="0.55000000000000004">
      <c r="A12805" s="17"/>
    </row>
    <row r="12806" spans="1:1" x14ac:dyDescent="0.55000000000000004">
      <c r="A12806" s="17"/>
    </row>
    <row r="12807" spans="1:1" x14ac:dyDescent="0.55000000000000004">
      <c r="A12807" s="17"/>
    </row>
    <row r="12808" spans="1:1" x14ac:dyDescent="0.55000000000000004">
      <c r="A12808" s="17"/>
    </row>
    <row r="12809" spans="1:1" x14ac:dyDescent="0.55000000000000004">
      <c r="A12809" s="17"/>
    </row>
    <row r="12810" spans="1:1" x14ac:dyDescent="0.55000000000000004">
      <c r="A12810" s="17"/>
    </row>
    <row r="12811" spans="1:1" x14ac:dyDescent="0.55000000000000004">
      <c r="A12811" s="17"/>
    </row>
    <row r="12812" spans="1:1" x14ac:dyDescent="0.55000000000000004">
      <c r="A12812" s="17"/>
    </row>
    <row r="12813" spans="1:1" x14ac:dyDescent="0.55000000000000004">
      <c r="A12813" s="17"/>
    </row>
    <row r="12814" spans="1:1" x14ac:dyDescent="0.55000000000000004">
      <c r="A12814" s="17"/>
    </row>
    <row r="12815" spans="1:1" x14ac:dyDescent="0.55000000000000004">
      <c r="A12815" s="17"/>
    </row>
    <row r="12816" spans="1:1" x14ac:dyDescent="0.55000000000000004">
      <c r="A12816" s="17"/>
    </row>
    <row r="12817" spans="1:1" x14ac:dyDescent="0.55000000000000004">
      <c r="A12817" s="17"/>
    </row>
    <row r="12818" spans="1:1" x14ac:dyDescent="0.55000000000000004">
      <c r="A12818" s="17"/>
    </row>
    <row r="12819" spans="1:1" x14ac:dyDescent="0.55000000000000004">
      <c r="A12819" s="17"/>
    </row>
    <row r="12820" spans="1:1" x14ac:dyDescent="0.55000000000000004">
      <c r="A12820" s="17"/>
    </row>
    <row r="12821" spans="1:1" x14ac:dyDescent="0.55000000000000004">
      <c r="A12821" s="17"/>
    </row>
    <row r="12822" spans="1:1" x14ac:dyDescent="0.55000000000000004">
      <c r="A12822" s="17"/>
    </row>
    <row r="12823" spans="1:1" x14ac:dyDescent="0.55000000000000004">
      <c r="A12823" s="17"/>
    </row>
    <row r="12824" spans="1:1" x14ac:dyDescent="0.55000000000000004">
      <c r="A12824" s="17"/>
    </row>
    <row r="12825" spans="1:1" x14ac:dyDescent="0.55000000000000004">
      <c r="A12825" s="17"/>
    </row>
    <row r="12826" spans="1:1" x14ac:dyDescent="0.55000000000000004">
      <c r="A12826" s="17"/>
    </row>
    <row r="12827" spans="1:1" x14ac:dyDescent="0.55000000000000004">
      <c r="A12827" s="17"/>
    </row>
    <row r="12828" spans="1:1" x14ac:dyDescent="0.55000000000000004">
      <c r="A12828" s="17"/>
    </row>
    <row r="12829" spans="1:1" x14ac:dyDescent="0.55000000000000004">
      <c r="A12829" s="17"/>
    </row>
    <row r="12830" spans="1:1" x14ac:dyDescent="0.55000000000000004">
      <c r="A12830" s="17"/>
    </row>
    <row r="12831" spans="1:1" x14ac:dyDescent="0.55000000000000004">
      <c r="A12831" s="17"/>
    </row>
    <row r="12832" spans="1:1" x14ac:dyDescent="0.55000000000000004">
      <c r="A12832" s="17"/>
    </row>
    <row r="12833" spans="1:1" x14ac:dyDescent="0.55000000000000004">
      <c r="A12833" s="17"/>
    </row>
    <row r="12834" spans="1:1" x14ac:dyDescent="0.55000000000000004">
      <c r="A12834" s="17"/>
    </row>
    <row r="12835" spans="1:1" x14ac:dyDescent="0.55000000000000004">
      <c r="A12835" s="17"/>
    </row>
    <row r="12836" spans="1:1" x14ac:dyDescent="0.55000000000000004">
      <c r="A12836" s="17"/>
    </row>
    <row r="12837" spans="1:1" x14ac:dyDescent="0.55000000000000004">
      <c r="A12837" s="17"/>
    </row>
    <row r="12838" spans="1:1" x14ac:dyDescent="0.55000000000000004">
      <c r="A12838" s="17"/>
    </row>
    <row r="12839" spans="1:1" x14ac:dyDescent="0.55000000000000004">
      <c r="A12839" s="17"/>
    </row>
    <row r="12840" spans="1:1" x14ac:dyDescent="0.55000000000000004">
      <c r="A12840" s="17"/>
    </row>
    <row r="12841" spans="1:1" x14ac:dyDescent="0.55000000000000004">
      <c r="A12841" s="17"/>
    </row>
    <row r="12842" spans="1:1" x14ac:dyDescent="0.55000000000000004">
      <c r="A12842" s="17"/>
    </row>
    <row r="12843" spans="1:1" x14ac:dyDescent="0.55000000000000004">
      <c r="A12843" s="17"/>
    </row>
    <row r="12844" spans="1:1" x14ac:dyDescent="0.55000000000000004">
      <c r="A12844" s="17"/>
    </row>
    <row r="12845" spans="1:1" x14ac:dyDescent="0.55000000000000004">
      <c r="A12845" s="17"/>
    </row>
    <row r="12846" spans="1:1" x14ac:dyDescent="0.55000000000000004">
      <c r="A12846" s="17"/>
    </row>
    <row r="12847" spans="1:1" x14ac:dyDescent="0.55000000000000004">
      <c r="A12847" s="17"/>
    </row>
    <row r="12848" spans="1:1" x14ac:dyDescent="0.55000000000000004">
      <c r="A12848" s="17"/>
    </row>
    <row r="12849" spans="1:1" x14ac:dyDescent="0.55000000000000004">
      <c r="A12849" s="17"/>
    </row>
    <row r="12850" spans="1:1" x14ac:dyDescent="0.55000000000000004">
      <c r="A12850" s="17"/>
    </row>
    <row r="12851" spans="1:1" x14ac:dyDescent="0.55000000000000004">
      <c r="A12851" s="17"/>
    </row>
    <row r="12852" spans="1:1" x14ac:dyDescent="0.55000000000000004">
      <c r="A12852" s="17"/>
    </row>
    <row r="12853" spans="1:1" x14ac:dyDescent="0.55000000000000004">
      <c r="A12853" s="17"/>
    </row>
    <row r="12854" spans="1:1" x14ac:dyDescent="0.55000000000000004">
      <c r="A12854" s="17"/>
    </row>
    <row r="12855" spans="1:1" x14ac:dyDescent="0.55000000000000004">
      <c r="A12855" s="17"/>
    </row>
    <row r="12856" spans="1:1" x14ac:dyDescent="0.55000000000000004">
      <c r="A12856" s="17"/>
    </row>
    <row r="12857" spans="1:1" x14ac:dyDescent="0.55000000000000004">
      <c r="A12857" s="17"/>
    </row>
    <row r="12858" spans="1:1" x14ac:dyDescent="0.55000000000000004">
      <c r="A12858" s="17"/>
    </row>
    <row r="12859" spans="1:1" x14ac:dyDescent="0.55000000000000004">
      <c r="A12859" s="17"/>
    </row>
    <row r="12860" spans="1:1" x14ac:dyDescent="0.55000000000000004">
      <c r="A12860" s="17"/>
    </row>
    <row r="12861" spans="1:1" x14ac:dyDescent="0.55000000000000004">
      <c r="A12861" s="17"/>
    </row>
    <row r="12862" spans="1:1" x14ac:dyDescent="0.55000000000000004">
      <c r="A12862" s="17"/>
    </row>
    <row r="12863" spans="1:1" x14ac:dyDescent="0.55000000000000004">
      <c r="A12863" s="17"/>
    </row>
    <row r="12864" spans="1:1" x14ac:dyDescent="0.55000000000000004">
      <c r="A12864" s="17"/>
    </row>
    <row r="12865" spans="1:1" x14ac:dyDescent="0.55000000000000004">
      <c r="A12865" s="17"/>
    </row>
    <row r="12866" spans="1:1" x14ac:dyDescent="0.55000000000000004">
      <c r="A12866" s="17"/>
    </row>
    <row r="12867" spans="1:1" x14ac:dyDescent="0.55000000000000004">
      <c r="A12867" s="17"/>
    </row>
    <row r="12868" spans="1:1" x14ac:dyDescent="0.55000000000000004">
      <c r="A12868" s="17"/>
    </row>
    <row r="12869" spans="1:1" x14ac:dyDescent="0.55000000000000004">
      <c r="A12869" s="17"/>
    </row>
    <row r="12870" spans="1:1" x14ac:dyDescent="0.55000000000000004">
      <c r="A12870" s="17"/>
    </row>
    <row r="12871" spans="1:1" x14ac:dyDescent="0.55000000000000004">
      <c r="A12871" s="17"/>
    </row>
    <row r="12872" spans="1:1" x14ac:dyDescent="0.55000000000000004">
      <c r="A12872" s="17"/>
    </row>
    <row r="12873" spans="1:1" x14ac:dyDescent="0.55000000000000004">
      <c r="A12873" s="17"/>
    </row>
    <row r="12874" spans="1:1" x14ac:dyDescent="0.55000000000000004">
      <c r="A12874" s="17"/>
    </row>
    <row r="12875" spans="1:1" x14ac:dyDescent="0.55000000000000004">
      <c r="A12875" s="17"/>
    </row>
    <row r="12876" spans="1:1" x14ac:dyDescent="0.55000000000000004">
      <c r="A12876" s="17"/>
    </row>
    <row r="12877" spans="1:1" x14ac:dyDescent="0.55000000000000004">
      <c r="A12877" s="17"/>
    </row>
    <row r="12878" spans="1:1" x14ac:dyDescent="0.55000000000000004">
      <c r="A12878" s="17"/>
    </row>
    <row r="12879" spans="1:1" x14ac:dyDescent="0.55000000000000004">
      <c r="A12879" s="17"/>
    </row>
    <row r="12880" spans="1:1" x14ac:dyDescent="0.55000000000000004">
      <c r="A12880" s="17"/>
    </row>
    <row r="12881" spans="1:1" x14ac:dyDescent="0.55000000000000004">
      <c r="A12881" s="17"/>
    </row>
    <row r="12882" spans="1:1" x14ac:dyDescent="0.55000000000000004">
      <c r="A12882" s="17"/>
    </row>
    <row r="12883" spans="1:1" x14ac:dyDescent="0.55000000000000004">
      <c r="A12883" s="17"/>
    </row>
    <row r="12884" spans="1:1" x14ac:dyDescent="0.55000000000000004">
      <c r="A12884" s="17"/>
    </row>
    <row r="12885" spans="1:1" x14ac:dyDescent="0.55000000000000004">
      <c r="A12885" s="17"/>
    </row>
    <row r="12886" spans="1:1" x14ac:dyDescent="0.55000000000000004">
      <c r="A12886" s="17"/>
    </row>
    <row r="12887" spans="1:1" x14ac:dyDescent="0.55000000000000004">
      <c r="A12887" s="17"/>
    </row>
    <row r="12888" spans="1:1" x14ac:dyDescent="0.55000000000000004">
      <c r="A12888" s="17"/>
    </row>
    <row r="12889" spans="1:1" x14ac:dyDescent="0.55000000000000004">
      <c r="A12889" s="17"/>
    </row>
    <row r="12890" spans="1:1" x14ac:dyDescent="0.55000000000000004">
      <c r="A12890" s="17"/>
    </row>
    <row r="12891" spans="1:1" x14ac:dyDescent="0.55000000000000004">
      <c r="A12891" s="17"/>
    </row>
    <row r="12892" spans="1:1" x14ac:dyDescent="0.55000000000000004">
      <c r="A12892" s="17"/>
    </row>
    <row r="12893" spans="1:1" x14ac:dyDescent="0.55000000000000004">
      <c r="A12893" s="17"/>
    </row>
    <row r="12894" spans="1:1" x14ac:dyDescent="0.55000000000000004">
      <c r="A12894" s="17"/>
    </row>
    <row r="12895" spans="1:1" x14ac:dyDescent="0.55000000000000004">
      <c r="A12895" s="17"/>
    </row>
    <row r="12896" spans="1:1" x14ac:dyDescent="0.55000000000000004">
      <c r="A12896" s="17"/>
    </row>
    <row r="12897" spans="1:1" x14ac:dyDescent="0.55000000000000004">
      <c r="A12897" s="17"/>
    </row>
    <row r="12898" spans="1:1" x14ac:dyDescent="0.55000000000000004">
      <c r="A12898" s="17"/>
    </row>
    <row r="12899" spans="1:1" x14ac:dyDescent="0.55000000000000004">
      <c r="A12899" s="17"/>
    </row>
    <row r="12900" spans="1:1" x14ac:dyDescent="0.55000000000000004">
      <c r="A12900" s="17"/>
    </row>
    <row r="12901" spans="1:1" x14ac:dyDescent="0.55000000000000004">
      <c r="A12901" s="17"/>
    </row>
    <row r="12902" spans="1:1" x14ac:dyDescent="0.55000000000000004">
      <c r="A12902" s="17"/>
    </row>
    <row r="12903" spans="1:1" x14ac:dyDescent="0.55000000000000004">
      <c r="A12903" s="17"/>
    </row>
    <row r="12904" spans="1:1" x14ac:dyDescent="0.55000000000000004">
      <c r="A12904" s="17"/>
    </row>
    <row r="12905" spans="1:1" x14ac:dyDescent="0.55000000000000004">
      <c r="A12905" s="17"/>
    </row>
    <row r="12906" spans="1:1" x14ac:dyDescent="0.55000000000000004">
      <c r="A12906" s="17"/>
    </row>
    <row r="12907" spans="1:1" x14ac:dyDescent="0.55000000000000004">
      <c r="A12907" s="17"/>
    </row>
    <row r="12908" spans="1:1" x14ac:dyDescent="0.55000000000000004">
      <c r="A12908" s="17"/>
    </row>
    <row r="12909" spans="1:1" x14ac:dyDescent="0.55000000000000004">
      <c r="A12909" s="17"/>
    </row>
    <row r="12910" spans="1:1" x14ac:dyDescent="0.55000000000000004">
      <c r="A12910" s="17"/>
    </row>
    <row r="12911" spans="1:1" x14ac:dyDescent="0.55000000000000004">
      <c r="A12911" s="17"/>
    </row>
    <row r="12912" spans="1:1" x14ac:dyDescent="0.55000000000000004">
      <c r="A12912" s="17"/>
    </row>
    <row r="12913" spans="1:1" x14ac:dyDescent="0.55000000000000004">
      <c r="A12913" s="17"/>
    </row>
    <row r="12914" spans="1:1" x14ac:dyDescent="0.55000000000000004">
      <c r="A12914" s="17"/>
    </row>
    <row r="12915" spans="1:1" x14ac:dyDescent="0.55000000000000004">
      <c r="A12915" s="17"/>
    </row>
    <row r="12916" spans="1:1" x14ac:dyDescent="0.55000000000000004">
      <c r="A12916" s="17"/>
    </row>
    <row r="12917" spans="1:1" x14ac:dyDescent="0.55000000000000004">
      <c r="A12917" s="17"/>
    </row>
    <row r="12918" spans="1:1" x14ac:dyDescent="0.55000000000000004">
      <c r="A12918" s="17"/>
    </row>
    <row r="12919" spans="1:1" x14ac:dyDescent="0.55000000000000004">
      <c r="A12919" s="17"/>
    </row>
    <row r="12920" spans="1:1" x14ac:dyDescent="0.55000000000000004">
      <c r="A12920" s="17"/>
    </row>
    <row r="12921" spans="1:1" x14ac:dyDescent="0.55000000000000004">
      <c r="A12921" s="17"/>
    </row>
    <row r="12922" spans="1:1" x14ac:dyDescent="0.55000000000000004">
      <c r="A12922" s="17"/>
    </row>
    <row r="12923" spans="1:1" x14ac:dyDescent="0.55000000000000004">
      <c r="A12923" s="17"/>
    </row>
    <row r="12924" spans="1:1" x14ac:dyDescent="0.55000000000000004">
      <c r="A12924" s="17"/>
    </row>
    <row r="12925" spans="1:1" x14ac:dyDescent="0.55000000000000004">
      <c r="A12925" s="17"/>
    </row>
    <row r="12926" spans="1:1" x14ac:dyDescent="0.55000000000000004">
      <c r="A12926" s="17"/>
    </row>
    <row r="12927" spans="1:1" x14ac:dyDescent="0.55000000000000004">
      <c r="A12927" s="17"/>
    </row>
    <row r="12928" spans="1:1" x14ac:dyDescent="0.55000000000000004">
      <c r="A12928" s="17"/>
    </row>
    <row r="12929" spans="1:1" x14ac:dyDescent="0.55000000000000004">
      <c r="A12929" s="17"/>
    </row>
    <row r="12930" spans="1:1" x14ac:dyDescent="0.55000000000000004">
      <c r="A12930" s="17"/>
    </row>
    <row r="12931" spans="1:1" x14ac:dyDescent="0.55000000000000004">
      <c r="A12931" s="17"/>
    </row>
    <row r="12932" spans="1:1" x14ac:dyDescent="0.55000000000000004">
      <c r="A12932" s="17"/>
    </row>
    <row r="12933" spans="1:1" x14ac:dyDescent="0.55000000000000004">
      <c r="A12933" s="17"/>
    </row>
    <row r="12934" spans="1:1" x14ac:dyDescent="0.55000000000000004">
      <c r="A12934" s="17"/>
    </row>
    <row r="12935" spans="1:1" x14ac:dyDescent="0.55000000000000004">
      <c r="A12935" s="17"/>
    </row>
    <row r="12936" spans="1:1" x14ac:dyDescent="0.55000000000000004">
      <c r="A12936" s="17"/>
    </row>
    <row r="12937" spans="1:1" x14ac:dyDescent="0.55000000000000004">
      <c r="A12937" s="17"/>
    </row>
    <row r="12938" spans="1:1" x14ac:dyDescent="0.55000000000000004">
      <c r="A12938" s="17"/>
    </row>
    <row r="12939" spans="1:1" x14ac:dyDescent="0.55000000000000004">
      <c r="A12939" s="17"/>
    </row>
    <row r="12940" spans="1:1" x14ac:dyDescent="0.55000000000000004">
      <c r="A12940" s="17"/>
    </row>
    <row r="12941" spans="1:1" x14ac:dyDescent="0.55000000000000004">
      <c r="A12941" s="17"/>
    </row>
    <row r="12942" spans="1:1" x14ac:dyDescent="0.55000000000000004">
      <c r="A12942" s="17"/>
    </row>
    <row r="12943" spans="1:1" x14ac:dyDescent="0.55000000000000004">
      <c r="A12943" s="17"/>
    </row>
    <row r="12944" spans="1:1" x14ac:dyDescent="0.55000000000000004">
      <c r="A12944" s="17"/>
    </row>
    <row r="12945" spans="1:1" x14ac:dyDescent="0.55000000000000004">
      <c r="A12945" s="17"/>
    </row>
    <row r="12946" spans="1:1" x14ac:dyDescent="0.55000000000000004">
      <c r="A12946" s="17"/>
    </row>
    <row r="12947" spans="1:1" x14ac:dyDescent="0.55000000000000004">
      <c r="A12947" s="17"/>
    </row>
    <row r="12948" spans="1:1" x14ac:dyDescent="0.55000000000000004">
      <c r="A12948" s="17"/>
    </row>
    <row r="12949" spans="1:1" x14ac:dyDescent="0.55000000000000004">
      <c r="A12949" s="17"/>
    </row>
    <row r="12950" spans="1:1" x14ac:dyDescent="0.55000000000000004">
      <c r="A12950" s="17"/>
    </row>
    <row r="12951" spans="1:1" x14ac:dyDescent="0.55000000000000004">
      <c r="A12951" s="17"/>
    </row>
    <row r="12952" spans="1:1" x14ac:dyDescent="0.55000000000000004">
      <c r="A12952" s="17"/>
    </row>
    <row r="12953" spans="1:1" x14ac:dyDescent="0.55000000000000004">
      <c r="A12953" s="17"/>
    </row>
    <row r="12954" spans="1:1" x14ac:dyDescent="0.55000000000000004">
      <c r="A12954" s="17"/>
    </row>
    <row r="12955" spans="1:1" x14ac:dyDescent="0.55000000000000004">
      <c r="A12955" s="17"/>
    </row>
    <row r="12956" spans="1:1" x14ac:dyDescent="0.55000000000000004">
      <c r="A12956" s="17"/>
    </row>
    <row r="12957" spans="1:1" x14ac:dyDescent="0.55000000000000004">
      <c r="A12957" s="17"/>
    </row>
    <row r="12958" spans="1:1" x14ac:dyDescent="0.55000000000000004">
      <c r="A12958" s="17"/>
    </row>
    <row r="12959" spans="1:1" x14ac:dyDescent="0.55000000000000004">
      <c r="A12959" s="17"/>
    </row>
    <row r="12960" spans="1:1" x14ac:dyDescent="0.55000000000000004">
      <c r="A12960" s="17"/>
    </row>
    <row r="12961" spans="1:1" x14ac:dyDescent="0.55000000000000004">
      <c r="A12961" s="17"/>
    </row>
    <row r="12962" spans="1:1" x14ac:dyDescent="0.55000000000000004">
      <c r="A12962" s="17"/>
    </row>
    <row r="12963" spans="1:1" x14ac:dyDescent="0.55000000000000004">
      <c r="A12963" s="17"/>
    </row>
    <row r="12964" spans="1:1" x14ac:dyDescent="0.55000000000000004">
      <c r="A12964" s="17"/>
    </row>
    <row r="12965" spans="1:1" x14ac:dyDescent="0.55000000000000004">
      <c r="A12965" s="17"/>
    </row>
    <row r="12966" spans="1:1" x14ac:dyDescent="0.55000000000000004">
      <c r="A12966" s="17"/>
    </row>
    <row r="12967" spans="1:1" x14ac:dyDescent="0.55000000000000004">
      <c r="A12967" s="17"/>
    </row>
    <row r="12968" spans="1:1" x14ac:dyDescent="0.55000000000000004">
      <c r="A12968" s="17"/>
    </row>
    <row r="12969" spans="1:1" x14ac:dyDescent="0.55000000000000004">
      <c r="A12969" s="17"/>
    </row>
    <row r="12970" spans="1:1" x14ac:dyDescent="0.55000000000000004">
      <c r="A12970" s="17"/>
    </row>
    <row r="12971" spans="1:1" x14ac:dyDescent="0.55000000000000004">
      <c r="A12971" s="17"/>
    </row>
    <row r="12972" spans="1:1" x14ac:dyDescent="0.55000000000000004">
      <c r="A12972" s="17"/>
    </row>
    <row r="12973" spans="1:1" x14ac:dyDescent="0.55000000000000004">
      <c r="A12973" s="17"/>
    </row>
    <row r="12974" spans="1:1" x14ac:dyDescent="0.55000000000000004">
      <c r="A12974" s="17"/>
    </row>
    <row r="12975" spans="1:1" x14ac:dyDescent="0.55000000000000004">
      <c r="A12975" s="17"/>
    </row>
    <row r="12976" spans="1:1" x14ac:dyDescent="0.55000000000000004">
      <c r="A12976" s="17"/>
    </row>
    <row r="12977" spans="1:1" x14ac:dyDescent="0.55000000000000004">
      <c r="A12977" s="17"/>
    </row>
    <row r="12978" spans="1:1" x14ac:dyDescent="0.55000000000000004">
      <c r="A12978" s="17"/>
    </row>
    <row r="12979" spans="1:1" x14ac:dyDescent="0.55000000000000004">
      <c r="A12979" s="17"/>
    </row>
    <row r="12980" spans="1:1" x14ac:dyDescent="0.55000000000000004">
      <c r="A12980" s="17"/>
    </row>
    <row r="12981" spans="1:1" x14ac:dyDescent="0.55000000000000004">
      <c r="A12981" s="17"/>
    </row>
    <row r="12982" spans="1:1" x14ac:dyDescent="0.55000000000000004">
      <c r="A12982" s="17"/>
    </row>
    <row r="12983" spans="1:1" x14ac:dyDescent="0.55000000000000004">
      <c r="A12983" s="17"/>
    </row>
    <row r="12984" spans="1:1" x14ac:dyDescent="0.55000000000000004">
      <c r="A12984" s="17"/>
    </row>
    <row r="12985" spans="1:1" x14ac:dyDescent="0.55000000000000004">
      <c r="A12985" s="17"/>
    </row>
    <row r="12986" spans="1:1" x14ac:dyDescent="0.55000000000000004">
      <c r="A12986" s="17"/>
    </row>
    <row r="12987" spans="1:1" x14ac:dyDescent="0.55000000000000004">
      <c r="A12987" s="17"/>
    </row>
    <row r="12988" spans="1:1" x14ac:dyDescent="0.55000000000000004">
      <c r="A12988" s="17"/>
    </row>
    <row r="12989" spans="1:1" x14ac:dyDescent="0.55000000000000004">
      <c r="A12989" s="17"/>
    </row>
    <row r="12990" spans="1:1" x14ac:dyDescent="0.55000000000000004">
      <c r="A12990" s="17"/>
    </row>
    <row r="12991" spans="1:1" x14ac:dyDescent="0.55000000000000004">
      <c r="A12991" s="17"/>
    </row>
    <row r="12992" spans="1:1" x14ac:dyDescent="0.55000000000000004">
      <c r="A12992" s="17"/>
    </row>
    <row r="12993" spans="1:1" x14ac:dyDescent="0.55000000000000004">
      <c r="A12993" s="17"/>
    </row>
    <row r="12994" spans="1:1" x14ac:dyDescent="0.55000000000000004">
      <c r="A12994" s="17"/>
    </row>
    <row r="12995" spans="1:1" x14ac:dyDescent="0.55000000000000004">
      <c r="A12995" s="17"/>
    </row>
    <row r="12996" spans="1:1" x14ac:dyDescent="0.55000000000000004">
      <c r="A12996" s="17"/>
    </row>
    <row r="12997" spans="1:1" x14ac:dyDescent="0.55000000000000004">
      <c r="A12997" s="17"/>
    </row>
    <row r="12998" spans="1:1" x14ac:dyDescent="0.55000000000000004">
      <c r="A12998" s="17"/>
    </row>
    <row r="12999" spans="1:1" x14ac:dyDescent="0.55000000000000004">
      <c r="A12999" s="17"/>
    </row>
    <row r="13000" spans="1:1" x14ac:dyDescent="0.55000000000000004">
      <c r="A13000" s="17"/>
    </row>
    <row r="13001" spans="1:1" x14ac:dyDescent="0.55000000000000004">
      <c r="A13001" s="17"/>
    </row>
    <row r="13002" spans="1:1" x14ac:dyDescent="0.55000000000000004">
      <c r="A13002" s="17"/>
    </row>
    <row r="13003" spans="1:1" x14ac:dyDescent="0.55000000000000004">
      <c r="A13003" s="17"/>
    </row>
    <row r="13004" spans="1:1" x14ac:dyDescent="0.55000000000000004">
      <c r="A13004" s="17"/>
    </row>
    <row r="13005" spans="1:1" x14ac:dyDescent="0.55000000000000004">
      <c r="A13005" s="17"/>
    </row>
    <row r="13006" spans="1:1" x14ac:dyDescent="0.55000000000000004">
      <c r="A13006" s="17"/>
    </row>
    <row r="13007" spans="1:1" x14ac:dyDescent="0.55000000000000004">
      <c r="A13007" s="17"/>
    </row>
    <row r="13008" spans="1:1" x14ac:dyDescent="0.55000000000000004">
      <c r="A13008" s="17"/>
    </row>
    <row r="13009" spans="1:1" x14ac:dyDescent="0.55000000000000004">
      <c r="A13009" s="17"/>
    </row>
    <row r="13010" spans="1:1" x14ac:dyDescent="0.55000000000000004">
      <c r="A13010" s="17"/>
    </row>
    <row r="13011" spans="1:1" x14ac:dyDescent="0.55000000000000004">
      <c r="A13011" s="17"/>
    </row>
    <row r="13012" spans="1:1" x14ac:dyDescent="0.55000000000000004">
      <c r="A13012" s="17"/>
    </row>
    <row r="13013" spans="1:1" x14ac:dyDescent="0.55000000000000004">
      <c r="A13013" s="17"/>
    </row>
    <row r="13014" spans="1:1" x14ac:dyDescent="0.55000000000000004">
      <c r="A13014" s="17"/>
    </row>
    <row r="13015" spans="1:1" x14ac:dyDescent="0.55000000000000004">
      <c r="A13015" s="17"/>
    </row>
    <row r="13016" spans="1:1" x14ac:dyDescent="0.55000000000000004">
      <c r="A13016" s="17"/>
    </row>
    <row r="13017" spans="1:1" x14ac:dyDescent="0.55000000000000004">
      <c r="A13017" s="17"/>
    </row>
    <row r="13018" spans="1:1" x14ac:dyDescent="0.55000000000000004">
      <c r="A13018" s="17"/>
    </row>
    <row r="13019" spans="1:1" x14ac:dyDescent="0.55000000000000004">
      <c r="A13019" s="17"/>
    </row>
    <row r="13020" spans="1:1" x14ac:dyDescent="0.55000000000000004">
      <c r="A13020" s="17"/>
    </row>
    <row r="13021" spans="1:1" x14ac:dyDescent="0.55000000000000004">
      <c r="A13021" s="17"/>
    </row>
    <row r="13022" spans="1:1" x14ac:dyDescent="0.55000000000000004">
      <c r="A13022" s="17"/>
    </row>
    <row r="13023" spans="1:1" x14ac:dyDescent="0.55000000000000004">
      <c r="A13023" s="17"/>
    </row>
    <row r="13024" spans="1:1" x14ac:dyDescent="0.55000000000000004">
      <c r="A13024" s="17"/>
    </row>
    <row r="13025" spans="1:1" x14ac:dyDescent="0.55000000000000004">
      <c r="A13025" s="17"/>
    </row>
    <row r="13026" spans="1:1" x14ac:dyDescent="0.55000000000000004">
      <c r="A13026" s="17"/>
    </row>
    <row r="13027" spans="1:1" x14ac:dyDescent="0.55000000000000004">
      <c r="A13027" s="17"/>
    </row>
    <row r="13028" spans="1:1" x14ac:dyDescent="0.55000000000000004">
      <c r="A13028" s="17"/>
    </row>
    <row r="13029" spans="1:1" x14ac:dyDescent="0.55000000000000004">
      <c r="A13029" s="17"/>
    </row>
    <row r="13030" spans="1:1" x14ac:dyDescent="0.55000000000000004">
      <c r="A13030" s="17"/>
    </row>
    <row r="13031" spans="1:1" x14ac:dyDescent="0.55000000000000004">
      <c r="A13031" s="17"/>
    </row>
    <row r="13032" spans="1:1" x14ac:dyDescent="0.55000000000000004">
      <c r="A13032" s="17"/>
    </row>
    <row r="13033" spans="1:1" x14ac:dyDescent="0.55000000000000004">
      <c r="A13033" s="17"/>
    </row>
    <row r="13034" spans="1:1" x14ac:dyDescent="0.55000000000000004">
      <c r="A13034" s="17"/>
    </row>
    <row r="13035" spans="1:1" x14ac:dyDescent="0.55000000000000004">
      <c r="A13035" s="17"/>
    </row>
    <row r="13036" spans="1:1" x14ac:dyDescent="0.55000000000000004">
      <c r="A13036" s="17"/>
    </row>
    <row r="13037" spans="1:1" x14ac:dyDescent="0.55000000000000004">
      <c r="A13037" s="17"/>
    </row>
    <row r="13038" spans="1:1" x14ac:dyDescent="0.55000000000000004">
      <c r="A13038" s="17"/>
    </row>
    <row r="13039" spans="1:1" x14ac:dyDescent="0.55000000000000004">
      <c r="A13039" s="17"/>
    </row>
    <row r="13040" spans="1:1" x14ac:dyDescent="0.55000000000000004">
      <c r="A13040" s="17"/>
    </row>
    <row r="13041" spans="1:1" x14ac:dyDescent="0.55000000000000004">
      <c r="A13041" s="17"/>
    </row>
    <row r="13042" spans="1:1" x14ac:dyDescent="0.55000000000000004">
      <c r="A13042" s="17"/>
    </row>
    <row r="13043" spans="1:1" x14ac:dyDescent="0.55000000000000004">
      <c r="A13043" s="17"/>
    </row>
    <row r="13044" spans="1:1" x14ac:dyDescent="0.55000000000000004">
      <c r="A13044" s="17"/>
    </row>
    <row r="13045" spans="1:1" x14ac:dyDescent="0.55000000000000004">
      <c r="A13045" s="17"/>
    </row>
    <row r="13046" spans="1:1" x14ac:dyDescent="0.55000000000000004">
      <c r="A13046" s="17"/>
    </row>
    <row r="13047" spans="1:1" x14ac:dyDescent="0.55000000000000004">
      <c r="A13047" s="17"/>
    </row>
    <row r="13048" spans="1:1" x14ac:dyDescent="0.55000000000000004">
      <c r="A13048" s="17"/>
    </row>
    <row r="13049" spans="1:1" x14ac:dyDescent="0.55000000000000004">
      <c r="A13049" s="17"/>
    </row>
    <row r="13050" spans="1:1" x14ac:dyDescent="0.55000000000000004">
      <c r="A13050" s="17"/>
    </row>
    <row r="13051" spans="1:1" x14ac:dyDescent="0.55000000000000004">
      <c r="A13051" s="17"/>
    </row>
    <row r="13052" spans="1:1" x14ac:dyDescent="0.55000000000000004">
      <c r="A13052" s="17"/>
    </row>
    <row r="13053" spans="1:1" x14ac:dyDescent="0.55000000000000004">
      <c r="A13053" s="17"/>
    </row>
    <row r="13054" spans="1:1" x14ac:dyDescent="0.55000000000000004">
      <c r="A13054" s="17"/>
    </row>
    <row r="13055" spans="1:1" x14ac:dyDescent="0.55000000000000004">
      <c r="A13055" s="17"/>
    </row>
    <row r="13056" spans="1:1" x14ac:dyDescent="0.55000000000000004">
      <c r="A13056" s="17"/>
    </row>
    <row r="13057" spans="1:1" x14ac:dyDescent="0.55000000000000004">
      <c r="A13057" s="17"/>
    </row>
    <row r="13058" spans="1:1" x14ac:dyDescent="0.55000000000000004">
      <c r="A13058" s="17"/>
    </row>
    <row r="13059" spans="1:1" x14ac:dyDescent="0.55000000000000004">
      <c r="A13059" s="17"/>
    </row>
    <row r="13060" spans="1:1" x14ac:dyDescent="0.55000000000000004">
      <c r="A13060" s="17"/>
    </row>
    <row r="13061" spans="1:1" x14ac:dyDescent="0.55000000000000004">
      <c r="A13061" s="17"/>
    </row>
    <row r="13062" spans="1:1" x14ac:dyDescent="0.55000000000000004">
      <c r="A13062" s="17"/>
    </row>
    <row r="13063" spans="1:1" x14ac:dyDescent="0.55000000000000004">
      <c r="A13063" s="17"/>
    </row>
    <row r="13064" spans="1:1" x14ac:dyDescent="0.55000000000000004">
      <c r="A13064" s="17"/>
    </row>
    <row r="13065" spans="1:1" x14ac:dyDescent="0.55000000000000004">
      <c r="A13065" s="17"/>
    </row>
    <row r="13066" spans="1:1" x14ac:dyDescent="0.55000000000000004">
      <c r="A13066" s="17"/>
    </row>
    <row r="13067" spans="1:1" x14ac:dyDescent="0.55000000000000004">
      <c r="A13067" s="17"/>
    </row>
    <row r="13068" spans="1:1" x14ac:dyDescent="0.55000000000000004">
      <c r="A13068" s="17"/>
    </row>
    <row r="13069" spans="1:1" x14ac:dyDescent="0.55000000000000004">
      <c r="A13069" s="17"/>
    </row>
    <row r="13070" spans="1:1" x14ac:dyDescent="0.55000000000000004">
      <c r="A13070" s="17"/>
    </row>
    <row r="13071" spans="1:1" x14ac:dyDescent="0.55000000000000004">
      <c r="A13071" s="17"/>
    </row>
    <row r="13072" spans="1:1" x14ac:dyDescent="0.55000000000000004">
      <c r="A13072" s="17"/>
    </row>
    <row r="13073" spans="1:1" x14ac:dyDescent="0.55000000000000004">
      <c r="A13073" s="17"/>
    </row>
    <row r="13074" spans="1:1" x14ac:dyDescent="0.55000000000000004">
      <c r="A13074" s="17"/>
    </row>
    <row r="13075" spans="1:1" x14ac:dyDescent="0.55000000000000004">
      <c r="A13075" s="17"/>
    </row>
    <row r="13076" spans="1:1" x14ac:dyDescent="0.55000000000000004">
      <c r="A13076" s="17"/>
    </row>
    <row r="13077" spans="1:1" x14ac:dyDescent="0.55000000000000004">
      <c r="A13077" s="17"/>
    </row>
    <row r="13078" spans="1:1" x14ac:dyDescent="0.55000000000000004">
      <c r="A13078" s="17"/>
    </row>
    <row r="13079" spans="1:1" x14ac:dyDescent="0.55000000000000004">
      <c r="A13079" s="17"/>
    </row>
    <row r="13080" spans="1:1" x14ac:dyDescent="0.55000000000000004">
      <c r="A13080" s="17"/>
    </row>
    <row r="13081" spans="1:1" x14ac:dyDescent="0.55000000000000004">
      <c r="A13081" s="17"/>
    </row>
    <row r="13082" spans="1:1" x14ac:dyDescent="0.55000000000000004">
      <c r="A13082" s="17"/>
    </row>
    <row r="13083" spans="1:1" x14ac:dyDescent="0.55000000000000004">
      <c r="A13083" s="17"/>
    </row>
    <row r="13084" spans="1:1" x14ac:dyDescent="0.55000000000000004">
      <c r="A13084" s="17"/>
    </row>
    <row r="13085" spans="1:1" x14ac:dyDescent="0.55000000000000004">
      <c r="A13085" s="17"/>
    </row>
    <row r="13086" spans="1:1" x14ac:dyDescent="0.55000000000000004">
      <c r="A13086" s="17"/>
    </row>
    <row r="13087" spans="1:1" x14ac:dyDescent="0.55000000000000004">
      <c r="A13087" s="17"/>
    </row>
    <row r="13088" spans="1:1" x14ac:dyDescent="0.55000000000000004">
      <c r="A13088" s="17"/>
    </row>
    <row r="13089" spans="1:1" x14ac:dyDescent="0.55000000000000004">
      <c r="A13089" s="17"/>
    </row>
    <row r="13090" spans="1:1" x14ac:dyDescent="0.55000000000000004">
      <c r="A13090" s="17"/>
    </row>
    <row r="13091" spans="1:1" x14ac:dyDescent="0.55000000000000004">
      <c r="A13091" s="17"/>
    </row>
    <row r="13092" spans="1:1" x14ac:dyDescent="0.55000000000000004">
      <c r="A13092" s="17"/>
    </row>
    <row r="13093" spans="1:1" x14ac:dyDescent="0.55000000000000004">
      <c r="A13093" s="17"/>
    </row>
    <row r="13094" spans="1:1" x14ac:dyDescent="0.55000000000000004">
      <c r="A13094" s="17"/>
    </row>
    <row r="13095" spans="1:1" x14ac:dyDescent="0.55000000000000004">
      <c r="A13095" s="17"/>
    </row>
    <row r="13096" spans="1:1" x14ac:dyDescent="0.55000000000000004">
      <c r="A13096" s="17"/>
    </row>
    <row r="13097" spans="1:1" x14ac:dyDescent="0.55000000000000004">
      <c r="A13097" s="17"/>
    </row>
    <row r="13098" spans="1:1" x14ac:dyDescent="0.55000000000000004">
      <c r="A13098" s="17"/>
    </row>
    <row r="13099" spans="1:1" x14ac:dyDescent="0.55000000000000004">
      <c r="A13099" s="17"/>
    </row>
    <row r="13100" spans="1:1" x14ac:dyDescent="0.55000000000000004">
      <c r="A13100" s="17"/>
    </row>
    <row r="13101" spans="1:1" x14ac:dyDescent="0.55000000000000004">
      <c r="A13101" s="17"/>
    </row>
    <row r="13102" spans="1:1" x14ac:dyDescent="0.55000000000000004">
      <c r="A13102" s="17"/>
    </row>
    <row r="13103" spans="1:1" x14ac:dyDescent="0.55000000000000004">
      <c r="A13103" s="17"/>
    </row>
    <row r="13104" spans="1:1" x14ac:dyDescent="0.55000000000000004">
      <c r="A13104" s="17"/>
    </row>
    <row r="13105" spans="1:1" x14ac:dyDescent="0.55000000000000004">
      <c r="A13105" s="17"/>
    </row>
    <row r="13106" spans="1:1" x14ac:dyDescent="0.55000000000000004">
      <c r="A13106" s="17"/>
    </row>
    <row r="13107" spans="1:1" x14ac:dyDescent="0.55000000000000004">
      <c r="A13107" s="17"/>
    </row>
    <row r="13108" spans="1:1" x14ac:dyDescent="0.55000000000000004">
      <c r="A13108" s="17"/>
    </row>
    <row r="13109" spans="1:1" x14ac:dyDescent="0.55000000000000004">
      <c r="A13109" s="17"/>
    </row>
    <row r="13110" spans="1:1" x14ac:dyDescent="0.55000000000000004">
      <c r="A13110" s="17"/>
    </row>
    <row r="13111" spans="1:1" x14ac:dyDescent="0.55000000000000004">
      <c r="A13111" s="17"/>
    </row>
    <row r="13112" spans="1:1" x14ac:dyDescent="0.55000000000000004">
      <c r="A13112" s="17"/>
    </row>
    <row r="13113" spans="1:1" x14ac:dyDescent="0.55000000000000004">
      <c r="A13113" s="17"/>
    </row>
    <row r="13114" spans="1:1" x14ac:dyDescent="0.55000000000000004">
      <c r="A13114" s="17"/>
    </row>
    <row r="13115" spans="1:1" x14ac:dyDescent="0.55000000000000004">
      <c r="A13115" s="17"/>
    </row>
    <row r="13116" spans="1:1" x14ac:dyDescent="0.55000000000000004">
      <c r="A13116" s="17"/>
    </row>
    <row r="13117" spans="1:1" x14ac:dyDescent="0.55000000000000004">
      <c r="A13117" s="17"/>
    </row>
    <row r="13118" spans="1:1" x14ac:dyDescent="0.55000000000000004">
      <c r="A13118" s="17"/>
    </row>
    <row r="13119" spans="1:1" x14ac:dyDescent="0.55000000000000004">
      <c r="A13119" s="17"/>
    </row>
    <row r="13120" spans="1:1" x14ac:dyDescent="0.55000000000000004">
      <c r="A13120" s="17"/>
    </row>
    <row r="13121" spans="1:1" x14ac:dyDescent="0.55000000000000004">
      <c r="A13121" s="17"/>
    </row>
    <row r="13122" spans="1:1" x14ac:dyDescent="0.55000000000000004">
      <c r="A13122" s="17"/>
    </row>
    <row r="13123" spans="1:1" x14ac:dyDescent="0.55000000000000004">
      <c r="A13123" s="17"/>
    </row>
    <row r="13124" spans="1:1" x14ac:dyDescent="0.55000000000000004">
      <c r="A13124" s="17"/>
    </row>
    <row r="13125" spans="1:1" x14ac:dyDescent="0.55000000000000004">
      <c r="A13125" s="17"/>
    </row>
    <row r="13126" spans="1:1" x14ac:dyDescent="0.55000000000000004">
      <c r="A13126" s="17"/>
    </row>
    <row r="13127" spans="1:1" x14ac:dyDescent="0.55000000000000004">
      <c r="A13127" s="17"/>
    </row>
    <row r="13128" spans="1:1" x14ac:dyDescent="0.55000000000000004">
      <c r="A13128" s="17"/>
    </row>
    <row r="13129" spans="1:1" x14ac:dyDescent="0.55000000000000004">
      <c r="A13129" s="17"/>
    </row>
    <row r="13130" spans="1:1" x14ac:dyDescent="0.55000000000000004">
      <c r="A13130" s="17"/>
    </row>
    <row r="13131" spans="1:1" x14ac:dyDescent="0.55000000000000004">
      <c r="A13131" s="17"/>
    </row>
    <row r="13132" spans="1:1" x14ac:dyDescent="0.55000000000000004">
      <c r="A13132" s="17"/>
    </row>
    <row r="13133" spans="1:1" x14ac:dyDescent="0.55000000000000004">
      <c r="A13133" s="17"/>
    </row>
    <row r="13134" spans="1:1" x14ac:dyDescent="0.55000000000000004">
      <c r="A13134" s="17"/>
    </row>
    <row r="13135" spans="1:1" x14ac:dyDescent="0.55000000000000004">
      <c r="A13135" s="17"/>
    </row>
    <row r="13136" spans="1:1" x14ac:dyDescent="0.55000000000000004">
      <c r="A13136" s="17"/>
    </row>
    <row r="13137" spans="1:1" x14ac:dyDescent="0.55000000000000004">
      <c r="A13137" s="17"/>
    </row>
    <row r="13138" spans="1:1" x14ac:dyDescent="0.55000000000000004">
      <c r="A13138" s="17"/>
    </row>
    <row r="13139" spans="1:1" x14ac:dyDescent="0.55000000000000004">
      <c r="A13139" s="17"/>
    </row>
    <row r="13140" spans="1:1" x14ac:dyDescent="0.55000000000000004">
      <c r="A13140" s="17"/>
    </row>
    <row r="13141" spans="1:1" x14ac:dyDescent="0.55000000000000004">
      <c r="A13141" s="17"/>
    </row>
    <row r="13142" spans="1:1" x14ac:dyDescent="0.55000000000000004">
      <c r="A13142" s="17"/>
    </row>
    <row r="13143" spans="1:1" x14ac:dyDescent="0.55000000000000004">
      <c r="A13143" s="17"/>
    </row>
    <row r="13144" spans="1:1" x14ac:dyDescent="0.55000000000000004">
      <c r="A13144" s="17"/>
    </row>
    <row r="13145" spans="1:1" x14ac:dyDescent="0.55000000000000004">
      <c r="A13145" s="17"/>
    </row>
    <row r="13146" spans="1:1" x14ac:dyDescent="0.55000000000000004">
      <c r="A13146" s="17"/>
    </row>
    <row r="13147" spans="1:1" x14ac:dyDescent="0.55000000000000004">
      <c r="A13147" s="17"/>
    </row>
    <row r="13148" spans="1:1" x14ac:dyDescent="0.55000000000000004">
      <c r="A13148" s="17"/>
    </row>
    <row r="13149" spans="1:1" x14ac:dyDescent="0.55000000000000004">
      <c r="A13149" s="17"/>
    </row>
    <row r="13150" spans="1:1" x14ac:dyDescent="0.55000000000000004">
      <c r="A13150" s="17"/>
    </row>
    <row r="13151" spans="1:1" x14ac:dyDescent="0.55000000000000004">
      <c r="A13151" s="17"/>
    </row>
    <row r="13152" spans="1:1" x14ac:dyDescent="0.55000000000000004">
      <c r="A13152" s="17"/>
    </row>
    <row r="13153" spans="1:1" x14ac:dyDescent="0.55000000000000004">
      <c r="A13153" s="17"/>
    </row>
    <row r="13154" spans="1:1" x14ac:dyDescent="0.55000000000000004">
      <c r="A13154" s="17"/>
    </row>
    <row r="13155" spans="1:1" x14ac:dyDescent="0.55000000000000004">
      <c r="A13155" s="17"/>
    </row>
    <row r="13156" spans="1:1" x14ac:dyDescent="0.55000000000000004">
      <c r="A13156" s="17"/>
    </row>
    <row r="13157" spans="1:1" x14ac:dyDescent="0.55000000000000004">
      <c r="A13157" s="17"/>
    </row>
    <row r="13158" spans="1:1" x14ac:dyDescent="0.55000000000000004">
      <c r="A13158" s="17"/>
    </row>
    <row r="13159" spans="1:1" x14ac:dyDescent="0.55000000000000004">
      <c r="A13159" s="17"/>
    </row>
    <row r="13160" spans="1:1" x14ac:dyDescent="0.55000000000000004">
      <c r="A13160" s="17"/>
    </row>
    <row r="13161" spans="1:1" x14ac:dyDescent="0.55000000000000004">
      <c r="A13161" s="17"/>
    </row>
    <row r="13162" spans="1:1" x14ac:dyDescent="0.55000000000000004">
      <c r="A13162" s="17"/>
    </row>
    <row r="13163" spans="1:1" x14ac:dyDescent="0.55000000000000004">
      <c r="A13163" s="17"/>
    </row>
    <row r="13164" spans="1:1" x14ac:dyDescent="0.55000000000000004">
      <c r="A13164" s="17"/>
    </row>
    <row r="13165" spans="1:1" x14ac:dyDescent="0.55000000000000004">
      <c r="A13165" s="17"/>
    </row>
    <row r="13166" spans="1:1" x14ac:dyDescent="0.55000000000000004">
      <c r="A13166" s="17"/>
    </row>
    <row r="13167" spans="1:1" x14ac:dyDescent="0.55000000000000004">
      <c r="A13167" s="17"/>
    </row>
    <row r="13168" spans="1:1" x14ac:dyDescent="0.55000000000000004">
      <c r="A13168" s="17"/>
    </row>
    <row r="13169" spans="1:1" x14ac:dyDescent="0.55000000000000004">
      <c r="A13169" s="17"/>
    </row>
    <row r="13170" spans="1:1" x14ac:dyDescent="0.55000000000000004">
      <c r="A13170" s="17"/>
    </row>
    <row r="13171" spans="1:1" x14ac:dyDescent="0.55000000000000004">
      <c r="A13171" s="17"/>
    </row>
    <row r="13172" spans="1:1" x14ac:dyDescent="0.55000000000000004">
      <c r="A13172" s="17"/>
    </row>
    <row r="13173" spans="1:1" x14ac:dyDescent="0.55000000000000004">
      <c r="A13173" s="17"/>
    </row>
    <row r="13174" spans="1:1" x14ac:dyDescent="0.55000000000000004">
      <c r="A13174" s="17"/>
    </row>
    <row r="13175" spans="1:1" x14ac:dyDescent="0.55000000000000004">
      <c r="A13175" s="17"/>
    </row>
    <row r="13176" spans="1:1" x14ac:dyDescent="0.55000000000000004">
      <c r="A13176" s="17"/>
    </row>
    <row r="13177" spans="1:1" x14ac:dyDescent="0.55000000000000004">
      <c r="A13177" s="17"/>
    </row>
    <row r="13178" spans="1:1" x14ac:dyDescent="0.55000000000000004">
      <c r="A13178" s="17"/>
    </row>
    <row r="13179" spans="1:1" x14ac:dyDescent="0.55000000000000004">
      <c r="A13179" s="17"/>
    </row>
    <row r="13180" spans="1:1" x14ac:dyDescent="0.55000000000000004">
      <c r="A13180" s="17"/>
    </row>
    <row r="13181" spans="1:1" x14ac:dyDescent="0.55000000000000004">
      <c r="A13181" s="17"/>
    </row>
    <row r="13182" spans="1:1" x14ac:dyDescent="0.55000000000000004">
      <c r="A13182" s="17"/>
    </row>
    <row r="13183" spans="1:1" x14ac:dyDescent="0.55000000000000004">
      <c r="A13183" s="17"/>
    </row>
    <row r="13184" spans="1:1" x14ac:dyDescent="0.55000000000000004">
      <c r="A13184" s="17"/>
    </row>
    <row r="13185" spans="1:1" x14ac:dyDescent="0.55000000000000004">
      <c r="A13185" s="17"/>
    </row>
    <row r="13186" spans="1:1" x14ac:dyDescent="0.55000000000000004">
      <c r="A13186" s="17"/>
    </row>
    <row r="13187" spans="1:1" x14ac:dyDescent="0.55000000000000004">
      <c r="A13187" s="17"/>
    </row>
    <row r="13188" spans="1:1" x14ac:dyDescent="0.55000000000000004">
      <c r="A13188" s="17"/>
    </row>
    <row r="13189" spans="1:1" x14ac:dyDescent="0.55000000000000004">
      <c r="A13189" s="17"/>
    </row>
    <row r="13190" spans="1:1" x14ac:dyDescent="0.55000000000000004">
      <c r="A13190" s="17"/>
    </row>
    <row r="13191" spans="1:1" x14ac:dyDescent="0.55000000000000004">
      <c r="A13191" s="17"/>
    </row>
    <row r="13192" spans="1:1" x14ac:dyDescent="0.55000000000000004">
      <c r="A13192" s="17"/>
    </row>
    <row r="13193" spans="1:1" x14ac:dyDescent="0.55000000000000004">
      <c r="A13193" s="17"/>
    </row>
    <row r="13194" spans="1:1" x14ac:dyDescent="0.55000000000000004">
      <c r="A13194" s="17"/>
    </row>
    <row r="13195" spans="1:1" x14ac:dyDescent="0.55000000000000004">
      <c r="A13195" s="17"/>
    </row>
    <row r="13196" spans="1:1" x14ac:dyDescent="0.55000000000000004">
      <c r="A13196" s="17"/>
    </row>
    <row r="13197" spans="1:1" x14ac:dyDescent="0.55000000000000004">
      <c r="A13197" s="17"/>
    </row>
    <row r="13198" spans="1:1" x14ac:dyDescent="0.55000000000000004">
      <c r="A13198" s="17"/>
    </row>
    <row r="13199" spans="1:1" x14ac:dyDescent="0.55000000000000004">
      <c r="A13199" s="17"/>
    </row>
    <row r="13200" spans="1:1" x14ac:dyDescent="0.55000000000000004">
      <c r="A13200" s="17"/>
    </row>
    <row r="13201" spans="1:1" x14ac:dyDescent="0.55000000000000004">
      <c r="A13201" s="17"/>
    </row>
    <row r="13202" spans="1:1" x14ac:dyDescent="0.55000000000000004">
      <c r="A13202" s="17"/>
    </row>
    <row r="13203" spans="1:1" x14ac:dyDescent="0.55000000000000004">
      <c r="A13203" s="17"/>
    </row>
    <row r="13204" spans="1:1" x14ac:dyDescent="0.55000000000000004">
      <c r="A13204" s="17"/>
    </row>
    <row r="13205" spans="1:1" x14ac:dyDescent="0.55000000000000004">
      <c r="A13205" s="17"/>
    </row>
    <row r="13206" spans="1:1" x14ac:dyDescent="0.55000000000000004">
      <c r="A13206" s="17"/>
    </row>
    <row r="13207" spans="1:1" x14ac:dyDescent="0.55000000000000004">
      <c r="A13207" s="17"/>
    </row>
    <row r="13208" spans="1:1" x14ac:dyDescent="0.55000000000000004">
      <c r="A13208" s="17"/>
    </row>
    <row r="13209" spans="1:1" x14ac:dyDescent="0.55000000000000004">
      <c r="A13209" s="17"/>
    </row>
    <row r="13210" spans="1:1" x14ac:dyDescent="0.55000000000000004">
      <c r="A13210" s="17"/>
    </row>
    <row r="13211" spans="1:1" x14ac:dyDescent="0.55000000000000004">
      <c r="A13211" s="17"/>
    </row>
    <row r="13212" spans="1:1" x14ac:dyDescent="0.55000000000000004">
      <c r="A13212" s="17"/>
    </row>
    <row r="13213" spans="1:1" x14ac:dyDescent="0.55000000000000004">
      <c r="A13213" s="17"/>
    </row>
    <row r="13214" spans="1:1" x14ac:dyDescent="0.55000000000000004">
      <c r="A13214" s="17"/>
    </row>
    <row r="13215" spans="1:1" x14ac:dyDescent="0.55000000000000004">
      <c r="A13215" s="17"/>
    </row>
    <row r="13216" spans="1:1" x14ac:dyDescent="0.55000000000000004">
      <c r="A13216" s="17"/>
    </row>
    <row r="13217" spans="1:1" x14ac:dyDescent="0.55000000000000004">
      <c r="A13217" s="17"/>
    </row>
    <row r="13218" spans="1:1" x14ac:dyDescent="0.55000000000000004">
      <c r="A13218" s="17"/>
    </row>
    <row r="13219" spans="1:1" x14ac:dyDescent="0.55000000000000004">
      <c r="A13219" s="17"/>
    </row>
    <row r="13220" spans="1:1" x14ac:dyDescent="0.55000000000000004">
      <c r="A13220" s="17"/>
    </row>
    <row r="13221" spans="1:1" x14ac:dyDescent="0.55000000000000004">
      <c r="A13221" s="17"/>
    </row>
    <row r="13222" spans="1:1" x14ac:dyDescent="0.55000000000000004">
      <c r="A13222" s="17"/>
    </row>
    <row r="13223" spans="1:1" x14ac:dyDescent="0.55000000000000004">
      <c r="A13223" s="17"/>
    </row>
    <row r="13224" spans="1:1" x14ac:dyDescent="0.55000000000000004">
      <c r="A13224" s="17"/>
    </row>
    <row r="13225" spans="1:1" x14ac:dyDescent="0.55000000000000004">
      <c r="A13225" s="17"/>
    </row>
    <row r="13226" spans="1:1" x14ac:dyDescent="0.55000000000000004">
      <c r="A13226" s="17"/>
    </row>
    <row r="13227" spans="1:1" x14ac:dyDescent="0.55000000000000004">
      <c r="A13227" s="17"/>
    </row>
    <row r="13228" spans="1:1" x14ac:dyDescent="0.55000000000000004">
      <c r="A13228" s="17"/>
    </row>
    <row r="13229" spans="1:1" x14ac:dyDescent="0.55000000000000004">
      <c r="A13229" s="17"/>
    </row>
    <row r="13230" spans="1:1" x14ac:dyDescent="0.55000000000000004">
      <c r="A13230" s="17"/>
    </row>
    <row r="13231" spans="1:1" x14ac:dyDescent="0.55000000000000004">
      <c r="A13231" s="17"/>
    </row>
    <row r="13232" spans="1:1" x14ac:dyDescent="0.55000000000000004">
      <c r="A13232" s="17"/>
    </row>
    <row r="13233" spans="1:1" x14ac:dyDescent="0.55000000000000004">
      <c r="A13233" s="17"/>
    </row>
    <row r="13234" spans="1:1" x14ac:dyDescent="0.55000000000000004">
      <c r="A13234" s="17"/>
    </row>
    <row r="13235" spans="1:1" x14ac:dyDescent="0.55000000000000004">
      <c r="A13235" s="17"/>
    </row>
    <row r="13236" spans="1:1" x14ac:dyDescent="0.55000000000000004">
      <c r="A13236" s="17"/>
    </row>
    <row r="13237" spans="1:1" x14ac:dyDescent="0.55000000000000004">
      <c r="A13237" s="17"/>
    </row>
    <row r="13238" spans="1:1" x14ac:dyDescent="0.55000000000000004">
      <c r="A13238" s="17"/>
    </row>
    <row r="13239" spans="1:1" x14ac:dyDescent="0.55000000000000004">
      <c r="A13239" s="17"/>
    </row>
    <row r="13240" spans="1:1" x14ac:dyDescent="0.55000000000000004">
      <c r="A13240" s="17"/>
    </row>
    <row r="13241" spans="1:1" x14ac:dyDescent="0.55000000000000004">
      <c r="A13241" s="17"/>
    </row>
    <row r="13242" spans="1:1" x14ac:dyDescent="0.55000000000000004">
      <c r="A13242" s="17"/>
    </row>
    <row r="13243" spans="1:1" x14ac:dyDescent="0.55000000000000004">
      <c r="A13243" s="17"/>
    </row>
    <row r="13244" spans="1:1" x14ac:dyDescent="0.55000000000000004">
      <c r="A13244" s="17"/>
    </row>
    <row r="13245" spans="1:1" x14ac:dyDescent="0.55000000000000004">
      <c r="A13245" s="17"/>
    </row>
    <row r="13246" spans="1:1" x14ac:dyDescent="0.55000000000000004">
      <c r="A13246" s="17"/>
    </row>
    <row r="13247" spans="1:1" x14ac:dyDescent="0.55000000000000004">
      <c r="A13247" s="17"/>
    </row>
    <row r="13248" spans="1:1" x14ac:dyDescent="0.55000000000000004">
      <c r="A13248" s="17"/>
    </row>
    <row r="13249" spans="1:1" x14ac:dyDescent="0.55000000000000004">
      <c r="A13249" s="17"/>
    </row>
    <row r="13250" spans="1:1" x14ac:dyDescent="0.55000000000000004">
      <c r="A13250" s="17"/>
    </row>
    <row r="13251" spans="1:1" x14ac:dyDescent="0.55000000000000004">
      <c r="A13251" s="17"/>
    </row>
    <row r="13252" spans="1:1" x14ac:dyDescent="0.55000000000000004">
      <c r="A13252" s="17"/>
    </row>
    <row r="13253" spans="1:1" x14ac:dyDescent="0.55000000000000004">
      <c r="A13253" s="17"/>
    </row>
    <row r="13254" spans="1:1" x14ac:dyDescent="0.55000000000000004">
      <c r="A13254" s="17"/>
    </row>
    <row r="13255" spans="1:1" x14ac:dyDescent="0.55000000000000004">
      <c r="A13255" s="17"/>
    </row>
    <row r="13256" spans="1:1" x14ac:dyDescent="0.55000000000000004">
      <c r="A13256" s="17"/>
    </row>
    <row r="13257" spans="1:1" x14ac:dyDescent="0.55000000000000004">
      <c r="A13257" s="17"/>
    </row>
    <row r="13258" spans="1:1" x14ac:dyDescent="0.55000000000000004">
      <c r="A13258" s="17"/>
    </row>
    <row r="13259" spans="1:1" x14ac:dyDescent="0.55000000000000004">
      <c r="A13259" s="17"/>
    </row>
    <row r="13260" spans="1:1" x14ac:dyDescent="0.55000000000000004">
      <c r="A13260" s="17"/>
    </row>
    <row r="13261" spans="1:1" x14ac:dyDescent="0.55000000000000004">
      <c r="A13261" s="17"/>
    </row>
    <row r="13262" spans="1:1" x14ac:dyDescent="0.55000000000000004">
      <c r="A13262" s="17"/>
    </row>
    <row r="13263" spans="1:1" x14ac:dyDescent="0.55000000000000004">
      <c r="A13263" s="17"/>
    </row>
    <row r="13264" spans="1:1" x14ac:dyDescent="0.55000000000000004">
      <c r="A13264" s="17"/>
    </row>
    <row r="13265" spans="1:1" x14ac:dyDescent="0.55000000000000004">
      <c r="A13265" s="17"/>
    </row>
    <row r="13266" spans="1:1" x14ac:dyDescent="0.55000000000000004">
      <c r="A13266" s="17"/>
    </row>
    <row r="13267" spans="1:1" x14ac:dyDescent="0.55000000000000004">
      <c r="A13267" s="17"/>
    </row>
    <row r="13268" spans="1:1" x14ac:dyDescent="0.55000000000000004">
      <c r="A13268" s="17"/>
    </row>
    <row r="13269" spans="1:1" x14ac:dyDescent="0.55000000000000004">
      <c r="A13269" s="17"/>
    </row>
    <row r="13270" spans="1:1" x14ac:dyDescent="0.55000000000000004">
      <c r="A13270" s="17"/>
    </row>
    <row r="13271" spans="1:1" x14ac:dyDescent="0.55000000000000004">
      <c r="A13271" s="17"/>
    </row>
    <row r="13272" spans="1:1" x14ac:dyDescent="0.55000000000000004">
      <c r="A13272" s="17"/>
    </row>
    <row r="13273" spans="1:1" x14ac:dyDescent="0.55000000000000004">
      <c r="A13273" s="17"/>
    </row>
    <row r="13274" spans="1:1" x14ac:dyDescent="0.55000000000000004">
      <c r="A13274" s="17"/>
    </row>
    <row r="13275" spans="1:1" x14ac:dyDescent="0.55000000000000004">
      <c r="A13275" s="17"/>
    </row>
    <row r="13276" spans="1:1" x14ac:dyDescent="0.55000000000000004">
      <c r="A13276" s="17"/>
    </row>
    <row r="13277" spans="1:1" x14ac:dyDescent="0.55000000000000004">
      <c r="A13277" s="17"/>
    </row>
    <row r="13278" spans="1:1" x14ac:dyDescent="0.55000000000000004">
      <c r="A13278" s="17"/>
    </row>
    <row r="13279" spans="1:1" x14ac:dyDescent="0.55000000000000004">
      <c r="A13279" s="17"/>
    </row>
    <row r="13280" spans="1:1" x14ac:dyDescent="0.55000000000000004">
      <c r="A13280" s="17"/>
    </row>
    <row r="13281" spans="1:1" x14ac:dyDescent="0.55000000000000004">
      <c r="A13281" s="17"/>
    </row>
    <row r="13282" spans="1:1" x14ac:dyDescent="0.55000000000000004">
      <c r="A13282" s="17"/>
    </row>
    <row r="13283" spans="1:1" x14ac:dyDescent="0.55000000000000004">
      <c r="A13283" s="17"/>
    </row>
    <row r="13284" spans="1:1" x14ac:dyDescent="0.55000000000000004">
      <c r="A13284" s="17"/>
    </row>
    <row r="13285" spans="1:1" x14ac:dyDescent="0.55000000000000004">
      <c r="A13285" s="17"/>
    </row>
    <row r="13286" spans="1:1" x14ac:dyDescent="0.55000000000000004">
      <c r="A13286" s="17"/>
    </row>
    <row r="13287" spans="1:1" x14ac:dyDescent="0.55000000000000004">
      <c r="A13287" s="17"/>
    </row>
    <row r="13288" spans="1:1" x14ac:dyDescent="0.55000000000000004">
      <c r="A13288" s="17"/>
    </row>
    <row r="13289" spans="1:1" x14ac:dyDescent="0.55000000000000004">
      <c r="A13289" s="17"/>
    </row>
    <row r="13290" spans="1:1" x14ac:dyDescent="0.55000000000000004">
      <c r="A13290" s="17"/>
    </row>
    <row r="13291" spans="1:1" x14ac:dyDescent="0.55000000000000004">
      <c r="A13291" s="17"/>
    </row>
    <row r="13292" spans="1:1" x14ac:dyDescent="0.55000000000000004">
      <c r="A13292" s="17"/>
    </row>
    <row r="13293" spans="1:1" x14ac:dyDescent="0.55000000000000004">
      <c r="A13293" s="17"/>
    </row>
    <row r="13294" spans="1:1" x14ac:dyDescent="0.55000000000000004">
      <c r="A13294" s="17"/>
    </row>
    <row r="13295" spans="1:1" x14ac:dyDescent="0.55000000000000004">
      <c r="A13295" s="17"/>
    </row>
    <row r="13296" spans="1:1" x14ac:dyDescent="0.55000000000000004">
      <c r="A13296" s="17"/>
    </row>
    <row r="13297" spans="1:1" x14ac:dyDescent="0.55000000000000004">
      <c r="A13297" s="17"/>
    </row>
    <row r="13298" spans="1:1" x14ac:dyDescent="0.55000000000000004">
      <c r="A13298" s="17"/>
    </row>
    <row r="13299" spans="1:1" x14ac:dyDescent="0.55000000000000004">
      <c r="A13299" s="17"/>
    </row>
    <row r="13300" spans="1:1" x14ac:dyDescent="0.55000000000000004">
      <c r="A13300" s="17"/>
    </row>
    <row r="13301" spans="1:1" x14ac:dyDescent="0.55000000000000004">
      <c r="A13301" s="17"/>
    </row>
    <row r="13302" spans="1:1" x14ac:dyDescent="0.55000000000000004">
      <c r="A13302" s="17"/>
    </row>
    <row r="13303" spans="1:1" x14ac:dyDescent="0.55000000000000004">
      <c r="A13303" s="17"/>
    </row>
    <row r="13304" spans="1:1" x14ac:dyDescent="0.55000000000000004">
      <c r="A13304" s="17"/>
    </row>
    <row r="13305" spans="1:1" x14ac:dyDescent="0.55000000000000004">
      <c r="A13305" s="17"/>
    </row>
    <row r="13306" spans="1:1" x14ac:dyDescent="0.55000000000000004">
      <c r="A13306" s="17"/>
    </row>
    <row r="13307" spans="1:1" x14ac:dyDescent="0.55000000000000004">
      <c r="A13307" s="17"/>
    </row>
    <row r="13308" spans="1:1" x14ac:dyDescent="0.55000000000000004">
      <c r="A13308" s="17"/>
    </row>
    <row r="13309" spans="1:1" x14ac:dyDescent="0.55000000000000004">
      <c r="A13309" s="17"/>
    </row>
    <row r="13310" spans="1:1" x14ac:dyDescent="0.55000000000000004">
      <c r="A13310" s="17"/>
    </row>
    <row r="13311" spans="1:1" x14ac:dyDescent="0.55000000000000004">
      <c r="A13311" s="17"/>
    </row>
    <row r="13312" spans="1:1" x14ac:dyDescent="0.55000000000000004">
      <c r="A13312" s="17"/>
    </row>
    <row r="13313" spans="1:1" x14ac:dyDescent="0.55000000000000004">
      <c r="A13313" s="17"/>
    </row>
    <row r="13314" spans="1:1" x14ac:dyDescent="0.55000000000000004">
      <c r="A13314" s="17"/>
    </row>
    <row r="13315" spans="1:1" x14ac:dyDescent="0.55000000000000004">
      <c r="A13315" s="17"/>
    </row>
    <row r="13316" spans="1:1" x14ac:dyDescent="0.55000000000000004">
      <c r="A13316" s="17"/>
    </row>
    <row r="13317" spans="1:1" x14ac:dyDescent="0.55000000000000004">
      <c r="A13317" s="17"/>
    </row>
    <row r="13318" spans="1:1" x14ac:dyDescent="0.55000000000000004">
      <c r="A13318" s="17"/>
    </row>
    <row r="13319" spans="1:1" x14ac:dyDescent="0.55000000000000004">
      <c r="A13319" s="17"/>
    </row>
    <row r="13320" spans="1:1" x14ac:dyDescent="0.55000000000000004">
      <c r="A13320" s="17"/>
    </row>
    <row r="13321" spans="1:1" x14ac:dyDescent="0.55000000000000004">
      <c r="A13321" s="17"/>
    </row>
    <row r="13322" spans="1:1" x14ac:dyDescent="0.55000000000000004">
      <c r="A13322" s="17"/>
    </row>
    <row r="13323" spans="1:1" x14ac:dyDescent="0.55000000000000004">
      <c r="A13323" s="17"/>
    </row>
    <row r="13324" spans="1:1" x14ac:dyDescent="0.55000000000000004">
      <c r="A13324" s="17"/>
    </row>
    <row r="13325" spans="1:1" x14ac:dyDescent="0.55000000000000004">
      <c r="A13325" s="17"/>
    </row>
    <row r="13326" spans="1:1" x14ac:dyDescent="0.55000000000000004">
      <c r="A13326" s="17"/>
    </row>
    <row r="13327" spans="1:1" x14ac:dyDescent="0.55000000000000004">
      <c r="A13327" s="17"/>
    </row>
    <row r="13328" spans="1:1" x14ac:dyDescent="0.55000000000000004">
      <c r="A13328" s="17"/>
    </row>
    <row r="13329" spans="1:1" x14ac:dyDescent="0.55000000000000004">
      <c r="A13329" s="17"/>
    </row>
    <row r="13330" spans="1:1" x14ac:dyDescent="0.55000000000000004">
      <c r="A13330" s="17"/>
    </row>
    <row r="13331" spans="1:1" x14ac:dyDescent="0.55000000000000004">
      <c r="A13331" s="17"/>
    </row>
    <row r="13332" spans="1:1" x14ac:dyDescent="0.55000000000000004">
      <c r="A13332" s="17"/>
    </row>
    <row r="13333" spans="1:1" x14ac:dyDescent="0.55000000000000004">
      <c r="A13333" s="17"/>
    </row>
    <row r="13334" spans="1:1" x14ac:dyDescent="0.55000000000000004">
      <c r="A13334" s="17"/>
    </row>
    <row r="13335" spans="1:1" x14ac:dyDescent="0.55000000000000004">
      <c r="A13335" s="17"/>
    </row>
    <row r="13336" spans="1:1" x14ac:dyDescent="0.55000000000000004">
      <c r="A13336" s="17"/>
    </row>
    <row r="13337" spans="1:1" x14ac:dyDescent="0.55000000000000004">
      <c r="A13337" s="17"/>
    </row>
    <row r="13338" spans="1:1" x14ac:dyDescent="0.55000000000000004">
      <c r="A13338" s="17"/>
    </row>
    <row r="13339" spans="1:1" x14ac:dyDescent="0.55000000000000004">
      <c r="A13339" s="17"/>
    </row>
    <row r="13340" spans="1:1" x14ac:dyDescent="0.55000000000000004">
      <c r="A13340" s="17"/>
    </row>
    <row r="13341" spans="1:1" x14ac:dyDescent="0.55000000000000004">
      <c r="A13341" s="17"/>
    </row>
    <row r="13342" spans="1:1" x14ac:dyDescent="0.55000000000000004">
      <c r="A13342" s="17"/>
    </row>
    <row r="13343" spans="1:1" x14ac:dyDescent="0.55000000000000004">
      <c r="A13343" s="17"/>
    </row>
    <row r="13344" spans="1:1" x14ac:dyDescent="0.55000000000000004">
      <c r="A13344" s="17"/>
    </row>
    <row r="13345" spans="1:1" x14ac:dyDescent="0.55000000000000004">
      <c r="A13345" s="17"/>
    </row>
    <row r="13346" spans="1:1" x14ac:dyDescent="0.55000000000000004">
      <c r="A13346" s="17"/>
    </row>
    <row r="13347" spans="1:1" x14ac:dyDescent="0.55000000000000004">
      <c r="A13347" s="17"/>
    </row>
    <row r="13348" spans="1:1" x14ac:dyDescent="0.55000000000000004">
      <c r="A13348" s="17"/>
    </row>
    <row r="13349" spans="1:1" x14ac:dyDescent="0.55000000000000004">
      <c r="A13349" s="17"/>
    </row>
    <row r="13350" spans="1:1" x14ac:dyDescent="0.55000000000000004">
      <c r="A13350" s="17"/>
    </row>
    <row r="13351" spans="1:1" x14ac:dyDescent="0.55000000000000004">
      <c r="A13351" s="17"/>
    </row>
    <row r="13352" spans="1:1" x14ac:dyDescent="0.55000000000000004">
      <c r="A13352" s="17"/>
    </row>
    <row r="13353" spans="1:1" x14ac:dyDescent="0.55000000000000004">
      <c r="A13353" s="17"/>
    </row>
    <row r="13354" spans="1:1" x14ac:dyDescent="0.55000000000000004">
      <c r="A13354" s="17"/>
    </row>
    <row r="13355" spans="1:1" x14ac:dyDescent="0.55000000000000004">
      <c r="A13355" s="17"/>
    </row>
    <row r="13356" spans="1:1" x14ac:dyDescent="0.55000000000000004">
      <c r="A13356" s="17"/>
    </row>
    <row r="13357" spans="1:1" x14ac:dyDescent="0.55000000000000004">
      <c r="A13357" s="17"/>
    </row>
    <row r="13358" spans="1:1" x14ac:dyDescent="0.55000000000000004">
      <c r="A13358" s="17"/>
    </row>
    <row r="13359" spans="1:1" x14ac:dyDescent="0.55000000000000004">
      <c r="A13359" s="17"/>
    </row>
    <row r="13360" spans="1:1" x14ac:dyDescent="0.55000000000000004">
      <c r="A13360" s="17"/>
    </row>
    <row r="13361" spans="1:1" x14ac:dyDescent="0.55000000000000004">
      <c r="A13361" s="17"/>
    </row>
    <row r="13362" spans="1:1" x14ac:dyDescent="0.55000000000000004">
      <c r="A13362" s="17"/>
    </row>
    <row r="13363" spans="1:1" x14ac:dyDescent="0.55000000000000004">
      <c r="A13363" s="17"/>
    </row>
    <row r="13364" spans="1:1" x14ac:dyDescent="0.55000000000000004">
      <c r="A13364" s="17"/>
    </row>
    <row r="13365" spans="1:1" x14ac:dyDescent="0.55000000000000004">
      <c r="A13365" s="17"/>
    </row>
    <row r="13366" spans="1:1" x14ac:dyDescent="0.55000000000000004">
      <c r="A13366" s="17"/>
    </row>
    <row r="13367" spans="1:1" x14ac:dyDescent="0.55000000000000004">
      <c r="A13367" s="17"/>
    </row>
    <row r="13368" spans="1:1" x14ac:dyDescent="0.55000000000000004">
      <c r="A13368" s="17"/>
    </row>
    <row r="13369" spans="1:1" x14ac:dyDescent="0.55000000000000004">
      <c r="A13369" s="17"/>
    </row>
    <row r="13370" spans="1:1" x14ac:dyDescent="0.55000000000000004">
      <c r="A13370" s="17"/>
    </row>
    <row r="13371" spans="1:1" x14ac:dyDescent="0.55000000000000004">
      <c r="A13371" s="17"/>
    </row>
    <row r="13372" spans="1:1" x14ac:dyDescent="0.55000000000000004">
      <c r="A13372" s="17"/>
    </row>
    <row r="13373" spans="1:1" x14ac:dyDescent="0.55000000000000004">
      <c r="A13373" s="17"/>
    </row>
    <row r="13374" spans="1:1" x14ac:dyDescent="0.55000000000000004">
      <c r="A13374" s="17"/>
    </row>
    <row r="13375" spans="1:1" x14ac:dyDescent="0.55000000000000004">
      <c r="A13375" s="17"/>
    </row>
    <row r="13376" spans="1:1" x14ac:dyDescent="0.55000000000000004">
      <c r="A13376" s="17"/>
    </row>
    <row r="13377" spans="1:1" x14ac:dyDescent="0.55000000000000004">
      <c r="A13377" s="17"/>
    </row>
    <row r="13378" spans="1:1" x14ac:dyDescent="0.55000000000000004">
      <c r="A13378" s="17"/>
    </row>
    <row r="13379" spans="1:1" x14ac:dyDescent="0.55000000000000004">
      <c r="A13379" s="17"/>
    </row>
    <row r="13380" spans="1:1" x14ac:dyDescent="0.55000000000000004">
      <c r="A13380" s="17"/>
    </row>
    <row r="13381" spans="1:1" x14ac:dyDescent="0.55000000000000004">
      <c r="A13381" s="17"/>
    </row>
    <row r="13382" spans="1:1" x14ac:dyDescent="0.55000000000000004">
      <c r="A13382" s="17"/>
    </row>
    <row r="13383" spans="1:1" x14ac:dyDescent="0.55000000000000004">
      <c r="A13383" s="17"/>
    </row>
    <row r="13384" spans="1:1" x14ac:dyDescent="0.55000000000000004">
      <c r="A13384" s="17"/>
    </row>
    <row r="13385" spans="1:1" x14ac:dyDescent="0.55000000000000004">
      <c r="A13385" s="17"/>
    </row>
    <row r="13386" spans="1:1" x14ac:dyDescent="0.55000000000000004">
      <c r="A13386" s="17"/>
    </row>
    <row r="13387" spans="1:1" x14ac:dyDescent="0.55000000000000004">
      <c r="A13387" s="17"/>
    </row>
    <row r="13388" spans="1:1" x14ac:dyDescent="0.55000000000000004">
      <c r="A13388" s="17"/>
    </row>
    <row r="13389" spans="1:1" x14ac:dyDescent="0.55000000000000004">
      <c r="A13389" s="17"/>
    </row>
    <row r="13390" spans="1:1" x14ac:dyDescent="0.55000000000000004">
      <c r="A13390" s="17"/>
    </row>
    <row r="13391" spans="1:1" x14ac:dyDescent="0.55000000000000004">
      <c r="A13391" s="17"/>
    </row>
    <row r="13392" spans="1:1" x14ac:dyDescent="0.55000000000000004">
      <c r="A13392" s="17"/>
    </row>
    <row r="13393" spans="1:1" x14ac:dyDescent="0.55000000000000004">
      <c r="A13393" s="17"/>
    </row>
    <row r="13394" spans="1:1" x14ac:dyDescent="0.55000000000000004">
      <c r="A13394" s="17"/>
    </row>
    <row r="13395" spans="1:1" x14ac:dyDescent="0.55000000000000004">
      <c r="A13395" s="17"/>
    </row>
    <row r="13396" spans="1:1" x14ac:dyDescent="0.55000000000000004">
      <c r="A13396" s="17"/>
    </row>
    <row r="13397" spans="1:1" x14ac:dyDescent="0.55000000000000004">
      <c r="A13397" s="17"/>
    </row>
    <row r="13398" spans="1:1" x14ac:dyDescent="0.55000000000000004">
      <c r="A13398" s="17"/>
    </row>
    <row r="13399" spans="1:1" x14ac:dyDescent="0.55000000000000004">
      <c r="A13399" s="17"/>
    </row>
    <row r="13400" spans="1:1" x14ac:dyDescent="0.55000000000000004">
      <c r="A13400" s="17"/>
    </row>
    <row r="13401" spans="1:1" x14ac:dyDescent="0.55000000000000004">
      <c r="A13401" s="17"/>
    </row>
    <row r="13402" spans="1:1" x14ac:dyDescent="0.55000000000000004">
      <c r="A13402" s="17"/>
    </row>
    <row r="13403" spans="1:1" x14ac:dyDescent="0.55000000000000004">
      <c r="A13403" s="17"/>
    </row>
    <row r="13404" spans="1:1" x14ac:dyDescent="0.55000000000000004">
      <c r="A13404" s="17"/>
    </row>
    <row r="13405" spans="1:1" x14ac:dyDescent="0.55000000000000004">
      <c r="A13405" s="17"/>
    </row>
    <row r="13406" spans="1:1" x14ac:dyDescent="0.55000000000000004">
      <c r="A13406" s="17"/>
    </row>
    <row r="13407" spans="1:1" x14ac:dyDescent="0.55000000000000004">
      <c r="A13407" s="17"/>
    </row>
    <row r="13408" spans="1:1" x14ac:dyDescent="0.55000000000000004">
      <c r="A13408" s="17"/>
    </row>
    <row r="13409" spans="1:1" x14ac:dyDescent="0.55000000000000004">
      <c r="A13409" s="17"/>
    </row>
    <row r="13410" spans="1:1" x14ac:dyDescent="0.55000000000000004">
      <c r="A13410" s="17"/>
    </row>
    <row r="13411" spans="1:1" x14ac:dyDescent="0.55000000000000004">
      <c r="A13411" s="17"/>
    </row>
    <row r="13412" spans="1:1" x14ac:dyDescent="0.55000000000000004">
      <c r="A13412" s="17"/>
    </row>
    <row r="13413" spans="1:1" x14ac:dyDescent="0.55000000000000004">
      <c r="A13413" s="17"/>
    </row>
    <row r="13414" spans="1:1" x14ac:dyDescent="0.55000000000000004">
      <c r="A13414" s="17"/>
    </row>
    <row r="13415" spans="1:1" x14ac:dyDescent="0.55000000000000004">
      <c r="A13415" s="17"/>
    </row>
    <row r="13416" spans="1:1" x14ac:dyDescent="0.55000000000000004">
      <c r="A13416" s="17"/>
    </row>
    <row r="13417" spans="1:1" x14ac:dyDescent="0.55000000000000004">
      <c r="A13417" s="17"/>
    </row>
    <row r="13418" spans="1:1" x14ac:dyDescent="0.55000000000000004">
      <c r="A13418" s="17"/>
    </row>
    <row r="13419" spans="1:1" x14ac:dyDescent="0.55000000000000004">
      <c r="A13419" s="17"/>
    </row>
    <row r="13420" spans="1:1" x14ac:dyDescent="0.55000000000000004">
      <c r="A13420" s="17"/>
    </row>
    <row r="13421" spans="1:1" x14ac:dyDescent="0.55000000000000004">
      <c r="A13421" s="17"/>
    </row>
    <row r="13422" spans="1:1" x14ac:dyDescent="0.55000000000000004">
      <c r="A13422" s="17"/>
    </row>
    <row r="13423" spans="1:1" x14ac:dyDescent="0.55000000000000004">
      <c r="A13423" s="17"/>
    </row>
    <row r="13424" spans="1:1" x14ac:dyDescent="0.55000000000000004">
      <c r="A13424" s="17"/>
    </row>
    <row r="13425" spans="1:1" x14ac:dyDescent="0.55000000000000004">
      <c r="A13425" s="17"/>
    </row>
    <row r="13426" spans="1:1" x14ac:dyDescent="0.55000000000000004">
      <c r="A13426" s="17"/>
    </row>
    <row r="13427" spans="1:1" x14ac:dyDescent="0.55000000000000004">
      <c r="A13427" s="17"/>
    </row>
    <row r="13428" spans="1:1" x14ac:dyDescent="0.55000000000000004">
      <c r="A13428" s="17"/>
    </row>
    <row r="13429" spans="1:1" x14ac:dyDescent="0.55000000000000004">
      <c r="A13429" s="17"/>
    </row>
    <row r="13430" spans="1:1" x14ac:dyDescent="0.55000000000000004">
      <c r="A13430" s="17"/>
    </row>
    <row r="13431" spans="1:1" x14ac:dyDescent="0.55000000000000004">
      <c r="A13431" s="17"/>
    </row>
    <row r="13432" spans="1:1" x14ac:dyDescent="0.55000000000000004">
      <c r="A13432" s="17"/>
    </row>
    <row r="13433" spans="1:1" x14ac:dyDescent="0.55000000000000004">
      <c r="A13433" s="17"/>
    </row>
    <row r="13434" spans="1:1" x14ac:dyDescent="0.55000000000000004">
      <c r="A13434" s="17"/>
    </row>
    <row r="13435" spans="1:1" x14ac:dyDescent="0.55000000000000004">
      <c r="A13435" s="17"/>
    </row>
    <row r="13436" spans="1:1" x14ac:dyDescent="0.55000000000000004">
      <c r="A13436" s="17"/>
    </row>
    <row r="13437" spans="1:1" x14ac:dyDescent="0.55000000000000004">
      <c r="A13437" s="17"/>
    </row>
    <row r="13438" spans="1:1" x14ac:dyDescent="0.55000000000000004">
      <c r="A13438" s="17"/>
    </row>
    <row r="13439" spans="1:1" x14ac:dyDescent="0.55000000000000004">
      <c r="A13439" s="17"/>
    </row>
    <row r="13440" spans="1:1" x14ac:dyDescent="0.55000000000000004">
      <c r="A13440" s="17"/>
    </row>
    <row r="13441" spans="1:1" x14ac:dyDescent="0.55000000000000004">
      <c r="A13441" s="17"/>
    </row>
    <row r="13442" spans="1:1" x14ac:dyDescent="0.55000000000000004">
      <c r="A13442" s="17"/>
    </row>
    <row r="13443" spans="1:1" x14ac:dyDescent="0.55000000000000004">
      <c r="A13443" s="17"/>
    </row>
    <row r="13444" spans="1:1" x14ac:dyDescent="0.55000000000000004">
      <c r="A13444" s="17"/>
    </row>
    <row r="13445" spans="1:1" x14ac:dyDescent="0.55000000000000004">
      <c r="A13445" s="17"/>
    </row>
    <row r="13446" spans="1:1" x14ac:dyDescent="0.55000000000000004">
      <c r="A13446" s="17"/>
    </row>
    <row r="13447" spans="1:1" x14ac:dyDescent="0.55000000000000004">
      <c r="A13447" s="17"/>
    </row>
    <row r="13448" spans="1:1" x14ac:dyDescent="0.55000000000000004">
      <c r="A13448" s="17"/>
    </row>
    <row r="13449" spans="1:1" x14ac:dyDescent="0.55000000000000004">
      <c r="A13449" s="17"/>
    </row>
    <row r="13450" spans="1:1" x14ac:dyDescent="0.55000000000000004">
      <c r="A13450" s="17"/>
    </row>
    <row r="13451" spans="1:1" x14ac:dyDescent="0.55000000000000004">
      <c r="A13451" s="17"/>
    </row>
    <row r="13452" spans="1:1" x14ac:dyDescent="0.55000000000000004">
      <c r="A13452" s="17"/>
    </row>
    <row r="13453" spans="1:1" x14ac:dyDescent="0.55000000000000004">
      <c r="A13453" s="17"/>
    </row>
    <row r="13454" spans="1:1" x14ac:dyDescent="0.55000000000000004">
      <c r="A13454" s="17"/>
    </row>
    <row r="13455" spans="1:1" x14ac:dyDescent="0.55000000000000004">
      <c r="A13455" s="17"/>
    </row>
    <row r="13456" spans="1:1" x14ac:dyDescent="0.55000000000000004">
      <c r="A13456" s="17"/>
    </row>
    <row r="13457" spans="1:1" x14ac:dyDescent="0.55000000000000004">
      <c r="A13457" s="17"/>
    </row>
    <row r="13458" spans="1:1" x14ac:dyDescent="0.55000000000000004">
      <c r="A13458" s="17"/>
    </row>
    <row r="13459" spans="1:1" x14ac:dyDescent="0.55000000000000004">
      <c r="A13459" s="17"/>
    </row>
    <row r="13460" spans="1:1" x14ac:dyDescent="0.55000000000000004">
      <c r="A13460" s="17"/>
    </row>
    <row r="13461" spans="1:1" x14ac:dyDescent="0.55000000000000004">
      <c r="A13461" s="17"/>
    </row>
    <row r="13462" spans="1:1" x14ac:dyDescent="0.55000000000000004">
      <c r="A13462" s="17"/>
    </row>
    <row r="13463" spans="1:1" x14ac:dyDescent="0.55000000000000004">
      <c r="A13463" s="17"/>
    </row>
    <row r="13464" spans="1:1" x14ac:dyDescent="0.55000000000000004">
      <c r="A13464" s="17"/>
    </row>
    <row r="13465" spans="1:1" x14ac:dyDescent="0.55000000000000004">
      <c r="A13465" s="17"/>
    </row>
    <row r="13466" spans="1:1" x14ac:dyDescent="0.55000000000000004">
      <c r="A13466" s="17"/>
    </row>
    <row r="13467" spans="1:1" x14ac:dyDescent="0.55000000000000004">
      <c r="A13467" s="17"/>
    </row>
    <row r="13468" spans="1:1" x14ac:dyDescent="0.55000000000000004">
      <c r="A13468" s="17"/>
    </row>
    <row r="13469" spans="1:1" x14ac:dyDescent="0.55000000000000004">
      <c r="A13469" s="17"/>
    </row>
    <row r="13470" spans="1:1" x14ac:dyDescent="0.55000000000000004">
      <c r="A13470" s="17"/>
    </row>
    <row r="13471" spans="1:1" x14ac:dyDescent="0.55000000000000004">
      <c r="A13471" s="17"/>
    </row>
    <row r="13472" spans="1:1" x14ac:dyDescent="0.55000000000000004">
      <c r="A13472" s="17"/>
    </row>
    <row r="13473" spans="1:1" x14ac:dyDescent="0.55000000000000004">
      <c r="A13473" s="17"/>
    </row>
    <row r="13474" spans="1:1" x14ac:dyDescent="0.55000000000000004">
      <c r="A13474" s="17"/>
    </row>
    <row r="13475" spans="1:1" x14ac:dyDescent="0.55000000000000004">
      <c r="A13475" s="17"/>
    </row>
    <row r="13476" spans="1:1" x14ac:dyDescent="0.55000000000000004">
      <c r="A13476" s="17"/>
    </row>
    <row r="13477" spans="1:1" x14ac:dyDescent="0.55000000000000004">
      <c r="A13477" s="17"/>
    </row>
    <row r="13478" spans="1:1" x14ac:dyDescent="0.55000000000000004">
      <c r="A13478" s="17"/>
    </row>
    <row r="13479" spans="1:1" x14ac:dyDescent="0.55000000000000004">
      <c r="A13479" s="17"/>
    </row>
    <row r="13480" spans="1:1" x14ac:dyDescent="0.55000000000000004">
      <c r="A13480" s="17"/>
    </row>
    <row r="13481" spans="1:1" x14ac:dyDescent="0.55000000000000004">
      <c r="A13481" s="17"/>
    </row>
    <row r="13482" spans="1:1" x14ac:dyDescent="0.55000000000000004">
      <c r="A13482" s="17"/>
    </row>
    <row r="13483" spans="1:1" x14ac:dyDescent="0.55000000000000004">
      <c r="A13483" s="17"/>
    </row>
    <row r="13484" spans="1:1" x14ac:dyDescent="0.55000000000000004">
      <c r="A13484" s="17"/>
    </row>
    <row r="13485" spans="1:1" x14ac:dyDescent="0.55000000000000004">
      <c r="A13485" s="17"/>
    </row>
    <row r="13486" spans="1:1" x14ac:dyDescent="0.55000000000000004">
      <c r="A13486" s="17"/>
    </row>
    <row r="13487" spans="1:1" x14ac:dyDescent="0.55000000000000004">
      <c r="A13487" s="17"/>
    </row>
    <row r="13488" spans="1:1" x14ac:dyDescent="0.55000000000000004">
      <c r="A13488" s="17"/>
    </row>
    <row r="13489" spans="1:1" x14ac:dyDescent="0.55000000000000004">
      <c r="A13489" s="17"/>
    </row>
    <row r="13490" spans="1:1" x14ac:dyDescent="0.55000000000000004">
      <c r="A13490" s="17"/>
    </row>
    <row r="13491" spans="1:1" x14ac:dyDescent="0.55000000000000004">
      <c r="A13491" s="17"/>
    </row>
    <row r="13492" spans="1:1" x14ac:dyDescent="0.55000000000000004">
      <c r="A13492" s="17"/>
    </row>
    <row r="13493" spans="1:1" x14ac:dyDescent="0.55000000000000004">
      <c r="A13493" s="17"/>
    </row>
    <row r="13494" spans="1:1" x14ac:dyDescent="0.55000000000000004">
      <c r="A13494" s="17"/>
    </row>
    <row r="13495" spans="1:1" x14ac:dyDescent="0.55000000000000004">
      <c r="A13495" s="17"/>
    </row>
    <row r="13496" spans="1:1" x14ac:dyDescent="0.55000000000000004">
      <c r="A13496" s="17"/>
    </row>
    <row r="13497" spans="1:1" x14ac:dyDescent="0.55000000000000004">
      <c r="A13497" s="17"/>
    </row>
    <row r="13498" spans="1:1" x14ac:dyDescent="0.55000000000000004">
      <c r="A13498" s="17"/>
    </row>
    <row r="13499" spans="1:1" x14ac:dyDescent="0.55000000000000004">
      <c r="A13499" s="17"/>
    </row>
    <row r="13500" spans="1:1" x14ac:dyDescent="0.55000000000000004">
      <c r="A13500" s="17"/>
    </row>
    <row r="13501" spans="1:1" x14ac:dyDescent="0.55000000000000004">
      <c r="A13501" s="17"/>
    </row>
    <row r="13502" spans="1:1" x14ac:dyDescent="0.55000000000000004">
      <c r="A13502" s="17"/>
    </row>
    <row r="13503" spans="1:1" x14ac:dyDescent="0.55000000000000004">
      <c r="A13503" s="17"/>
    </row>
    <row r="13504" spans="1:1" x14ac:dyDescent="0.55000000000000004">
      <c r="A13504" s="17"/>
    </row>
    <row r="13505" spans="1:1" x14ac:dyDescent="0.55000000000000004">
      <c r="A13505" s="17"/>
    </row>
    <row r="13506" spans="1:1" x14ac:dyDescent="0.55000000000000004">
      <c r="A13506" s="17"/>
    </row>
    <row r="13507" spans="1:1" x14ac:dyDescent="0.55000000000000004">
      <c r="A13507" s="17"/>
    </row>
    <row r="13508" spans="1:1" x14ac:dyDescent="0.55000000000000004">
      <c r="A13508" s="17"/>
    </row>
    <row r="13509" spans="1:1" x14ac:dyDescent="0.55000000000000004">
      <c r="A13509" s="17"/>
    </row>
    <row r="13510" spans="1:1" x14ac:dyDescent="0.55000000000000004">
      <c r="A13510" s="17"/>
    </row>
    <row r="13511" spans="1:1" x14ac:dyDescent="0.55000000000000004">
      <c r="A13511" s="17"/>
    </row>
    <row r="13512" spans="1:1" x14ac:dyDescent="0.55000000000000004">
      <c r="A13512" s="17"/>
    </row>
    <row r="13513" spans="1:1" x14ac:dyDescent="0.55000000000000004">
      <c r="A13513" s="17"/>
    </row>
    <row r="13514" spans="1:1" x14ac:dyDescent="0.55000000000000004">
      <c r="A13514" s="17"/>
    </row>
    <row r="13515" spans="1:1" x14ac:dyDescent="0.55000000000000004">
      <c r="A13515" s="17"/>
    </row>
    <row r="13516" spans="1:1" x14ac:dyDescent="0.55000000000000004">
      <c r="A13516" s="17"/>
    </row>
    <row r="13517" spans="1:1" x14ac:dyDescent="0.55000000000000004">
      <c r="A13517" s="17"/>
    </row>
    <row r="13518" spans="1:1" x14ac:dyDescent="0.55000000000000004">
      <c r="A13518" s="17"/>
    </row>
    <row r="13519" spans="1:1" x14ac:dyDescent="0.55000000000000004">
      <c r="A13519" s="17"/>
    </row>
    <row r="13520" spans="1:1" x14ac:dyDescent="0.55000000000000004">
      <c r="A13520" s="17"/>
    </row>
    <row r="13521" spans="1:1" x14ac:dyDescent="0.55000000000000004">
      <c r="A13521" s="17"/>
    </row>
    <row r="13522" spans="1:1" x14ac:dyDescent="0.55000000000000004">
      <c r="A13522" s="17"/>
    </row>
    <row r="13523" spans="1:1" x14ac:dyDescent="0.55000000000000004">
      <c r="A13523" s="17"/>
    </row>
    <row r="13524" spans="1:1" x14ac:dyDescent="0.55000000000000004">
      <c r="A13524" s="17"/>
    </row>
    <row r="13525" spans="1:1" x14ac:dyDescent="0.55000000000000004">
      <c r="A13525" s="17"/>
    </row>
    <row r="13526" spans="1:1" x14ac:dyDescent="0.55000000000000004">
      <c r="A13526" s="17"/>
    </row>
    <row r="13527" spans="1:1" x14ac:dyDescent="0.55000000000000004">
      <c r="A13527" s="17"/>
    </row>
    <row r="13528" spans="1:1" x14ac:dyDescent="0.55000000000000004">
      <c r="A13528" s="17"/>
    </row>
    <row r="13529" spans="1:1" x14ac:dyDescent="0.55000000000000004">
      <c r="A13529" s="17"/>
    </row>
    <row r="13530" spans="1:1" x14ac:dyDescent="0.55000000000000004">
      <c r="A13530" s="17"/>
    </row>
    <row r="13531" spans="1:1" x14ac:dyDescent="0.55000000000000004">
      <c r="A13531" s="17"/>
    </row>
    <row r="13532" spans="1:1" x14ac:dyDescent="0.55000000000000004">
      <c r="A13532" s="17"/>
    </row>
    <row r="13533" spans="1:1" x14ac:dyDescent="0.55000000000000004">
      <c r="A13533" s="17"/>
    </row>
    <row r="13534" spans="1:1" x14ac:dyDescent="0.55000000000000004">
      <c r="A13534" s="17"/>
    </row>
    <row r="13535" spans="1:1" x14ac:dyDescent="0.55000000000000004">
      <c r="A13535" s="17"/>
    </row>
    <row r="13536" spans="1:1" x14ac:dyDescent="0.55000000000000004">
      <c r="A13536" s="17"/>
    </row>
    <row r="13537" spans="1:1" x14ac:dyDescent="0.55000000000000004">
      <c r="A13537" s="17"/>
    </row>
    <row r="13538" spans="1:1" x14ac:dyDescent="0.55000000000000004">
      <c r="A13538" s="17"/>
    </row>
    <row r="13539" spans="1:1" x14ac:dyDescent="0.55000000000000004">
      <c r="A13539" s="17"/>
    </row>
    <row r="13540" spans="1:1" x14ac:dyDescent="0.55000000000000004">
      <c r="A13540" s="17"/>
    </row>
    <row r="13541" spans="1:1" x14ac:dyDescent="0.55000000000000004">
      <c r="A13541" s="17"/>
    </row>
    <row r="13542" spans="1:1" x14ac:dyDescent="0.55000000000000004">
      <c r="A13542" s="17"/>
    </row>
    <row r="13543" spans="1:1" x14ac:dyDescent="0.55000000000000004">
      <c r="A13543" s="17"/>
    </row>
    <row r="13544" spans="1:1" x14ac:dyDescent="0.55000000000000004">
      <c r="A13544" s="17"/>
    </row>
    <row r="13545" spans="1:1" x14ac:dyDescent="0.55000000000000004">
      <c r="A13545" s="17"/>
    </row>
    <row r="13546" spans="1:1" x14ac:dyDescent="0.55000000000000004">
      <c r="A13546" s="17"/>
    </row>
    <row r="13547" spans="1:1" x14ac:dyDescent="0.55000000000000004">
      <c r="A13547" s="17"/>
    </row>
    <row r="13548" spans="1:1" x14ac:dyDescent="0.55000000000000004">
      <c r="A13548" s="17"/>
    </row>
    <row r="13549" spans="1:1" x14ac:dyDescent="0.55000000000000004">
      <c r="A13549" s="17"/>
    </row>
    <row r="13550" spans="1:1" x14ac:dyDescent="0.55000000000000004">
      <c r="A13550" s="17"/>
    </row>
    <row r="13551" spans="1:1" x14ac:dyDescent="0.55000000000000004">
      <c r="A13551" s="17"/>
    </row>
    <row r="13552" spans="1:1" x14ac:dyDescent="0.55000000000000004">
      <c r="A13552" s="17"/>
    </row>
    <row r="13553" spans="1:1" x14ac:dyDescent="0.55000000000000004">
      <c r="A13553" s="17"/>
    </row>
    <row r="13554" spans="1:1" x14ac:dyDescent="0.55000000000000004">
      <c r="A13554" s="17"/>
    </row>
    <row r="13555" spans="1:1" x14ac:dyDescent="0.55000000000000004">
      <c r="A13555" s="17"/>
    </row>
    <row r="13556" spans="1:1" x14ac:dyDescent="0.55000000000000004">
      <c r="A13556" s="17"/>
    </row>
    <row r="13557" spans="1:1" x14ac:dyDescent="0.55000000000000004">
      <c r="A13557" s="17"/>
    </row>
    <row r="13558" spans="1:1" x14ac:dyDescent="0.55000000000000004">
      <c r="A13558" s="17"/>
    </row>
    <row r="13559" spans="1:1" x14ac:dyDescent="0.55000000000000004">
      <c r="A13559" s="17"/>
    </row>
    <row r="13560" spans="1:1" x14ac:dyDescent="0.55000000000000004">
      <c r="A13560" s="17"/>
    </row>
    <row r="13561" spans="1:1" x14ac:dyDescent="0.55000000000000004">
      <c r="A13561" s="17"/>
    </row>
    <row r="13562" spans="1:1" x14ac:dyDescent="0.55000000000000004">
      <c r="A13562" s="17"/>
    </row>
    <row r="13563" spans="1:1" x14ac:dyDescent="0.55000000000000004">
      <c r="A13563" s="17"/>
    </row>
    <row r="13564" spans="1:1" x14ac:dyDescent="0.55000000000000004">
      <c r="A13564" s="17"/>
    </row>
    <row r="13565" spans="1:1" x14ac:dyDescent="0.55000000000000004">
      <c r="A13565" s="17"/>
    </row>
    <row r="13566" spans="1:1" x14ac:dyDescent="0.55000000000000004">
      <c r="A13566" s="17"/>
    </row>
    <row r="13567" spans="1:1" x14ac:dyDescent="0.55000000000000004">
      <c r="A13567" s="17"/>
    </row>
    <row r="13568" spans="1:1" x14ac:dyDescent="0.55000000000000004">
      <c r="A13568" s="17"/>
    </row>
    <row r="13569" spans="1:1" x14ac:dyDescent="0.55000000000000004">
      <c r="A13569" s="17"/>
    </row>
    <row r="13570" spans="1:1" x14ac:dyDescent="0.55000000000000004">
      <c r="A13570" s="17"/>
    </row>
    <row r="13571" spans="1:1" x14ac:dyDescent="0.55000000000000004">
      <c r="A13571" s="17"/>
    </row>
    <row r="13572" spans="1:1" x14ac:dyDescent="0.55000000000000004">
      <c r="A13572" s="17"/>
    </row>
    <row r="13573" spans="1:1" x14ac:dyDescent="0.55000000000000004">
      <c r="A13573" s="17"/>
    </row>
    <row r="13574" spans="1:1" x14ac:dyDescent="0.55000000000000004">
      <c r="A13574" s="17"/>
    </row>
    <row r="13575" spans="1:1" x14ac:dyDescent="0.55000000000000004">
      <c r="A13575" s="17"/>
    </row>
    <row r="13576" spans="1:1" x14ac:dyDescent="0.55000000000000004">
      <c r="A13576" s="17"/>
    </row>
    <row r="13577" spans="1:1" x14ac:dyDescent="0.55000000000000004">
      <c r="A13577" s="17"/>
    </row>
    <row r="13578" spans="1:1" x14ac:dyDescent="0.55000000000000004">
      <c r="A13578" s="17"/>
    </row>
    <row r="13579" spans="1:1" x14ac:dyDescent="0.55000000000000004">
      <c r="A13579" s="17"/>
    </row>
    <row r="13580" spans="1:1" x14ac:dyDescent="0.55000000000000004">
      <c r="A13580" s="17"/>
    </row>
    <row r="13581" spans="1:1" x14ac:dyDescent="0.55000000000000004">
      <c r="A13581" s="17"/>
    </row>
    <row r="13582" spans="1:1" x14ac:dyDescent="0.55000000000000004">
      <c r="A13582" s="17"/>
    </row>
    <row r="13583" spans="1:1" x14ac:dyDescent="0.55000000000000004">
      <c r="A13583" s="17"/>
    </row>
    <row r="13584" spans="1:1" x14ac:dyDescent="0.55000000000000004">
      <c r="A13584" s="17"/>
    </row>
    <row r="13585" spans="1:1" x14ac:dyDescent="0.55000000000000004">
      <c r="A13585" s="17"/>
    </row>
    <row r="13586" spans="1:1" x14ac:dyDescent="0.55000000000000004">
      <c r="A13586" s="17"/>
    </row>
    <row r="13587" spans="1:1" x14ac:dyDescent="0.55000000000000004">
      <c r="A13587" s="17"/>
    </row>
    <row r="13588" spans="1:1" x14ac:dyDescent="0.55000000000000004">
      <c r="A13588" s="17"/>
    </row>
    <row r="13589" spans="1:1" x14ac:dyDescent="0.55000000000000004">
      <c r="A13589" s="17"/>
    </row>
    <row r="13590" spans="1:1" x14ac:dyDescent="0.55000000000000004">
      <c r="A13590" s="17"/>
    </row>
    <row r="13591" spans="1:1" x14ac:dyDescent="0.55000000000000004">
      <c r="A13591" s="17"/>
    </row>
    <row r="13592" spans="1:1" x14ac:dyDescent="0.55000000000000004">
      <c r="A13592" s="17"/>
    </row>
    <row r="13593" spans="1:1" x14ac:dyDescent="0.55000000000000004">
      <c r="A13593" s="17"/>
    </row>
    <row r="13594" spans="1:1" x14ac:dyDescent="0.55000000000000004">
      <c r="A13594" s="17"/>
    </row>
    <row r="13595" spans="1:1" x14ac:dyDescent="0.55000000000000004">
      <c r="A13595" s="17"/>
    </row>
    <row r="13596" spans="1:1" x14ac:dyDescent="0.55000000000000004">
      <c r="A13596" s="17"/>
    </row>
    <row r="13597" spans="1:1" x14ac:dyDescent="0.55000000000000004">
      <c r="A13597" s="17"/>
    </row>
    <row r="13598" spans="1:1" x14ac:dyDescent="0.55000000000000004">
      <c r="A13598" s="17"/>
    </row>
    <row r="13599" spans="1:1" x14ac:dyDescent="0.55000000000000004">
      <c r="A13599" s="17"/>
    </row>
    <row r="13600" spans="1:1" x14ac:dyDescent="0.55000000000000004">
      <c r="A13600" s="17"/>
    </row>
    <row r="13601" spans="1:1" x14ac:dyDescent="0.55000000000000004">
      <c r="A13601" s="17"/>
    </row>
    <row r="13602" spans="1:1" x14ac:dyDescent="0.55000000000000004">
      <c r="A13602" s="17"/>
    </row>
    <row r="13603" spans="1:1" x14ac:dyDescent="0.55000000000000004">
      <c r="A13603" s="17"/>
    </row>
    <row r="13604" spans="1:1" x14ac:dyDescent="0.55000000000000004">
      <c r="A13604" s="17"/>
    </row>
    <row r="13605" spans="1:1" x14ac:dyDescent="0.55000000000000004">
      <c r="A13605" s="17"/>
    </row>
    <row r="13606" spans="1:1" x14ac:dyDescent="0.55000000000000004">
      <c r="A13606" s="17"/>
    </row>
    <row r="13607" spans="1:1" x14ac:dyDescent="0.55000000000000004">
      <c r="A13607" s="17"/>
    </row>
    <row r="13608" spans="1:1" x14ac:dyDescent="0.55000000000000004">
      <c r="A13608" s="17"/>
    </row>
    <row r="13609" spans="1:1" x14ac:dyDescent="0.55000000000000004">
      <c r="A13609" s="17"/>
    </row>
    <row r="13610" spans="1:1" x14ac:dyDescent="0.55000000000000004">
      <c r="A13610" s="17"/>
    </row>
    <row r="13611" spans="1:1" x14ac:dyDescent="0.55000000000000004">
      <c r="A13611" s="17"/>
    </row>
    <row r="13612" spans="1:1" x14ac:dyDescent="0.55000000000000004">
      <c r="A13612" s="17"/>
    </row>
    <row r="13613" spans="1:1" x14ac:dyDescent="0.55000000000000004">
      <c r="A13613" s="17"/>
    </row>
    <row r="13614" spans="1:1" x14ac:dyDescent="0.55000000000000004">
      <c r="A13614" s="17"/>
    </row>
    <row r="13615" spans="1:1" x14ac:dyDescent="0.55000000000000004">
      <c r="A13615" s="17"/>
    </row>
    <row r="13616" spans="1:1" x14ac:dyDescent="0.55000000000000004">
      <c r="A13616" s="17"/>
    </row>
    <row r="13617" spans="1:1" x14ac:dyDescent="0.55000000000000004">
      <c r="A13617" s="17"/>
    </row>
    <row r="13618" spans="1:1" x14ac:dyDescent="0.55000000000000004">
      <c r="A13618" s="17"/>
    </row>
    <row r="13619" spans="1:1" x14ac:dyDescent="0.55000000000000004">
      <c r="A13619" s="17"/>
    </row>
    <row r="13620" spans="1:1" x14ac:dyDescent="0.55000000000000004">
      <c r="A13620" s="17"/>
    </row>
    <row r="13621" spans="1:1" x14ac:dyDescent="0.55000000000000004">
      <c r="A13621" s="17"/>
    </row>
    <row r="13622" spans="1:1" x14ac:dyDescent="0.55000000000000004">
      <c r="A13622" s="17"/>
    </row>
    <row r="13623" spans="1:1" x14ac:dyDescent="0.55000000000000004">
      <c r="A13623" s="17"/>
    </row>
    <row r="13624" spans="1:1" x14ac:dyDescent="0.55000000000000004">
      <c r="A13624" s="17"/>
    </row>
    <row r="13625" spans="1:1" x14ac:dyDescent="0.55000000000000004">
      <c r="A13625" s="17"/>
    </row>
    <row r="13626" spans="1:1" x14ac:dyDescent="0.55000000000000004">
      <c r="A13626" s="17"/>
    </row>
    <row r="13627" spans="1:1" x14ac:dyDescent="0.55000000000000004">
      <c r="A13627" s="17"/>
    </row>
    <row r="13628" spans="1:1" x14ac:dyDescent="0.55000000000000004">
      <c r="A13628" s="17"/>
    </row>
    <row r="13629" spans="1:1" x14ac:dyDescent="0.55000000000000004">
      <c r="A13629" s="17"/>
    </row>
    <row r="13630" spans="1:1" x14ac:dyDescent="0.55000000000000004">
      <c r="A13630" s="17"/>
    </row>
    <row r="13631" spans="1:1" x14ac:dyDescent="0.55000000000000004">
      <c r="A13631" s="17"/>
    </row>
    <row r="13632" spans="1:1" x14ac:dyDescent="0.55000000000000004">
      <c r="A13632" s="17"/>
    </row>
    <row r="13633" spans="1:1" x14ac:dyDescent="0.55000000000000004">
      <c r="A13633" s="17"/>
    </row>
    <row r="13634" spans="1:1" x14ac:dyDescent="0.55000000000000004">
      <c r="A13634" s="17"/>
    </row>
    <row r="13635" spans="1:1" x14ac:dyDescent="0.55000000000000004">
      <c r="A13635" s="17"/>
    </row>
    <row r="13636" spans="1:1" x14ac:dyDescent="0.55000000000000004">
      <c r="A13636" s="17"/>
    </row>
    <row r="13637" spans="1:1" x14ac:dyDescent="0.55000000000000004">
      <c r="A13637" s="17"/>
    </row>
    <row r="13638" spans="1:1" x14ac:dyDescent="0.55000000000000004">
      <c r="A13638" s="17"/>
    </row>
    <row r="13639" spans="1:1" x14ac:dyDescent="0.55000000000000004">
      <c r="A13639" s="17"/>
    </row>
    <row r="13640" spans="1:1" x14ac:dyDescent="0.55000000000000004">
      <c r="A13640" s="17"/>
    </row>
    <row r="13641" spans="1:1" x14ac:dyDescent="0.55000000000000004">
      <c r="A13641" s="17"/>
    </row>
    <row r="13642" spans="1:1" x14ac:dyDescent="0.55000000000000004">
      <c r="A13642" s="17"/>
    </row>
    <row r="13643" spans="1:1" x14ac:dyDescent="0.55000000000000004">
      <c r="A13643" s="17"/>
    </row>
    <row r="13644" spans="1:1" x14ac:dyDescent="0.55000000000000004">
      <c r="A13644" s="17"/>
    </row>
    <row r="13645" spans="1:1" x14ac:dyDescent="0.55000000000000004">
      <c r="A13645" s="17"/>
    </row>
    <row r="13646" spans="1:1" x14ac:dyDescent="0.55000000000000004">
      <c r="A13646" s="17"/>
    </row>
    <row r="13647" spans="1:1" x14ac:dyDescent="0.55000000000000004">
      <c r="A13647" s="17"/>
    </row>
    <row r="13648" spans="1:1" x14ac:dyDescent="0.55000000000000004">
      <c r="A13648" s="17"/>
    </row>
    <row r="13649" spans="1:1" x14ac:dyDescent="0.55000000000000004">
      <c r="A13649" s="17"/>
    </row>
    <row r="13650" spans="1:1" x14ac:dyDescent="0.55000000000000004">
      <c r="A13650" s="17"/>
    </row>
    <row r="13651" spans="1:1" x14ac:dyDescent="0.55000000000000004">
      <c r="A13651" s="17"/>
    </row>
    <row r="13652" spans="1:1" x14ac:dyDescent="0.55000000000000004">
      <c r="A13652" s="17"/>
    </row>
    <row r="13653" spans="1:1" x14ac:dyDescent="0.55000000000000004">
      <c r="A13653" s="17"/>
    </row>
    <row r="13654" spans="1:1" x14ac:dyDescent="0.55000000000000004">
      <c r="A13654" s="17"/>
    </row>
    <row r="13655" spans="1:1" x14ac:dyDescent="0.55000000000000004">
      <c r="A13655" s="17"/>
    </row>
    <row r="13656" spans="1:1" x14ac:dyDescent="0.55000000000000004">
      <c r="A13656" s="17"/>
    </row>
    <row r="13657" spans="1:1" x14ac:dyDescent="0.55000000000000004">
      <c r="A13657" s="17"/>
    </row>
    <row r="13658" spans="1:1" x14ac:dyDescent="0.55000000000000004">
      <c r="A13658" s="17"/>
    </row>
    <row r="13659" spans="1:1" x14ac:dyDescent="0.55000000000000004">
      <c r="A13659" s="17"/>
    </row>
    <row r="13660" spans="1:1" x14ac:dyDescent="0.55000000000000004">
      <c r="A13660" s="17"/>
    </row>
    <row r="13661" spans="1:1" x14ac:dyDescent="0.55000000000000004">
      <c r="A13661" s="17"/>
    </row>
    <row r="13662" spans="1:1" x14ac:dyDescent="0.55000000000000004">
      <c r="A13662" s="17"/>
    </row>
    <row r="13663" spans="1:1" x14ac:dyDescent="0.55000000000000004">
      <c r="A13663" s="17"/>
    </row>
    <row r="13664" spans="1:1" x14ac:dyDescent="0.55000000000000004">
      <c r="A13664" s="17"/>
    </row>
    <row r="13665" spans="1:1" x14ac:dyDescent="0.55000000000000004">
      <c r="A13665" s="17"/>
    </row>
    <row r="13666" spans="1:1" x14ac:dyDescent="0.55000000000000004">
      <c r="A13666" s="17"/>
    </row>
    <row r="13667" spans="1:1" x14ac:dyDescent="0.55000000000000004">
      <c r="A13667" s="17"/>
    </row>
    <row r="13668" spans="1:1" x14ac:dyDescent="0.55000000000000004">
      <c r="A13668" s="17"/>
    </row>
    <row r="13669" spans="1:1" x14ac:dyDescent="0.55000000000000004">
      <c r="A13669" s="17"/>
    </row>
    <row r="13670" spans="1:1" x14ac:dyDescent="0.55000000000000004">
      <c r="A13670" s="17"/>
    </row>
    <row r="13671" spans="1:1" x14ac:dyDescent="0.55000000000000004">
      <c r="A13671" s="17"/>
    </row>
    <row r="13672" spans="1:1" x14ac:dyDescent="0.55000000000000004">
      <c r="A13672" s="17"/>
    </row>
    <row r="13673" spans="1:1" x14ac:dyDescent="0.55000000000000004">
      <c r="A13673" s="17"/>
    </row>
    <row r="13674" spans="1:1" x14ac:dyDescent="0.55000000000000004">
      <c r="A13674" s="17"/>
    </row>
    <row r="13675" spans="1:1" x14ac:dyDescent="0.55000000000000004">
      <c r="A13675" s="17"/>
    </row>
    <row r="13676" spans="1:1" x14ac:dyDescent="0.55000000000000004">
      <c r="A13676" s="17"/>
    </row>
    <row r="13677" spans="1:1" x14ac:dyDescent="0.55000000000000004">
      <c r="A13677" s="17"/>
    </row>
    <row r="13678" spans="1:1" x14ac:dyDescent="0.55000000000000004">
      <c r="A13678" s="17"/>
    </row>
    <row r="13679" spans="1:1" x14ac:dyDescent="0.55000000000000004">
      <c r="A13679" s="17"/>
    </row>
    <row r="13680" spans="1:1" x14ac:dyDescent="0.55000000000000004">
      <c r="A13680" s="17"/>
    </row>
    <row r="13681" spans="1:1" x14ac:dyDescent="0.55000000000000004">
      <c r="A13681" s="17"/>
    </row>
    <row r="13682" spans="1:1" x14ac:dyDescent="0.55000000000000004">
      <c r="A13682" s="17"/>
    </row>
    <row r="13683" spans="1:1" x14ac:dyDescent="0.55000000000000004">
      <c r="A13683" s="17"/>
    </row>
    <row r="13684" spans="1:1" x14ac:dyDescent="0.55000000000000004">
      <c r="A13684" s="17"/>
    </row>
    <row r="13685" spans="1:1" x14ac:dyDescent="0.55000000000000004">
      <c r="A13685" s="17"/>
    </row>
    <row r="13686" spans="1:1" x14ac:dyDescent="0.55000000000000004">
      <c r="A13686" s="17"/>
    </row>
    <row r="13687" spans="1:1" x14ac:dyDescent="0.55000000000000004">
      <c r="A13687" s="17"/>
    </row>
    <row r="13688" spans="1:1" x14ac:dyDescent="0.55000000000000004">
      <c r="A13688" s="17"/>
    </row>
    <row r="13689" spans="1:1" x14ac:dyDescent="0.55000000000000004">
      <c r="A13689" s="17"/>
    </row>
    <row r="13690" spans="1:1" x14ac:dyDescent="0.55000000000000004">
      <c r="A13690" s="17"/>
    </row>
    <row r="13691" spans="1:1" x14ac:dyDescent="0.55000000000000004">
      <c r="A13691" s="17"/>
    </row>
    <row r="13692" spans="1:1" x14ac:dyDescent="0.55000000000000004">
      <c r="A13692" s="17"/>
    </row>
    <row r="13693" spans="1:1" x14ac:dyDescent="0.55000000000000004">
      <c r="A13693" s="17"/>
    </row>
    <row r="13694" spans="1:1" x14ac:dyDescent="0.55000000000000004">
      <c r="A13694" s="17"/>
    </row>
    <row r="13695" spans="1:1" x14ac:dyDescent="0.55000000000000004">
      <c r="A13695" s="17"/>
    </row>
    <row r="13696" spans="1:1" x14ac:dyDescent="0.55000000000000004">
      <c r="A13696" s="17"/>
    </row>
    <row r="13697" spans="1:1" x14ac:dyDescent="0.55000000000000004">
      <c r="A13697" s="17"/>
    </row>
    <row r="13698" spans="1:1" x14ac:dyDescent="0.55000000000000004">
      <c r="A13698" s="17"/>
    </row>
    <row r="13699" spans="1:1" x14ac:dyDescent="0.55000000000000004">
      <c r="A13699" s="17"/>
    </row>
    <row r="13700" spans="1:1" x14ac:dyDescent="0.55000000000000004">
      <c r="A13700" s="17"/>
    </row>
    <row r="13701" spans="1:1" x14ac:dyDescent="0.55000000000000004">
      <c r="A13701" s="17"/>
    </row>
    <row r="13702" spans="1:1" x14ac:dyDescent="0.55000000000000004">
      <c r="A13702" s="17"/>
    </row>
    <row r="13703" spans="1:1" x14ac:dyDescent="0.55000000000000004">
      <c r="A13703" s="17"/>
    </row>
    <row r="13704" spans="1:1" x14ac:dyDescent="0.55000000000000004">
      <c r="A13704" s="17"/>
    </row>
    <row r="13705" spans="1:1" x14ac:dyDescent="0.55000000000000004">
      <c r="A13705" s="17"/>
    </row>
    <row r="13706" spans="1:1" x14ac:dyDescent="0.55000000000000004">
      <c r="A13706" s="17"/>
    </row>
    <row r="13707" spans="1:1" x14ac:dyDescent="0.55000000000000004">
      <c r="A13707" s="17"/>
    </row>
    <row r="13708" spans="1:1" x14ac:dyDescent="0.55000000000000004">
      <c r="A13708" s="17"/>
    </row>
    <row r="13709" spans="1:1" x14ac:dyDescent="0.55000000000000004">
      <c r="A13709" s="17"/>
    </row>
    <row r="13710" spans="1:1" x14ac:dyDescent="0.55000000000000004">
      <c r="A13710" s="17"/>
    </row>
    <row r="13711" spans="1:1" x14ac:dyDescent="0.55000000000000004">
      <c r="A13711" s="17"/>
    </row>
    <row r="13712" spans="1:1" x14ac:dyDescent="0.55000000000000004">
      <c r="A13712" s="17"/>
    </row>
    <row r="13713" spans="1:1" x14ac:dyDescent="0.55000000000000004">
      <c r="A13713" s="17"/>
    </row>
    <row r="13714" spans="1:1" x14ac:dyDescent="0.55000000000000004">
      <c r="A13714" s="17"/>
    </row>
    <row r="13715" spans="1:1" x14ac:dyDescent="0.55000000000000004">
      <c r="A13715" s="17"/>
    </row>
    <row r="13716" spans="1:1" x14ac:dyDescent="0.55000000000000004">
      <c r="A13716" s="17"/>
    </row>
    <row r="13717" spans="1:1" x14ac:dyDescent="0.55000000000000004">
      <c r="A13717" s="17"/>
    </row>
    <row r="13718" spans="1:1" x14ac:dyDescent="0.55000000000000004">
      <c r="A13718" s="17"/>
    </row>
    <row r="13719" spans="1:1" x14ac:dyDescent="0.55000000000000004">
      <c r="A13719" s="17"/>
    </row>
    <row r="13720" spans="1:1" x14ac:dyDescent="0.55000000000000004">
      <c r="A13720" s="17"/>
    </row>
    <row r="13721" spans="1:1" x14ac:dyDescent="0.55000000000000004">
      <c r="A13721" s="17"/>
    </row>
    <row r="13722" spans="1:1" x14ac:dyDescent="0.55000000000000004">
      <c r="A13722" s="17"/>
    </row>
    <row r="13723" spans="1:1" x14ac:dyDescent="0.55000000000000004">
      <c r="A13723" s="17"/>
    </row>
    <row r="13724" spans="1:1" x14ac:dyDescent="0.55000000000000004">
      <c r="A13724" s="17"/>
    </row>
    <row r="13725" spans="1:1" x14ac:dyDescent="0.55000000000000004">
      <c r="A13725" s="17"/>
    </row>
    <row r="13726" spans="1:1" x14ac:dyDescent="0.55000000000000004">
      <c r="A13726" s="17"/>
    </row>
    <row r="13727" spans="1:1" x14ac:dyDescent="0.55000000000000004">
      <c r="A13727" s="17"/>
    </row>
    <row r="13728" spans="1:1" x14ac:dyDescent="0.55000000000000004">
      <c r="A13728" s="17"/>
    </row>
    <row r="13729" spans="1:1" x14ac:dyDescent="0.55000000000000004">
      <c r="A13729" s="17"/>
    </row>
    <row r="13730" spans="1:1" x14ac:dyDescent="0.55000000000000004">
      <c r="A13730" s="17"/>
    </row>
    <row r="13731" spans="1:1" x14ac:dyDescent="0.55000000000000004">
      <c r="A13731" s="17"/>
    </row>
    <row r="13732" spans="1:1" x14ac:dyDescent="0.55000000000000004">
      <c r="A13732" s="17"/>
    </row>
    <row r="13733" spans="1:1" x14ac:dyDescent="0.55000000000000004">
      <c r="A13733" s="17"/>
    </row>
    <row r="13734" spans="1:1" x14ac:dyDescent="0.55000000000000004">
      <c r="A13734" s="17"/>
    </row>
    <row r="13735" spans="1:1" x14ac:dyDescent="0.55000000000000004">
      <c r="A13735" s="17"/>
    </row>
    <row r="13736" spans="1:1" x14ac:dyDescent="0.55000000000000004">
      <c r="A13736" s="17"/>
    </row>
    <row r="13737" spans="1:1" x14ac:dyDescent="0.55000000000000004">
      <c r="A13737" s="17"/>
    </row>
    <row r="13738" spans="1:1" x14ac:dyDescent="0.55000000000000004">
      <c r="A13738" s="17"/>
    </row>
    <row r="13739" spans="1:1" x14ac:dyDescent="0.55000000000000004">
      <c r="A13739" s="17"/>
    </row>
    <row r="13740" spans="1:1" x14ac:dyDescent="0.55000000000000004">
      <c r="A13740" s="17"/>
    </row>
    <row r="13741" spans="1:1" x14ac:dyDescent="0.55000000000000004">
      <c r="A13741" s="17"/>
    </row>
    <row r="13742" spans="1:1" x14ac:dyDescent="0.55000000000000004">
      <c r="A13742" s="17"/>
    </row>
    <row r="13743" spans="1:1" x14ac:dyDescent="0.55000000000000004">
      <c r="A13743" s="17"/>
    </row>
    <row r="13744" spans="1:1" x14ac:dyDescent="0.55000000000000004">
      <c r="A13744" s="17"/>
    </row>
    <row r="13745" spans="1:1" x14ac:dyDescent="0.55000000000000004">
      <c r="A13745" s="17"/>
    </row>
    <row r="13746" spans="1:1" x14ac:dyDescent="0.55000000000000004">
      <c r="A13746" s="17"/>
    </row>
    <row r="13747" spans="1:1" x14ac:dyDescent="0.55000000000000004">
      <c r="A13747" s="17"/>
    </row>
    <row r="13748" spans="1:1" x14ac:dyDescent="0.55000000000000004">
      <c r="A13748" s="17"/>
    </row>
    <row r="13749" spans="1:1" x14ac:dyDescent="0.55000000000000004">
      <c r="A13749" s="17"/>
    </row>
    <row r="13750" spans="1:1" x14ac:dyDescent="0.55000000000000004">
      <c r="A13750" s="17"/>
    </row>
    <row r="13751" spans="1:1" x14ac:dyDescent="0.55000000000000004">
      <c r="A13751" s="17"/>
    </row>
    <row r="13752" spans="1:1" x14ac:dyDescent="0.55000000000000004">
      <c r="A13752" s="17"/>
    </row>
    <row r="13753" spans="1:1" x14ac:dyDescent="0.55000000000000004">
      <c r="A13753" s="17"/>
    </row>
    <row r="13754" spans="1:1" x14ac:dyDescent="0.55000000000000004">
      <c r="A13754" s="17"/>
    </row>
    <row r="13755" spans="1:1" x14ac:dyDescent="0.55000000000000004">
      <c r="A13755" s="17"/>
    </row>
    <row r="13756" spans="1:1" x14ac:dyDescent="0.55000000000000004">
      <c r="A13756" s="17"/>
    </row>
    <row r="13757" spans="1:1" x14ac:dyDescent="0.55000000000000004">
      <c r="A13757" s="17"/>
    </row>
    <row r="13758" spans="1:1" x14ac:dyDescent="0.55000000000000004">
      <c r="A13758" s="17"/>
    </row>
    <row r="13759" spans="1:1" x14ac:dyDescent="0.55000000000000004">
      <c r="A13759" s="17"/>
    </row>
    <row r="13760" spans="1:1" x14ac:dyDescent="0.55000000000000004">
      <c r="A13760" s="17"/>
    </row>
    <row r="13761" spans="1:1" x14ac:dyDescent="0.55000000000000004">
      <c r="A13761" s="17"/>
    </row>
    <row r="13762" spans="1:1" x14ac:dyDescent="0.55000000000000004">
      <c r="A13762" s="17"/>
    </row>
    <row r="13763" spans="1:1" x14ac:dyDescent="0.55000000000000004">
      <c r="A13763" s="17"/>
    </row>
    <row r="13764" spans="1:1" x14ac:dyDescent="0.55000000000000004">
      <c r="A13764" s="17"/>
    </row>
    <row r="13765" spans="1:1" x14ac:dyDescent="0.55000000000000004">
      <c r="A13765" s="17"/>
    </row>
    <row r="13766" spans="1:1" x14ac:dyDescent="0.55000000000000004">
      <c r="A13766" s="17"/>
    </row>
    <row r="13767" spans="1:1" x14ac:dyDescent="0.55000000000000004">
      <c r="A13767" s="17"/>
    </row>
    <row r="13768" spans="1:1" x14ac:dyDescent="0.55000000000000004">
      <c r="A13768" s="17"/>
    </row>
    <row r="13769" spans="1:1" x14ac:dyDescent="0.55000000000000004">
      <c r="A13769" s="17"/>
    </row>
    <row r="13770" spans="1:1" x14ac:dyDescent="0.55000000000000004">
      <c r="A13770" s="17"/>
    </row>
    <row r="13771" spans="1:1" x14ac:dyDescent="0.55000000000000004">
      <c r="A13771" s="17"/>
    </row>
    <row r="13772" spans="1:1" x14ac:dyDescent="0.55000000000000004">
      <c r="A13772" s="17"/>
    </row>
    <row r="13773" spans="1:1" x14ac:dyDescent="0.55000000000000004">
      <c r="A13773" s="17"/>
    </row>
    <row r="13774" spans="1:1" x14ac:dyDescent="0.55000000000000004">
      <c r="A13774" s="17"/>
    </row>
    <row r="13775" spans="1:1" x14ac:dyDescent="0.55000000000000004">
      <c r="A13775" s="17"/>
    </row>
    <row r="13776" spans="1:1" x14ac:dyDescent="0.55000000000000004">
      <c r="A13776" s="17"/>
    </row>
    <row r="13777" spans="1:1" x14ac:dyDescent="0.55000000000000004">
      <c r="A13777" s="17"/>
    </row>
    <row r="13778" spans="1:1" x14ac:dyDescent="0.55000000000000004">
      <c r="A13778" s="17"/>
    </row>
    <row r="13779" spans="1:1" x14ac:dyDescent="0.55000000000000004">
      <c r="A13779" s="17"/>
    </row>
    <row r="13780" spans="1:1" x14ac:dyDescent="0.55000000000000004">
      <c r="A13780" s="17"/>
    </row>
    <row r="13781" spans="1:1" x14ac:dyDescent="0.55000000000000004">
      <c r="A13781" s="17"/>
    </row>
    <row r="13782" spans="1:1" x14ac:dyDescent="0.55000000000000004">
      <c r="A13782" s="17"/>
    </row>
    <row r="13783" spans="1:1" x14ac:dyDescent="0.55000000000000004">
      <c r="A13783" s="17"/>
    </row>
    <row r="13784" spans="1:1" x14ac:dyDescent="0.55000000000000004">
      <c r="A13784" s="17"/>
    </row>
    <row r="13785" spans="1:1" x14ac:dyDescent="0.55000000000000004">
      <c r="A13785" s="17"/>
    </row>
    <row r="13786" spans="1:1" x14ac:dyDescent="0.55000000000000004">
      <c r="A13786" s="17"/>
    </row>
    <row r="13787" spans="1:1" x14ac:dyDescent="0.55000000000000004">
      <c r="A13787" s="17"/>
    </row>
    <row r="13788" spans="1:1" x14ac:dyDescent="0.55000000000000004">
      <c r="A13788" s="17"/>
    </row>
    <row r="13789" spans="1:1" x14ac:dyDescent="0.55000000000000004">
      <c r="A13789" s="17"/>
    </row>
    <row r="13790" spans="1:1" x14ac:dyDescent="0.55000000000000004">
      <c r="A13790" s="17"/>
    </row>
    <row r="13791" spans="1:1" x14ac:dyDescent="0.55000000000000004">
      <c r="A13791" s="17"/>
    </row>
    <row r="13792" spans="1:1" x14ac:dyDescent="0.55000000000000004">
      <c r="A13792" s="17"/>
    </row>
    <row r="13793" spans="1:1" x14ac:dyDescent="0.55000000000000004">
      <c r="A13793" s="17"/>
    </row>
    <row r="13794" spans="1:1" x14ac:dyDescent="0.55000000000000004">
      <c r="A13794" s="17"/>
    </row>
    <row r="13795" spans="1:1" x14ac:dyDescent="0.55000000000000004">
      <c r="A13795" s="17"/>
    </row>
    <row r="13796" spans="1:1" x14ac:dyDescent="0.55000000000000004">
      <c r="A13796" s="17"/>
    </row>
    <row r="13797" spans="1:1" x14ac:dyDescent="0.55000000000000004">
      <c r="A13797" s="17"/>
    </row>
    <row r="13798" spans="1:1" x14ac:dyDescent="0.55000000000000004">
      <c r="A13798" s="17"/>
    </row>
    <row r="13799" spans="1:1" x14ac:dyDescent="0.55000000000000004">
      <c r="A13799" s="17"/>
    </row>
    <row r="13800" spans="1:1" x14ac:dyDescent="0.55000000000000004">
      <c r="A13800" s="17"/>
    </row>
    <row r="13801" spans="1:1" x14ac:dyDescent="0.55000000000000004">
      <c r="A13801" s="17"/>
    </row>
    <row r="13802" spans="1:1" x14ac:dyDescent="0.55000000000000004">
      <c r="A13802" s="17"/>
    </row>
    <row r="13803" spans="1:1" x14ac:dyDescent="0.55000000000000004">
      <c r="A13803" s="17"/>
    </row>
    <row r="13804" spans="1:1" x14ac:dyDescent="0.55000000000000004">
      <c r="A13804" s="17"/>
    </row>
    <row r="13805" spans="1:1" x14ac:dyDescent="0.55000000000000004">
      <c r="A13805" s="17"/>
    </row>
    <row r="13806" spans="1:1" x14ac:dyDescent="0.55000000000000004">
      <c r="A13806" s="17"/>
    </row>
    <row r="13807" spans="1:1" x14ac:dyDescent="0.55000000000000004">
      <c r="A13807" s="17"/>
    </row>
    <row r="13808" spans="1:1" x14ac:dyDescent="0.55000000000000004">
      <c r="A13808" s="17"/>
    </row>
    <row r="13809" spans="1:1" x14ac:dyDescent="0.55000000000000004">
      <c r="A13809" s="17"/>
    </row>
    <row r="13810" spans="1:1" x14ac:dyDescent="0.55000000000000004">
      <c r="A13810" s="17"/>
    </row>
    <row r="13811" spans="1:1" x14ac:dyDescent="0.55000000000000004">
      <c r="A13811" s="17"/>
    </row>
    <row r="13812" spans="1:1" x14ac:dyDescent="0.55000000000000004">
      <c r="A13812" s="17"/>
    </row>
    <row r="13813" spans="1:1" x14ac:dyDescent="0.55000000000000004">
      <c r="A13813" s="17"/>
    </row>
    <row r="13814" spans="1:1" x14ac:dyDescent="0.55000000000000004">
      <c r="A13814" s="17"/>
    </row>
    <row r="13815" spans="1:1" x14ac:dyDescent="0.55000000000000004">
      <c r="A13815" s="17"/>
    </row>
    <row r="13816" spans="1:1" x14ac:dyDescent="0.55000000000000004">
      <c r="A13816" s="17"/>
    </row>
    <row r="13817" spans="1:1" x14ac:dyDescent="0.55000000000000004">
      <c r="A13817" s="17"/>
    </row>
    <row r="13818" spans="1:1" x14ac:dyDescent="0.55000000000000004">
      <c r="A13818" s="17"/>
    </row>
    <row r="13819" spans="1:1" x14ac:dyDescent="0.55000000000000004">
      <c r="A13819" s="17"/>
    </row>
    <row r="13820" spans="1:1" x14ac:dyDescent="0.55000000000000004">
      <c r="A13820" s="17"/>
    </row>
    <row r="13821" spans="1:1" x14ac:dyDescent="0.55000000000000004">
      <c r="A13821" s="17"/>
    </row>
    <row r="13822" spans="1:1" x14ac:dyDescent="0.55000000000000004">
      <c r="A13822" s="17"/>
    </row>
    <row r="13823" spans="1:1" x14ac:dyDescent="0.55000000000000004">
      <c r="A13823" s="17"/>
    </row>
    <row r="13824" spans="1:1" x14ac:dyDescent="0.55000000000000004">
      <c r="A13824" s="17"/>
    </row>
    <row r="13825" spans="1:1" x14ac:dyDescent="0.55000000000000004">
      <c r="A13825" s="17"/>
    </row>
    <row r="13826" spans="1:1" x14ac:dyDescent="0.55000000000000004">
      <c r="A13826" s="17"/>
    </row>
    <row r="13827" spans="1:1" x14ac:dyDescent="0.55000000000000004">
      <c r="A13827" s="17"/>
    </row>
    <row r="13828" spans="1:1" x14ac:dyDescent="0.55000000000000004">
      <c r="A13828" s="17"/>
    </row>
    <row r="13829" spans="1:1" x14ac:dyDescent="0.55000000000000004">
      <c r="A13829" s="17"/>
    </row>
    <row r="13830" spans="1:1" x14ac:dyDescent="0.55000000000000004">
      <c r="A13830" s="17"/>
    </row>
    <row r="13831" spans="1:1" x14ac:dyDescent="0.55000000000000004">
      <c r="A13831" s="17"/>
    </row>
    <row r="13832" spans="1:1" x14ac:dyDescent="0.55000000000000004">
      <c r="A13832" s="17"/>
    </row>
    <row r="13833" spans="1:1" x14ac:dyDescent="0.55000000000000004">
      <c r="A13833" s="17"/>
    </row>
    <row r="13834" spans="1:1" x14ac:dyDescent="0.55000000000000004">
      <c r="A13834" s="17"/>
    </row>
    <row r="13835" spans="1:1" x14ac:dyDescent="0.55000000000000004">
      <c r="A13835" s="17"/>
    </row>
    <row r="13836" spans="1:1" x14ac:dyDescent="0.55000000000000004">
      <c r="A13836" s="17"/>
    </row>
    <row r="13837" spans="1:1" x14ac:dyDescent="0.55000000000000004">
      <c r="A13837" s="17"/>
    </row>
    <row r="13838" spans="1:1" x14ac:dyDescent="0.55000000000000004">
      <c r="A13838" s="17"/>
    </row>
    <row r="13839" spans="1:1" x14ac:dyDescent="0.55000000000000004">
      <c r="A13839" s="17"/>
    </row>
    <row r="13840" spans="1:1" x14ac:dyDescent="0.55000000000000004">
      <c r="A13840" s="17"/>
    </row>
    <row r="13841" spans="1:1" x14ac:dyDescent="0.55000000000000004">
      <c r="A13841" s="17"/>
    </row>
    <row r="13842" spans="1:1" x14ac:dyDescent="0.55000000000000004">
      <c r="A13842" s="17"/>
    </row>
    <row r="13843" spans="1:1" x14ac:dyDescent="0.55000000000000004">
      <c r="A13843" s="17"/>
    </row>
    <row r="13844" spans="1:1" x14ac:dyDescent="0.55000000000000004">
      <c r="A13844" s="17"/>
    </row>
    <row r="13845" spans="1:1" x14ac:dyDescent="0.55000000000000004">
      <c r="A13845" s="17"/>
    </row>
    <row r="13846" spans="1:1" x14ac:dyDescent="0.55000000000000004">
      <c r="A13846" s="17"/>
    </row>
    <row r="13847" spans="1:1" x14ac:dyDescent="0.55000000000000004">
      <c r="A13847" s="17"/>
    </row>
    <row r="13848" spans="1:1" x14ac:dyDescent="0.55000000000000004">
      <c r="A13848" s="17"/>
    </row>
    <row r="13849" spans="1:1" x14ac:dyDescent="0.55000000000000004">
      <c r="A13849" s="17"/>
    </row>
    <row r="13850" spans="1:1" x14ac:dyDescent="0.55000000000000004">
      <c r="A13850" s="17"/>
    </row>
    <row r="13851" spans="1:1" x14ac:dyDescent="0.55000000000000004">
      <c r="A13851" s="17"/>
    </row>
    <row r="13852" spans="1:1" x14ac:dyDescent="0.55000000000000004">
      <c r="A13852" s="17"/>
    </row>
    <row r="13853" spans="1:1" x14ac:dyDescent="0.55000000000000004">
      <c r="A13853" s="17"/>
    </row>
    <row r="13854" spans="1:1" x14ac:dyDescent="0.55000000000000004">
      <c r="A13854" s="17"/>
    </row>
    <row r="13855" spans="1:1" x14ac:dyDescent="0.55000000000000004">
      <c r="A13855" s="17"/>
    </row>
    <row r="13856" spans="1:1" x14ac:dyDescent="0.55000000000000004">
      <c r="A13856" s="17"/>
    </row>
    <row r="13857" spans="1:1" x14ac:dyDescent="0.55000000000000004">
      <c r="A13857" s="17"/>
    </row>
    <row r="13858" spans="1:1" x14ac:dyDescent="0.55000000000000004">
      <c r="A13858" s="17"/>
    </row>
    <row r="13859" spans="1:1" x14ac:dyDescent="0.55000000000000004">
      <c r="A13859" s="17"/>
    </row>
    <row r="13860" spans="1:1" x14ac:dyDescent="0.55000000000000004">
      <c r="A13860" s="17"/>
    </row>
    <row r="13861" spans="1:1" x14ac:dyDescent="0.55000000000000004">
      <c r="A13861" s="17"/>
    </row>
    <row r="13862" spans="1:1" x14ac:dyDescent="0.55000000000000004">
      <c r="A13862" s="17"/>
    </row>
    <row r="13863" spans="1:1" x14ac:dyDescent="0.55000000000000004">
      <c r="A13863" s="17"/>
    </row>
    <row r="13864" spans="1:1" x14ac:dyDescent="0.55000000000000004">
      <c r="A13864" s="17"/>
    </row>
    <row r="13865" spans="1:1" x14ac:dyDescent="0.55000000000000004">
      <c r="A13865" s="17"/>
    </row>
    <row r="13866" spans="1:1" x14ac:dyDescent="0.55000000000000004">
      <c r="A13866" s="17"/>
    </row>
    <row r="13867" spans="1:1" x14ac:dyDescent="0.55000000000000004">
      <c r="A13867" s="17"/>
    </row>
    <row r="13868" spans="1:1" x14ac:dyDescent="0.55000000000000004">
      <c r="A13868" s="17"/>
    </row>
    <row r="13869" spans="1:1" x14ac:dyDescent="0.55000000000000004">
      <c r="A13869" s="17"/>
    </row>
    <row r="13870" spans="1:1" x14ac:dyDescent="0.55000000000000004">
      <c r="A13870" s="17"/>
    </row>
    <row r="13871" spans="1:1" x14ac:dyDescent="0.55000000000000004">
      <c r="A13871" s="17"/>
    </row>
    <row r="13872" spans="1:1" x14ac:dyDescent="0.55000000000000004">
      <c r="A13872" s="17"/>
    </row>
    <row r="13873" spans="1:1" x14ac:dyDescent="0.55000000000000004">
      <c r="A13873" s="17"/>
    </row>
    <row r="13874" spans="1:1" x14ac:dyDescent="0.55000000000000004">
      <c r="A13874" s="17"/>
    </row>
    <row r="13875" spans="1:1" x14ac:dyDescent="0.55000000000000004">
      <c r="A13875" s="17"/>
    </row>
    <row r="13876" spans="1:1" x14ac:dyDescent="0.55000000000000004">
      <c r="A13876" s="17"/>
    </row>
    <row r="13877" spans="1:1" x14ac:dyDescent="0.55000000000000004">
      <c r="A13877" s="17"/>
    </row>
    <row r="13878" spans="1:1" x14ac:dyDescent="0.55000000000000004">
      <c r="A13878" s="17"/>
    </row>
    <row r="13879" spans="1:1" x14ac:dyDescent="0.55000000000000004">
      <c r="A13879" s="17"/>
    </row>
    <row r="13880" spans="1:1" x14ac:dyDescent="0.55000000000000004">
      <c r="A13880" s="17"/>
    </row>
    <row r="13881" spans="1:1" x14ac:dyDescent="0.55000000000000004">
      <c r="A13881" s="17"/>
    </row>
    <row r="13882" spans="1:1" x14ac:dyDescent="0.55000000000000004">
      <c r="A13882" s="17"/>
    </row>
    <row r="13883" spans="1:1" x14ac:dyDescent="0.55000000000000004">
      <c r="A13883" s="17"/>
    </row>
    <row r="13884" spans="1:1" x14ac:dyDescent="0.55000000000000004">
      <c r="A13884" s="17"/>
    </row>
    <row r="13885" spans="1:1" x14ac:dyDescent="0.55000000000000004">
      <c r="A13885" s="17"/>
    </row>
    <row r="13886" spans="1:1" x14ac:dyDescent="0.55000000000000004">
      <c r="A13886" s="17"/>
    </row>
    <row r="13887" spans="1:1" x14ac:dyDescent="0.55000000000000004">
      <c r="A13887" s="17"/>
    </row>
    <row r="13888" spans="1:1" x14ac:dyDescent="0.55000000000000004">
      <c r="A13888" s="17"/>
    </row>
    <row r="13889" spans="1:1" x14ac:dyDescent="0.55000000000000004">
      <c r="A13889" s="17"/>
    </row>
    <row r="13890" spans="1:1" x14ac:dyDescent="0.55000000000000004">
      <c r="A13890" s="17"/>
    </row>
    <row r="13891" spans="1:1" x14ac:dyDescent="0.55000000000000004">
      <c r="A13891" s="17"/>
    </row>
    <row r="13892" spans="1:1" x14ac:dyDescent="0.55000000000000004">
      <c r="A13892" s="17"/>
    </row>
    <row r="13893" spans="1:1" x14ac:dyDescent="0.55000000000000004">
      <c r="A13893" s="17"/>
    </row>
    <row r="13894" spans="1:1" x14ac:dyDescent="0.55000000000000004">
      <c r="A13894" s="17"/>
    </row>
    <row r="13895" spans="1:1" x14ac:dyDescent="0.55000000000000004">
      <c r="A13895" s="17"/>
    </row>
    <row r="13896" spans="1:1" x14ac:dyDescent="0.55000000000000004">
      <c r="A13896" s="17"/>
    </row>
    <row r="13897" spans="1:1" x14ac:dyDescent="0.55000000000000004">
      <c r="A13897" s="17"/>
    </row>
    <row r="13898" spans="1:1" x14ac:dyDescent="0.55000000000000004">
      <c r="A13898" s="17"/>
    </row>
    <row r="13899" spans="1:1" x14ac:dyDescent="0.55000000000000004">
      <c r="A13899" s="17"/>
    </row>
    <row r="13900" spans="1:1" x14ac:dyDescent="0.55000000000000004">
      <c r="A13900" s="17"/>
    </row>
    <row r="13901" spans="1:1" x14ac:dyDescent="0.55000000000000004">
      <c r="A13901" s="17"/>
    </row>
    <row r="13902" spans="1:1" x14ac:dyDescent="0.55000000000000004">
      <c r="A13902" s="17"/>
    </row>
    <row r="13903" spans="1:1" x14ac:dyDescent="0.55000000000000004">
      <c r="A13903" s="17"/>
    </row>
    <row r="13904" spans="1:1" x14ac:dyDescent="0.55000000000000004">
      <c r="A13904" s="17"/>
    </row>
    <row r="13905" spans="1:1" x14ac:dyDescent="0.55000000000000004">
      <c r="A13905" s="17"/>
    </row>
    <row r="13906" spans="1:1" x14ac:dyDescent="0.55000000000000004">
      <c r="A13906" s="17"/>
    </row>
    <row r="13907" spans="1:1" x14ac:dyDescent="0.55000000000000004">
      <c r="A13907" s="17"/>
    </row>
    <row r="13908" spans="1:1" x14ac:dyDescent="0.55000000000000004">
      <c r="A13908" s="17"/>
    </row>
    <row r="13909" spans="1:1" x14ac:dyDescent="0.55000000000000004">
      <c r="A13909" s="17"/>
    </row>
    <row r="13910" spans="1:1" x14ac:dyDescent="0.55000000000000004">
      <c r="A13910" s="17"/>
    </row>
    <row r="13911" spans="1:1" x14ac:dyDescent="0.55000000000000004">
      <c r="A13911" s="17"/>
    </row>
    <row r="13912" spans="1:1" x14ac:dyDescent="0.55000000000000004">
      <c r="A13912" s="17"/>
    </row>
    <row r="13913" spans="1:1" x14ac:dyDescent="0.55000000000000004">
      <c r="A13913" s="17"/>
    </row>
    <row r="13914" spans="1:1" x14ac:dyDescent="0.55000000000000004">
      <c r="A13914" s="17"/>
    </row>
    <row r="13915" spans="1:1" x14ac:dyDescent="0.55000000000000004">
      <c r="A13915" s="17"/>
    </row>
    <row r="13916" spans="1:1" x14ac:dyDescent="0.55000000000000004">
      <c r="A13916" s="17"/>
    </row>
    <row r="13917" spans="1:1" x14ac:dyDescent="0.55000000000000004">
      <c r="A13917" s="17"/>
    </row>
    <row r="13918" spans="1:1" x14ac:dyDescent="0.55000000000000004">
      <c r="A13918" s="17"/>
    </row>
    <row r="13919" spans="1:1" x14ac:dyDescent="0.55000000000000004">
      <c r="A13919" s="17"/>
    </row>
    <row r="13920" spans="1:1" x14ac:dyDescent="0.55000000000000004">
      <c r="A13920" s="17"/>
    </row>
    <row r="13921" spans="1:1" x14ac:dyDescent="0.55000000000000004">
      <c r="A13921" s="17"/>
    </row>
    <row r="13922" spans="1:1" x14ac:dyDescent="0.55000000000000004">
      <c r="A13922" s="17"/>
    </row>
    <row r="13923" spans="1:1" x14ac:dyDescent="0.55000000000000004">
      <c r="A13923" s="17"/>
    </row>
    <row r="13924" spans="1:1" x14ac:dyDescent="0.55000000000000004">
      <c r="A13924" s="17"/>
    </row>
    <row r="13925" spans="1:1" x14ac:dyDescent="0.55000000000000004">
      <c r="A13925" s="17"/>
    </row>
    <row r="13926" spans="1:1" x14ac:dyDescent="0.55000000000000004">
      <c r="A13926" s="17"/>
    </row>
    <row r="13927" spans="1:1" x14ac:dyDescent="0.55000000000000004">
      <c r="A13927" s="17"/>
    </row>
    <row r="13928" spans="1:1" x14ac:dyDescent="0.55000000000000004">
      <c r="A13928" s="17"/>
    </row>
    <row r="13929" spans="1:1" x14ac:dyDescent="0.55000000000000004">
      <c r="A13929" s="17"/>
    </row>
    <row r="13930" spans="1:1" x14ac:dyDescent="0.55000000000000004">
      <c r="A13930" s="17"/>
    </row>
    <row r="13931" spans="1:1" x14ac:dyDescent="0.55000000000000004">
      <c r="A13931" s="17"/>
    </row>
    <row r="13932" spans="1:1" x14ac:dyDescent="0.55000000000000004">
      <c r="A13932" s="17"/>
    </row>
    <row r="13933" spans="1:1" x14ac:dyDescent="0.55000000000000004">
      <c r="A13933" s="17"/>
    </row>
    <row r="13934" spans="1:1" x14ac:dyDescent="0.55000000000000004">
      <c r="A13934" s="17"/>
    </row>
    <row r="13935" spans="1:1" x14ac:dyDescent="0.55000000000000004">
      <c r="A13935" s="17"/>
    </row>
    <row r="13936" spans="1:1" x14ac:dyDescent="0.55000000000000004">
      <c r="A13936" s="17"/>
    </row>
    <row r="13937" spans="1:1" x14ac:dyDescent="0.55000000000000004">
      <c r="A13937" s="17"/>
    </row>
    <row r="13938" spans="1:1" x14ac:dyDescent="0.55000000000000004">
      <c r="A13938" s="17"/>
    </row>
    <row r="13939" spans="1:1" x14ac:dyDescent="0.55000000000000004">
      <c r="A13939" s="17"/>
    </row>
    <row r="13940" spans="1:1" x14ac:dyDescent="0.55000000000000004">
      <c r="A13940" s="17"/>
    </row>
    <row r="13941" spans="1:1" x14ac:dyDescent="0.55000000000000004">
      <c r="A13941" s="17"/>
    </row>
    <row r="13942" spans="1:1" x14ac:dyDescent="0.55000000000000004">
      <c r="A13942" s="17"/>
    </row>
    <row r="13943" spans="1:1" x14ac:dyDescent="0.55000000000000004">
      <c r="A13943" s="17"/>
    </row>
    <row r="13944" spans="1:1" x14ac:dyDescent="0.55000000000000004">
      <c r="A13944" s="17"/>
    </row>
    <row r="13945" spans="1:1" x14ac:dyDescent="0.55000000000000004">
      <c r="A13945" s="17"/>
    </row>
    <row r="13946" spans="1:1" x14ac:dyDescent="0.55000000000000004">
      <c r="A13946" s="17"/>
    </row>
    <row r="13947" spans="1:1" x14ac:dyDescent="0.55000000000000004">
      <c r="A13947" s="17"/>
    </row>
    <row r="13948" spans="1:1" x14ac:dyDescent="0.55000000000000004">
      <c r="A13948" s="17"/>
    </row>
    <row r="13949" spans="1:1" x14ac:dyDescent="0.55000000000000004">
      <c r="A13949" s="17"/>
    </row>
    <row r="13950" spans="1:1" x14ac:dyDescent="0.55000000000000004">
      <c r="A13950" s="17"/>
    </row>
    <row r="13951" spans="1:1" x14ac:dyDescent="0.55000000000000004">
      <c r="A13951" s="17"/>
    </row>
    <row r="13952" spans="1:1" x14ac:dyDescent="0.55000000000000004">
      <c r="A13952" s="17"/>
    </row>
    <row r="13953" spans="1:1" x14ac:dyDescent="0.55000000000000004">
      <c r="A13953" s="17"/>
    </row>
    <row r="13954" spans="1:1" x14ac:dyDescent="0.55000000000000004">
      <c r="A13954" s="17"/>
    </row>
    <row r="13955" spans="1:1" x14ac:dyDescent="0.55000000000000004">
      <c r="A13955" s="17"/>
    </row>
    <row r="13956" spans="1:1" x14ac:dyDescent="0.55000000000000004">
      <c r="A13956" s="17"/>
    </row>
    <row r="13957" spans="1:1" x14ac:dyDescent="0.55000000000000004">
      <c r="A13957" s="17"/>
    </row>
    <row r="13958" spans="1:1" x14ac:dyDescent="0.55000000000000004">
      <c r="A13958" s="17"/>
    </row>
    <row r="13959" spans="1:1" x14ac:dyDescent="0.55000000000000004">
      <c r="A13959" s="17"/>
    </row>
    <row r="13960" spans="1:1" x14ac:dyDescent="0.55000000000000004">
      <c r="A13960" s="17"/>
    </row>
    <row r="13961" spans="1:1" x14ac:dyDescent="0.55000000000000004">
      <c r="A13961" s="17"/>
    </row>
    <row r="13962" spans="1:1" x14ac:dyDescent="0.55000000000000004">
      <c r="A13962" s="17"/>
    </row>
    <row r="13963" spans="1:1" x14ac:dyDescent="0.55000000000000004">
      <c r="A13963" s="17"/>
    </row>
    <row r="13964" spans="1:1" x14ac:dyDescent="0.55000000000000004">
      <c r="A13964" s="17"/>
    </row>
    <row r="13965" spans="1:1" x14ac:dyDescent="0.55000000000000004">
      <c r="A13965" s="17"/>
    </row>
    <row r="13966" spans="1:1" x14ac:dyDescent="0.55000000000000004">
      <c r="A13966" s="17"/>
    </row>
    <row r="13967" spans="1:1" x14ac:dyDescent="0.55000000000000004">
      <c r="A13967" s="17"/>
    </row>
    <row r="13968" spans="1:1" x14ac:dyDescent="0.55000000000000004">
      <c r="A13968" s="17"/>
    </row>
    <row r="13969" spans="1:1" x14ac:dyDescent="0.55000000000000004">
      <c r="A13969" s="17"/>
    </row>
    <row r="13970" spans="1:1" x14ac:dyDescent="0.55000000000000004">
      <c r="A13970" s="17"/>
    </row>
    <row r="13971" spans="1:1" x14ac:dyDescent="0.55000000000000004">
      <c r="A13971" s="17"/>
    </row>
    <row r="13972" spans="1:1" x14ac:dyDescent="0.55000000000000004">
      <c r="A13972" s="17"/>
    </row>
    <row r="13973" spans="1:1" x14ac:dyDescent="0.55000000000000004">
      <c r="A13973" s="17"/>
    </row>
    <row r="13974" spans="1:1" x14ac:dyDescent="0.55000000000000004">
      <c r="A13974" s="17"/>
    </row>
    <row r="13975" spans="1:1" x14ac:dyDescent="0.55000000000000004">
      <c r="A13975" s="17"/>
    </row>
    <row r="13976" spans="1:1" x14ac:dyDescent="0.55000000000000004">
      <c r="A13976" s="17"/>
    </row>
    <row r="13977" spans="1:1" x14ac:dyDescent="0.55000000000000004">
      <c r="A13977" s="17"/>
    </row>
    <row r="13978" spans="1:1" x14ac:dyDescent="0.55000000000000004">
      <c r="A13978" s="17"/>
    </row>
    <row r="13979" spans="1:1" x14ac:dyDescent="0.55000000000000004">
      <c r="A13979" s="17"/>
    </row>
    <row r="13980" spans="1:1" x14ac:dyDescent="0.55000000000000004">
      <c r="A13980" s="17"/>
    </row>
    <row r="13981" spans="1:1" x14ac:dyDescent="0.55000000000000004">
      <c r="A13981" s="17"/>
    </row>
    <row r="13982" spans="1:1" x14ac:dyDescent="0.55000000000000004">
      <c r="A13982" s="17"/>
    </row>
    <row r="13983" spans="1:1" x14ac:dyDescent="0.55000000000000004">
      <c r="A13983" s="17"/>
    </row>
    <row r="13984" spans="1:1" x14ac:dyDescent="0.55000000000000004">
      <c r="A13984" s="17"/>
    </row>
    <row r="13985" spans="1:1" x14ac:dyDescent="0.55000000000000004">
      <c r="A13985" s="17"/>
    </row>
    <row r="13986" spans="1:1" x14ac:dyDescent="0.55000000000000004">
      <c r="A13986" s="17"/>
    </row>
    <row r="13987" spans="1:1" x14ac:dyDescent="0.55000000000000004">
      <c r="A13987" s="17"/>
    </row>
    <row r="13988" spans="1:1" x14ac:dyDescent="0.55000000000000004">
      <c r="A13988" s="17"/>
    </row>
    <row r="13989" spans="1:1" x14ac:dyDescent="0.55000000000000004">
      <c r="A13989" s="17"/>
    </row>
    <row r="13990" spans="1:1" x14ac:dyDescent="0.55000000000000004">
      <c r="A13990" s="17"/>
    </row>
    <row r="13991" spans="1:1" x14ac:dyDescent="0.55000000000000004">
      <c r="A13991" s="17"/>
    </row>
    <row r="13992" spans="1:1" x14ac:dyDescent="0.55000000000000004">
      <c r="A13992" s="17"/>
    </row>
    <row r="13993" spans="1:1" x14ac:dyDescent="0.55000000000000004">
      <c r="A13993" s="17"/>
    </row>
    <row r="13994" spans="1:1" x14ac:dyDescent="0.55000000000000004">
      <c r="A13994" s="17"/>
    </row>
    <row r="13995" spans="1:1" x14ac:dyDescent="0.55000000000000004">
      <c r="A13995" s="17"/>
    </row>
    <row r="13996" spans="1:1" x14ac:dyDescent="0.55000000000000004">
      <c r="A13996" s="17"/>
    </row>
    <row r="13997" spans="1:1" x14ac:dyDescent="0.55000000000000004">
      <c r="A13997" s="17"/>
    </row>
    <row r="13998" spans="1:1" x14ac:dyDescent="0.55000000000000004">
      <c r="A13998" s="17"/>
    </row>
    <row r="13999" spans="1:1" x14ac:dyDescent="0.55000000000000004">
      <c r="A13999" s="17"/>
    </row>
    <row r="14000" spans="1:1" x14ac:dyDescent="0.55000000000000004">
      <c r="A14000" s="17"/>
    </row>
    <row r="14001" spans="1:1" x14ac:dyDescent="0.55000000000000004">
      <c r="A14001" s="17"/>
    </row>
    <row r="14002" spans="1:1" x14ac:dyDescent="0.55000000000000004">
      <c r="A14002" s="17"/>
    </row>
    <row r="14003" spans="1:1" x14ac:dyDescent="0.55000000000000004">
      <c r="A14003" s="17"/>
    </row>
    <row r="14004" spans="1:1" x14ac:dyDescent="0.55000000000000004">
      <c r="A14004" s="17"/>
    </row>
    <row r="14005" spans="1:1" x14ac:dyDescent="0.55000000000000004">
      <c r="A14005" s="17"/>
    </row>
    <row r="14006" spans="1:1" x14ac:dyDescent="0.55000000000000004">
      <c r="A14006" s="17"/>
    </row>
    <row r="14007" spans="1:1" x14ac:dyDescent="0.55000000000000004">
      <c r="A14007" s="17"/>
    </row>
    <row r="14008" spans="1:1" x14ac:dyDescent="0.55000000000000004">
      <c r="A14008" s="17"/>
    </row>
    <row r="14009" spans="1:1" x14ac:dyDescent="0.55000000000000004">
      <c r="A14009" s="17"/>
    </row>
    <row r="14010" spans="1:1" x14ac:dyDescent="0.55000000000000004">
      <c r="A14010" s="17"/>
    </row>
    <row r="14011" spans="1:1" x14ac:dyDescent="0.55000000000000004">
      <c r="A14011" s="17"/>
    </row>
    <row r="14012" spans="1:1" x14ac:dyDescent="0.55000000000000004">
      <c r="A14012" s="17"/>
    </row>
    <row r="14013" spans="1:1" x14ac:dyDescent="0.55000000000000004">
      <c r="A14013" s="17"/>
    </row>
    <row r="14014" spans="1:1" x14ac:dyDescent="0.55000000000000004">
      <c r="A14014" s="17"/>
    </row>
    <row r="14015" spans="1:1" x14ac:dyDescent="0.55000000000000004">
      <c r="A14015" s="17"/>
    </row>
    <row r="14016" spans="1:1" x14ac:dyDescent="0.55000000000000004">
      <c r="A14016" s="17"/>
    </row>
    <row r="14017" spans="1:1" x14ac:dyDescent="0.55000000000000004">
      <c r="A14017" s="17"/>
    </row>
    <row r="14018" spans="1:1" x14ac:dyDescent="0.55000000000000004">
      <c r="A14018" s="17"/>
    </row>
    <row r="14019" spans="1:1" x14ac:dyDescent="0.55000000000000004">
      <c r="A14019" s="17"/>
    </row>
    <row r="14020" spans="1:1" x14ac:dyDescent="0.55000000000000004">
      <c r="A14020" s="17"/>
    </row>
    <row r="14021" spans="1:1" x14ac:dyDescent="0.55000000000000004">
      <c r="A14021" s="17"/>
    </row>
    <row r="14022" spans="1:1" x14ac:dyDescent="0.55000000000000004">
      <c r="A14022" s="17"/>
    </row>
    <row r="14023" spans="1:1" x14ac:dyDescent="0.55000000000000004">
      <c r="A14023" s="17"/>
    </row>
    <row r="14024" spans="1:1" x14ac:dyDescent="0.55000000000000004">
      <c r="A14024" s="17"/>
    </row>
    <row r="14025" spans="1:1" x14ac:dyDescent="0.55000000000000004">
      <c r="A14025" s="17"/>
    </row>
    <row r="14026" spans="1:1" x14ac:dyDescent="0.55000000000000004">
      <c r="A14026" s="17"/>
    </row>
    <row r="14027" spans="1:1" x14ac:dyDescent="0.55000000000000004">
      <c r="A14027" s="17"/>
    </row>
    <row r="14028" spans="1:1" x14ac:dyDescent="0.55000000000000004">
      <c r="A14028" s="17"/>
    </row>
    <row r="14029" spans="1:1" x14ac:dyDescent="0.55000000000000004">
      <c r="A14029" s="17"/>
    </row>
    <row r="14030" spans="1:1" x14ac:dyDescent="0.55000000000000004">
      <c r="A14030" s="17"/>
    </row>
    <row r="14031" spans="1:1" x14ac:dyDescent="0.55000000000000004">
      <c r="A14031" s="17"/>
    </row>
    <row r="14032" spans="1:1" x14ac:dyDescent="0.55000000000000004">
      <c r="A14032" s="17"/>
    </row>
    <row r="14033" spans="1:1" x14ac:dyDescent="0.55000000000000004">
      <c r="A14033" s="17"/>
    </row>
    <row r="14034" spans="1:1" x14ac:dyDescent="0.55000000000000004">
      <c r="A14034" s="17"/>
    </row>
    <row r="14035" spans="1:1" x14ac:dyDescent="0.55000000000000004">
      <c r="A14035" s="17"/>
    </row>
    <row r="14036" spans="1:1" x14ac:dyDescent="0.55000000000000004">
      <c r="A14036" s="17"/>
    </row>
    <row r="14037" spans="1:1" x14ac:dyDescent="0.55000000000000004">
      <c r="A14037" s="17"/>
    </row>
    <row r="14038" spans="1:1" x14ac:dyDescent="0.55000000000000004">
      <c r="A14038" s="17"/>
    </row>
    <row r="14039" spans="1:1" x14ac:dyDescent="0.55000000000000004">
      <c r="A14039" s="17"/>
    </row>
    <row r="14040" spans="1:1" x14ac:dyDescent="0.55000000000000004">
      <c r="A14040" s="17"/>
    </row>
    <row r="14041" spans="1:1" x14ac:dyDescent="0.55000000000000004">
      <c r="A14041" s="17"/>
    </row>
    <row r="14042" spans="1:1" x14ac:dyDescent="0.55000000000000004">
      <c r="A14042" s="17"/>
    </row>
    <row r="14043" spans="1:1" x14ac:dyDescent="0.55000000000000004">
      <c r="A14043" s="17"/>
    </row>
    <row r="14044" spans="1:1" x14ac:dyDescent="0.55000000000000004">
      <c r="A14044" s="17"/>
    </row>
    <row r="14045" spans="1:1" x14ac:dyDescent="0.55000000000000004">
      <c r="A14045" s="17"/>
    </row>
    <row r="14046" spans="1:1" x14ac:dyDescent="0.55000000000000004">
      <c r="A14046" s="17"/>
    </row>
    <row r="14047" spans="1:1" x14ac:dyDescent="0.55000000000000004">
      <c r="A14047" s="17"/>
    </row>
    <row r="14048" spans="1:1" x14ac:dyDescent="0.55000000000000004">
      <c r="A14048" s="17"/>
    </row>
    <row r="14049" spans="1:1" x14ac:dyDescent="0.55000000000000004">
      <c r="A14049" s="17"/>
    </row>
    <row r="14050" spans="1:1" x14ac:dyDescent="0.55000000000000004">
      <c r="A14050" s="17"/>
    </row>
    <row r="14051" spans="1:1" x14ac:dyDescent="0.55000000000000004">
      <c r="A14051" s="17"/>
    </row>
    <row r="14052" spans="1:1" x14ac:dyDescent="0.55000000000000004">
      <c r="A14052" s="17"/>
    </row>
    <row r="14053" spans="1:1" x14ac:dyDescent="0.55000000000000004">
      <c r="A14053" s="17"/>
    </row>
    <row r="14054" spans="1:1" x14ac:dyDescent="0.55000000000000004">
      <c r="A14054" s="17"/>
    </row>
    <row r="14055" spans="1:1" x14ac:dyDescent="0.55000000000000004">
      <c r="A14055" s="17"/>
    </row>
    <row r="14056" spans="1:1" x14ac:dyDescent="0.55000000000000004">
      <c r="A14056" s="17"/>
    </row>
    <row r="14057" spans="1:1" x14ac:dyDescent="0.55000000000000004">
      <c r="A14057" s="17"/>
    </row>
    <row r="14058" spans="1:1" x14ac:dyDescent="0.55000000000000004">
      <c r="A14058" s="17"/>
    </row>
    <row r="14059" spans="1:1" x14ac:dyDescent="0.55000000000000004">
      <c r="A14059" s="17"/>
    </row>
    <row r="14060" spans="1:1" x14ac:dyDescent="0.55000000000000004">
      <c r="A14060" s="17"/>
    </row>
    <row r="14061" spans="1:1" x14ac:dyDescent="0.55000000000000004">
      <c r="A14061" s="17"/>
    </row>
    <row r="14062" spans="1:1" x14ac:dyDescent="0.55000000000000004">
      <c r="A14062" s="17"/>
    </row>
    <row r="14063" spans="1:1" x14ac:dyDescent="0.55000000000000004">
      <c r="A14063" s="17"/>
    </row>
    <row r="14064" spans="1:1" x14ac:dyDescent="0.55000000000000004">
      <c r="A14064" s="17"/>
    </row>
    <row r="14065" spans="1:1" x14ac:dyDescent="0.55000000000000004">
      <c r="A14065" s="17"/>
    </row>
    <row r="14066" spans="1:1" x14ac:dyDescent="0.55000000000000004">
      <c r="A14066" s="17"/>
    </row>
    <row r="14067" spans="1:1" x14ac:dyDescent="0.55000000000000004">
      <c r="A14067" s="17"/>
    </row>
    <row r="14068" spans="1:1" x14ac:dyDescent="0.55000000000000004">
      <c r="A14068" s="17"/>
    </row>
    <row r="14069" spans="1:1" x14ac:dyDescent="0.55000000000000004">
      <c r="A14069" s="17"/>
    </row>
    <row r="14070" spans="1:1" x14ac:dyDescent="0.55000000000000004">
      <c r="A14070" s="17"/>
    </row>
    <row r="14071" spans="1:1" x14ac:dyDescent="0.55000000000000004">
      <c r="A14071" s="17"/>
    </row>
    <row r="14072" spans="1:1" x14ac:dyDescent="0.55000000000000004">
      <c r="A14072" s="17"/>
    </row>
    <row r="14073" spans="1:1" x14ac:dyDescent="0.55000000000000004">
      <c r="A14073" s="17"/>
    </row>
    <row r="14074" spans="1:1" x14ac:dyDescent="0.55000000000000004">
      <c r="A14074" s="17"/>
    </row>
    <row r="14075" spans="1:1" x14ac:dyDescent="0.55000000000000004">
      <c r="A14075" s="17"/>
    </row>
    <row r="14076" spans="1:1" x14ac:dyDescent="0.55000000000000004">
      <c r="A14076" s="17"/>
    </row>
    <row r="14077" spans="1:1" x14ac:dyDescent="0.55000000000000004">
      <c r="A14077" s="17"/>
    </row>
    <row r="14078" spans="1:1" x14ac:dyDescent="0.55000000000000004">
      <c r="A14078" s="17"/>
    </row>
    <row r="14079" spans="1:1" x14ac:dyDescent="0.55000000000000004">
      <c r="A14079" s="17"/>
    </row>
    <row r="14080" spans="1:1" x14ac:dyDescent="0.55000000000000004">
      <c r="A14080" s="17"/>
    </row>
    <row r="14081" spans="1:1" x14ac:dyDescent="0.55000000000000004">
      <c r="A14081" s="17"/>
    </row>
    <row r="14082" spans="1:1" x14ac:dyDescent="0.55000000000000004">
      <c r="A14082" s="17"/>
    </row>
    <row r="14083" spans="1:1" x14ac:dyDescent="0.55000000000000004">
      <c r="A14083" s="17"/>
    </row>
    <row r="14084" spans="1:1" x14ac:dyDescent="0.55000000000000004">
      <c r="A14084" s="17"/>
    </row>
    <row r="14085" spans="1:1" x14ac:dyDescent="0.55000000000000004">
      <c r="A14085" s="17"/>
    </row>
    <row r="14086" spans="1:1" x14ac:dyDescent="0.55000000000000004">
      <c r="A14086" s="17"/>
    </row>
    <row r="14087" spans="1:1" x14ac:dyDescent="0.55000000000000004">
      <c r="A14087" s="17"/>
    </row>
    <row r="14088" spans="1:1" x14ac:dyDescent="0.55000000000000004">
      <c r="A14088" s="17"/>
    </row>
    <row r="14089" spans="1:1" x14ac:dyDescent="0.55000000000000004">
      <c r="A14089" s="17"/>
    </row>
    <row r="14090" spans="1:1" x14ac:dyDescent="0.55000000000000004">
      <c r="A14090" s="17"/>
    </row>
    <row r="14091" spans="1:1" x14ac:dyDescent="0.55000000000000004">
      <c r="A14091" s="17"/>
    </row>
    <row r="14092" spans="1:1" x14ac:dyDescent="0.55000000000000004">
      <c r="A14092" s="17"/>
    </row>
    <row r="14093" spans="1:1" x14ac:dyDescent="0.55000000000000004">
      <c r="A14093" s="17"/>
    </row>
    <row r="14094" spans="1:1" x14ac:dyDescent="0.55000000000000004">
      <c r="A14094" s="17"/>
    </row>
    <row r="14095" spans="1:1" x14ac:dyDescent="0.55000000000000004">
      <c r="A14095" s="17"/>
    </row>
    <row r="14096" spans="1:1" x14ac:dyDescent="0.55000000000000004">
      <c r="A14096" s="17"/>
    </row>
    <row r="14097" spans="1:1" x14ac:dyDescent="0.55000000000000004">
      <c r="A14097" s="17"/>
    </row>
    <row r="14098" spans="1:1" x14ac:dyDescent="0.55000000000000004">
      <c r="A14098" s="17"/>
    </row>
    <row r="14099" spans="1:1" x14ac:dyDescent="0.55000000000000004">
      <c r="A14099" s="17"/>
    </row>
    <row r="14100" spans="1:1" x14ac:dyDescent="0.55000000000000004">
      <c r="A14100" s="17"/>
    </row>
    <row r="14101" spans="1:1" x14ac:dyDescent="0.55000000000000004">
      <c r="A14101" s="17"/>
    </row>
    <row r="14102" spans="1:1" x14ac:dyDescent="0.55000000000000004">
      <c r="A14102" s="17"/>
    </row>
    <row r="14103" spans="1:1" x14ac:dyDescent="0.55000000000000004">
      <c r="A14103" s="17"/>
    </row>
    <row r="14104" spans="1:1" x14ac:dyDescent="0.55000000000000004">
      <c r="A14104" s="17"/>
    </row>
    <row r="14105" spans="1:1" x14ac:dyDescent="0.55000000000000004">
      <c r="A14105" s="17"/>
    </row>
    <row r="14106" spans="1:1" x14ac:dyDescent="0.55000000000000004">
      <c r="A14106" s="17"/>
    </row>
    <row r="14107" spans="1:1" x14ac:dyDescent="0.55000000000000004">
      <c r="A14107" s="17"/>
    </row>
    <row r="14108" spans="1:1" x14ac:dyDescent="0.55000000000000004">
      <c r="A14108" s="17"/>
    </row>
    <row r="14109" spans="1:1" x14ac:dyDescent="0.55000000000000004">
      <c r="A14109" s="17"/>
    </row>
    <row r="14110" spans="1:1" x14ac:dyDescent="0.55000000000000004">
      <c r="A14110" s="17"/>
    </row>
    <row r="14111" spans="1:1" x14ac:dyDescent="0.55000000000000004">
      <c r="A14111" s="17"/>
    </row>
    <row r="14112" spans="1:1" x14ac:dyDescent="0.55000000000000004">
      <c r="A14112" s="17"/>
    </row>
    <row r="14113" spans="1:1" x14ac:dyDescent="0.55000000000000004">
      <c r="A14113" s="17"/>
    </row>
    <row r="14114" spans="1:1" x14ac:dyDescent="0.55000000000000004">
      <c r="A14114" s="17"/>
    </row>
    <row r="14115" spans="1:1" x14ac:dyDescent="0.55000000000000004">
      <c r="A14115" s="17"/>
    </row>
    <row r="14116" spans="1:1" x14ac:dyDescent="0.55000000000000004">
      <c r="A14116" s="17"/>
    </row>
    <row r="14117" spans="1:1" x14ac:dyDescent="0.55000000000000004">
      <c r="A14117" s="17"/>
    </row>
    <row r="14118" spans="1:1" x14ac:dyDescent="0.55000000000000004">
      <c r="A14118" s="17"/>
    </row>
    <row r="14119" spans="1:1" x14ac:dyDescent="0.55000000000000004">
      <c r="A14119" s="17"/>
    </row>
    <row r="14120" spans="1:1" x14ac:dyDescent="0.55000000000000004">
      <c r="A14120" s="17"/>
    </row>
    <row r="14121" spans="1:1" x14ac:dyDescent="0.55000000000000004">
      <c r="A14121" s="17"/>
    </row>
    <row r="14122" spans="1:1" x14ac:dyDescent="0.55000000000000004">
      <c r="A14122" s="17"/>
    </row>
    <row r="14123" spans="1:1" x14ac:dyDescent="0.55000000000000004">
      <c r="A14123" s="17"/>
    </row>
    <row r="14124" spans="1:1" x14ac:dyDescent="0.55000000000000004">
      <c r="A14124" s="17"/>
    </row>
    <row r="14125" spans="1:1" x14ac:dyDescent="0.55000000000000004">
      <c r="A14125" s="17"/>
    </row>
    <row r="14126" spans="1:1" x14ac:dyDescent="0.55000000000000004">
      <c r="A14126" s="17"/>
    </row>
    <row r="14127" spans="1:1" x14ac:dyDescent="0.55000000000000004">
      <c r="A14127" s="17"/>
    </row>
    <row r="14128" spans="1:1" x14ac:dyDescent="0.55000000000000004">
      <c r="A14128" s="17"/>
    </row>
    <row r="14129" spans="1:1" x14ac:dyDescent="0.55000000000000004">
      <c r="A14129" s="17"/>
    </row>
    <row r="14130" spans="1:1" x14ac:dyDescent="0.55000000000000004">
      <c r="A14130" s="17"/>
    </row>
    <row r="14131" spans="1:1" x14ac:dyDescent="0.55000000000000004">
      <c r="A14131" s="17"/>
    </row>
    <row r="14132" spans="1:1" x14ac:dyDescent="0.55000000000000004">
      <c r="A14132" s="17"/>
    </row>
    <row r="14133" spans="1:1" x14ac:dyDescent="0.55000000000000004">
      <c r="A14133" s="17"/>
    </row>
    <row r="14134" spans="1:1" x14ac:dyDescent="0.55000000000000004">
      <c r="A14134" s="17"/>
    </row>
    <row r="14135" spans="1:1" x14ac:dyDescent="0.55000000000000004">
      <c r="A14135" s="17"/>
    </row>
    <row r="14136" spans="1:1" x14ac:dyDescent="0.55000000000000004">
      <c r="A14136" s="17"/>
    </row>
    <row r="14137" spans="1:1" x14ac:dyDescent="0.55000000000000004">
      <c r="A14137" s="17"/>
    </row>
    <row r="14138" spans="1:1" x14ac:dyDescent="0.55000000000000004">
      <c r="A14138" s="17"/>
    </row>
    <row r="14139" spans="1:1" x14ac:dyDescent="0.55000000000000004">
      <c r="A14139" s="17"/>
    </row>
    <row r="14140" spans="1:1" x14ac:dyDescent="0.55000000000000004">
      <c r="A14140" s="17"/>
    </row>
    <row r="14141" spans="1:1" x14ac:dyDescent="0.55000000000000004">
      <c r="A14141" s="17"/>
    </row>
    <row r="14142" spans="1:1" x14ac:dyDescent="0.55000000000000004">
      <c r="A14142" s="17"/>
    </row>
    <row r="14143" spans="1:1" x14ac:dyDescent="0.55000000000000004">
      <c r="A14143" s="17"/>
    </row>
    <row r="14144" spans="1:1" x14ac:dyDescent="0.55000000000000004">
      <c r="A14144" s="17"/>
    </row>
    <row r="14145" spans="1:1" x14ac:dyDescent="0.55000000000000004">
      <c r="A14145" s="17"/>
    </row>
    <row r="14146" spans="1:1" x14ac:dyDescent="0.55000000000000004">
      <c r="A14146" s="17"/>
    </row>
    <row r="14147" spans="1:1" x14ac:dyDescent="0.55000000000000004">
      <c r="A14147" s="17"/>
    </row>
    <row r="14148" spans="1:1" x14ac:dyDescent="0.55000000000000004">
      <c r="A14148" s="17"/>
    </row>
    <row r="14149" spans="1:1" x14ac:dyDescent="0.55000000000000004">
      <c r="A14149" s="17"/>
    </row>
    <row r="14150" spans="1:1" x14ac:dyDescent="0.55000000000000004">
      <c r="A14150" s="17"/>
    </row>
    <row r="14151" spans="1:1" x14ac:dyDescent="0.55000000000000004">
      <c r="A14151" s="17"/>
    </row>
    <row r="14152" spans="1:1" x14ac:dyDescent="0.55000000000000004">
      <c r="A14152" s="17"/>
    </row>
    <row r="14153" spans="1:1" x14ac:dyDescent="0.55000000000000004">
      <c r="A14153" s="17"/>
    </row>
    <row r="14154" spans="1:1" x14ac:dyDescent="0.55000000000000004">
      <c r="A14154" s="17"/>
    </row>
    <row r="14155" spans="1:1" x14ac:dyDescent="0.55000000000000004">
      <c r="A14155" s="17"/>
    </row>
    <row r="14156" spans="1:1" x14ac:dyDescent="0.55000000000000004">
      <c r="A14156" s="17"/>
    </row>
    <row r="14157" spans="1:1" x14ac:dyDescent="0.55000000000000004">
      <c r="A14157" s="17"/>
    </row>
    <row r="14158" spans="1:1" x14ac:dyDescent="0.55000000000000004">
      <c r="A14158" s="17"/>
    </row>
    <row r="14159" spans="1:1" x14ac:dyDescent="0.55000000000000004">
      <c r="A14159" s="17"/>
    </row>
    <row r="14160" spans="1:1" x14ac:dyDescent="0.55000000000000004">
      <c r="A14160" s="17"/>
    </row>
    <row r="14161" spans="1:1" x14ac:dyDescent="0.55000000000000004">
      <c r="A14161" s="17"/>
    </row>
    <row r="14162" spans="1:1" x14ac:dyDescent="0.55000000000000004">
      <c r="A14162" s="17"/>
    </row>
    <row r="14163" spans="1:1" x14ac:dyDescent="0.55000000000000004">
      <c r="A14163" s="17"/>
    </row>
    <row r="14164" spans="1:1" x14ac:dyDescent="0.55000000000000004">
      <c r="A14164" s="17"/>
    </row>
    <row r="14165" spans="1:1" x14ac:dyDescent="0.55000000000000004">
      <c r="A14165" s="17"/>
    </row>
    <row r="14166" spans="1:1" x14ac:dyDescent="0.55000000000000004">
      <c r="A14166" s="17"/>
    </row>
    <row r="14167" spans="1:1" x14ac:dyDescent="0.55000000000000004">
      <c r="A14167" s="17"/>
    </row>
    <row r="14168" spans="1:1" x14ac:dyDescent="0.55000000000000004">
      <c r="A14168" s="17"/>
    </row>
    <row r="14169" spans="1:1" x14ac:dyDescent="0.55000000000000004">
      <c r="A14169" s="17"/>
    </row>
    <row r="14170" spans="1:1" x14ac:dyDescent="0.55000000000000004">
      <c r="A14170" s="17"/>
    </row>
    <row r="14171" spans="1:1" x14ac:dyDescent="0.55000000000000004">
      <c r="A14171" s="17"/>
    </row>
    <row r="14172" spans="1:1" x14ac:dyDescent="0.55000000000000004">
      <c r="A14172" s="17"/>
    </row>
    <row r="14173" spans="1:1" x14ac:dyDescent="0.55000000000000004">
      <c r="A14173" s="17"/>
    </row>
    <row r="14174" spans="1:1" x14ac:dyDescent="0.55000000000000004">
      <c r="A14174" s="17"/>
    </row>
    <row r="14175" spans="1:1" x14ac:dyDescent="0.55000000000000004">
      <c r="A14175" s="17"/>
    </row>
    <row r="14176" spans="1:1" x14ac:dyDescent="0.55000000000000004">
      <c r="A14176" s="17"/>
    </row>
    <row r="14177" spans="1:1" x14ac:dyDescent="0.55000000000000004">
      <c r="A14177" s="17"/>
    </row>
    <row r="14178" spans="1:1" x14ac:dyDescent="0.55000000000000004">
      <c r="A14178" s="17"/>
    </row>
    <row r="14179" spans="1:1" x14ac:dyDescent="0.55000000000000004">
      <c r="A14179" s="17"/>
    </row>
    <row r="14180" spans="1:1" x14ac:dyDescent="0.55000000000000004">
      <c r="A14180" s="17"/>
    </row>
    <row r="14181" spans="1:1" x14ac:dyDescent="0.55000000000000004">
      <c r="A14181" s="17"/>
    </row>
    <row r="14182" spans="1:1" x14ac:dyDescent="0.55000000000000004">
      <c r="A14182" s="17"/>
    </row>
    <row r="14183" spans="1:1" x14ac:dyDescent="0.55000000000000004">
      <c r="A14183" s="17"/>
    </row>
    <row r="14184" spans="1:1" x14ac:dyDescent="0.55000000000000004">
      <c r="A14184" s="17"/>
    </row>
    <row r="14185" spans="1:1" x14ac:dyDescent="0.55000000000000004">
      <c r="A14185" s="17"/>
    </row>
    <row r="14186" spans="1:1" x14ac:dyDescent="0.55000000000000004">
      <c r="A14186" s="17"/>
    </row>
    <row r="14187" spans="1:1" x14ac:dyDescent="0.55000000000000004">
      <c r="A14187" s="17"/>
    </row>
    <row r="14188" spans="1:1" x14ac:dyDescent="0.55000000000000004">
      <c r="A14188" s="17"/>
    </row>
    <row r="14189" spans="1:1" x14ac:dyDescent="0.55000000000000004">
      <c r="A14189" s="17"/>
    </row>
    <row r="14190" spans="1:1" x14ac:dyDescent="0.55000000000000004">
      <c r="A14190" s="17"/>
    </row>
    <row r="14191" spans="1:1" x14ac:dyDescent="0.55000000000000004">
      <c r="A14191" s="17"/>
    </row>
    <row r="14192" spans="1:1" x14ac:dyDescent="0.55000000000000004">
      <c r="A14192" s="17"/>
    </row>
    <row r="14193" spans="1:1" x14ac:dyDescent="0.55000000000000004">
      <c r="A14193" s="17"/>
    </row>
    <row r="14194" spans="1:1" x14ac:dyDescent="0.55000000000000004">
      <c r="A14194" s="17"/>
    </row>
    <row r="14195" spans="1:1" x14ac:dyDescent="0.55000000000000004">
      <c r="A14195" s="17"/>
    </row>
    <row r="14196" spans="1:1" x14ac:dyDescent="0.55000000000000004">
      <c r="A14196" s="17"/>
    </row>
    <row r="14197" spans="1:1" x14ac:dyDescent="0.55000000000000004">
      <c r="A14197" s="17"/>
    </row>
    <row r="14198" spans="1:1" x14ac:dyDescent="0.55000000000000004">
      <c r="A14198" s="17"/>
    </row>
    <row r="14199" spans="1:1" x14ac:dyDescent="0.55000000000000004">
      <c r="A14199" s="17"/>
    </row>
    <row r="14200" spans="1:1" x14ac:dyDescent="0.55000000000000004">
      <c r="A14200" s="17"/>
    </row>
    <row r="14201" spans="1:1" x14ac:dyDescent="0.55000000000000004">
      <c r="A14201" s="17"/>
    </row>
    <row r="14202" spans="1:1" x14ac:dyDescent="0.55000000000000004">
      <c r="A14202" s="17"/>
    </row>
    <row r="14203" spans="1:1" x14ac:dyDescent="0.55000000000000004">
      <c r="A14203" s="17"/>
    </row>
    <row r="14204" spans="1:1" x14ac:dyDescent="0.55000000000000004">
      <c r="A14204" s="17"/>
    </row>
    <row r="14205" spans="1:1" x14ac:dyDescent="0.55000000000000004">
      <c r="A14205" s="17"/>
    </row>
    <row r="14206" spans="1:1" x14ac:dyDescent="0.55000000000000004">
      <c r="A14206" s="17"/>
    </row>
    <row r="14207" spans="1:1" x14ac:dyDescent="0.55000000000000004">
      <c r="A14207" s="17"/>
    </row>
    <row r="14208" spans="1:1" x14ac:dyDescent="0.55000000000000004">
      <c r="A14208" s="17"/>
    </row>
    <row r="14209" spans="1:1" x14ac:dyDescent="0.55000000000000004">
      <c r="A14209" s="17"/>
    </row>
    <row r="14210" spans="1:1" x14ac:dyDescent="0.55000000000000004">
      <c r="A14210" s="17"/>
    </row>
    <row r="14211" spans="1:1" x14ac:dyDescent="0.55000000000000004">
      <c r="A14211" s="17"/>
    </row>
    <row r="14212" spans="1:1" x14ac:dyDescent="0.55000000000000004">
      <c r="A14212" s="17"/>
    </row>
    <row r="14213" spans="1:1" x14ac:dyDescent="0.55000000000000004">
      <c r="A14213" s="17"/>
    </row>
    <row r="14214" spans="1:1" x14ac:dyDescent="0.55000000000000004">
      <c r="A14214" s="17"/>
    </row>
    <row r="14215" spans="1:1" x14ac:dyDescent="0.55000000000000004">
      <c r="A14215" s="17"/>
    </row>
    <row r="14216" spans="1:1" x14ac:dyDescent="0.55000000000000004">
      <c r="A14216" s="17"/>
    </row>
    <row r="14217" spans="1:1" x14ac:dyDescent="0.55000000000000004">
      <c r="A14217" s="17"/>
    </row>
    <row r="14218" spans="1:1" x14ac:dyDescent="0.55000000000000004">
      <c r="A14218" s="17"/>
    </row>
    <row r="14219" spans="1:1" x14ac:dyDescent="0.55000000000000004">
      <c r="A14219" s="17"/>
    </row>
    <row r="14220" spans="1:1" x14ac:dyDescent="0.55000000000000004">
      <c r="A14220" s="17"/>
    </row>
    <row r="14221" spans="1:1" x14ac:dyDescent="0.55000000000000004">
      <c r="A14221" s="17"/>
    </row>
    <row r="14222" spans="1:1" x14ac:dyDescent="0.55000000000000004">
      <c r="A14222" s="17"/>
    </row>
    <row r="14223" spans="1:1" x14ac:dyDescent="0.55000000000000004">
      <c r="A14223" s="17"/>
    </row>
    <row r="14224" spans="1:1" x14ac:dyDescent="0.55000000000000004">
      <c r="A14224" s="17"/>
    </row>
    <row r="14225" spans="1:1" x14ac:dyDescent="0.55000000000000004">
      <c r="A14225" s="17"/>
    </row>
    <row r="14226" spans="1:1" x14ac:dyDescent="0.55000000000000004">
      <c r="A14226" s="17"/>
    </row>
    <row r="14227" spans="1:1" x14ac:dyDescent="0.55000000000000004">
      <c r="A14227" s="17"/>
    </row>
    <row r="14228" spans="1:1" x14ac:dyDescent="0.55000000000000004">
      <c r="A14228" s="17"/>
    </row>
    <row r="14229" spans="1:1" x14ac:dyDescent="0.55000000000000004">
      <c r="A14229" s="17"/>
    </row>
    <row r="14230" spans="1:1" x14ac:dyDescent="0.55000000000000004">
      <c r="A14230" s="17"/>
    </row>
    <row r="14231" spans="1:1" x14ac:dyDescent="0.55000000000000004">
      <c r="A14231" s="17"/>
    </row>
    <row r="14232" spans="1:1" x14ac:dyDescent="0.55000000000000004">
      <c r="A14232" s="17"/>
    </row>
    <row r="14233" spans="1:1" x14ac:dyDescent="0.55000000000000004">
      <c r="A14233" s="17"/>
    </row>
    <row r="14234" spans="1:1" x14ac:dyDescent="0.55000000000000004">
      <c r="A14234" s="17"/>
    </row>
    <row r="14235" spans="1:1" x14ac:dyDescent="0.55000000000000004">
      <c r="A14235" s="17"/>
    </row>
    <row r="14236" spans="1:1" x14ac:dyDescent="0.55000000000000004">
      <c r="A14236" s="17"/>
    </row>
    <row r="14237" spans="1:1" x14ac:dyDescent="0.55000000000000004">
      <c r="A14237" s="17"/>
    </row>
    <row r="14238" spans="1:1" x14ac:dyDescent="0.55000000000000004">
      <c r="A14238" s="17"/>
    </row>
    <row r="14239" spans="1:1" x14ac:dyDescent="0.55000000000000004">
      <c r="A14239" s="17"/>
    </row>
    <row r="14240" spans="1:1" x14ac:dyDescent="0.55000000000000004">
      <c r="A14240" s="17"/>
    </row>
    <row r="14241" spans="1:1" x14ac:dyDescent="0.55000000000000004">
      <c r="A14241" s="17"/>
    </row>
    <row r="14242" spans="1:1" x14ac:dyDescent="0.55000000000000004">
      <c r="A14242" s="17"/>
    </row>
    <row r="14243" spans="1:1" x14ac:dyDescent="0.55000000000000004">
      <c r="A14243" s="17"/>
    </row>
    <row r="14244" spans="1:1" x14ac:dyDescent="0.55000000000000004">
      <c r="A14244" s="17"/>
    </row>
    <row r="14245" spans="1:1" x14ac:dyDescent="0.55000000000000004">
      <c r="A14245" s="17"/>
    </row>
    <row r="14246" spans="1:1" x14ac:dyDescent="0.55000000000000004">
      <c r="A14246" s="17"/>
    </row>
    <row r="14247" spans="1:1" x14ac:dyDescent="0.55000000000000004">
      <c r="A14247" s="17"/>
    </row>
    <row r="14248" spans="1:1" x14ac:dyDescent="0.55000000000000004">
      <c r="A14248" s="17"/>
    </row>
    <row r="14249" spans="1:1" x14ac:dyDescent="0.55000000000000004">
      <c r="A14249" s="17"/>
    </row>
    <row r="14250" spans="1:1" x14ac:dyDescent="0.55000000000000004">
      <c r="A14250" s="17"/>
    </row>
    <row r="14251" spans="1:1" x14ac:dyDescent="0.55000000000000004">
      <c r="A14251" s="17"/>
    </row>
    <row r="14252" spans="1:1" x14ac:dyDescent="0.55000000000000004">
      <c r="A14252" s="17"/>
    </row>
    <row r="14253" spans="1:1" x14ac:dyDescent="0.55000000000000004">
      <c r="A14253" s="17"/>
    </row>
    <row r="14254" spans="1:1" x14ac:dyDescent="0.55000000000000004">
      <c r="A14254" s="17"/>
    </row>
    <row r="14255" spans="1:1" x14ac:dyDescent="0.55000000000000004">
      <c r="A14255" s="17"/>
    </row>
    <row r="14256" spans="1:1" x14ac:dyDescent="0.55000000000000004">
      <c r="A14256" s="17"/>
    </row>
    <row r="14257" spans="1:1" x14ac:dyDescent="0.55000000000000004">
      <c r="A14257" s="17"/>
    </row>
    <row r="14258" spans="1:1" x14ac:dyDescent="0.55000000000000004">
      <c r="A14258" s="17"/>
    </row>
    <row r="14259" spans="1:1" x14ac:dyDescent="0.55000000000000004">
      <c r="A14259" s="17"/>
    </row>
    <row r="14260" spans="1:1" x14ac:dyDescent="0.55000000000000004">
      <c r="A14260" s="17"/>
    </row>
    <row r="14261" spans="1:1" x14ac:dyDescent="0.55000000000000004">
      <c r="A14261" s="17"/>
    </row>
    <row r="14262" spans="1:1" x14ac:dyDescent="0.55000000000000004">
      <c r="A14262" s="17"/>
    </row>
    <row r="14263" spans="1:1" x14ac:dyDescent="0.55000000000000004">
      <c r="A14263" s="17"/>
    </row>
    <row r="14264" spans="1:1" x14ac:dyDescent="0.55000000000000004">
      <c r="A14264" s="17"/>
    </row>
    <row r="14265" spans="1:1" x14ac:dyDescent="0.55000000000000004">
      <c r="A14265" s="17"/>
    </row>
    <row r="14266" spans="1:1" x14ac:dyDescent="0.55000000000000004">
      <c r="A14266" s="17"/>
    </row>
    <row r="14267" spans="1:1" x14ac:dyDescent="0.55000000000000004">
      <c r="A14267" s="17"/>
    </row>
    <row r="14268" spans="1:1" x14ac:dyDescent="0.55000000000000004">
      <c r="A14268" s="17"/>
    </row>
    <row r="14269" spans="1:1" x14ac:dyDescent="0.55000000000000004">
      <c r="A14269" s="17"/>
    </row>
    <row r="14270" spans="1:1" x14ac:dyDescent="0.55000000000000004">
      <c r="A14270" s="17"/>
    </row>
    <row r="14271" spans="1:1" x14ac:dyDescent="0.55000000000000004">
      <c r="A14271" s="17"/>
    </row>
    <row r="14272" spans="1:1" x14ac:dyDescent="0.55000000000000004">
      <c r="A14272" s="17"/>
    </row>
    <row r="14273" spans="1:1" x14ac:dyDescent="0.55000000000000004">
      <c r="A14273" s="17"/>
    </row>
    <row r="14274" spans="1:1" x14ac:dyDescent="0.55000000000000004">
      <c r="A14274" s="17"/>
    </row>
    <row r="14275" spans="1:1" x14ac:dyDescent="0.55000000000000004">
      <c r="A14275" s="17"/>
    </row>
    <row r="14276" spans="1:1" x14ac:dyDescent="0.55000000000000004">
      <c r="A14276" s="17"/>
    </row>
    <row r="14277" spans="1:1" x14ac:dyDescent="0.55000000000000004">
      <c r="A14277" s="17"/>
    </row>
    <row r="14278" spans="1:1" x14ac:dyDescent="0.55000000000000004">
      <c r="A14278" s="17"/>
    </row>
    <row r="14279" spans="1:1" x14ac:dyDescent="0.55000000000000004">
      <c r="A14279" s="17"/>
    </row>
    <row r="14280" spans="1:1" x14ac:dyDescent="0.55000000000000004">
      <c r="A14280" s="17"/>
    </row>
    <row r="14281" spans="1:1" x14ac:dyDescent="0.55000000000000004">
      <c r="A14281" s="17"/>
    </row>
    <row r="14282" spans="1:1" x14ac:dyDescent="0.55000000000000004">
      <c r="A14282" s="17"/>
    </row>
    <row r="14283" spans="1:1" x14ac:dyDescent="0.55000000000000004">
      <c r="A14283" s="17"/>
    </row>
    <row r="14284" spans="1:1" x14ac:dyDescent="0.55000000000000004">
      <c r="A14284" s="17"/>
    </row>
    <row r="14285" spans="1:1" x14ac:dyDescent="0.55000000000000004">
      <c r="A14285" s="17"/>
    </row>
    <row r="14286" spans="1:1" x14ac:dyDescent="0.55000000000000004">
      <c r="A14286" s="17"/>
    </row>
    <row r="14287" spans="1:1" x14ac:dyDescent="0.55000000000000004">
      <c r="A14287" s="17"/>
    </row>
    <row r="14288" spans="1:1" x14ac:dyDescent="0.55000000000000004">
      <c r="A14288" s="17"/>
    </row>
    <row r="14289" spans="1:1" x14ac:dyDescent="0.55000000000000004">
      <c r="A14289" s="17"/>
    </row>
    <row r="14290" spans="1:1" x14ac:dyDescent="0.55000000000000004">
      <c r="A14290" s="17"/>
    </row>
    <row r="14291" spans="1:1" x14ac:dyDescent="0.55000000000000004">
      <c r="A14291" s="17"/>
    </row>
    <row r="14292" spans="1:1" x14ac:dyDescent="0.55000000000000004">
      <c r="A14292" s="17"/>
    </row>
    <row r="14293" spans="1:1" x14ac:dyDescent="0.55000000000000004">
      <c r="A14293" s="17"/>
    </row>
    <row r="14294" spans="1:1" x14ac:dyDescent="0.55000000000000004">
      <c r="A14294" s="17"/>
    </row>
    <row r="14295" spans="1:1" x14ac:dyDescent="0.55000000000000004">
      <c r="A14295" s="17"/>
    </row>
    <row r="14296" spans="1:1" x14ac:dyDescent="0.55000000000000004">
      <c r="A14296" s="17"/>
    </row>
    <row r="14297" spans="1:1" x14ac:dyDescent="0.55000000000000004">
      <c r="A14297" s="17"/>
    </row>
    <row r="14298" spans="1:1" x14ac:dyDescent="0.55000000000000004">
      <c r="A14298" s="17"/>
    </row>
    <row r="14299" spans="1:1" x14ac:dyDescent="0.55000000000000004">
      <c r="A14299" s="17"/>
    </row>
    <row r="14300" spans="1:1" x14ac:dyDescent="0.55000000000000004">
      <c r="A14300" s="17"/>
    </row>
    <row r="14301" spans="1:1" x14ac:dyDescent="0.55000000000000004">
      <c r="A14301" s="17"/>
    </row>
    <row r="14302" spans="1:1" x14ac:dyDescent="0.55000000000000004">
      <c r="A14302" s="17"/>
    </row>
    <row r="14303" spans="1:1" x14ac:dyDescent="0.55000000000000004">
      <c r="A14303" s="17"/>
    </row>
    <row r="14304" spans="1:1" x14ac:dyDescent="0.55000000000000004">
      <c r="A14304" s="17"/>
    </row>
    <row r="14305" spans="1:1" x14ac:dyDescent="0.55000000000000004">
      <c r="A14305" s="17"/>
    </row>
    <row r="14306" spans="1:1" x14ac:dyDescent="0.55000000000000004">
      <c r="A14306" s="17"/>
    </row>
    <row r="14307" spans="1:1" x14ac:dyDescent="0.55000000000000004">
      <c r="A14307" s="17"/>
    </row>
    <row r="14308" spans="1:1" x14ac:dyDescent="0.55000000000000004">
      <c r="A14308" s="17"/>
    </row>
    <row r="14309" spans="1:1" x14ac:dyDescent="0.55000000000000004">
      <c r="A14309" s="17"/>
    </row>
    <row r="14310" spans="1:1" x14ac:dyDescent="0.55000000000000004">
      <c r="A14310" s="17"/>
    </row>
    <row r="14311" spans="1:1" x14ac:dyDescent="0.55000000000000004">
      <c r="A14311" s="17"/>
    </row>
    <row r="14312" spans="1:1" x14ac:dyDescent="0.55000000000000004">
      <c r="A14312" s="17"/>
    </row>
    <row r="14313" spans="1:1" x14ac:dyDescent="0.55000000000000004">
      <c r="A14313" s="17"/>
    </row>
    <row r="14314" spans="1:1" x14ac:dyDescent="0.55000000000000004">
      <c r="A14314" s="17"/>
    </row>
    <row r="14315" spans="1:1" x14ac:dyDescent="0.55000000000000004">
      <c r="A14315" s="17"/>
    </row>
    <row r="14316" spans="1:1" x14ac:dyDescent="0.55000000000000004">
      <c r="A14316" s="17"/>
    </row>
    <row r="14317" spans="1:1" x14ac:dyDescent="0.55000000000000004">
      <c r="A14317" s="17"/>
    </row>
    <row r="14318" spans="1:1" x14ac:dyDescent="0.55000000000000004">
      <c r="A14318" s="17"/>
    </row>
    <row r="14319" spans="1:1" x14ac:dyDescent="0.55000000000000004">
      <c r="A14319" s="17"/>
    </row>
    <row r="14320" spans="1:1" x14ac:dyDescent="0.55000000000000004">
      <c r="A14320" s="17"/>
    </row>
    <row r="14321" spans="1:1" x14ac:dyDescent="0.55000000000000004">
      <c r="A14321" s="17"/>
    </row>
    <row r="14322" spans="1:1" x14ac:dyDescent="0.55000000000000004">
      <c r="A14322" s="17"/>
    </row>
    <row r="14323" spans="1:1" x14ac:dyDescent="0.55000000000000004">
      <c r="A14323" s="17"/>
    </row>
    <row r="14324" spans="1:1" x14ac:dyDescent="0.55000000000000004">
      <c r="A14324" s="17"/>
    </row>
    <row r="14325" spans="1:1" x14ac:dyDescent="0.55000000000000004">
      <c r="A14325" s="17"/>
    </row>
    <row r="14326" spans="1:1" x14ac:dyDescent="0.55000000000000004">
      <c r="A14326" s="17"/>
    </row>
    <row r="14327" spans="1:1" x14ac:dyDescent="0.55000000000000004">
      <c r="A14327" s="17"/>
    </row>
    <row r="14328" spans="1:1" x14ac:dyDescent="0.55000000000000004">
      <c r="A14328" s="17"/>
    </row>
    <row r="14329" spans="1:1" x14ac:dyDescent="0.55000000000000004">
      <c r="A14329" s="17"/>
    </row>
    <row r="14330" spans="1:1" x14ac:dyDescent="0.55000000000000004">
      <c r="A14330" s="17"/>
    </row>
    <row r="14331" spans="1:1" x14ac:dyDescent="0.55000000000000004">
      <c r="A14331" s="17"/>
    </row>
    <row r="14332" spans="1:1" x14ac:dyDescent="0.55000000000000004">
      <c r="A14332" s="17"/>
    </row>
    <row r="14333" spans="1:1" x14ac:dyDescent="0.55000000000000004">
      <c r="A14333" s="17"/>
    </row>
    <row r="14334" spans="1:1" x14ac:dyDescent="0.55000000000000004">
      <c r="A14334" s="17"/>
    </row>
    <row r="14335" spans="1:1" x14ac:dyDescent="0.55000000000000004">
      <c r="A14335" s="17"/>
    </row>
    <row r="14336" spans="1:1" x14ac:dyDescent="0.55000000000000004">
      <c r="A14336" s="17"/>
    </row>
    <row r="14337" spans="1:1" x14ac:dyDescent="0.55000000000000004">
      <c r="A14337" s="17"/>
    </row>
    <row r="14338" spans="1:1" x14ac:dyDescent="0.55000000000000004">
      <c r="A14338" s="17"/>
    </row>
    <row r="14339" spans="1:1" x14ac:dyDescent="0.55000000000000004">
      <c r="A14339" s="17"/>
    </row>
    <row r="14340" spans="1:1" x14ac:dyDescent="0.55000000000000004">
      <c r="A14340" s="17"/>
    </row>
    <row r="14341" spans="1:1" x14ac:dyDescent="0.55000000000000004">
      <c r="A14341" s="17"/>
    </row>
    <row r="14342" spans="1:1" x14ac:dyDescent="0.55000000000000004">
      <c r="A14342" s="17"/>
    </row>
    <row r="14343" spans="1:1" x14ac:dyDescent="0.55000000000000004">
      <c r="A14343" s="17"/>
    </row>
    <row r="14344" spans="1:1" x14ac:dyDescent="0.55000000000000004">
      <c r="A14344" s="17"/>
    </row>
    <row r="14345" spans="1:1" x14ac:dyDescent="0.55000000000000004">
      <c r="A14345" s="17"/>
    </row>
    <row r="14346" spans="1:1" x14ac:dyDescent="0.55000000000000004">
      <c r="A14346" s="17"/>
    </row>
    <row r="14347" spans="1:1" x14ac:dyDescent="0.55000000000000004">
      <c r="A14347" s="17"/>
    </row>
    <row r="14348" spans="1:1" x14ac:dyDescent="0.55000000000000004">
      <c r="A14348" s="17"/>
    </row>
    <row r="14349" spans="1:1" x14ac:dyDescent="0.55000000000000004">
      <c r="A14349" s="17"/>
    </row>
    <row r="14350" spans="1:1" x14ac:dyDescent="0.55000000000000004">
      <c r="A14350" s="17"/>
    </row>
    <row r="14351" spans="1:1" x14ac:dyDescent="0.55000000000000004">
      <c r="A14351" s="17"/>
    </row>
    <row r="14352" spans="1:1" x14ac:dyDescent="0.55000000000000004">
      <c r="A14352" s="17"/>
    </row>
    <row r="14353" spans="1:1" x14ac:dyDescent="0.55000000000000004">
      <c r="A14353" s="17"/>
    </row>
    <row r="14354" spans="1:1" x14ac:dyDescent="0.55000000000000004">
      <c r="A14354" s="17"/>
    </row>
    <row r="14355" spans="1:1" x14ac:dyDescent="0.55000000000000004">
      <c r="A14355" s="17"/>
    </row>
    <row r="14356" spans="1:1" x14ac:dyDescent="0.55000000000000004">
      <c r="A14356" s="17"/>
    </row>
    <row r="14357" spans="1:1" x14ac:dyDescent="0.55000000000000004">
      <c r="A14357" s="17"/>
    </row>
    <row r="14358" spans="1:1" x14ac:dyDescent="0.55000000000000004">
      <c r="A14358" s="17"/>
    </row>
    <row r="14359" spans="1:1" x14ac:dyDescent="0.55000000000000004">
      <c r="A14359" s="17"/>
    </row>
    <row r="14360" spans="1:1" x14ac:dyDescent="0.55000000000000004">
      <c r="A14360" s="17"/>
    </row>
    <row r="14361" spans="1:1" x14ac:dyDescent="0.55000000000000004">
      <c r="A14361" s="17"/>
    </row>
    <row r="14362" spans="1:1" x14ac:dyDescent="0.55000000000000004">
      <c r="A14362" s="17"/>
    </row>
    <row r="14363" spans="1:1" x14ac:dyDescent="0.55000000000000004">
      <c r="A14363" s="17"/>
    </row>
    <row r="14364" spans="1:1" x14ac:dyDescent="0.55000000000000004">
      <c r="A14364" s="17"/>
    </row>
    <row r="14365" spans="1:1" x14ac:dyDescent="0.55000000000000004">
      <c r="A14365" s="17"/>
    </row>
    <row r="14366" spans="1:1" x14ac:dyDescent="0.55000000000000004">
      <c r="A14366" s="17"/>
    </row>
    <row r="14367" spans="1:1" x14ac:dyDescent="0.55000000000000004">
      <c r="A14367" s="17"/>
    </row>
    <row r="14368" spans="1:1" x14ac:dyDescent="0.55000000000000004">
      <c r="A14368" s="17"/>
    </row>
    <row r="14369" spans="1:1" x14ac:dyDescent="0.55000000000000004">
      <c r="A14369" s="17"/>
    </row>
    <row r="14370" spans="1:1" x14ac:dyDescent="0.55000000000000004">
      <c r="A14370" s="17"/>
    </row>
    <row r="14371" spans="1:1" x14ac:dyDescent="0.55000000000000004">
      <c r="A14371" s="17"/>
    </row>
    <row r="14372" spans="1:1" x14ac:dyDescent="0.55000000000000004">
      <c r="A14372" s="17"/>
    </row>
    <row r="14373" spans="1:1" x14ac:dyDescent="0.55000000000000004">
      <c r="A14373" s="17"/>
    </row>
    <row r="14374" spans="1:1" x14ac:dyDescent="0.55000000000000004">
      <c r="A14374" s="17"/>
    </row>
    <row r="14375" spans="1:1" x14ac:dyDescent="0.55000000000000004">
      <c r="A14375" s="17"/>
    </row>
    <row r="14376" spans="1:1" x14ac:dyDescent="0.55000000000000004">
      <c r="A14376" s="17"/>
    </row>
    <row r="14377" spans="1:1" x14ac:dyDescent="0.55000000000000004">
      <c r="A14377" s="17"/>
    </row>
    <row r="14378" spans="1:1" x14ac:dyDescent="0.55000000000000004">
      <c r="A14378" s="17"/>
    </row>
    <row r="14379" spans="1:1" x14ac:dyDescent="0.55000000000000004">
      <c r="A14379" s="17"/>
    </row>
    <row r="14380" spans="1:1" x14ac:dyDescent="0.55000000000000004">
      <c r="A14380" s="17"/>
    </row>
    <row r="14381" spans="1:1" x14ac:dyDescent="0.55000000000000004">
      <c r="A14381" s="17"/>
    </row>
    <row r="14382" spans="1:1" x14ac:dyDescent="0.55000000000000004">
      <c r="A14382" s="17"/>
    </row>
    <row r="14383" spans="1:1" x14ac:dyDescent="0.55000000000000004">
      <c r="A14383" s="17"/>
    </row>
    <row r="14384" spans="1:1" x14ac:dyDescent="0.55000000000000004">
      <c r="A14384" s="17"/>
    </row>
    <row r="14385" spans="1:1" x14ac:dyDescent="0.55000000000000004">
      <c r="A14385" s="17"/>
    </row>
    <row r="14386" spans="1:1" x14ac:dyDescent="0.55000000000000004">
      <c r="A14386" s="17"/>
    </row>
    <row r="14387" spans="1:1" x14ac:dyDescent="0.55000000000000004">
      <c r="A14387" s="17"/>
    </row>
    <row r="14388" spans="1:1" x14ac:dyDescent="0.55000000000000004">
      <c r="A14388" s="17"/>
    </row>
    <row r="14389" spans="1:1" x14ac:dyDescent="0.55000000000000004">
      <c r="A14389" s="17"/>
    </row>
    <row r="14390" spans="1:1" x14ac:dyDescent="0.55000000000000004">
      <c r="A14390" s="17"/>
    </row>
    <row r="14391" spans="1:1" x14ac:dyDescent="0.55000000000000004">
      <c r="A14391" s="17"/>
    </row>
    <row r="14392" spans="1:1" x14ac:dyDescent="0.55000000000000004">
      <c r="A14392" s="17"/>
    </row>
    <row r="14393" spans="1:1" x14ac:dyDescent="0.55000000000000004">
      <c r="A14393" s="17"/>
    </row>
    <row r="14394" spans="1:1" x14ac:dyDescent="0.55000000000000004">
      <c r="A14394" s="17"/>
    </row>
    <row r="14395" spans="1:1" x14ac:dyDescent="0.55000000000000004">
      <c r="A14395" s="17"/>
    </row>
    <row r="14396" spans="1:1" x14ac:dyDescent="0.55000000000000004">
      <c r="A14396" s="17"/>
    </row>
    <row r="14397" spans="1:1" x14ac:dyDescent="0.55000000000000004">
      <c r="A14397" s="17"/>
    </row>
    <row r="14398" spans="1:1" x14ac:dyDescent="0.55000000000000004">
      <c r="A14398" s="17"/>
    </row>
    <row r="14399" spans="1:1" x14ac:dyDescent="0.55000000000000004">
      <c r="A14399" s="17"/>
    </row>
    <row r="14400" spans="1:1" x14ac:dyDescent="0.55000000000000004">
      <c r="A14400" s="17"/>
    </row>
    <row r="14401" spans="1:1" x14ac:dyDescent="0.55000000000000004">
      <c r="A14401" s="17"/>
    </row>
    <row r="14402" spans="1:1" x14ac:dyDescent="0.55000000000000004">
      <c r="A14402" s="17"/>
    </row>
    <row r="14403" spans="1:1" x14ac:dyDescent="0.55000000000000004">
      <c r="A14403" s="17"/>
    </row>
    <row r="14404" spans="1:1" x14ac:dyDescent="0.55000000000000004">
      <c r="A14404" s="17"/>
    </row>
    <row r="14405" spans="1:1" x14ac:dyDescent="0.55000000000000004">
      <c r="A14405" s="17"/>
    </row>
    <row r="14406" spans="1:1" x14ac:dyDescent="0.55000000000000004">
      <c r="A14406" s="17"/>
    </row>
    <row r="14407" spans="1:1" x14ac:dyDescent="0.55000000000000004">
      <c r="A14407" s="17"/>
    </row>
    <row r="14408" spans="1:1" x14ac:dyDescent="0.55000000000000004">
      <c r="A14408" s="17"/>
    </row>
    <row r="14409" spans="1:1" x14ac:dyDescent="0.55000000000000004">
      <c r="A14409" s="17"/>
    </row>
    <row r="14410" spans="1:1" x14ac:dyDescent="0.55000000000000004">
      <c r="A14410" s="17"/>
    </row>
    <row r="14411" spans="1:1" x14ac:dyDescent="0.55000000000000004">
      <c r="A14411" s="17"/>
    </row>
    <row r="14412" spans="1:1" x14ac:dyDescent="0.55000000000000004">
      <c r="A14412" s="17"/>
    </row>
    <row r="14413" spans="1:1" x14ac:dyDescent="0.55000000000000004">
      <c r="A14413" s="17"/>
    </row>
    <row r="14414" spans="1:1" x14ac:dyDescent="0.55000000000000004">
      <c r="A14414" s="17"/>
    </row>
    <row r="14415" spans="1:1" x14ac:dyDescent="0.55000000000000004">
      <c r="A14415" s="17"/>
    </row>
    <row r="14416" spans="1:1" x14ac:dyDescent="0.55000000000000004">
      <c r="A14416" s="17"/>
    </row>
    <row r="14417" spans="1:1" x14ac:dyDescent="0.55000000000000004">
      <c r="A14417" s="17"/>
    </row>
    <row r="14418" spans="1:1" x14ac:dyDescent="0.55000000000000004">
      <c r="A14418" s="17"/>
    </row>
    <row r="14419" spans="1:1" x14ac:dyDescent="0.55000000000000004">
      <c r="A14419" s="17"/>
    </row>
    <row r="14420" spans="1:1" x14ac:dyDescent="0.55000000000000004">
      <c r="A14420" s="17"/>
    </row>
    <row r="14421" spans="1:1" x14ac:dyDescent="0.55000000000000004">
      <c r="A14421" s="17"/>
    </row>
    <row r="14422" spans="1:1" x14ac:dyDescent="0.55000000000000004">
      <c r="A14422" s="17"/>
    </row>
    <row r="14423" spans="1:1" x14ac:dyDescent="0.55000000000000004">
      <c r="A14423" s="17"/>
    </row>
    <row r="14424" spans="1:1" x14ac:dyDescent="0.55000000000000004">
      <c r="A14424" s="17"/>
    </row>
    <row r="14425" spans="1:1" x14ac:dyDescent="0.55000000000000004">
      <c r="A14425" s="17"/>
    </row>
    <row r="14426" spans="1:1" x14ac:dyDescent="0.55000000000000004">
      <c r="A14426" s="17"/>
    </row>
    <row r="14427" spans="1:1" x14ac:dyDescent="0.55000000000000004">
      <c r="A14427" s="17"/>
    </row>
    <row r="14428" spans="1:1" x14ac:dyDescent="0.55000000000000004">
      <c r="A14428" s="17"/>
    </row>
    <row r="14429" spans="1:1" x14ac:dyDescent="0.55000000000000004">
      <c r="A14429" s="17"/>
    </row>
    <row r="14430" spans="1:1" x14ac:dyDescent="0.55000000000000004">
      <c r="A14430" s="17"/>
    </row>
    <row r="14431" spans="1:1" x14ac:dyDescent="0.55000000000000004">
      <c r="A14431" s="17"/>
    </row>
    <row r="14432" spans="1:1" x14ac:dyDescent="0.55000000000000004">
      <c r="A14432" s="17"/>
    </row>
    <row r="14433" spans="1:1" x14ac:dyDescent="0.55000000000000004">
      <c r="A14433" s="17"/>
    </row>
    <row r="14434" spans="1:1" x14ac:dyDescent="0.55000000000000004">
      <c r="A14434" s="17"/>
    </row>
    <row r="14435" spans="1:1" x14ac:dyDescent="0.55000000000000004">
      <c r="A14435" s="17"/>
    </row>
    <row r="14436" spans="1:1" x14ac:dyDescent="0.55000000000000004">
      <c r="A14436" s="17"/>
    </row>
    <row r="14437" spans="1:1" x14ac:dyDescent="0.55000000000000004">
      <c r="A14437" s="17"/>
    </row>
    <row r="14438" spans="1:1" x14ac:dyDescent="0.55000000000000004">
      <c r="A14438" s="17"/>
    </row>
    <row r="14439" spans="1:1" x14ac:dyDescent="0.55000000000000004">
      <c r="A14439" s="17"/>
    </row>
    <row r="14440" spans="1:1" x14ac:dyDescent="0.55000000000000004">
      <c r="A14440" s="17"/>
    </row>
    <row r="14441" spans="1:1" x14ac:dyDescent="0.55000000000000004">
      <c r="A14441" s="17"/>
    </row>
    <row r="14442" spans="1:1" x14ac:dyDescent="0.55000000000000004">
      <c r="A14442" s="17"/>
    </row>
    <row r="14443" spans="1:1" x14ac:dyDescent="0.55000000000000004">
      <c r="A14443" s="17"/>
    </row>
    <row r="14444" spans="1:1" x14ac:dyDescent="0.55000000000000004">
      <c r="A14444" s="17"/>
    </row>
    <row r="14445" spans="1:1" x14ac:dyDescent="0.55000000000000004">
      <c r="A14445" s="17"/>
    </row>
    <row r="14446" spans="1:1" x14ac:dyDescent="0.55000000000000004">
      <c r="A14446" s="17"/>
    </row>
    <row r="14447" spans="1:1" x14ac:dyDescent="0.55000000000000004">
      <c r="A14447" s="17"/>
    </row>
    <row r="14448" spans="1:1" x14ac:dyDescent="0.55000000000000004">
      <c r="A14448" s="17"/>
    </row>
    <row r="14449" spans="1:1" x14ac:dyDescent="0.55000000000000004">
      <c r="A14449" s="17"/>
    </row>
    <row r="14450" spans="1:1" x14ac:dyDescent="0.55000000000000004">
      <c r="A14450" s="17"/>
    </row>
    <row r="14451" spans="1:1" x14ac:dyDescent="0.55000000000000004">
      <c r="A14451" s="17"/>
    </row>
    <row r="14452" spans="1:1" x14ac:dyDescent="0.55000000000000004">
      <c r="A14452" s="17"/>
    </row>
    <row r="14453" spans="1:1" x14ac:dyDescent="0.55000000000000004">
      <c r="A14453" s="17"/>
    </row>
    <row r="14454" spans="1:1" x14ac:dyDescent="0.55000000000000004">
      <c r="A14454" s="17"/>
    </row>
    <row r="14455" spans="1:1" x14ac:dyDescent="0.55000000000000004">
      <c r="A14455" s="17"/>
    </row>
    <row r="14456" spans="1:1" x14ac:dyDescent="0.55000000000000004">
      <c r="A14456" s="17"/>
    </row>
    <row r="14457" spans="1:1" x14ac:dyDescent="0.55000000000000004">
      <c r="A14457" s="17"/>
    </row>
    <row r="14458" spans="1:1" x14ac:dyDescent="0.55000000000000004">
      <c r="A14458" s="17"/>
    </row>
    <row r="14459" spans="1:1" x14ac:dyDescent="0.55000000000000004">
      <c r="A14459" s="17"/>
    </row>
    <row r="14460" spans="1:1" x14ac:dyDescent="0.55000000000000004">
      <c r="A14460" s="17"/>
    </row>
    <row r="14461" spans="1:1" x14ac:dyDescent="0.55000000000000004">
      <c r="A14461" s="17"/>
    </row>
    <row r="14462" spans="1:1" x14ac:dyDescent="0.55000000000000004">
      <c r="A14462" s="17"/>
    </row>
    <row r="14463" spans="1:1" x14ac:dyDescent="0.55000000000000004">
      <c r="A14463" s="17"/>
    </row>
    <row r="14464" spans="1:1" x14ac:dyDescent="0.55000000000000004">
      <c r="A14464" s="17"/>
    </row>
    <row r="14465" spans="1:1" x14ac:dyDescent="0.55000000000000004">
      <c r="A14465" s="17"/>
    </row>
    <row r="14466" spans="1:1" x14ac:dyDescent="0.55000000000000004">
      <c r="A14466" s="17"/>
    </row>
    <row r="14467" spans="1:1" x14ac:dyDescent="0.55000000000000004">
      <c r="A14467" s="17"/>
    </row>
    <row r="14468" spans="1:1" x14ac:dyDescent="0.55000000000000004">
      <c r="A14468" s="17"/>
    </row>
    <row r="14469" spans="1:1" x14ac:dyDescent="0.55000000000000004">
      <c r="A14469" s="17"/>
    </row>
    <row r="14470" spans="1:1" x14ac:dyDescent="0.55000000000000004">
      <c r="A14470" s="17"/>
    </row>
    <row r="14471" spans="1:1" x14ac:dyDescent="0.55000000000000004">
      <c r="A14471" s="17"/>
    </row>
    <row r="14472" spans="1:1" x14ac:dyDescent="0.55000000000000004">
      <c r="A14472" s="17"/>
    </row>
    <row r="14473" spans="1:1" x14ac:dyDescent="0.55000000000000004">
      <c r="A14473" s="17"/>
    </row>
    <row r="14474" spans="1:1" x14ac:dyDescent="0.55000000000000004">
      <c r="A14474" s="17"/>
    </row>
    <row r="14475" spans="1:1" x14ac:dyDescent="0.55000000000000004">
      <c r="A14475" s="17"/>
    </row>
    <row r="14476" spans="1:1" x14ac:dyDescent="0.55000000000000004">
      <c r="A14476" s="17"/>
    </row>
    <row r="14477" spans="1:1" x14ac:dyDescent="0.55000000000000004">
      <c r="A14477" s="17"/>
    </row>
    <row r="14478" spans="1:1" x14ac:dyDescent="0.55000000000000004">
      <c r="A14478" s="17"/>
    </row>
    <row r="14479" spans="1:1" x14ac:dyDescent="0.55000000000000004">
      <c r="A14479" s="17"/>
    </row>
    <row r="14480" spans="1:1" x14ac:dyDescent="0.55000000000000004">
      <c r="A14480" s="17"/>
    </row>
    <row r="14481" spans="1:1" x14ac:dyDescent="0.55000000000000004">
      <c r="A14481" s="17"/>
    </row>
    <row r="14482" spans="1:1" x14ac:dyDescent="0.55000000000000004">
      <c r="A14482" s="17"/>
    </row>
    <row r="14483" spans="1:1" x14ac:dyDescent="0.55000000000000004">
      <c r="A14483" s="17"/>
    </row>
    <row r="14484" spans="1:1" x14ac:dyDescent="0.55000000000000004">
      <c r="A14484" s="17"/>
    </row>
    <row r="14485" spans="1:1" x14ac:dyDescent="0.55000000000000004">
      <c r="A14485" s="17"/>
    </row>
    <row r="14486" spans="1:1" x14ac:dyDescent="0.55000000000000004">
      <c r="A14486" s="17"/>
    </row>
    <row r="14487" spans="1:1" x14ac:dyDescent="0.55000000000000004">
      <c r="A14487" s="17"/>
    </row>
    <row r="14488" spans="1:1" x14ac:dyDescent="0.55000000000000004">
      <c r="A14488" s="17"/>
    </row>
    <row r="14489" spans="1:1" x14ac:dyDescent="0.55000000000000004">
      <c r="A14489" s="17"/>
    </row>
    <row r="14490" spans="1:1" x14ac:dyDescent="0.55000000000000004">
      <c r="A14490" s="17"/>
    </row>
    <row r="14491" spans="1:1" x14ac:dyDescent="0.55000000000000004">
      <c r="A14491" s="17"/>
    </row>
    <row r="14492" spans="1:1" x14ac:dyDescent="0.55000000000000004">
      <c r="A14492" s="17"/>
    </row>
    <row r="14493" spans="1:1" x14ac:dyDescent="0.55000000000000004">
      <c r="A14493" s="17"/>
    </row>
    <row r="14494" spans="1:1" x14ac:dyDescent="0.55000000000000004">
      <c r="A14494" s="17"/>
    </row>
    <row r="14495" spans="1:1" x14ac:dyDescent="0.55000000000000004">
      <c r="A14495" s="17"/>
    </row>
    <row r="14496" spans="1:1" x14ac:dyDescent="0.55000000000000004">
      <c r="A14496" s="17"/>
    </row>
    <row r="14497" spans="1:1" x14ac:dyDescent="0.55000000000000004">
      <c r="A14497" s="17"/>
    </row>
    <row r="14498" spans="1:1" x14ac:dyDescent="0.55000000000000004">
      <c r="A14498" s="17"/>
    </row>
    <row r="14499" spans="1:1" x14ac:dyDescent="0.55000000000000004">
      <c r="A14499" s="17"/>
    </row>
    <row r="14500" spans="1:1" x14ac:dyDescent="0.55000000000000004">
      <c r="A14500" s="17"/>
    </row>
    <row r="14501" spans="1:1" x14ac:dyDescent="0.55000000000000004">
      <c r="A14501" s="17"/>
    </row>
    <row r="14502" spans="1:1" x14ac:dyDescent="0.55000000000000004">
      <c r="A14502" s="17"/>
    </row>
    <row r="14503" spans="1:1" x14ac:dyDescent="0.55000000000000004">
      <c r="A14503" s="17"/>
    </row>
    <row r="14504" spans="1:1" x14ac:dyDescent="0.55000000000000004">
      <c r="A14504" s="17"/>
    </row>
    <row r="14505" spans="1:1" x14ac:dyDescent="0.55000000000000004">
      <c r="A14505" s="17"/>
    </row>
    <row r="14506" spans="1:1" x14ac:dyDescent="0.55000000000000004">
      <c r="A14506" s="17"/>
    </row>
    <row r="14507" spans="1:1" x14ac:dyDescent="0.55000000000000004">
      <c r="A14507" s="17"/>
    </row>
    <row r="14508" spans="1:1" x14ac:dyDescent="0.55000000000000004">
      <c r="A14508" s="17"/>
    </row>
    <row r="14509" spans="1:1" x14ac:dyDescent="0.55000000000000004">
      <c r="A14509" s="17"/>
    </row>
    <row r="14510" spans="1:1" x14ac:dyDescent="0.55000000000000004">
      <c r="A14510" s="17"/>
    </row>
    <row r="14511" spans="1:1" x14ac:dyDescent="0.55000000000000004">
      <c r="A14511" s="17"/>
    </row>
    <row r="14512" spans="1:1" x14ac:dyDescent="0.55000000000000004">
      <c r="A14512" s="17"/>
    </row>
    <row r="14513" spans="1:1" x14ac:dyDescent="0.55000000000000004">
      <c r="A14513" s="17"/>
    </row>
    <row r="14514" spans="1:1" x14ac:dyDescent="0.55000000000000004">
      <c r="A14514" s="17"/>
    </row>
    <row r="14515" spans="1:1" x14ac:dyDescent="0.55000000000000004">
      <c r="A14515" s="17"/>
    </row>
    <row r="14516" spans="1:1" x14ac:dyDescent="0.55000000000000004">
      <c r="A14516" s="17"/>
    </row>
    <row r="14517" spans="1:1" x14ac:dyDescent="0.55000000000000004">
      <c r="A14517" s="17"/>
    </row>
    <row r="14518" spans="1:1" x14ac:dyDescent="0.55000000000000004">
      <c r="A14518" s="17"/>
    </row>
    <row r="14519" spans="1:1" x14ac:dyDescent="0.55000000000000004">
      <c r="A14519" s="17"/>
    </row>
    <row r="14520" spans="1:1" x14ac:dyDescent="0.55000000000000004">
      <c r="A14520" s="17"/>
    </row>
    <row r="14521" spans="1:1" x14ac:dyDescent="0.55000000000000004">
      <c r="A14521" s="17"/>
    </row>
    <row r="14522" spans="1:1" x14ac:dyDescent="0.55000000000000004">
      <c r="A14522" s="17"/>
    </row>
    <row r="14523" spans="1:1" x14ac:dyDescent="0.55000000000000004">
      <c r="A14523" s="17"/>
    </row>
    <row r="14524" spans="1:1" x14ac:dyDescent="0.55000000000000004">
      <c r="A14524" s="17"/>
    </row>
    <row r="14525" spans="1:1" x14ac:dyDescent="0.55000000000000004">
      <c r="A14525" s="17"/>
    </row>
    <row r="14526" spans="1:1" x14ac:dyDescent="0.55000000000000004">
      <c r="A14526" s="17"/>
    </row>
    <row r="14527" spans="1:1" x14ac:dyDescent="0.55000000000000004">
      <c r="A14527" s="17"/>
    </row>
    <row r="14528" spans="1:1" x14ac:dyDescent="0.55000000000000004">
      <c r="A14528" s="17"/>
    </row>
    <row r="14529" spans="1:1" x14ac:dyDescent="0.55000000000000004">
      <c r="A14529" s="17"/>
    </row>
    <row r="14530" spans="1:1" x14ac:dyDescent="0.55000000000000004">
      <c r="A14530" s="17"/>
    </row>
    <row r="14531" spans="1:1" x14ac:dyDescent="0.55000000000000004">
      <c r="A14531" s="17"/>
    </row>
    <row r="14532" spans="1:1" x14ac:dyDescent="0.55000000000000004">
      <c r="A14532" s="17"/>
    </row>
    <row r="14533" spans="1:1" x14ac:dyDescent="0.55000000000000004">
      <c r="A14533" s="17"/>
    </row>
    <row r="14534" spans="1:1" x14ac:dyDescent="0.55000000000000004">
      <c r="A14534" s="17"/>
    </row>
    <row r="14535" spans="1:1" x14ac:dyDescent="0.55000000000000004">
      <c r="A14535" s="17"/>
    </row>
    <row r="14536" spans="1:1" x14ac:dyDescent="0.55000000000000004">
      <c r="A14536" s="17"/>
    </row>
    <row r="14537" spans="1:1" x14ac:dyDescent="0.55000000000000004">
      <c r="A14537" s="17"/>
    </row>
    <row r="14538" spans="1:1" x14ac:dyDescent="0.55000000000000004">
      <c r="A14538" s="17"/>
    </row>
    <row r="14539" spans="1:1" x14ac:dyDescent="0.55000000000000004">
      <c r="A14539" s="17"/>
    </row>
    <row r="14540" spans="1:1" x14ac:dyDescent="0.55000000000000004">
      <c r="A14540" s="17"/>
    </row>
    <row r="14541" spans="1:1" x14ac:dyDescent="0.55000000000000004">
      <c r="A14541" s="17"/>
    </row>
    <row r="14542" spans="1:1" x14ac:dyDescent="0.55000000000000004">
      <c r="A14542" s="17"/>
    </row>
    <row r="14543" spans="1:1" x14ac:dyDescent="0.55000000000000004">
      <c r="A14543" s="17"/>
    </row>
    <row r="14544" spans="1:1" x14ac:dyDescent="0.55000000000000004">
      <c r="A14544" s="17"/>
    </row>
    <row r="14545" spans="1:1" x14ac:dyDescent="0.55000000000000004">
      <c r="A14545" s="17"/>
    </row>
    <row r="14546" spans="1:1" x14ac:dyDescent="0.55000000000000004">
      <c r="A14546" s="17"/>
    </row>
    <row r="14547" spans="1:1" x14ac:dyDescent="0.55000000000000004">
      <c r="A14547" s="17"/>
    </row>
    <row r="14548" spans="1:1" x14ac:dyDescent="0.55000000000000004">
      <c r="A14548" s="17"/>
    </row>
    <row r="14549" spans="1:1" x14ac:dyDescent="0.55000000000000004">
      <c r="A14549" s="17"/>
    </row>
    <row r="14550" spans="1:1" x14ac:dyDescent="0.55000000000000004">
      <c r="A14550" s="17"/>
    </row>
    <row r="14551" spans="1:1" x14ac:dyDescent="0.55000000000000004">
      <c r="A14551" s="17"/>
    </row>
    <row r="14552" spans="1:1" x14ac:dyDescent="0.55000000000000004">
      <c r="A14552" s="17"/>
    </row>
    <row r="14553" spans="1:1" x14ac:dyDescent="0.55000000000000004">
      <c r="A14553" s="17"/>
    </row>
    <row r="14554" spans="1:1" x14ac:dyDescent="0.55000000000000004">
      <c r="A14554" s="17"/>
    </row>
    <row r="14555" spans="1:1" x14ac:dyDescent="0.55000000000000004">
      <c r="A14555" s="17"/>
    </row>
    <row r="14556" spans="1:1" x14ac:dyDescent="0.55000000000000004">
      <c r="A14556" s="17"/>
    </row>
    <row r="14557" spans="1:1" x14ac:dyDescent="0.55000000000000004">
      <c r="A14557" s="17"/>
    </row>
    <row r="14558" spans="1:1" x14ac:dyDescent="0.55000000000000004">
      <c r="A14558" s="17"/>
    </row>
    <row r="14559" spans="1:1" x14ac:dyDescent="0.55000000000000004">
      <c r="A14559" s="17"/>
    </row>
    <row r="14560" spans="1:1" x14ac:dyDescent="0.55000000000000004">
      <c r="A14560" s="17"/>
    </row>
    <row r="14561" spans="1:1" x14ac:dyDescent="0.55000000000000004">
      <c r="A14561" s="17"/>
    </row>
    <row r="14562" spans="1:1" x14ac:dyDescent="0.55000000000000004">
      <c r="A14562" s="17"/>
    </row>
    <row r="14563" spans="1:1" x14ac:dyDescent="0.55000000000000004">
      <c r="A14563" s="17"/>
    </row>
    <row r="14564" spans="1:1" x14ac:dyDescent="0.55000000000000004">
      <c r="A14564" s="17"/>
    </row>
    <row r="14565" spans="1:1" x14ac:dyDescent="0.55000000000000004">
      <c r="A14565" s="17"/>
    </row>
    <row r="14566" spans="1:1" x14ac:dyDescent="0.55000000000000004">
      <c r="A14566" s="17"/>
    </row>
    <row r="14567" spans="1:1" x14ac:dyDescent="0.55000000000000004">
      <c r="A14567" s="17"/>
    </row>
    <row r="14568" spans="1:1" x14ac:dyDescent="0.55000000000000004">
      <c r="A14568" s="17"/>
    </row>
    <row r="14569" spans="1:1" x14ac:dyDescent="0.55000000000000004">
      <c r="A14569" s="17"/>
    </row>
    <row r="14570" spans="1:1" x14ac:dyDescent="0.55000000000000004">
      <c r="A14570" s="17"/>
    </row>
    <row r="14571" spans="1:1" x14ac:dyDescent="0.55000000000000004">
      <c r="A14571" s="17"/>
    </row>
    <row r="14572" spans="1:1" x14ac:dyDescent="0.55000000000000004">
      <c r="A14572" s="17"/>
    </row>
    <row r="14573" spans="1:1" x14ac:dyDescent="0.55000000000000004">
      <c r="A14573" s="17"/>
    </row>
    <row r="14574" spans="1:1" x14ac:dyDescent="0.55000000000000004">
      <c r="A14574" s="17"/>
    </row>
    <row r="14575" spans="1:1" x14ac:dyDescent="0.55000000000000004">
      <c r="A14575" s="17"/>
    </row>
    <row r="14576" spans="1:1" x14ac:dyDescent="0.55000000000000004">
      <c r="A14576" s="17"/>
    </row>
    <row r="14577" spans="1:1" x14ac:dyDescent="0.55000000000000004">
      <c r="A14577" s="17"/>
    </row>
    <row r="14578" spans="1:1" x14ac:dyDescent="0.55000000000000004">
      <c r="A14578" s="17"/>
    </row>
    <row r="14579" spans="1:1" x14ac:dyDescent="0.55000000000000004">
      <c r="A14579" s="17"/>
    </row>
    <row r="14580" spans="1:1" x14ac:dyDescent="0.55000000000000004">
      <c r="A14580" s="17"/>
    </row>
    <row r="14581" spans="1:1" x14ac:dyDescent="0.55000000000000004">
      <c r="A14581" s="17"/>
    </row>
    <row r="14582" spans="1:1" x14ac:dyDescent="0.55000000000000004">
      <c r="A14582" s="17"/>
    </row>
    <row r="14583" spans="1:1" x14ac:dyDescent="0.55000000000000004">
      <c r="A14583" s="17"/>
    </row>
    <row r="14584" spans="1:1" x14ac:dyDescent="0.55000000000000004">
      <c r="A14584" s="17"/>
    </row>
    <row r="14585" spans="1:1" x14ac:dyDescent="0.55000000000000004">
      <c r="A14585" s="17"/>
    </row>
    <row r="14586" spans="1:1" x14ac:dyDescent="0.55000000000000004">
      <c r="A14586" s="17"/>
    </row>
    <row r="14587" spans="1:1" x14ac:dyDescent="0.55000000000000004">
      <c r="A14587" s="17"/>
    </row>
    <row r="14588" spans="1:1" x14ac:dyDescent="0.55000000000000004">
      <c r="A14588" s="17"/>
    </row>
    <row r="14589" spans="1:1" x14ac:dyDescent="0.55000000000000004">
      <c r="A14589" s="17"/>
    </row>
    <row r="14590" spans="1:1" x14ac:dyDescent="0.55000000000000004">
      <c r="A14590" s="17"/>
    </row>
    <row r="14591" spans="1:1" x14ac:dyDescent="0.55000000000000004">
      <c r="A14591" s="17"/>
    </row>
    <row r="14592" spans="1:1" x14ac:dyDescent="0.55000000000000004">
      <c r="A14592" s="17"/>
    </row>
    <row r="14593" spans="1:1" x14ac:dyDescent="0.55000000000000004">
      <c r="A14593" s="17"/>
    </row>
    <row r="14594" spans="1:1" x14ac:dyDescent="0.55000000000000004">
      <c r="A14594" s="17"/>
    </row>
    <row r="14595" spans="1:1" x14ac:dyDescent="0.55000000000000004">
      <c r="A14595" s="17"/>
    </row>
    <row r="14596" spans="1:1" x14ac:dyDescent="0.55000000000000004">
      <c r="A14596" s="17"/>
    </row>
    <row r="14597" spans="1:1" x14ac:dyDescent="0.55000000000000004">
      <c r="A14597" s="17"/>
    </row>
    <row r="14598" spans="1:1" x14ac:dyDescent="0.55000000000000004">
      <c r="A14598" s="17"/>
    </row>
    <row r="14599" spans="1:1" x14ac:dyDescent="0.55000000000000004">
      <c r="A14599" s="17"/>
    </row>
    <row r="14600" spans="1:1" x14ac:dyDescent="0.55000000000000004">
      <c r="A14600" s="17"/>
    </row>
    <row r="14601" spans="1:1" x14ac:dyDescent="0.55000000000000004">
      <c r="A14601" s="17"/>
    </row>
    <row r="14602" spans="1:1" x14ac:dyDescent="0.55000000000000004">
      <c r="A14602" s="17"/>
    </row>
    <row r="14603" spans="1:1" x14ac:dyDescent="0.55000000000000004">
      <c r="A14603" s="17"/>
    </row>
    <row r="14604" spans="1:1" x14ac:dyDescent="0.55000000000000004">
      <c r="A14604" s="17"/>
    </row>
    <row r="14605" spans="1:1" x14ac:dyDescent="0.55000000000000004">
      <c r="A14605" s="17"/>
    </row>
    <row r="14606" spans="1:1" x14ac:dyDescent="0.55000000000000004">
      <c r="A14606" s="17"/>
    </row>
    <row r="14607" spans="1:1" x14ac:dyDescent="0.55000000000000004">
      <c r="A14607" s="17"/>
    </row>
    <row r="14608" spans="1:1" x14ac:dyDescent="0.55000000000000004">
      <c r="A14608" s="17"/>
    </row>
    <row r="14609" spans="1:1" x14ac:dyDescent="0.55000000000000004">
      <c r="A14609" s="17"/>
    </row>
    <row r="14610" spans="1:1" x14ac:dyDescent="0.55000000000000004">
      <c r="A14610" s="17"/>
    </row>
    <row r="14611" spans="1:1" x14ac:dyDescent="0.55000000000000004">
      <c r="A14611" s="17"/>
    </row>
    <row r="14612" spans="1:1" x14ac:dyDescent="0.55000000000000004">
      <c r="A14612" s="17"/>
    </row>
    <row r="14613" spans="1:1" x14ac:dyDescent="0.55000000000000004">
      <c r="A14613" s="17"/>
    </row>
    <row r="14614" spans="1:1" x14ac:dyDescent="0.55000000000000004">
      <c r="A14614" s="17"/>
    </row>
    <row r="14615" spans="1:1" x14ac:dyDescent="0.55000000000000004">
      <c r="A14615" s="17"/>
    </row>
    <row r="14616" spans="1:1" x14ac:dyDescent="0.55000000000000004">
      <c r="A14616" s="17"/>
    </row>
    <row r="14617" spans="1:1" x14ac:dyDescent="0.55000000000000004">
      <c r="A14617" s="17"/>
    </row>
    <row r="14618" spans="1:1" x14ac:dyDescent="0.55000000000000004">
      <c r="A14618" s="17"/>
    </row>
    <row r="14619" spans="1:1" x14ac:dyDescent="0.55000000000000004">
      <c r="A14619" s="17"/>
    </row>
    <row r="14620" spans="1:1" x14ac:dyDescent="0.55000000000000004">
      <c r="A14620" s="17"/>
    </row>
    <row r="14621" spans="1:1" x14ac:dyDescent="0.55000000000000004">
      <c r="A14621" s="17"/>
    </row>
    <row r="14622" spans="1:1" x14ac:dyDescent="0.55000000000000004">
      <c r="A14622" s="17"/>
    </row>
    <row r="14623" spans="1:1" x14ac:dyDescent="0.55000000000000004">
      <c r="A14623" s="17"/>
    </row>
    <row r="14624" spans="1:1" x14ac:dyDescent="0.55000000000000004">
      <c r="A14624" s="17"/>
    </row>
    <row r="14625" spans="1:1" x14ac:dyDescent="0.55000000000000004">
      <c r="A14625" s="17"/>
    </row>
    <row r="14626" spans="1:1" x14ac:dyDescent="0.55000000000000004">
      <c r="A14626" s="17"/>
    </row>
    <row r="14627" spans="1:1" x14ac:dyDescent="0.55000000000000004">
      <c r="A14627" s="17"/>
    </row>
    <row r="14628" spans="1:1" x14ac:dyDescent="0.55000000000000004">
      <c r="A14628" s="17"/>
    </row>
    <row r="14629" spans="1:1" x14ac:dyDescent="0.55000000000000004">
      <c r="A14629" s="17"/>
    </row>
    <row r="14630" spans="1:1" x14ac:dyDescent="0.55000000000000004">
      <c r="A14630" s="17"/>
    </row>
    <row r="14631" spans="1:1" x14ac:dyDescent="0.55000000000000004">
      <c r="A14631" s="17"/>
    </row>
    <row r="14632" spans="1:1" x14ac:dyDescent="0.55000000000000004">
      <c r="A14632" s="17"/>
    </row>
    <row r="14633" spans="1:1" x14ac:dyDescent="0.55000000000000004">
      <c r="A14633" s="17"/>
    </row>
    <row r="14634" spans="1:1" x14ac:dyDescent="0.55000000000000004">
      <c r="A14634" s="17"/>
    </row>
    <row r="14635" spans="1:1" x14ac:dyDescent="0.55000000000000004">
      <c r="A14635" s="17"/>
    </row>
    <row r="14636" spans="1:1" x14ac:dyDescent="0.55000000000000004">
      <c r="A14636" s="17"/>
    </row>
    <row r="14637" spans="1:1" x14ac:dyDescent="0.55000000000000004">
      <c r="A14637" s="17"/>
    </row>
    <row r="14638" spans="1:1" x14ac:dyDescent="0.55000000000000004">
      <c r="A14638" s="17"/>
    </row>
    <row r="14639" spans="1:1" x14ac:dyDescent="0.55000000000000004">
      <c r="A14639" s="17"/>
    </row>
    <row r="14640" spans="1:1" x14ac:dyDescent="0.55000000000000004">
      <c r="A14640" s="17"/>
    </row>
    <row r="14641" spans="1:1" x14ac:dyDescent="0.55000000000000004">
      <c r="A14641" s="17"/>
    </row>
    <row r="14642" spans="1:1" x14ac:dyDescent="0.55000000000000004">
      <c r="A14642" s="17"/>
    </row>
    <row r="14643" spans="1:1" x14ac:dyDescent="0.55000000000000004">
      <c r="A14643" s="17"/>
    </row>
    <row r="14644" spans="1:1" x14ac:dyDescent="0.55000000000000004">
      <c r="A14644" s="17"/>
    </row>
    <row r="14645" spans="1:1" x14ac:dyDescent="0.55000000000000004">
      <c r="A14645" s="17"/>
    </row>
    <row r="14646" spans="1:1" x14ac:dyDescent="0.55000000000000004">
      <c r="A14646" s="17"/>
    </row>
    <row r="14647" spans="1:1" x14ac:dyDescent="0.55000000000000004">
      <c r="A14647" s="17"/>
    </row>
    <row r="14648" spans="1:1" x14ac:dyDescent="0.55000000000000004">
      <c r="A14648" s="17"/>
    </row>
    <row r="14649" spans="1:1" x14ac:dyDescent="0.55000000000000004">
      <c r="A14649" s="17"/>
    </row>
    <row r="14650" spans="1:1" x14ac:dyDescent="0.55000000000000004">
      <c r="A14650" s="17"/>
    </row>
    <row r="14651" spans="1:1" x14ac:dyDescent="0.55000000000000004">
      <c r="A14651" s="17"/>
    </row>
    <row r="14652" spans="1:1" x14ac:dyDescent="0.55000000000000004">
      <c r="A14652" s="17"/>
    </row>
    <row r="14653" spans="1:1" x14ac:dyDescent="0.55000000000000004">
      <c r="A14653" s="17"/>
    </row>
    <row r="14654" spans="1:1" x14ac:dyDescent="0.55000000000000004">
      <c r="A14654" s="17"/>
    </row>
    <row r="14655" spans="1:1" x14ac:dyDescent="0.55000000000000004">
      <c r="A14655" s="17"/>
    </row>
    <row r="14656" spans="1:1" x14ac:dyDescent="0.55000000000000004">
      <c r="A14656" s="17"/>
    </row>
    <row r="14657" spans="1:1" x14ac:dyDescent="0.55000000000000004">
      <c r="A14657" s="17"/>
    </row>
    <row r="14658" spans="1:1" x14ac:dyDescent="0.55000000000000004">
      <c r="A14658" s="17"/>
    </row>
    <row r="14659" spans="1:1" x14ac:dyDescent="0.55000000000000004">
      <c r="A14659" s="17"/>
    </row>
    <row r="14660" spans="1:1" x14ac:dyDescent="0.55000000000000004">
      <c r="A14660" s="17"/>
    </row>
    <row r="14661" spans="1:1" x14ac:dyDescent="0.55000000000000004">
      <c r="A14661" s="17"/>
    </row>
    <row r="14662" spans="1:1" x14ac:dyDescent="0.55000000000000004">
      <c r="A14662" s="17"/>
    </row>
    <row r="14663" spans="1:1" x14ac:dyDescent="0.55000000000000004">
      <c r="A14663" s="17"/>
    </row>
    <row r="14664" spans="1:1" x14ac:dyDescent="0.55000000000000004">
      <c r="A14664" s="17"/>
    </row>
    <row r="14665" spans="1:1" x14ac:dyDescent="0.55000000000000004">
      <c r="A14665" s="17"/>
    </row>
    <row r="14666" spans="1:1" x14ac:dyDescent="0.55000000000000004">
      <c r="A14666" s="17"/>
    </row>
    <row r="14667" spans="1:1" x14ac:dyDescent="0.55000000000000004">
      <c r="A14667" s="17"/>
    </row>
    <row r="14668" spans="1:1" x14ac:dyDescent="0.55000000000000004">
      <c r="A14668" s="17"/>
    </row>
    <row r="14669" spans="1:1" x14ac:dyDescent="0.55000000000000004">
      <c r="A14669" s="17"/>
    </row>
    <row r="14670" spans="1:1" x14ac:dyDescent="0.55000000000000004">
      <c r="A14670" s="17"/>
    </row>
    <row r="14671" spans="1:1" x14ac:dyDescent="0.55000000000000004">
      <c r="A14671" s="17"/>
    </row>
    <row r="14672" spans="1:1" x14ac:dyDescent="0.55000000000000004">
      <c r="A14672" s="17"/>
    </row>
    <row r="14673" spans="1:1" x14ac:dyDescent="0.55000000000000004">
      <c r="A14673" s="17"/>
    </row>
    <row r="14674" spans="1:1" x14ac:dyDescent="0.55000000000000004">
      <c r="A14674" s="17"/>
    </row>
    <row r="14675" spans="1:1" x14ac:dyDescent="0.55000000000000004">
      <c r="A14675" s="17"/>
    </row>
    <row r="14676" spans="1:1" x14ac:dyDescent="0.55000000000000004">
      <c r="A14676" s="17"/>
    </row>
    <row r="14677" spans="1:1" x14ac:dyDescent="0.55000000000000004">
      <c r="A14677" s="17"/>
    </row>
    <row r="14678" spans="1:1" x14ac:dyDescent="0.55000000000000004">
      <c r="A14678" s="17"/>
    </row>
    <row r="14679" spans="1:1" x14ac:dyDescent="0.55000000000000004">
      <c r="A14679" s="17"/>
    </row>
    <row r="14680" spans="1:1" x14ac:dyDescent="0.55000000000000004">
      <c r="A14680" s="17"/>
    </row>
    <row r="14681" spans="1:1" x14ac:dyDescent="0.55000000000000004">
      <c r="A14681" s="17"/>
    </row>
    <row r="14682" spans="1:1" x14ac:dyDescent="0.55000000000000004">
      <c r="A14682" s="17"/>
    </row>
    <row r="14683" spans="1:1" x14ac:dyDescent="0.55000000000000004">
      <c r="A14683" s="17"/>
    </row>
    <row r="14684" spans="1:1" x14ac:dyDescent="0.55000000000000004">
      <c r="A14684" s="17"/>
    </row>
    <row r="14685" spans="1:1" x14ac:dyDescent="0.55000000000000004">
      <c r="A14685" s="17"/>
    </row>
    <row r="14686" spans="1:1" x14ac:dyDescent="0.55000000000000004">
      <c r="A14686" s="17"/>
    </row>
    <row r="14687" spans="1:1" x14ac:dyDescent="0.55000000000000004">
      <c r="A14687" s="17"/>
    </row>
    <row r="14688" spans="1:1" x14ac:dyDescent="0.55000000000000004">
      <c r="A14688" s="17"/>
    </row>
    <row r="14689" spans="1:1" x14ac:dyDescent="0.55000000000000004">
      <c r="A14689" s="17"/>
    </row>
    <row r="14690" spans="1:1" x14ac:dyDescent="0.55000000000000004">
      <c r="A14690" s="17"/>
    </row>
    <row r="14691" spans="1:1" x14ac:dyDescent="0.55000000000000004">
      <c r="A14691" s="17"/>
    </row>
    <row r="14692" spans="1:1" x14ac:dyDescent="0.55000000000000004">
      <c r="A14692" s="17"/>
    </row>
    <row r="14693" spans="1:1" x14ac:dyDescent="0.55000000000000004">
      <c r="A14693" s="17"/>
    </row>
    <row r="14694" spans="1:1" x14ac:dyDescent="0.55000000000000004">
      <c r="A14694" s="17"/>
    </row>
    <row r="14695" spans="1:1" x14ac:dyDescent="0.55000000000000004">
      <c r="A14695" s="17"/>
    </row>
    <row r="14696" spans="1:1" x14ac:dyDescent="0.55000000000000004">
      <c r="A14696" s="17"/>
    </row>
    <row r="14697" spans="1:1" x14ac:dyDescent="0.55000000000000004">
      <c r="A14697" s="17"/>
    </row>
    <row r="14698" spans="1:1" x14ac:dyDescent="0.55000000000000004">
      <c r="A14698" s="17"/>
    </row>
    <row r="14699" spans="1:1" x14ac:dyDescent="0.55000000000000004">
      <c r="A14699" s="17"/>
    </row>
    <row r="14700" spans="1:1" x14ac:dyDescent="0.55000000000000004">
      <c r="A14700" s="17"/>
    </row>
    <row r="14701" spans="1:1" x14ac:dyDescent="0.55000000000000004">
      <c r="A14701" s="17"/>
    </row>
    <row r="14702" spans="1:1" x14ac:dyDescent="0.55000000000000004">
      <c r="A14702" s="17"/>
    </row>
    <row r="14703" spans="1:1" x14ac:dyDescent="0.55000000000000004">
      <c r="A14703" s="17"/>
    </row>
    <row r="14704" spans="1:1" x14ac:dyDescent="0.55000000000000004">
      <c r="A14704" s="17"/>
    </row>
    <row r="14705" spans="1:1" x14ac:dyDescent="0.55000000000000004">
      <c r="A14705" s="17"/>
    </row>
    <row r="14706" spans="1:1" x14ac:dyDescent="0.55000000000000004">
      <c r="A14706" s="17"/>
    </row>
    <row r="14707" spans="1:1" x14ac:dyDescent="0.55000000000000004">
      <c r="A14707" s="17"/>
    </row>
    <row r="14708" spans="1:1" x14ac:dyDescent="0.55000000000000004">
      <c r="A14708" s="17"/>
    </row>
    <row r="14709" spans="1:1" x14ac:dyDescent="0.55000000000000004">
      <c r="A14709" s="17"/>
    </row>
    <row r="14710" spans="1:1" x14ac:dyDescent="0.55000000000000004">
      <c r="A14710" s="17"/>
    </row>
    <row r="14711" spans="1:1" x14ac:dyDescent="0.55000000000000004">
      <c r="A14711" s="17"/>
    </row>
    <row r="14712" spans="1:1" x14ac:dyDescent="0.55000000000000004">
      <c r="A14712" s="17"/>
    </row>
    <row r="14713" spans="1:1" x14ac:dyDescent="0.55000000000000004">
      <c r="A14713" s="17"/>
    </row>
    <row r="14714" spans="1:1" x14ac:dyDescent="0.55000000000000004">
      <c r="A14714" s="17"/>
    </row>
    <row r="14715" spans="1:1" x14ac:dyDescent="0.55000000000000004">
      <c r="A14715" s="17"/>
    </row>
    <row r="14716" spans="1:1" x14ac:dyDescent="0.55000000000000004">
      <c r="A14716" s="17"/>
    </row>
    <row r="14717" spans="1:1" x14ac:dyDescent="0.55000000000000004">
      <c r="A14717" s="17"/>
    </row>
    <row r="14718" spans="1:1" x14ac:dyDescent="0.55000000000000004">
      <c r="A14718" s="17"/>
    </row>
    <row r="14719" spans="1:1" x14ac:dyDescent="0.55000000000000004">
      <c r="A14719" s="17"/>
    </row>
    <row r="14720" spans="1:1" x14ac:dyDescent="0.55000000000000004">
      <c r="A14720" s="17"/>
    </row>
    <row r="14721" spans="1:1" x14ac:dyDescent="0.55000000000000004">
      <c r="A14721" s="17"/>
    </row>
    <row r="14722" spans="1:1" x14ac:dyDescent="0.55000000000000004">
      <c r="A14722" s="17"/>
    </row>
    <row r="14723" spans="1:1" x14ac:dyDescent="0.55000000000000004">
      <c r="A14723" s="17"/>
    </row>
    <row r="14724" spans="1:1" x14ac:dyDescent="0.55000000000000004">
      <c r="A14724" s="17"/>
    </row>
    <row r="14725" spans="1:1" x14ac:dyDescent="0.55000000000000004">
      <c r="A14725" s="17"/>
    </row>
    <row r="14726" spans="1:1" x14ac:dyDescent="0.55000000000000004">
      <c r="A14726" s="17"/>
    </row>
    <row r="14727" spans="1:1" x14ac:dyDescent="0.55000000000000004">
      <c r="A14727" s="17"/>
    </row>
    <row r="14728" spans="1:1" x14ac:dyDescent="0.55000000000000004">
      <c r="A14728" s="17"/>
    </row>
    <row r="14729" spans="1:1" x14ac:dyDescent="0.55000000000000004">
      <c r="A14729" s="17"/>
    </row>
    <row r="14730" spans="1:1" x14ac:dyDescent="0.55000000000000004">
      <c r="A14730" s="17"/>
    </row>
    <row r="14731" spans="1:1" x14ac:dyDescent="0.55000000000000004">
      <c r="A14731" s="17"/>
    </row>
    <row r="14732" spans="1:1" x14ac:dyDescent="0.55000000000000004">
      <c r="A14732" s="17"/>
    </row>
    <row r="14733" spans="1:1" x14ac:dyDescent="0.55000000000000004">
      <c r="A14733" s="17"/>
    </row>
    <row r="14734" spans="1:1" x14ac:dyDescent="0.55000000000000004">
      <c r="A14734" s="17"/>
    </row>
    <row r="14735" spans="1:1" x14ac:dyDescent="0.55000000000000004">
      <c r="A14735" s="17"/>
    </row>
    <row r="14736" spans="1:1" x14ac:dyDescent="0.55000000000000004">
      <c r="A14736" s="17"/>
    </row>
    <row r="14737" spans="1:1" x14ac:dyDescent="0.55000000000000004">
      <c r="A14737" s="17"/>
    </row>
    <row r="14738" spans="1:1" x14ac:dyDescent="0.55000000000000004">
      <c r="A14738" s="17"/>
    </row>
    <row r="14739" spans="1:1" x14ac:dyDescent="0.55000000000000004">
      <c r="A14739" s="17"/>
    </row>
    <row r="14740" spans="1:1" x14ac:dyDescent="0.55000000000000004">
      <c r="A14740" s="17"/>
    </row>
    <row r="14741" spans="1:1" x14ac:dyDescent="0.55000000000000004">
      <c r="A14741" s="17"/>
    </row>
    <row r="14742" spans="1:1" x14ac:dyDescent="0.55000000000000004">
      <c r="A14742" s="17"/>
    </row>
    <row r="14743" spans="1:1" x14ac:dyDescent="0.55000000000000004">
      <c r="A14743" s="17"/>
    </row>
    <row r="14744" spans="1:1" x14ac:dyDescent="0.55000000000000004">
      <c r="A14744" s="17"/>
    </row>
    <row r="14745" spans="1:1" x14ac:dyDescent="0.55000000000000004">
      <c r="A14745" s="17"/>
    </row>
    <row r="14746" spans="1:1" x14ac:dyDescent="0.55000000000000004">
      <c r="A14746" s="17"/>
    </row>
    <row r="14747" spans="1:1" x14ac:dyDescent="0.55000000000000004">
      <c r="A14747" s="17"/>
    </row>
    <row r="14748" spans="1:1" x14ac:dyDescent="0.55000000000000004">
      <c r="A14748" s="17"/>
    </row>
    <row r="14749" spans="1:1" x14ac:dyDescent="0.55000000000000004">
      <c r="A14749" s="17"/>
    </row>
    <row r="14750" spans="1:1" x14ac:dyDescent="0.55000000000000004">
      <c r="A14750" s="17"/>
    </row>
    <row r="14751" spans="1:1" x14ac:dyDescent="0.55000000000000004">
      <c r="A14751" s="17"/>
    </row>
    <row r="14752" spans="1:1" x14ac:dyDescent="0.55000000000000004">
      <c r="A14752" s="17"/>
    </row>
    <row r="14753" spans="1:1" x14ac:dyDescent="0.55000000000000004">
      <c r="A14753" s="17"/>
    </row>
    <row r="14754" spans="1:1" x14ac:dyDescent="0.55000000000000004">
      <c r="A14754" s="17"/>
    </row>
    <row r="14755" spans="1:1" x14ac:dyDescent="0.55000000000000004">
      <c r="A14755" s="17"/>
    </row>
    <row r="14756" spans="1:1" x14ac:dyDescent="0.55000000000000004">
      <c r="A14756" s="17"/>
    </row>
    <row r="14757" spans="1:1" x14ac:dyDescent="0.55000000000000004">
      <c r="A14757" s="17"/>
    </row>
    <row r="14758" spans="1:1" x14ac:dyDescent="0.55000000000000004">
      <c r="A14758" s="17"/>
    </row>
    <row r="14759" spans="1:1" x14ac:dyDescent="0.55000000000000004">
      <c r="A14759" s="17"/>
    </row>
    <row r="14760" spans="1:1" x14ac:dyDescent="0.55000000000000004">
      <c r="A14760" s="17"/>
    </row>
    <row r="14761" spans="1:1" x14ac:dyDescent="0.55000000000000004">
      <c r="A14761" s="17"/>
    </row>
    <row r="14762" spans="1:1" x14ac:dyDescent="0.55000000000000004">
      <c r="A14762" s="17"/>
    </row>
    <row r="14763" spans="1:1" x14ac:dyDescent="0.55000000000000004">
      <c r="A14763" s="17"/>
    </row>
    <row r="14764" spans="1:1" x14ac:dyDescent="0.55000000000000004">
      <c r="A14764" s="17"/>
    </row>
    <row r="14765" spans="1:1" x14ac:dyDescent="0.55000000000000004">
      <c r="A14765" s="17"/>
    </row>
    <row r="14766" spans="1:1" x14ac:dyDescent="0.55000000000000004">
      <c r="A14766" s="17"/>
    </row>
    <row r="14767" spans="1:1" x14ac:dyDescent="0.55000000000000004">
      <c r="A14767" s="17"/>
    </row>
    <row r="14768" spans="1:1" x14ac:dyDescent="0.55000000000000004">
      <c r="A14768" s="17"/>
    </row>
    <row r="14769" spans="1:1" x14ac:dyDescent="0.55000000000000004">
      <c r="A14769" s="17"/>
    </row>
    <row r="14770" spans="1:1" x14ac:dyDescent="0.55000000000000004">
      <c r="A14770" s="17"/>
    </row>
    <row r="14771" spans="1:1" x14ac:dyDescent="0.55000000000000004">
      <c r="A14771" s="17"/>
    </row>
    <row r="14772" spans="1:1" x14ac:dyDescent="0.55000000000000004">
      <c r="A14772" s="17"/>
    </row>
    <row r="14773" spans="1:1" x14ac:dyDescent="0.55000000000000004">
      <c r="A14773" s="17"/>
    </row>
    <row r="14774" spans="1:1" x14ac:dyDescent="0.55000000000000004">
      <c r="A14774" s="17"/>
    </row>
    <row r="14775" spans="1:1" x14ac:dyDescent="0.55000000000000004">
      <c r="A14775" s="17"/>
    </row>
    <row r="14776" spans="1:1" x14ac:dyDescent="0.55000000000000004">
      <c r="A14776" s="17"/>
    </row>
    <row r="14777" spans="1:1" x14ac:dyDescent="0.55000000000000004">
      <c r="A14777" s="17"/>
    </row>
    <row r="14778" spans="1:1" x14ac:dyDescent="0.55000000000000004">
      <c r="A14778" s="17"/>
    </row>
    <row r="14779" spans="1:1" x14ac:dyDescent="0.55000000000000004">
      <c r="A14779" s="17"/>
    </row>
    <row r="14780" spans="1:1" x14ac:dyDescent="0.55000000000000004">
      <c r="A14780" s="17"/>
    </row>
    <row r="14781" spans="1:1" x14ac:dyDescent="0.55000000000000004">
      <c r="A14781" s="17"/>
    </row>
    <row r="14782" spans="1:1" x14ac:dyDescent="0.55000000000000004">
      <c r="A14782" s="17"/>
    </row>
    <row r="14783" spans="1:1" x14ac:dyDescent="0.55000000000000004">
      <c r="A14783" s="17"/>
    </row>
    <row r="14784" spans="1:1" x14ac:dyDescent="0.55000000000000004">
      <c r="A14784" s="17"/>
    </row>
    <row r="14785" spans="1:1" x14ac:dyDescent="0.55000000000000004">
      <c r="A14785" s="17"/>
    </row>
    <row r="14786" spans="1:1" x14ac:dyDescent="0.55000000000000004">
      <c r="A14786" s="17"/>
    </row>
    <row r="14787" spans="1:1" x14ac:dyDescent="0.55000000000000004">
      <c r="A14787" s="17"/>
    </row>
    <row r="14788" spans="1:1" x14ac:dyDescent="0.55000000000000004">
      <c r="A14788" s="17"/>
    </row>
    <row r="14789" spans="1:1" x14ac:dyDescent="0.55000000000000004">
      <c r="A14789" s="17"/>
    </row>
    <row r="14790" spans="1:1" x14ac:dyDescent="0.55000000000000004">
      <c r="A14790" s="17"/>
    </row>
    <row r="14791" spans="1:1" x14ac:dyDescent="0.55000000000000004">
      <c r="A14791" s="17"/>
    </row>
    <row r="14792" spans="1:1" x14ac:dyDescent="0.55000000000000004">
      <c r="A14792" s="17"/>
    </row>
    <row r="14793" spans="1:1" x14ac:dyDescent="0.55000000000000004">
      <c r="A14793" s="17"/>
    </row>
    <row r="14794" spans="1:1" x14ac:dyDescent="0.55000000000000004">
      <c r="A14794" s="17"/>
    </row>
    <row r="14795" spans="1:1" x14ac:dyDescent="0.55000000000000004">
      <c r="A14795" s="17"/>
    </row>
    <row r="14796" spans="1:1" x14ac:dyDescent="0.55000000000000004">
      <c r="A14796" s="17"/>
    </row>
    <row r="14797" spans="1:1" x14ac:dyDescent="0.55000000000000004">
      <c r="A14797" s="17"/>
    </row>
    <row r="14798" spans="1:1" x14ac:dyDescent="0.55000000000000004">
      <c r="A14798" s="17"/>
    </row>
    <row r="14799" spans="1:1" x14ac:dyDescent="0.55000000000000004">
      <c r="A14799" s="17"/>
    </row>
    <row r="14800" spans="1:1" x14ac:dyDescent="0.55000000000000004">
      <c r="A14800" s="17"/>
    </row>
    <row r="14801" spans="1:1" x14ac:dyDescent="0.55000000000000004">
      <c r="A14801" s="17"/>
    </row>
    <row r="14802" spans="1:1" x14ac:dyDescent="0.55000000000000004">
      <c r="A14802" s="17"/>
    </row>
    <row r="14803" spans="1:1" x14ac:dyDescent="0.55000000000000004">
      <c r="A14803" s="17"/>
    </row>
    <row r="14804" spans="1:1" x14ac:dyDescent="0.55000000000000004">
      <c r="A14804" s="17"/>
    </row>
    <row r="14805" spans="1:1" x14ac:dyDescent="0.55000000000000004">
      <c r="A14805" s="17"/>
    </row>
    <row r="14806" spans="1:1" x14ac:dyDescent="0.55000000000000004">
      <c r="A14806" s="17"/>
    </row>
    <row r="14807" spans="1:1" x14ac:dyDescent="0.55000000000000004">
      <c r="A14807" s="17"/>
    </row>
    <row r="14808" spans="1:1" x14ac:dyDescent="0.55000000000000004">
      <c r="A14808" s="17"/>
    </row>
    <row r="14809" spans="1:1" x14ac:dyDescent="0.55000000000000004">
      <c r="A14809" s="17"/>
    </row>
    <row r="14810" spans="1:1" x14ac:dyDescent="0.55000000000000004">
      <c r="A14810" s="17"/>
    </row>
    <row r="14811" spans="1:1" x14ac:dyDescent="0.55000000000000004">
      <c r="A14811" s="17"/>
    </row>
    <row r="14812" spans="1:1" x14ac:dyDescent="0.55000000000000004">
      <c r="A14812" s="17"/>
    </row>
    <row r="14813" spans="1:1" x14ac:dyDescent="0.55000000000000004">
      <c r="A14813" s="17"/>
    </row>
    <row r="14814" spans="1:1" x14ac:dyDescent="0.55000000000000004">
      <c r="A14814" s="17"/>
    </row>
    <row r="14815" spans="1:1" x14ac:dyDescent="0.55000000000000004">
      <c r="A14815" s="17"/>
    </row>
    <row r="14816" spans="1:1" x14ac:dyDescent="0.55000000000000004">
      <c r="A14816" s="17"/>
    </row>
    <row r="14817" spans="1:1" x14ac:dyDescent="0.55000000000000004">
      <c r="A14817" s="17"/>
    </row>
    <row r="14818" spans="1:1" x14ac:dyDescent="0.55000000000000004">
      <c r="A14818" s="17"/>
    </row>
    <row r="14819" spans="1:1" x14ac:dyDescent="0.55000000000000004">
      <c r="A14819" s="17"/>
    </row>
    <row r="14820" spans="1:1" x14ac:dyDescent="0.55000000000000004">
      <c r="A14820" s="17"/>
    </row>
    <row r="14821" spans="1:1" x14ac:dyDescent="0.55000000000000004">
      <c r="A14821" s="17"/>
    </row>
    <row r="14822" spans="1:1" x14ac:dyDescent="0.55000000000000004">
      <c r="A14822" s="17"/>
    </row>
    <row r="14823" spans="1:1" x14ac:dyDescent="0.55000000000000004">
      <c r="A14823" s="17"/>
    </row>
    <row r="14824" spans="1:1" x14ac:dyDescent="0.55000000000000004">
      <c r="A14824" s="17"/>
    </row>
    <row r="14825" spans="1:1" x14ac:dyDescent="0.55000000000000004">
      <c r="A14825" s="17"/>
    </row>
    <row r="14826" spans="1:1" x14ac:dyDescent="0.55000000000000004">
      <c r="A14826" s="17"/>
    </row>
    <row r="14827" spans="1:1" x14ac:dyDescent="0.55000000000000004">
      <c r="A14827" s="17"/>
    </row>
    <row r="14828" spans="1:1" x14ac:dyDescent="0.55000000000000004">
      <c r="A14828" s="17"/>
    </row>
    <row r="14829" spans="1:1" x14ac:dyDescent="0.55000000000000004">
      <c r="A14829" s="17"/>
    </row>
    <row r="14830" spans="1:1" x14ac:dyDescent="0.55000000000000004">
      <c r="A14830" s="17"/>
    </row>
    <row r="14831" spans="1:1" x14ac:dyDescent="0.55000000000000004">
      <c r="A14831" s="17"/>
    </row>
    <row r="14832" spans="1:1" x14ac:dyDescent="0.55000000000000004">
      <c r="A14832" s="17"/>
    </row>
    <row r="14833" spans="1:1" x14ac:dyDescent="0.55000000000000004">
      <c r="A14833" s="17"/>
    </row>
    <row r="14834" spans="1:1" x14ac:dyDescent="0.55000000000000004">
      <c r="A14834" s="17"/>
    </row>
    <row r="14835" spans="1:1" x14ac:dyDescent="0.55000000000000004">
      <c r="A14835" s="17"/>
    </row>
    <row r="14836" spans="1:1" x14ac:dyDescent="0.55000000000000004">
      <c r="A14836" s="17"/>
    </row>
    <row r="14837" spans="1:1" x14ac:dyDescent="0.55000000000000004">
      <c r="A14837" s="17"/>
    </row>
    <row r="14838" spans="1:1" x14ac:dyDescent="0.55000000000000004">
      <c r="A14838" s="17"/>
    </row>
    <row r="14839" spans="1:1" x14ac:dyDescent="0.55000000000000004">
      <c r="A14839" s="17"/>
    </row>
    <row r="14840" spans="1:1" x14ac:dyDescent="0.55000000000000004">
      <c r="A14840" s="17"/>
    </row>
    <row r="14841" spans="1:1" x14ac:dyDescent="0.55000000000000004">
      <c r="A14841" s="17"/>
    </row>
    <row r="14842" spans="1:1" x14ac:dyDescent="0.55000000000000004">
      <c r="A14842" s="17"/>
    </row>
    <row r="14843" spans="1:1" x14ac:dyDescent="0.55000000000000004">
      <c r="A14843" s="17"/>
    </row>
    <row r="14844" spans="1:1" x14ac:dyDescent="0.55000000000000004">
      <c r="A14844" s="17"/>
    </row>
    <row r="14845" spans="1:1" x14ac:dyDescent="0.55000000000000004">
      <c r="A14845" s="17"/>
    </row>
    <row r="14846" spans="1:1" x14ac:dyDescent="0.55000000000000004">
      <c r="A14846" s="17"/>
    </row>
    <row r="14847" spans="1:1" x14ac:dyDescent="0.55000000000000004">
      <c r="A14847" s="17"/>
    </row>
    <row r="14848" spans="1:1" x14ac:dyDescent="0.55000000000000004">
      <c r="A14848" s="17"/>
    </row>
    <row r="14849" spans="1:1" x14ac:dyDescent="0.55000000000000004">
      <c r="A14849" s="17"/>
    </row>
    <row r="14850" spans="1:1" x14ac:dyDescent="0.55000000000000004">
      <c r="A14850" s="17"/>
    </row>
    <row r="14851" spans="1:1" x14ac:dyDescent="0.55000000000000004">
      <c r="A14851" s="17"/>
    </row>
    <row r="14852" spans="1:1" x14ac:dyDescent="0.55000000000000004">
      <c r="A14852" s="17"/>
    </row>
    <row r="14853" spans="1:1" x14ac:dyDescent="0.55000000000000004">
      <c r="A14853" s="17"/>
    </row>
    <row r="14854" spans="1:1" x14ac:dyDescent="0.55000000000000004">
      <c r="A14854" s="17"/>
    </row>
    <row r="14855" spans="1:1" x14ac:dyDescent="0.55000000000000004">
      <c r="A14855" s="17"/>
    </row>
    <row r="14856" spans="1:1" x14ac:dyDescent="0.55000000000000004">
      <c r="A14856" s="17"/>
    </row>
    <row r="14857" spans="1:1" x14ac:dyDescent="0.55000000000000004">
      <c r="A14857" s="17"/>
    </row>
    <row r="14858" spans="1:1" x14ac:dyDescent="0.55000000000000004">
      <c r="A14858" s="17"/>
    </row>
    <row r="14859" spans="1:1" x14ac:dyDescent="0.55000000000000004">
      <c r="A14859" s="17"/>
    </row>
    <row r="14860" spans="1:1" x14ac:dyDescent="0.55000000000000004">
      <c r="A14860" s="17"/>
    </row>
    <row r="14861" spans="1:1" x14ac:dyDescent="0.55000000000000004">
      <c r="A14861" s="17"/>
    </row>
    <row r="14862" spans="1:1" x14ac:dyDescent="0.55000000000000004">
      <c r="A14862" s="17"/>
    </row>
    <row r="14863" spans="1:1" x14ac:dyDescent="0.55000000000000004">
      <c r="A14863" s="17"/>
    </row>
    <row r="14864" spans="1:1" x14ac:dyDescent="0.55000000000000004">
      <c r="A14864" s="17"/>
    </row>
    <row r="14865" spans="1:1" x14ac:dyDescent="0.55000000000000004">
      <c r="A14865" s="17"/>
    </row>
    <row r="14866" spans="1:1" x14ac:dyDescent="0.55000000000000004">
      <c r="A14866" s="17"/>
    </row>
    <row r="14867" spans="1:1" x14ac:dyDescent="0.55000000000000004">
      <c r="A14867" s="17"/>
    </row>
    <row r="14868" spans="1:1" x14ac:dyDescent="0.55000000000000004">
      <c r="A14868" s="17"/>
    </row>
    <row r="14869" spans="1:1" x14ac:dyDescent="0.55000000000000004">
      <c r="A14869" s="17"/>
    </row>
    <row r="14870" spans="1:1" x14ac:dyDescent="0.55000000000000004">
      <c r="A14870" s="17"/>
    </row>
    <row r="14871" spans="1:1" x14ac:dyDescent="0.55000000000000004">
      <c r="A14871" s="17"/>
    </row>
    <row r="14872" spans="1:1" x14ac:dyDescent="0.55000000000000004">
      <c r="A14872" s="17"/>
    </row>
    <row r="14873" spans="1:1" x14ac:dyDescent="0.55000000000000004">
      <c r="A14873" s="17"/>
    </row>
    <row r="14874" spans="1:1" x14ac:dyDescent="0.55000000000000004">
      <c r="A14874" s="17"/>
    </row>
    <row r="14875" spans="1:1" x14ac:dyDescent="0.55000000000000004">
      <c r="A14875" s="17"/>
    </row>
    <row r="14876" spans="1:1" x14ac:dyDescent="0.55000000000000004">
      <c r="A14876" s="17"/>
    </row>
    <row r="14877" spans="1:1" x14ac:dyDescent="0.55000000000000004">
      <c r="A14877" s="17"/>
    </row>
    <row r="14878" spans="1:1" x14ac:dyDescent="0.55000000000000004">
      <c r="A14878" s="17"/>
    </row>
    <row r="14879" spans="1:1" x14ac:dyDescent="0.55000000000000004">
      <c r="A14879" s="17"/>
    </row>
    <row r="14880" spans="1:1" x14ac:dyDescent="0.55000000000000004">
      <c r="A14880" s="17"/>
    </row>
    <row r="14881" spans="1:1" x14ac:dyDescent="0.55000000000000004">
      <c r="A14881" s="17"/>
    </row>
    <row r="14882" spans="1:1" x14ac:dyDescent="0.55000000000000004">
      <c r="A14882" s="17"/>
    </row>
    <row r="14883" spans="1:1" x14ac:dyDescent="0.55000000000000004">
      <c r="A14883" s="17"/>
    </row>
    <row r="14884" spans="1:1" x14ac:dyDescent="0.55000000000000004">
      <c r="A14884" s="17"/>
    </row>
    <row r="14885" spans="1:1" x14ac:dyDescent="0.55000000000000004">
      <c r="A14885" s="17"/>
    </row>
    <row r="14886" spans="1:1" x14ac:dyDescent="0.55000000000000004">
      <c r="A14886" s="17"/>
    </row>
    <row r="14887" spans="1:1" x14ac:dyDescent="0.55000000000000004">
      <c r="A14887" s="17"/>
    </row>
    <row r="14888" spans="1:1" x14ac:dyDescent="0.55000000000000004">
      <c r="A14888" s="17"/>
    </row>
    <row r="14889" spans="1:1" x14ac:dyDescent="0.55000000000000004">
      <c r="A14889" s="17"/>
    </row>
    <row r="14890" spans="1:1" x14ac:dyDescent="0.55000000000000004">
      <c r="A14890" s="17"/>
    </row>
    <row r="14891" spans="1:1" x14ac:dyDescent="0.55000000000000004">
      <c r="A14891" s="17"/>
    </row>
    <row r="14892" spans="1:1" x14ac:dyDescent="0.55000000000000004">
      <c r="A14892" s="17"/>
    </row>
    <row r="14893" spans="1:1" x14ac:dyDescent="0.55000000000000004">
      <c r="A14893" s="17"/>
    </row>
    <row r="14894" spans="1:1" x14ac:dyDescent="0.55000000000000004">
      <c r="A14894" s="17"/>
    </row>
    <row r="14895" spans="1:1" x14ac:dyDescent="0.55000000000000004">
      <c r="A14895" s="17"/>
    </row>
    <row r="14896" spans="1:1" x14ac:dyDescent="0.55000000000000004">
      <c r="A14896" s="17"/>
    </row>
    <row r="14897" spans="1:1" x14ac:dyDescent="0.55000000000000004">
      <c r="A14897" s="17"/>
    </row>
    <row r="14898" spans="1:1" x14ac:dyDescent="0.55000000000000004">
      <c r="A14898" s="17"/>
    </row>
    <row r="14899" spans="1:1" x14ac:dyDescent="0.55000000000000004">
      <c r="A14899" s="17"/>
    </row>
    <row r="14900" spans="1:1" x14ac:dyDescent="0.55000000000000004">
      <c r="A14900" s="17"/>
    </row>
    <row r="14901" spans="1:1" x14ac:dyDescent="0.55000000000000004">
      <c r="A14901" s="17"/>
    </row>
    <row r="14902" spans="1:1" x14ac:dyDescent="0.55000000000000004">
      <c r="A14902" s="17"/>
    </row>
    <row r="14903" spans="1:1" x14ac:dyDescent="0.55000000000000004">
      <c r="A14903" s="17"/>
    </row>
    <row r="14904" spans="1:1" x14ac:dyDescent="0.55000000000000004">
      <c r="A14904" s="17"/>
    </row>
    <row r="14905" spans="1:1" x14ac:dyDescent="0.55000000000000004">
      <c r="A14905" s="17"/>
    </row>
    <row r="14906" spans="1:1" x14ac:dyDescent="0.55000000000000004">
      <c r="A14906" s="17"/>
    </row>
    <row r="14907" spans="1:1" x14ac:dyDescent="0.55000000000000004">
      <c r="A14907" s="17"/>
    </row>
    <row r="14908" spans="1:1" x14ac:dyDescent="0.55000000000000004">
      <c r="A14908" s="17"/>
    </row>
    <row r="14909" spans="1:1" x14ac:dyDescent="0.55000000000000004">
      <c r="A14909" s="17"/>
    </row>
    <row r="14910" spans="1:1" x14ac:dyDescent="0.55000000000000004">
      <c r="A14910" s="17"/>
    </row>
    <row r="14911" spans="1:1" x14ac:dyDescent="0.55000000000000004">
      <c r="A14911" s="17"/>
    </row>
    <row r="14912" spans="1:1" x14ac:dyDescent="0.55000000000000004">
      <c r="A14912" s="17"/>
    </row>
    <row r="14913" spans="1:1" x14ac:dyDescent="0.55000000000000004">
      <c r="A14913" s="17"/>
    </row>
    <row r="14914" spans="1:1" x14ac:dyDescent="0.55000000000000004">
      <c r="A14914" s="17"/>
    </row>
    <row r="14915" spans="1:1" x14ac:dyDescent="0.55000000000000004">
      <c r="A14915" s="17"/>
    </row>
    <row r="14916" spans="1:1" x14ac:dyDescent="0.55000000000000004">
      <c r="A14916" s="17"/>
    </row>
    <row r="14917" spans="1:1" x14ac:dyDescent="0.55000000000000004">
      <c r="A14917" s="17"/>
    </row>
    <row r="14918" spans="1:1" x14ac:dyDescent="0.55000000000000004">
      <c r="A14918" s="17"/>
    </row>
    <row r="14919" spans="1:1" x14ac:dyDescent="0.55000000000000004">
      <c r="A14919" s="17"/>
    </row>
    <row r="14920" spans="1:1" x14ac:dyDescent="0.55000000000000004">
      <c r="A14920" s="17"/>
    </row>
    <row r="14921" spans="1:1" x14ac:dyDescent="0.55000000000000004">
      <c r="A14921" s="17"/>
    </row>
    <row r="14922" spans="1:1" x14ac:dyDescent="0.55000000000000004">
      <c r="A14922" s="17"/>
    </row>
    <row r="14923" spans="1:1" x14ac:dyDescent="0.55000000000000004">
      <c r="A14923" s="17"/>
    </row>
    <row r="14924" spans="1:1" x14ac:dyDescent="0.55000000000000004">
      <c r="A14924" s="17"/>
    </row>
    <row r="14925" spans="1:1" x14ac:dyDescent="0.55000000000000004">
      <c r="A14925" s="17"/>
    </row>
    <row r="14926" spans="1:1" x14ac:dyDescent="0.55000000000000004">
      <c r="A14926" s="17"/>
    </row>
    <row r="14927" spans="1:1" x14ac:dyDescent="0.55000000000000004">
      <c r="A14927" s="17"/>
    </row>
    <row r="14928" spans="1:1" x14ac:dyDescent="0.55000000000000004">
      <c r="A14928" s="17"/>
    </row>
    <row r="14929" spans="1:1" x14ac:dyDescent="0.55000000000000004">
      <c r="A14929" s="17"/>
    </row>
    <row r="14930" spans="1:1" x14ac:dyDescent="0.55000000000000004">
      <c r="A14930" s="17"/>
    </row>
    <row r="14931" spans="1:1" x14ac:dyDescent="0.55000000000000004">
      <c r="A14931" s="17"/>
    </row>
    <row r="14932" spans="1:1" x14ac:dyDescent="0.55000000000000004">
      <c r="A14932" s="17"/>
    </row>
    <row r="14933" spans="1:1" x14ac:dyDescent="0.55000000000000004">
      <c r="A14933" s="17"/>
    </row>
    <row r="14934" spans="1:1" x14ac:dyDescent="0.55000000000000004">
      <c r="A14934" s="17"/>
    </row>
    <row r="14935" spans="1:1" x14ac:dyDescent="0.55000000000000004">
      <c r="A14935" s="17"/>
    </row>
    <row r="14936" spans="1:1" x14ac:dyDescent="0.55000000000000004">
      <c r="A14936" s="17"/>
    </row>
    <row r="14937" spans="1:1" x14ac:dyDescent="0.55000000000000004">
      <c r="A14937" s="17"/>
    </row>
    <row r="14938" spans="1:1" x14ac:dyDescent="0.55000000000000004">
      <c r="A14938" s="17"/>
    </row>
    <row r="14939" spans="1:1" x14ac:dyDescent="0.55000000000000004">
      <c r="A14939" s="17"/>
    </row>
    <row r="14940" spans="1:1" x14ac:dyDescent="0.55000000000000004">
      <c r="A14940" s="17"/>
    </row>
    <row r="14941" spans="1:1" x14ac:dyDescent="0.55000000000000004">
      <c r="A14941" s="17"/>
    </row>
    <row r="14942" spans="1:1" x14ac:dyDescent="0.55000000000000004">
      <c r="A14942" s="17"/>
    </row>
    <row r="14943" spans="1:1" x14ac:dyDescent="0.55000000000000004">
      <c r="A14943" s="17"/>
    </row>
    <row r="14944" spans="1:1" x14ac:dyDescent="0.55000000000000004">
      <c r="A14944" s="17"/>
    </row>
    <row r="14945" spans="1:1" x14ac:dyDescent="0.55000000000000004">
      <c r="A14945" s="17"/>
    </row>
    <row r="14946" spans="1:1" x14ac:dyDescent="0.55000000000000004">
      <c r="A14946" s="17"/>
    </row>
    <row r="14947" spans="1:1" x14ac:dyDescent="0.55000000000000004">
      <c r="A14947" s="17"/>
    </row>
    <row r="14948" spans="1:1" x14ac:dyDescent="0.55000000000000004">
      <c r="A14948" s="17"/>
    </row>
    <row r="14949" spans="1:1" x14ac:dyDescent="0.55000000000000004">
      <c r="A14949" s="17"/>
    </row>
    <row r="14950" spans="1:1" x14ac:dyDescent="0.55000000000000004">
      <c r="A14950" s="17"/>
    </row>
    <row r="14951" spans="1:1" x14ac:dyDescent="0.55000000000000004">
      <c r="A14951" s="17"/>
    </row>
    <row r="14952" spans="1:1" x14ac:dyDescent="0.55000000000000004">
      <c r="A14952" s="17"/>
    </row>
    <row r="14953" spans="1:1" x14ac:dyDescent="0.55000000000000004">
      <c r="A14953" s="17"/>
    </row>
    <row r="14954" spans="1:1" x14ac:dyDescent="0.55000000000000004">
      <c r="A14954" s="17"/>
    </row>
    <row r="14955" spans="1:1" x14ac:dyDescent="0.55000000000000004">
      <c r="A14955" s="17"/>
    </row>
    <row r="14956" spans="1:1" x14ac:dyDescent="0.55000000000000004">
      <c r="A14956" s="17"/>
    </row>
    <row r="14957" spans="1:1" x14ac:dyDescent="0.55000000000000004">
      <c r="A14957" s="17"/>
    </row>
    <row r="14958" spans="1:1" x14ac:dyDescent="0.55000000000000004">
      <c r="A14958" s="17"/>
    </row>
    <row r="14959" spans="1:1" x14ac:dyDescent="0.55000000000000004">
      <c r="A14959" s="17"/>
    </row>
    <row r="14960" spans="1:1" x14ac:dyDescent="0.55000000000000004">
      <c r="A14960" s="17"/>
    </row>
    <row r="14961" spans="1:1" x14ac:dyDescent="0.55000000000000004">
      <c r="A14961" s="17"/>
    </row>
    <row r="14962" spans="1:1" x14ac:dyDescent="0.55000000000000004">
      <c r="A14962" s="17"/>
    </row>
    <row r="14963" spans="1:1" x14ac:dyDescent="0.55000000000000004">
      <c r="A14963" s="17"/>
    </row>
    <row r="14964" spans="1:1" x14ac:dyDescent="0.55000000000000004">
      <c r="A14964" s="17"/>
    </row>
    <row r="14965" spans="1:1" x14ac:dyDescent="0.55000000000000004">
      <c r="A14965" s="17"/>
    </row>
    <row r="14966" spans="1:1" x14ac:dyDescent="0.55000000000000004">
      <c r="A14966" s="17"/>
    </row>
    <row r="14967" spans="1:1" x14ac:dyDescent="0.55000000000000004">
      <c r="A14967" s="17"/>
    </row>
    <row r="14968" spans="1:1" x14ac:dyDescent="0.55000000000000004">
      <c r="A14968" s="17"/>
    </row>
    <row r="14969" spans="1:1" x14ac:dyDescent="0.55000000000000004">
      <c r="A14969" s="17"/>
    </row>
    <row r="14970" spans="1:1" x14ac:dyDescent="0.55000000000000004">
      <c r="A14970" s="17"/>
    </row>
    <row r="14971" spans="1:1" x14ac:dyDescent="0.55000000000000004">
      <c r="A14971" s="17"/>
    </row>
    <row r="14972" spans="1:1" x14ac:dyDescent="0.55000000000000004">
      <c r="A14972" s="17"/>
    </row>
    <row r="14973" spans="1:1" x14ac:dyDescent="0.55000000000000004">
      <c r="A14973" s="17"/>
    </row>
    <row r="14974" spans="1:1" x14ac:dyDescent="0.55000000000000004">
      <c r="A14974" s="17"/>
    </row>
    <row r="14975" spans="1:1" x14ac:dyDescent="0.55000000000000004">
      <c r="A14975" s="17"/>
    </row>
    <row r="14976" spans="1:1" x14ac:dyDescent="0.55000000000000004">
      <c r="A14976" s="17"/>
    </row>
    <row r="14977" spans="1:1" x14ac:dyDescent="0.55000000000000004">
      <c r="A14977" s="17"/>
    </row>
    <row r="14978" spans="1:1" x14ac:dyDescent="0.55000000000000004">
      <c r="A14978" s="17"/>
    </row>
    <row r="14979" spans="1:1" x14ac:dyDescent="0.55000000000000004">
      <c r="A14979" s="17"/>
    </row>
    <row r="14980" spans="1:1" x14ac:dyDescent="0.55000000000000004">
      <c r="A14980" s="17"/>
    </row>
    <row r="14981" spans="1:1" x14ac:dyDescent="0.55000000000000004">
      <c r="A14981" s="17"/>
    </row>
    <row r="14982" spans="1:1" x14ac:dyDescent="0.55000000000000004">
      <c r="A14982" s="17"/>
    </row>
    <row r="14983" spans="1:1" x14ac:dyDescent="0.55000000000000004">
      <c r="A14983" s="17"/>
    </row>
    <row r="14984" spans="1:1" x14ac:dyDescent="0.55000000000000004">
      <c r="A14984" s="17"/>
    </row>
    <row r="14985" spans="1:1" x14ac:dyDescent="0.55000000000000004">
      <c r="A14985" s="17"/>
    </row>
    <row r="14986" spans="1:1" x14ac:dyDescent="0.55000000000000004">
      <c r="A14986" s="17"/>
    </row>
    <row r="14987" spans="1:1" x14ac:dyDescent="0.55000000000000004">
      <c r="A14987" s="17"/>
    </row>
    <row r="14988" spans="1:1" x14ac:dyDescent="0.55000000000000004">
      <c r="A14988" s="17"/>
    </row>
    <row r="14989" spans="1:1" x14ac:dyDescent="0.55000000000000004">
      <c r="A14989" s="17"/>
    </row>
    <row r="14990" spans="1:1" x14ac:dyDescent="0.55000000000000004">
      <c r="A14990" s="17"/>
    </row>
    <row r="14991" spans="1:1" x14ac:dyDescent="0.55000000000000004">
      <c r="A14991" s="17"/>
    </row>
    <row r="14992" spans="1:1" x14ac:dyDescent="0.55000000000000004">
      <c r="A14992" s="17"/>
    </row>
    <row r="14993" spans="1:1" x14ac:dyDescent="0.55000000000000004">
      <c r="A14993" s="17"/>
    </row>
    <row r="14994" spans="1:1" x14ac:dyDescent="0.55000000000000004">
      <c r="A14994" s="17"/>
    </row>
    <row r="14995" spans="1:1" x14ac:dyDescent="0.55000000000000004">
      <c r="A14995" s="17"/>
    </row>
    <row r="14996" spans="1:1" x14ac:dyDescent="0.55000000000000004">
      <c r="A14996" s="17"/>
    </row>
    <row r="14997" spans="1:1" x14ac:dyDescent="0.55000000000000004">
      <c r="A14997" s="17"/>
    </row>
    <row r="14998" spans="1:1" x14ac:dyDescent="0.55000000000000004">
      <c r="A14998" s="17"/>
    </row>
    <row r="14999" spans="1:1" x14ac:dyDescent="0.55000000000000004">
      <c r="A14999" s="17"/>
    </row>
    <row r="15000" spans="1:1" x14ac:dyDescent="0.55000000000000004">
      <c r="A15000" s="17"/>
    </row>
    <row r="15001" spans="1:1" x14ac:dyDescent="0.55000000000000004">
      <c r="A15001" s="17"/>
    </row>
    <row r="15002" spans="1:1" x14ac:dyDescent="0.55000000000000004">
      <c r="A15002" s="17"/>
    </row>
    <row r="15003" spans="1:1" x14ac:dyDescent="0.55000000000000004">
      <c r="A15003" s="17"/>
    </row>
    <row r="15004" spans="1:1" x14ac:dyDescent="0.55000000000000004">
      <c r="A15004" s="17"/>
    </row>
    <row r="15005" spans="1:1" x14ac:dyDescent="0.55000000000000004">
      <c r="A15005" s="17"/>
    </row>
    <row r="15006" spans="1:1" x14ac:dyDescent="0.55000000000000004">
      <c r="A15006" s="17"/>
    </row>
    <row r="15007" spans="1:1" x14ac:dyDescent="0.55000000000000004">
      <c r="A15007" s="17"/>
    </row>
    <row r="15008" spans="1:1" x14ac:dyDescent="0.55000000000000004">
      <c r="A15008" s="17"/>
    </row>
    <row r="15009" spans="1:1" x14ac:dyDescent="0.55000000000000004">
      <c r="A15009" s="17"/>
    </row>
    <row r="15010" spans="1:1" x14ac:dyDescent="0.55000000000000004">
      <c r="A15010" s="17"/>
    </row>
    <row r="15011" spans="1:1" x14ac:dyDescent="0.55000000000000004">
      <c r="A15011" s="17"/>
    </row>
    <row r="15012" spans="1:1" x14ac:dyDescent="0.55000000000000004">
      <c r="A15012" s="17"/>
    </row>
    <row r="15013" spans="1:1" x14ac:dyDescent="0.55000000000000004">
      <c r="A15013" s="17"/>
    </row>
    <row r="15014" spans="1:1" x14ac:dyDescent="0.55000000000000004">
      <c r="A15014" s="17"/>
    </row>
    <row r="15015" spans="1:1" x14ac:dyDescent="0.55000000000000004">
      <c r="A15015" s="17"/>
    </row>
    <row r="15016" spans="1:1" x14ac:dyDescent="0.55000000000000004">
      <c r="A15016" s="17"/>
    </row>
    <row r="15017" spans="1:1" x14ac:dyDescent="0.55000000000000004">
      <c r="A15017" s="17"/>
    </row>
    <row r="15018" spans="1:1" x14ac:dyDescent="0.55000000000000004">
      <c r="A15018" s="17"/>
    </row>
    <row r="15019" spans="1:1" x14ac:dyDescent="0.55000000000000004">
      <c r="A15019" s="17"/>
    </row>
    <row r="15020" spans="1:1" x14ac:dyDescent="0.55000000000000004">
      <c r="A15020" s="17"/>
    </row>
    <row r="15021" spans="1:1" x14ac:dyDescent="0.55000000000000004">
      <c r="A15021" s="17"/>
    </row>
    <row r="15022" spans="1:1" x14ac:dyDescent="0.55000000000000004">
      <c r="A15022" s="17"/>
    </row>
    <row r="15023" spans="1:1" x14ac:dyDescent="0.55000000000000004">
      <c r="A15023" s="17"/>
    </row>
    <row r="15024" spans="1:1" x14ac:dyDescent="0.55000000000000004">
      <c r="A15024" s="17"/>
    </row>
    <row r="15025" spans="1:1" x14ac:dyDescent="0.55000000000000004">
      <c r="A15025" s="17"/>
    </row>
    <row r="15026" spans="1:1" x14ac:dyDescent="0.55000000000000004">
      <c r="A15026" s="17"/>
    </row>
    <row r="15027" spans="1:1" x14ac:dyDescent="0.55000000000000004">
      <c r="A15027" s="17"/>
    </row>
    <row r="15028" spans="1:1" x14ac:dyDescent="0.55000000000000004">
      <c r="A15028" s="17"/>
    </row>
    <row r="15029" spans="1:1" x14ac:dyDescent="0.55000000000000004">
      <c r="A15029" s="17"/>
    </row>
    <row r="15030" spans="1:1" x14ac:dyDescent="0.55000000000000004">
      <c r="A15030" s="17"/>
    </row>
    <row r="15031" spans="1:1" x14ac:dyDescent="0.55000000000000004">
      <c r="A15031" s="17"/>
    </row>
    <row r="15032" spans="1:1" x14ac:dyDescent="0.55000000000000004">
      <c r="A15032" s="17"/>
    </row>
    <row r="15033" spans="1:1" x14ac:dyDescent="0.55000000000000004">
      <c r="A15033" s="17"/>
    </row>
    <row r="15034" spans="1:1" x14ac:dyDescent="0.55000000000000004">
      <c r="A15034" s="17"/>
    </row>
    <row r="15035" spans="1:1" x14ac:dyDescent="0.55000000000000004">
      <c r="A15035" s="17"/>
    </row>
    <row r="15036" spans="1:1" x14ac:dyDescent="0.55000000000000004">
      <c r="A15036" s="17"/>
    </row>
    <row r="15037" spans="1:1" x14ac:dyDescent="0.55000000000000004">
      <c r="A15037" s="17"/>
    </row>
    <row r="15038" spans="1:1" x14ac:dyDescent="0.55000000000000004">
      <c r="A15038" s="17"/>
    </row>
    <row r="15039" spans="1:1" x14ac:dyDescent="0.55000000000000004">
      <c r="A15039" s="17"/>
    </row>
    <row r="15040" spans="1:1" x14ac:dyDescent="0.55000000000000004">
      <c r="A15040" s="17"/>
    </row>
    <row r="15041" spans="1:1" x14ac:dyDescent="0.55000000000000004">
      <c r="A15041" s="17"/>
    </row>
    <row r="15042" spans="1:1" x14ac:dyDescent="0.55000000000000004">
      <c r="A15042" s="17"/>
    </row>
    <row r="15043" spans="1:1" x14ac:dyDescent="0.55000000000000004">
      <c r="A15043" s="17"/>
    </row>
    <row r="15044" spans="1:1" x14ac:dyDescent="0.55000000000000004">
      <c r="A15044" s="17"/>
    </row>
    <row r="15045" spans="1:1" x14ac:dyDescent="0.55000000000000004">
      <c r="A15045" s="17"/>
    </row>
    <row r="15046" spans="1:1" x14ac:dyDescent="0.55000000000000004">
      <c r="A15046" s="17"/>
    </row>
    <row r="15047" spans="1:1" x14ac:dyDescent="0.55000000000000004">
      <c r="A15047" s="17"/>
    </row>
    <row r="15048" spans="1:1" x14ac:dyDescent="0.55000000000000004">
      <c r="A15048" s="17"/>
    </row>
    <row r="15049" spans="1:1" x14ac:dyDescent="0.55000000000000004">
      <c r="A15049" s="17"/>
    </row>
    <row r="15050" spans="1:1" x14ac:dyDescent="0.55000000000000004">
      <c r="A15050" s="17"/>
    </row>
    <row r="15051" spans="1:1" x14ac:dyDescent="0.55000000000000004">
      <c r="A15051" s="17"/>
    </row>
    <row r="15052" spans="1:1" x14ac:dyDescent="0.55000000000000004">
      <c r="A15052" s="17"/>
    </row>
    <row r="15053" spans="1:1" x14ac:dyDescent="0.55000000000000004">
      <c r="A15053" s="17"/>
    </row>
    <row r="15054" spans="1:1" x14ac:dyDescent="0.55000000000000004">
      <c r="A15054" s="17"/>
    </row>
    <row r="15055" spans="1:1" x14ac:dyDescent="0.55000000000000004">
      <c r="A15055" s="17"/>
    </row>
    <row r="15056" spans="1:1" x14ac:dyDescent="0.55000000000000004">
      <c r="A15056" s="17"/>
    </row>
    <row r="15057" spans="1:1" x14ac:dyDescent="0.55000000000000004">
      <c r="A15057" s="17"/>
    </row>
    <row r="15058" spans="1:1" x14ac:dyDescent="0.55000000000000004">
      <c r="A15058" s="17"/>
    </row>
    <row r="15059" spans="1:1" x14ac:dyDescent="0.55000000000000004">
      <c r="A15059" s="17"/>
    </row>
    <row r="15060" spans="1:1" x14ac:dyDescent="0.55000000000000004">
      <c r="A15060" s="17"/>
    </row>
    <row r="15061" spans="1:1" x14ac:dyDescent="0.55000000000000004">
      <c r="A15061" s="17"/>
    </row>
    <row r="15062" spans="1:1" x14ac:dyDescent="0.55000000000000004">
      <c r="A15062" s="17"/>
    </row>
    <row r="15063" spans="1:1" x14ac:dyDescent="0.55000000000000004">
      <c r="A15063" s="17"/>
    </row>
    <row r="15064" spans="1:1" x14ac:dyDescent="0.55000000000000004">
      <c r="A15064" s="17"/>
    </row>
    <row r="15065" spans="1:1" x14ac:dyDescent="0.55000000000000004">
      <c r="A15065" s="17"/>
    </row>
    <row r="15066" spans="1:1" x14ac:dyDescent="0.55000000000000004">
      <c r="A15066" s="17"/>
    </row>
    <row r="15067" spans="1:1" x14ac:dyDescent="0.55000000000000004">
      <c r="A15067" s="17"/>
    </row>
    <row r="15068" spans="1:1" x14ac:dyDescent="0.55000000000000004">
      <c r="A15068" s="17"/>
    </row>
    <row r="15069" spans="1:1" x14ac:dyDescent="0.55000000000000004">
      <c r="A15069" s="17"/>
    </row>
    <row r="15070" spans="1:1" x14ac:dyDescent="0.55000000000000004">
      <c r="A15070" s="17"/>
    </row>
    <row r="15071" spans="1:1" x14ac:dyDescent="0.55000000000000004">
      <c r="A15071" s="17"/>
    </row>
    <row r="15072" spans="1:1" x14ac:dyDescent="0.55000000000000004">
      <c r="A15072" s="17"/>
    </row>
    <row r="15073" spans="1:1" x14ac:dyDescent="0.55000000000000004">
      <c r="A15073" s="17"/>
    </row>
    <row r="15074" spans="1:1" x14ac:dyDescent="0.55000000000000004">
      <c r="A15074" s="17"/>
    </row>
    <row r="15075" spans="1:1" x14ac:dyDescent="0.55000000000000004">
      <c r="A15075" s="17"/>
    </row>
    <row r="15076" spans="1:1" x14ac:dyDescent="0.55000000000000004">
      <c r="A15076" s="17"/>
    </row>
    <row r="15077" spans="1:1" x14ac:dyDescent="0.55000000000000004">
      <c r="A15077" s="17"/>
    </row>
    <row r="15078" spans="1:1" x14ac:dyDescent="0.55000000000000004">
      <c r="A15078" s="17"/>
    </row>
    <row r="15079" spans="1:1" x14ac:dyDescent="0.55000000000000004">
      <c r="A15079" s="17"/>
    </row>
    <row r="15080" spans="1:1" x14ac:dyDescent="0.55000000000000004">
      <c r="A15080" s="17"/>
    </row>
    <row r="15081" spans="1:1" x14ac:dyDescent="0.55000000000000004">
      <c r="A15081" s="17"/>
    </row>
    <row r="15082" spans="1:1" x14ac:dyDescent="0.55000000000000004">
      <c r="A15082" s="17"/>
    </row>
    <row r="15083" spans="1:1" x14ac:dyDescent="0.55000000000000004">
      <c r="A15083" s="17"/>
    </row>
    <row r="15084" spans="1:1" x14ac:dyDescent="0.55000000000000004">
      <c r="A15084" s="17"/>
    </row>
    <row r="15085" spans="1:1" x14ac:dyDescent="0.55000000000000004">
      <c r="A15085" s="17"/>
    </row>
    <row r="15086" spans="1:1" x14ac:dyDescent="0.55000000000000004">
      <c r="A15086" s="17"/>
    </row>
    <row r="15087" spans="1:1" x14ac:dyDescent="0.55000000000000004">
      <c r="A15087" s="17"/>
    </row>
    <row r="15088" spans="1:1" x14ac:dyDescent="0.55000000000000004">
      <c r="A15088" s="17"/>
    </row>
    <row r="15089" spans="1:1" x14ac:dyDescent="0.55000000000000004">
      <c r="A15089" s="17"/>
    </row>
    <row r="15090" spans="1:1" x14ac:dyDescent="0.55000000000000004">
      <c r="A15090" s="17"/>
    </row>
    <row r="15091" spans="1:1" x14ac:dyDescent="0.55000000000000004">
      <c r="A15091" s="17"/>
    </row>
    <row r="15092" spans="1:1" x14ac:dyDescent="0.55000000000000004">
      <c r="A15092" s="17"/>
    </row>
    <row r="15093" spans="1:1" x14ac:dyDescent="0.55000000000000004">
      <c r="A15093" s="17"/>
    </row>
    <row r="15094" spans="1:1" x14ac:dyDescent="0.55000000000000004">
      <c r="A15094" s="17"/>
    </row>
    <row r="15095" spans="1:1" x14ac:dyDescent="0.55000000000000004">
      <c r="A15095" s="17"/>
    </row>
    <row r="15096" spans="1:1" x14ac:dyDescent="0.55000000000000004">
      <c r="A15096" s="17"/>
    </row>
    <row r="15097" spans="1:1" x14ac:dyDescent="0.55000000000000004">
      <c r="A15097" s="17"/>
    </row>
    <row r="15098" spans="1:1" x14ac:dyDescent="0.55000000000000004">
      <c r="A15098" s="17"/>
    </row>
    <row r="15099" spans="1:1" x14ac:dyDescent="0.55000000000000004">
      <c r="A15099" s="17"/>
    </row>
    <row r="15100" spans="1:1" x14ac:dyDescent="0.55000000000000004">
      <c r="A15100" s="17"/>
    </row>
    <row r="15101" spans="1:1" x14ac:dyDescent="0.55000000000000004">
      <c r="A15101" s="17"/>
    </row>
    <row r="15102" spans="1:1" x14ac:dyDescent="0.55000000000000004">
      <c r="A15102" s="17"/>
    </row>
    <row r="15103" spans="1:1" x14ac:dyDescent="0.55000000000000004">
      <c r="A15103" s="17"/>
    </row>
    <row r="15104" spans="1:1" x14ac:dyDescent="0.55000000000000004">
      <c r="A15104" s="17"/>
    </row>
    <row r="15105" spans="1:1" x14ac:dyDescent="0.55000000000000004">
      <c r="A15105" s="17"/>
    </row>
    <row r="15106" spans="1:1" x14ac:dyDescent="0.55000000000000004">
      <c r="A15106" s="17"/>
    </row>
    <row r="15107" spans="1:1" x14ac:dyDescent="0.55000000000000004">
      <c r="A15107" s="17"/>
    </row>
    <row r="15108" spans="1:1" x14ac:dyDescent="0.55000000000000004">
      <c r="A15108" s="17"/>
    </row>
    <row r="15109" spans="1:1" x14ac:dyDescent="0.55000000000000004">
      <c r="A15109" s="17"/>
    </row>
    <row r="15110" spans="1:1" x14ac:dyDescent="0.55000000000000004">
      <c r="A15110" s="17"/>
    </row>
    <row r="15111" spans="1:1" x14ac:dyDescent="0.55000000000000004">
      <c r="A15111" s="17"/>
    </row>
    <row r="15112" spans="1:1" x14ac:dyDescent="0.55000000000000004">
      <c r="A15112" s="17"/>
    </row>
    <row r="15113" spans="1:1" x14ac:dyDescent="0.55000000000000004">
      <c r="A15113" s="17"/>
    </row>
    <row r="15114" spans="1:1" x14ac:dyDescent="0.55000000000000004">
      <c r="A15114" s="17"/>
    </row>
    <row r="15115" spans="1:1" x14ac:dyDescent="0.55000000000000004">
      <c r="A15115" s="17"/>
    </row>
    <row r="15116" spans="1:1" x14ac:dyDescent="0.55000000000000004">
      <c r="A15116" s="17"/>
    </row>
    <row r="15117" spans="1:1" x14ac:dyDescent="0.55000000000000004">
      <c r="A15117" s="17"/>
    </row>
    <row r="15118" spans="1:1" x14ac:dyDescent="0.55000000000000004">
      <c r="A15118" s="17"/>
    </row>
    <row r="15119" spans="1:1" x14ac:dyDescent="0.55000000000000004">
      <c r="A15119" s="17"/>
    </row>
    <row r="15120" spans="1:1" x14ac:dyDescent="0.55000000000000004">
      <c r="A15120" s="17"/>
    </row>
    <row r="15121" spans="1:1" x14ac:dyDescent="0.55000000000000004">
      <c r="A15121" s="17"/>
    </row>
    <row r="15122" spans="1:1" x14ac:dyDescent="0.55000000000000004">
      <c r="A15122" s="17"/>
    </row>
    <row r="15123" spans="1:1" x14ac:dyDescent="0.55000000000000004">
      <c r="A15123" s="17"/>
    </row>
    <row r="15124" spans="1:1" x14ac:dyDescent="0.55000000000000004">
      <c r="A15124" s="17"/>
    </row>
    <row r="15125" spans="1:1" x14ac:dyDescent="0.55000000000000004">
      <c r="A15125" s="17"/>
    </row>
    <row r="15126" spans="1:1" x14ac:dyDescent="0.55000000000000004">
      <c r="A15126" s="17"/>
    </row>
    <row r="15127" spans="1:1" x14ac:dyDescent="0.55000000000000004">
      <c r="A15127" s="17"/>
    </row>
    <row r="15128" spans="1:1" x14ac:dyDescent="0.55000000000000004">
      <c r="A15128" s="17"/>
    </row>
    <row r="15129" spans="1:1" x14ac:dyDescent="0.55000000000000004">
      <c r="A15129" s="17"/>
    </row>
    <row r="15130" spans="1:1" x14ac:dyDescent="0.55000000000000004">
      <c r="A15130" s="17"/>
    </row>
    <row r="15131" spans="1:1" x14ac:dyDescent="0.55000000000000004">
      <c r="A15131" s="17"/>
    </row>
    <row r="15132" spans="1:1" x14ac:dyDescent="0.55000000000000004">
      <c r="A15132" s="17"/>
    </row>
    <row r="15133" spans="1:1" x14ac:dyDescent="0.55000000000000004">
      <c r="A15133" s="17"/>
    </row>
    <row r="15134" spans="1:1" x14ac:dyDescent="0.55000000000000004">
      <c r="A15134" s="17"/>
    </row>
    <row r="15135" spans="1:1" x14ac:dyDescent="0.55000000000000004">
      <c r="A15135" s="17"/>
    </row>
    <row r="15136" spans="1:1" x14ac:dyDescent="0.55000000000000004">
      <c r="A15136" s="17"/>
    </row>
    <row r="15137" spans="1:1" x14ac:dyDescent="0.55000000000000004">
      <c r="A15137" s="17"/>
    </row>
    <row r="15138" spans="1:1" x14ac:dyDescent="0.55000000000000004">
      <c r="A15138" s="17"/>
    </row>
    <row r="15139" spans="1:1" x14ac:dyDescent="0.55000000000000004">
      <c r="A15139" s="17"/>
    </row>
    <row r="15140" spans="1:1" x14ac:dyDescent="0.55000000000000004">
      <c r="A15140" s="17"/>
    </row>
    <row r="15141" spans="1:1" x14ac:dyDescent="0.55000000000000004">
      <c r="A15141" s="17"/>
    </row>
    <row r="15142" spans="1:1" x14ac:dyDescent="0.55000000000000004">
      <c r="A15142" s="17"/>
    </row>
    <row r="15143" spans="1:1" x14ac:dyDescent="0.55000000000000004">
      <c r="A15143" s="17"/>
    </row>
    <row r="15144" spans="1:1" x14ac:dyDescent="0.55000000000000004">
      <c r="A15144" s="17"/>
    </row>
    <row r="15145" spans="1:1" x14ac:dyDescent="0.55000000000000004">
      <c r="A15145" s="17"/>
    </row>
    <row r="15146" spans="1:1" x14ac:dyDescent="0.55000000000000004">
      <c r="A15146" s="17"/>
    </row>
    <row r="15147" spans="1:1" x14ac:dyDescent="0.55000000000000004">
      <c r="A15147" s="17"/>
    </row>
    <row r="15148" spans="1:1" x14ac:dyDescent="0.55000000000000004">
      <c r="A15148" s="17"/>
    </row>
    <row r="15149" spans="1:1" x14ac:dyDescent="0.55000000000000004">
      <c r="A15149" s="17"/>
    </row>
    <row r="15150" spans="1:1" x14ac:dyDescent="0.55000000000000004">
      <c r="A15150" s="17"/>
    </row>
    <row r="15151" spans="1:1" x14ac:dyDescent="0.55000000000000004">
      <c r="A15151" s="17"/>
    </row>
    <row r="15152" spans="1:1" x14ac:dyDescent="0.55000000000000004">
      <c r="A15152" s="17"/>
    </row>
    <row r="15153" spans="1:1" x14ac:dyDescent="0.55000000000000004">
      <c r="A15153" s="17"/>
    </row>
    <row r="15154" spans="1:1" x14ac:dyDescent="0.55000000000000004">
      <c r="A15154" s="17"/>
    </row>
    <row r="15155" spans="1:1" x14ac:dyDescent="0.55000000000000004">
      <c r="A15155" s="17"/>
    </row>
    <row r="15156" spans="1:1" x14ac:dyDescent="0.55000000000000004">
      <c r="A15156" s="17"/>
    </row>
    <row r="15157" spans="1:1" x14ac:dyDescent="0.55000000000000004">
      <c r="A15157" s="17"/>
    </row>
    <row r="15158" spans="1:1" x14ac:dyDescent="0.55000000000000004">
      <c r="A15158" s="17"/>
    </row>
    <row r="15159" spans="1:1" x14ac:dyDescent="0.55000000000000004">
      <c r="A15159" s="17"/>
    </row>
    <row r="15160" spans="1:1" x14ac:dyDescent="0.55000000000000004">
      <c r="A15160" s="17"/>
    </row>
    <row r="15161" spans="1:1" x14ac:dyDescent="0.55000000000000004">
      <c r="A15161" s="17"/>
    </row>
    <row r="15162" spans="1:1" x14ac:dyDescent="0.55000000000000004">
      <c r="A15162" s="17"/>
    </row>
    <row r="15163" spans="1:1" x14ac:dyDescent="0.55000000000000004">
      <c r="A15163" s="17"/>
    </row>
    <row r="15164" spans="1:1" x14ac:dyDescent="0.55000000000000004">
      <c r="A15164" s="17"/>
    </row>
    <row r="15165" spans="1:1" x14ac:dyDescent="0.55000000000000004">
      <c r="A15165" s="17"/>
    </row>
    <row r="15166" spans="1:1" x14ac:dyDescent="0.55000000000000004">
      <c r="A15166" s="17"/>
    </row>
    <row r="15167" spans="1:1" x14ac:dyDescent="0.55000000000000004">
      <c r="A15167" s="17"/>
    </row>
    <row r="15168" spans="1:1" x14ac:dyDescent="0.55000000000000004">
      <c r="A15168" s="17"/>
    </row>
    <row r="15169" spans="1:1" x14ac:dyDescent="0.55000000000000004">
      <c r="A15169" s="17"/>
    </row>
    <row r="15170" spans="1:1" x14ac:dyDescent="0.55000000000000004">
      <c r="A15170" s="17"/>
    </row>
    <row r="15171" spans="1:1" x14ac:dyDescent="0.55000000000000004">
      <c r="A15171" s="17"/>
    </row>
    <row r="15172" spans="1:1" x14ac:dyDescent="0.55000000000000004">
      <c r="A15172" s="17"/>
    </row>
    <row r="15173" spans="1:1" x14ac:dyDescent="0.55000000000000004">
      <c r="A15173" s="17"/>
    </row>
    <row r="15174" spans="1:1" x14ac:dyDescent="0.55000000000000004">
      <c r="A15174" s="17"/>
    </row>
    <row r="15175" spans="1:1" x14ac:dyDescent="0.55000000000000004">
      <c r="A15175" s="17"/>
    </row>
    <row r="15176" spans="1:1" x14ac:dyDescent="0.55000000000000004">
      <c r="A15176" s="17"/>
    </row>
    <row r="15177" spans="1:1" x14ac:dyDescent="0.55000000000000004">
      <c r="A15177" s="17"/>
    </row>
    <row r="15178" spans="1:1" x14ac:dyDescent="0.55000000000000004">
      <c r="A15178" s="17"/>
    </row>
    <row r="15179" spans="1:1" x14ac:dyDescent="0.55000000000000004">
      <c r="A15179" s="17"/>
    </row>
    <row r="15180" spans="1:1" x14ac:dyDescent="0.55000000000000004">
      <c r="A15180" s="17"/>
    </row>
    <row r="15181" spans="1:1" x14ac:dyDescent="0.55000000000000004">
      <c r="A15181" s="17"/>
    </row>
    <row r="15182" spans="1:1" x14ac:dyDescent="0.55000000000000004">
      <c r="A15182" s="17"/>
    </row>
    <row r="15183" spans="1:1" x14ac:dyDescent="0.55000000000000004">
      <c r="A15183" s="17"/>
    </row>
    <row r="15184" spans="1:1" x14ac:dyDescent="0.55000000000000004">
      <c r="A15184" s="17"/>
    </row>
    <row r="15185" spans="1:1" x14ac:dyDescent="0.55000000000000004">
      <c r="A15185" s="17"/>
    </row>
    <row r="15186" spans="1:1" x14ac:dyDescent="0.55000000000000004">
      <c r="A15186" s="17"/>
    </row>
    <row r="15187" spans="1:1" x14ac:dyDescent="0.55000000000000004">
      <c r="A15187" s="17"/>
    </row>
    <row r="15188" spans="1:1" x14ac:dyDescent="0.55000000000000004">
      <c r="A15188" s="17"/>
    </row>
    <row r="15189" spans="1:1" x14ac:dyDescent="0.55000000000000004">
      <c r="A15189" s="17"/>
    </row>
    <row r="15190" spans="1:1" x14ac:dyDescent="0.55000000000000004">
      <c r="A15190" s="17"/>
    </row>
    <row r="15191" spans="1:1" x14ac:dyDescent="0.55000000000000004">
      <c r="A15191" s="17"/>
    </row>
    <row r="15192" spans="1:1" x14ac:dyDescent="0.55000000000000004">
      <c r="A15192" s="17"/>
    </row>
    <row r="15193" spans="1:1" x14ac:dyDescent="0.55000000000000004">
      <c r="A15193" s="17"/>
    </row>
    <row r="15194" spans="1:1" x14ac:dyDescent="0.55000000000000004">
      <c r="A15194" s="17"/>
    </row>
    <row r="15195" spans="1:1" x14ac:dyDescent="0.55000000000000004">
      <c r="A15195" s="17"/>
    </row>
    <row r="15196" spans="1:1" x14ac:dyDescent="0.55000000000000004">
      <c r="A15196" s="17"/>
    </row>
    <row r="15197" spans="1:1" x14ac:dyDescent="0.55000000000000004">
      <c r="A15197" s="17"/>
    </row>
    <row r="15198" spans="1:1" x14ac:dyDescent="0.55000000000000004">
      <c r="A15198" s="17"/>
    </row>
    <row r="15199" spans="1:1" x14ac:dyDescent="0.55000000000000004">
      <c r="A15199" s="17"/>
    </row>
    <row r="15200" spans="1:1" x14ac:dyDescent="0.55000000000000004">
      <c r="A15200" s="17"/>
    </row>
    <row r="15201" spans="1:1" x14ac:dyDescent="0.55000000000000004">
      <c r="A15201" s="17"/>
    </row>
    <row r="15202" spans="1:1" x14ac:dyDescent="0.55000000000000004">
      <c r="A15202" s="17"/>
    </row>
    <row r="15203" spans="1:1" x14ac:dyDescent="0.55000000000000004">
      <c r="A15203" s="17"/>
    </row>
    <row r="15204" spans="1:1" x14ac:dyDescent="0.55000000000000004">
      <c r="A15204" s="17"/>
    </row>
    <row r="15205" spans="1:1" x14ac:dyDescent="0.55000000000000004">
      <c r="A15205" s="17"/>
    </row>
    <row r="15206" spans="1:1" x14ac:dyDescent="0.55000000000000004">
      <c r="A15206" s="17"/>
    </row>
    <row r="15207" spans="1:1" x14ac:dyDescent="0.55000000000000004">
      <c r="A15207" s="17"/>
    </row>
    <row r="15208" spans="1:1" x14ac:dyDescent="0.55000000000000004">
      <c r="A15208" s="17"/>
    </row>
    <row r="15209" spans="1:1" x14ac:dyDescent="0.55000000000000004">
      <c r="A15209" s="17"/>
    </row>
    <row r="15210" spans="1:1" x14ac:dyDescent="0.55000000000000004">
      <c r="A15210" s="17"/>
    </row>
    <row r="15211" spans="1:1" x14ac:dyDescent="0.55000000000000004">
      <c r="A15211" s="17"/>
    </row>
    <row r="15212" spans="1:1" x14ac:dyDescent="0.55000000000000004">
      <c r="A15212" s="17"/>
    </row>
    <row r="15213" spans="1:1" x14ac:dyDescent="0.55000000000000004">
      <c r="A15213" s="17"/>
    </row>
    <row r="15214" spans="1:1" x14ac:dyDescent="0.55000000000000004">
      <c r="A15214" s="17"/>
    </row>
    <row r="15215" spans="1:1" x14ac:dyDescent="0.55000000000000004">
      <c r="A15215" s="17"/>
    </row>
    <row r="15216" spans="1:1" x14ac:dyDescent="0.55000000000000004">
      <c r="A15216" s="17"/>
    </row>
    <row r="15217" spans="1:1" x14ac:dyDescent="0.55000000000000004">
      <c r="A15217" s="17"/>
    </row>
    <row r="15218" spans="1:1" x14ac:dyDescent="0.55000000000000004">
      <c r="A15218" s="17"/>
    </row>
    <row r="15219" spans="1:1" x14ac:dyDescent="0.55000000000000004">
      <c r="A15219" s="17"/>
    </row>
    <row r="15220" spans="1:1" x14ac:dyDescent="0.55000000000000004">
      <c r="A15220" s="17"/>
    </row>
    <row r="15221" spans="1:1" x14ac:dyDescent="0.55000000000000004">
      <c r="A15221" s="17"/>
    </row>
    <row r="15222" spans="1:1" x14ac:dyDescent="0.55000000000000004">
      <c r="A15222" s="17"/>
    </row>
    <row r="15223" spans="1:1" x14ac:dyDescent="0.55000000000000004">
      <c r="A15223" s="17"/>
    </row>
    <row r="15224" spans="1:1" x14ac:dyDescent="0.55000000000000004">
      <c r="A15224" s="17"/>
    </row>
    <row r="15225" spans="1:1" x14ac:dyDescent="0.55000000000000004">
      <c r="A15225" s="17"/>
    </row>
    <row r="15226" spans="1:1" x14ac:dyDescent="0.55000000000000004">
      <c r="A15226" s="17"/>
    </row>
    <row r="15227" spans="1:1" x14ac:dyDescent="0.55000000000000004">
      <c r="A15227" s="17"/>
    </row>
    <row r="15228" spans="1:1" x14ac:dyDescent="0.55000000000000004">
      <c r="A15228" s="17"/>
    </row>
    <row r="15229" spans="1:1" x14ac:dyDescent="0.55000000000000004">
      <c r="A15229" s="17"/>
    </row>
    <row r="15230" spans="1:1" x14ac:dyDescent="0.55000000000000004">
      <c r="A15230" s="17"/>
    </row>
    <row r="15231" spans="1:1" x14ac:dyDescent="0.55000000000000004">
      <c r="A15231" s="17"/>
    </row>
    <row r="15232" spans="1:1" x14ac:dyDescent="0.55000000000000004">
      <c r="A15232" s="17"/>
    </row>
    <row r="15233" spans="1:1" x14ac:dyDescent="0.55000000000000004">
      <c r="A15233" s="17"/>
    </row>
    <row r="15234" spans="1:1" x14ac:dyDescent="0.55000000000000004">
      <c r="A15234" s="17"/>
    </row>
    <row r="15235" spans="1:1" x14ac:dyDescent="0.55000000000000004">
      <c r="A15235" s="17"/>
    </row>
    <row r="15236" spans="1:1" x14ac:dyDescent="0.55000000000000004">
      <c r="A15236" s="17"/>
    </row>
    <row r="15237" spans="1:1" x14ac:dyDescent="0.55000000000000004">
      <c r="A15237" s="17"/>
    </row>
    <row r="15238" spans="1:1" x14ac:dyDescent="0.55000000000000004">
      <c r="A15238" s="17"/>
    </row>
    <row r="15239" spans="1:1" x14ac:dyDescent="0.55000000000000004">
      <c r="A15239" s="17"/>
    </row>
    <row r="15240" spans="1:1" x14ac:dyDescent="0.55000000000000004">
      <c r="A15240" s="17"/>
    </row>
    <row r="15241" spans="1:1" x14ac:dyDescent="0.55000000000000004">
      <c r="A15241" s="17"/>
    </row>
    <row r="15242" spans="1:1" x14ac:dyDescent="0.55000000000000004">
      <c r="A15242" s="17"/>
    </row>
    <row r="15243" spans="1:1" x14ac:dyDescent="0.55000000000000004">
      <c r="A15243" s="17"/>
    </row>
    <row r="15244" spans="1:1" x14ac:dyDescent="0.55000000000000004">
      <c r="A15244" s="17"/>
    </row>
    <row r="15245" spans="1:1" x14ac:dyDescent="0.55000000000000004">
      <c r="A15245" s="17"/>
    </row>
    <row r="15246" spans="1:1" x14ac:dyDescent="0.55000000000000004">
      <c r="A15246" s="17"/>
    </row>
    <row r="15247" spans="1:1" x14ac:dyDescent="0.55000000000000004">
      <c r="A15247" s="17"/>
    </row>
    <row r="15248" spans="1:1" x14ac:dyDescent="0.55000000000000004">
      <c r="A15248" s="17"/>
    </row>
    <row r="15249" spans="1:1" x14ac:dyDescent="0.55000000000000004">
      <c r="A15249" s="17"/>
    </row>
    <row r="15250" spans="1:1" x14ac:dyDescent="0.55000000000000004">
      <c r="A15250" s="17"/>
    </row>
    <row r="15251" spans="1:1" x14ac:dyDescent="0.55000000000000004">
      <c r="A15251" s="17"/>
    </row>
    <row r="15252" spans="1:1" x14ac:dyDescent="0.55000000000000004">
      <c r="A15252" s="17"/>
    </row>
    <row r="15253" spans="1:1" x14ac:dyDescent="0.55000000000000004">
      <c r="A15253" s="17"/>
    </row>
    <row r="15254" spans="1:1" x14ac:dyDescent="0.55000000000000004">
      <c r="A15254" s="17"/>
    </row>
    <row r="15255" spans="1:1" x14ac:dyDescent="0.55000000000000004">
      <c r="A15255" s="17"/>
    </row>
    <row r="15256" spans="1:1" x14ac:dyDescent="0.55000000000000004">
      <c r="A15256" s="17"/>
    </row>
    <row r="15257" spans="1:1" x14ac:dyDescent="0.55000000000000004">
      <c r="A15257" s="17"/>
    </row>
    <row r="15258" spans="1:1" x14ac:dyDescent="0.55000000000000004">
      <c r="A15258" s="17"/>
    </row>
    <row r="15259" spans="1:1" x14ac:dyDescent="0.55000000000000004">
      <c r="A15259" s="17"/>
    </row>
    <row r="15260" spans="1:1" x14ac:dyDescent="0.55000000000000004">
      <c r="A15260" s="17"/>
    </row>
    <row r="15261" spans="1:1" x14ac:dyDescent="0.55000000000000004">
      <c r="A15261" s="17"/>
    </row>
    <row r="15262" spans="1:1" x14ac:dyDescent="0.55000000000000004">
      <c r="A15262" s="17"/>
    </row>
    <row r="15263" spans="1:1" x14ac:dyDescent="0.55000000000000004">
      <c r="A15263" s="17"/>
    </row>
    <row r="15264" spans="1:1" x14ac:dyDescent="0.55000000000000004">
      <c r="A15264" s="17"/>
    </row>
    <row r="15265" spans="1:1" x14ac:dyDescent="0.55000000000000004">
      <c r="A15265" s="17"/>
    </row>
    <row r="15266" spans="1:1" x14ac:dyDescent="0.55000000000000004">
      <c r="A15266" s="17"/>
    </row>
    <row r="15267" spans="1:1" x14ac:dyDescent="0.55000000000000004">
      <c r="A15267" s="17"/>
    </row>
    <row r="15268" spans="1:1" x14ac:dyDescent="0.55000000000000004">
      <c r="A15268" s="17"/>
    </row>
    <row r="15269" spans="1:1" x14ac:dyDescent="0.55000000000000004">
      <c r="A15269" s="17"/>
    </row>
    <row r="15270" spans="1:1" x14ac:dyDescent="0.55000000000000004">
      <c r="A15270" s="17"/>
    </row>
    <row r="15271" spans="1:1" x14ac:dyDescent="0.55000000000000004">
      <c r="A15271" s="17"/>
    </row>
    <row r="15272" spans="1:1" x14ac:dyDescent="0.55000000000000004">
      <c r="A15272" s="17"/>
    </row>
    <row r="15273" spans="1:1" x14ac:dyDescent="0.55000000000000004">
      <c r="A15273" s="17"/>
    </row>
    <row r="15274" spans="1:1" x14ac:dyDescent="0.55000000000000004">
      <c r="A15274" s="17"/>
    </row>
    <row r="15275" spans="1:1" x14ac:dyDescent="0.55000000000000004">
      <c r="A15275" s="17"/>
    </row>
    <row r="15276" spans="1:1" x14ac:dyDescent="0.55000000000000004">
      <c r="A15276" s="17"/>
    </row>
    <row r="15277" spans="1:1" x14ac:dyDescent="0.55000000000000004">
      <c r="A15277" s="17"/>
    </row>
    <row r="15278" spans="1:1" x14ac:dyDescent="0.55000000000000004">
      <c r="A15278" s="17"/>
    </row>
    <row r="15279" spans="1:1" x14ac:dyDescent="0.55000000000000004">
      <c r="A15279" s="17"/>
    </row>
    <row r="15280" spans="1:1" x14ac:dyDescent="0.55000000000000004">
      <c r="A15280" s="17"/>
    </row>
    <row r="15281" spans="1:1" x14ac:dyDescent="0.55000000000000004">
      <c r="A15281" s="17"/>
    </row>
    <row r="15282" spans="1:1" x14ac:dyDescent="0.55000000000000004">
      <c r="A15282" s="17"/>
    </row>
    <row r="15283" spans="1:1" x14ac:dyDescent="0.55000000000000004">
      <c r="A15283" s="17"/>
    </row>
    <row r="15284" spans="1:1" x14ac:dyDescent="0.55000000000000004">
      <c r="A15284" s="17"/>
    </row>
    <row r="15285" spans="1:1" x14ac:dyDescent="0.55000000000000004">
      <c r="A15285" s="17"/>
    </row>
    <row r="15286" spans="1:1" x14ac:dyDescent="0.55000000000000004">
      <c r="A15286" s="17"/>
    </row>
    <row r="15287" spans="1:1" x14ac:dyDescent="0.55000000000000004">
      <c r="A15287" s="17"/>
    </row>
    <row r="15288" spans="1:1" x14ac:dyDescent="0.55000000000000004">
      <c r="A15288" s="17"/>
    </row>
    <row r="15289" spans="1:1" x14ac:dyDescent="0.55000000000000004">
      <c r="A15289" s="17"/>
    </row>
    <row r="15290" spans="1:1" x14ac:dyDescent="0.55000000000000004">
      <c r="A15290" s="17"/>
    </row>
    <row r="15291" spans="1:1" x14ac:dyDescent="0.55000000000000004">
      <c r="A15291" s="17"/>
    </row>
    <row r="15292" spans="1:1" x14ac:dyDescent="0.55000000000000004">
      <c r="A15292" s="17"/>
    </row>
    <row r="15293" spans="1:1" x14ac:dyDescent="0.55000000000000004">
      <c r="A15293" s="17"/>
    </row>
    <row r="15294" spans="1:1" x14ac:dyDescent="0.55000000000000004">
      <c r="A15294" s="17"/>
    </row>
    <row r="15295" spans="1:1" x14ac:dyDescent="0.55000000000000004">
      <c r="A15295" s="17"/>
    </row>
    <row r="15296" spans="1:1" x14ac:dyDescent="0.55000000000000004">
      <c r="A15296" s="17"/>
    </row>
    <row r="15297" spans="1:1" x14ac:dyDescent="0.55000000000000004">
      <c r="A15297" s="17"/>
    </row>
    <row r="15298" spans="1:1" x14ac:dyDescent="0.55000000000000004">
      <c r="A15298" s="17"/>
    </row>
    <row r="15299" spans="1:1" x14ac:dyDescent="0.55000000000000004">
      <c r="A15299" s="17"/>
    </row>
    <row r="15300" spans="1:1" x14ac:dyDescent="0.55000000000000004">
      <c r="A15300" s="17"/>
    </row>
    <row r="15301" spans="1:1" x14ac:dyDescent="0.55000000000000004">
      <c r="A15301" s="17"/>
    </row>
    <row r="15302" spans="1:1" x14ac:dyDescent="0.55000000000000004">
      <c r="A15302" s="17"/>
    </row>
    <row r="15303" spans="1:1" x14ac:dyDescent="0.55000000000000004">
      <c r="A15303" s="17"/>
    </row>
    <row r="15304" spans="1:1" x14ac:dyDescent="0.55000000000000004">
      <c r="A15304" s="17"/>
    </row>
    <row r="15305" spans="1:1" x14ac:dyDescent="0.55000000000000004">
      <c r="A15305" s="17"/>
    </row>
    <row r="15306" spans="1:1" x14ac:dyDescent="0.55000000000000004">
      <c r="A15306" s="17"/>
    </row>
    <row r="15307" spans="1:1" x14ac:dyDescent="0.55000000000000004">
      <c r="A15307" s="17"/>
    </row>
    <row r="15308" spans="1:1" x14ac:dyDescent="0.55000000000000004">
      <c r="A15308" s="17"/>
    </row>
    <row r="15309" spans="1:1" x14ac:dyDescent="0.55000000000000004">
      <c r="A15309" s="17"/>
    </row>
    <row r="15310" spans="1:1" x14ac:dyDescent="0.55000000000000004">
      <c r="A15310" s="17"/>
    </row>
    <row r="15311" spans="1:1" x14ac:dyDescent="0.55000000000000004">
      <c r="A15311" s="17"/>
    </row>
    <row r="15312" spans="1:1" x14ac:dyDescent="0.55000000000000004">
      <c r="A15312" s="17"/>
    </row>
    <row r="15313" spans="1:1" x14ac:dyDescent="0.55000000000000004">
      <c r="A15313" s="17"/>
    </row>
    <row r="15314" spans="1:1" x14ac:dyDescent="0.55000000000000004">
      <c r="A15314" s="17"/>
    </row>
    <row r="15315" spans="1:1" x14ac:dyDescent="0.55000000000000004">
      <c r="A15315" s="17"/>
    </row>
    <row r="15316" spans="1:1" x14ac:dyDescent="0.55000000000000004">
      <c r="A15316" s="17"/>
    </row>
    <row r="15317" spans="1:1" x14ac:dyDescent="0.55000000000000004">
      <c r="A15317" s="17"/>
    </row>
    <row r="15318" spans="1:1" x14ac:dyDescent="0.55000000000000004">
      <c r="A15318" s="17"/>
    </row>
    <row r="15319" spans="1:1" x14ac:dyDescent="0.55000000000000004">
      <c r="A15319" s="17"/>
    </row>
    <row r="15320" spans="1:1" x14ac:dyDescent="0.55000000000000004">
      <c r="A15320" s="17"/>
    </row>
    <row r="15321" spans="1:1" x14ac:dyDescent="0.55000000000000004">
      <c r="A15321" s="17"/>
    </row>
    <row r="15322" spans="1:1" x14ac:dyDescent="0.55000000000000004">
      <c r="A15322" s="17"/>
    </row>
    <row r="15323" spans="1:1" x14ac:dyDescent="0.55000000000000004">
      <c r="A15323" s="17"/>
    </row>
    <row r="15324" spans="1:1" x14ac:dyDescent="0.55000000000000004">
      <c r="A15324" s="17"/>
    </row>
    <row r="15325" spans="1:1" x14ac:dyDescent="0.55000000000000004">
      <c r="A15325" s="17"/>
    </row>
    <row r="15326" spans="1:1" x14ac:dyDescent="0.55000000000000004">
      <c r="A15326" s="17"/>
    </row>
    <row r="15327" spans="1:1" x14ac:dyDescent="0.55000000000000004">
      <c r="A15327" s="17"/>
    </row>
    <row r="15328" spans="1:1" x14ac:dyDescent="0.55000000000000004">
      <c r="A15328" s="17"/>
    </row>
    <row r="15329" spans="1:1" x14ac:dyDescent="0.55000000000000004">
      <c r="A15329" s="17"/>
    </row>
    <row r="15330" spans="1:1" x14ac:dyDescent="0.55000000000000004">
      <c r="A15330" s="17"/>
    </row>
    <row r="15331" spans="1:1" x14ac:dyDescent="0.55000000000000004">
      <c r="A15331" s="17"/>
    </row>
    <row r="15332" spans="1:1" x14ac:dyDescent="0.55000000000000004">
      <c r="A15332" s="17"/>
    </row>
    <row r="15333" spans="1:1" x14ac:dyDescent="0.55000000000000004">
      <c r="A15333" s="17"/>
    </row>
    <row r="15334" spans="1:1" x14ac:dyDescent="0.55000000000000004">
      <c r="A15334" s="17"/>
    </row>
    <row r="15335" spans="1:1" x14ac:dyDescent="0.55000000000000004">
      <c r="A15335" s="17"/>
    </row>
    <row r="15336" spans="1:1" x14ac:dyDescent="0.55000000000000004">
      <c r="A15336" s="17"/>
    </row>
    <row r="15337" spans="1:1" x14ac:dyDescent="0.55000000000000004">
      <c r="A15337" s="17"/>
    </row>
    <row r="15338" spans="1:1" x14ac:dyDescent="0.55000000000000004">
      <c r="A15338" s="17"/>
    </row>
    <row r="15339" spans="1:1" x14ac:dyDescent="0.55000000000000004">
      <c r="A15339" s="17"/>
    </row>
    <row r="15340" spans="1:1" x14ac:dyDescent="0.55000000000000004">
      <c r="A15340" s="17"/>
    </row>
    <row r="15341" spans="1:1" x14ac:dyDescent="0.55000000000000004">
      <c r="A15341" s="17"/>
    </row>
    <row r="15342" spans="1:1" x14ac:dyDescent="0.55000000000000004">
      <c r="A15342" s="17"/>
    </row>
    <row r="15343" spans="1:1" x14ac:dyDescent="0.55000000000000004">
      <c r="A15343" s="17"/>
    </row>
    <row r="15344" spans="1:1" x14ac:dyDescent="0.55000000000000004">
      <c r="A15344" s="17"/>
    </row>
    <row r="15345" spans="1:1" x14ac:dyDescent="0.55000000000000004">
      <c r="A15345" s="17"/>
    </row>
    <row r="15346" spans="1:1" x14ac:dyDescent="0.55000000000000004">
      <c r="A15346" s="17"/>
    </row>
    <row r="15347" spans="1:1" x14ac:dyDescent="0.55000000000000004">
      <c r="A15347" s="17"/>
    </row>
    <row r="15348" spans="1:1" x14ac:dyDescent="0.55000000000000004">
      <c r="A15348" s="17"/>
    </row>
    <row r="15349" spans="1:1" x14ac:dyDescent="0.55000000000000004">
      <c r="A15349" s="17"/>
    </row>
    <row r="15350" spans="1:1" x14ac:dyDescent="0.55000000000000004">
      <c r="A15350" s="17"/>
    </row>
    <row r="15351" spans="1:1" x14ac:dyDescent="0.55000000000000004">
      <c r="A15351" s="17"/>
    </row>
    <row r="15352" spans="1:1" x14ac:dyDescent="0.55000000000000004">
      <c r="A15352" s="17"/>
    </row>
    <row r="15353" spans="1:1" x14ac:dyDescent="0.55000000000000004">
      <c r="A15353" s="17"/>
    </row>
    <row r="15354" spans="1:1" x14ac:dyDescent="0.55000000000000004">
      <c r="A15354" s="17"/>
    </row>
    <row r="15355" spans="1:1" x14ac:dyDescent="0.55000000000000004">
      <c r="A15355" s="17"/>
    </row>
    <row r="15356" spans="1:1" x14ac:dyDescent="0.55000000000000004">
      <c r="A15356" s="17"/>
    </row>
    <row r="15357" spans="1:1" x14ac:dyDescent="0.55000000000000004">
      <c r="A15357" s="17"/>
    </row>
    <row r="15358" spans="1:1" x14ac:dyDescent="0.55000000000000004">
      <c r="A15358" s="17"/>
    </row>
    <row r="15359" spans="1:1" x14ac:dyDescent="0.55000000000000004">
      <c r="A15359" s="17"/>
    </row>
    <row r="15360" spans="1:1" x14ac:dyDescent="0.55000000000000004">
      <c r="A15360" s="17"/>
    </row>
    <row r="15361" spans="1:1" x14ac:dyDescent="0.55000000000000004">
      <c r="A15361" s="17"/>
    </row>
    <row r="15362" spans="1:1" x14ac:dyDescent="0.55000000000000004">
      <c r="A15362" s="17"/>
    </row>
    <row r="15363" spans="1:1" x14ac:dyDescent="0.55000000000000004">
      <c r="A15363" s="17"/>
    </row>
    <row r="15364" spans="1:1" x14ac:dyDescent="0.55000000000000004">
      <c r="A15364" s="17"/>
    </row>
    <row r="15365" spans="1:1" x14ac:dyDescent="0.55000000000000004">
      <c r="A15365" s="17"/>
    </row>
    <row r="15366" spans="1:1" x14ac:dyDescent="0.55000000000000004">
      <c r="A15366" s="17"/>
    </row>
    <row r="15367" spans="1:1" x14ac:dyDescent="0.55000000000000004">
      <c r="A15367" s="17"/>
    </row>
    <row r="15368" spans="1:1" x14ac:dyDescent="0.55000000000000004">
      <c r="A15368" s="17"/>
    </row>
    <row r="15369" spans="1:1" x14ac:dyDescent="0.55000000000000004">
      <c r="A15369" s="17"/>
    </row>
    <row r="15370" spans="1:1" x14ac:dyDescent="0.55000000000000004">
      <c r="A15370" s="17"/>
    </row>
    <row r="15371" spans="1:1" x14ac:dyDescent="0.55000000000000004">
      <c r="A15371" s="17"/>
    </row>
    <row r="15372" spans="1:1" x14ac:dyDescent="0.55000000000000004">
      <c r="A15372" s="17"/>
    </row>
    <row r="15373" spans="1:1" x14ac:dyDescent="0.55000000000000004">
      <c r="A15373" s="17"/>
    </row>
    <row r="15374" spans="1:1" x14ac:dyDescent="0.55000000000000004">
      <c r="A15374" s="17"/>
    </row>
    <row r="15375" spans="1:1" x14ac:dyDescent="0.55000000000000004">
      <c r="A15375" s="17"/>
    </row>
    <row r="15376" spans="1:1" x14ac:dyDescent="0.55000000000000004">
      <c r="A15376" s="17"/>
    </row>
    <row r="15377" spans="1:1" x14ac:dyDescent="0.55000000000000004">
      <c r="A15377" s="17"/>
    </row>
    <row r="15378" spans="1:1" x14ac:dyDescent="0.55000000000000004">
      <c r="A15378" s="17"/>
    </row>
    <row r="15379" spans="1:1" x14ac:dyDescent="0.55000000000000004">
      <c r="A15379" s="17"/>
    </row>
    <row r="15380" spans="1:1" x14ac:dyDescent="0.55000000000000004">
      <c r="A15380" s="17"/>
    </row>
    <row r="15381" spans="1:1" x14ac:dyDescent="0.55000000000000004">
      <c r="A15381" s="17"/>
    </row>
    <row r="15382" spans="1:1" x14ac:dyDescent="0.55000000000000004">
      <c r="A15382" s="17"/>
    </row>
    <row r="15383" spans="1:1" x14ac:dyDescent="0.55000000000000004">
      <c r="A15383" s="17"/>
    </row>
    <row r="15384" spans="1:1" x14ac:dyDescent="0.55000000000000004">
      <c r="A15384" s="17"/>
    </row>
    <row r="15385" spans="1:1" x14ac:dyDescent="0.55000000000000004">
      <c r="A15385" s="17"/>
    </row>
    <row r="15386" spans="1:1" x14ac:dyDescent="0.55000000000000004">
      <c r="A15386" s="17"/>
    </row>
    <row r="15387" spans="1:1" x14ac:dyDescent="0.55000000000000004">
      <c r="A15387" s="17"/>
    </row>
    <row r="15388" spans="1:1" x14ac:dyDescent="0.55000000000000004">
      <c r="A15388" s="17"/>
    </row>
    <row r="15389" spans="1:1" x14ac:dyDescent="0.55000000000000004">
      <c r="A15389" s="17"/>
    </row>
    <row r="15390" spans="1:1" x14ac:dyDescent="0.55000000000000004">
      <c r="A15390" s="17"/>
    </row>
    <row r="15391" spans="1:1" x14ac:dyDescent="0.55000000000000004">
      <c r="A15391" s="17"/>
    </row>
    <row r="15392" spans="1:1" x14ac:dyDescent="0.55000000000000004">
      <c r="A15392" s="17"/>
    </row>
    <row r="15393" spans="1:1" x14ac:dyDescent="0.55000000000000004">
      <c r="A15393" s="17"/>
    </row>
    <row r="15394" spans="1:1" x14ac:dyDescent="0.55000000000000004">
      <c r="A15394" s="17"/>
    </row>
    <row r="15395" spans="1:1" x14ac:dyDescent="0.55000000000000004">
      <c r="A15395" s="17"/>
    </row>
    <row r="15396" spans="1:1" x14ac:dyDescent="0.55000000000000004">
      <c r="A15396" s="17"/>
    </row>
    <row r="15397" spans="1:1" x14ac:dyDescent="0.55000000000000004">
      <c r="A15397" s="17"/>
    </row>
    <row r="15398" spans="1:1" x14ac:dyDescent="0.55000000000000004">
      <c r="A15398" s="17"/>
    </row>
    <row r="15399" spans="1:1" x14ac:dyDescent="0.55000000000000004">
      <c r="A15399" s="17"/>
    </row>
    <row r="15400" spans="1:1" x14ac:dyDescent="0.55000000000000004">
      <c r="A15400" s="17"/>
    </row>
    <row r="15401" spans="1:1" x14ac:dyDescent="0.55000000000000004">
      <c r="A15401" s="17"/>
    </row>
    <row r="15402" spans="1:1" x14ac:dyDescent="0.55000000000000004">
      <c r="A15402" s="17"/>
    </row>
    <row r="15403" spans="1:1" x14ac:dyDescent="0.55000000000000004">
      <c r="A15403" s="17"/>
    </row>
    <row r="15404" spans="1:1" x14ac:dyDescent="0.55000000000000004">
      <c r="A15404" s="17"/>
    </row>
    <row r="15405" spans="1:1" x14ac:dyDescent="0.55000000000000004">
      <c r="A15405" s="17"/>
    </row>
    <row r="15406" spans="1:1" x14ac:dyDescent="0.55000000000000004">
      <c r="A15406" s="17"/>
    </row>
    <row r="15407" spans="1:1" x14ac:dyDescent="0.55000000000000004">
      <c r="A15407" s="17"/>
    </row>
    <row r="15408" spans="1:1" x14ac:dyDescent="0.55000000000000004">
      <c r="A15408" s="17"/>
    </row>
    <row r="15409" spans="1:1" x14ac:dyDescent="0.55000000000000004">
      <c r="A15409" s="17"/>
    </row>
    <row r="15410" spans="1:1" x14ac:dyDescent="0.55000000000000004">
      <c r="A15410" s="17"/>
    </row>
    <row r="15411" spans="1:1" x14ac:dyDescent="0.55000000000000004">
      <c r="A15411" s="17"/>
    </row>
    <row r="15412" spans="1:1" x14ac:dyDescent="0.55000000000000004">
      <c r="A15412" s="17"/>
    </row>
    <row r="15413" spans="1:1" x14ac:dyDescent="0.55000000000000004">
      <c r="A15413" s="17"/>
    </row>
    <row r="15414" spans="1:1" x14ac:dyDescent="0.55000000000000004">
      <c r="A15414" s="17"/>
    </row>
    <row r="15415" spans="1:1" x14ac:dyDescent="0.55000000000000004">
      <c r="A15415" s="17"/>
    </row>
    <row r="15416" spans="1:1" x14ac:dyDescent="0.55000000000000004">
      <c r="A15416" s="17"/>
    </row>
    <row r="15417" spans="1:1" x14ac:dyDescent="0.55000000000000004">
      <c r="A15417" s="17"/>
    </row>
    <row r="15418" spans="1:1" x14ac:dyDescent="0.55000000000000004">
      <c r="A15418" s="17"/>
    </row>
    <row r="15419" spans="1:1" x14ac:dyDescent="0.55000000000000004">
      <c r="A15419" s="17"/>
    </row>
    <row r="15420" spans="1:1" x14ac:dyDescent="0.55000000000000004">
      <c r="A15420" s="17"/>
    </row>
    <row r="15421" spans="1:1" x14ac:dyDescent="0.55000000000000004">
      <c r="A15421" s="17"/>
    </row>
    <row r="15422" spans="1:1" x14ac:dyDescent="0.55000000000000004">
      <c r="A15422" s="17"/>
    </row>
    <row r="15423" spans="1:1" x14ac:dyDescent="0.55000000000000004">
      <c r="A15423" s="17"/>
    </row>
    <row r="15424" spans="1:1" x14ac:dyDescent="0.55000000000000004">
      <c r="A15424" s="17"/>
    </row>
    <row r="15425" spans="1:1" x14ac:dyDescent="0.55000000000000004">
      <c r="A15425" s="17"/>
    </row>
    <row r="15426" spans="1:1" x14ac:dyDescent="0.55000000000000004">
      <c r="A15426" s="17"/>
    </row>
    <row r="15427" spans="1:1" x14ac:dyDescent="0.55000000000000004">
      <c r="A15427" s="17"/>
    </row>
    <row r="15428" spans="1:1" x14ac:dyDescent="0.55000000000000004">
      <c r="A15428" s="17"/>
    </row>
    <row r="15429" spans="1:1" x14ac:dyDescent="0.55000000000000004">
      <c r="A15429" s="17"/>
    </row>
    <row r="15430" spans="1:1" x14ac:dyDescent="0.55000000000000004">
      <c r="A15430" s="17"/>
    </row>
    <row r="15431" spans="1:1" x14ac:dyDescent="0.55000000000000004">
      <c r="A15431" s="17"/>
    </row>
    <row r="15432" spans="1:1" x14ac:dyDescent="0.55000000000000004">
      <c r="A15432" s="17"/>
    </row>
    <row r="15433" spans="1:1" x14ac:dyDescent="0.55000000000000004">
      <c r="A15433" s="17"/>
    </row>
    <row r="15434" spans="1:1" x14ac:dyDescent="0.55000000000000004">
      <c r="A15434" s="17"/>
    </row>
    <row r="15435" spans="1:1" x14ac:dyDescent="0.55000000000000004">
      <c r="A15435" s="17"/>
    </row>
    <row r="15436" spans="1:1" x14ac:dyDescent="0.55000000000000004">
      <c r="A15436" s="17"/>
    </row>
    <row r="15437" spans="1:1" x14ac:dyDescent="0.55000000000000004">
      <c r="A15437" s="17"/>
    </row>
    <row r="15438" spans="1:1" x14ac:dyDescent="0.55000000000000004">
      <c r="A15438" s="17"/>
    </row>
    <row r="15439" spans="1:1" x14ac:dyDescent="0.55000000000000004">
      <c r="A15439" s="17"/>
    </row>
    <row r="15440" spans="1:1" x14ac:dyDescent="0.55000000000000004">
      <c r="A15440" s="17"/>
    </row>
    <row r="15441" spans="1:1" x14ac:dyDescent="0.55000000000000004">
      <c r="A15441" s="17"/>
    </row>
    <row r="15442" spans="1:1" x14ac:dyDescent="0.55000000000000004">
      <c r="A15442" s="17"/>
    </row>
    <row r="15443" spans="1:1" x14ac:dyDescent="0.55000000000000004">
      <c r="A15443" s="17"/>
    </row>
    <row r="15444" spans="1:1" x14ac:dyDescent="0.55000000000000004">
      <c r="A15444" s="17"/>
    </row>
    <row r="15445" spans="1:1" x14ac:dyDescent="0.55000000000000004">
      <c r="A15445" s="17"/>
    </row>
    <row r="15446" spans="1:1" x14ac:dyDescent="0.55000000000000004">
      <c r="A15446" s="17"/>
    </row>
    <row r="15447" spans="1:1" x14ac:dyDescent="0.55000000000000004">
      <c r="A15447" s="17"/>
    </row>
    <row r="15448" spans="1:1" x14ac:dyDescent="0.55000000000000004">
      <c r="A15448" s="17"/>
    </row>
    <row r="15449" spans="1:1" x14ac:dyDescent="0.55000000000000004">
      <c r="A15449" s="17"/>
    </row>
    <row r="15450" spans="1:1" x14ac:dyDescent="0.55000000000000004">
      <c r="A15450" s="17"/>
    </row>
    <row r="15451" spans="1:1" x14ac:dyDescent="0.55000000000000004">
      <c r="A15451" s="17"/>
    </row>
    <row r="15452" spans="1:1" x14ac:dyDescent="0.55000000000000004">
      <c r="A15452" s="17"/>
    </row>
    <row r="15453" spans="1:1" x14ac:dyDescent="0.55000000000000004">
      <c r="A15453" s="17"/>
    </row>
    <row r="15454" spans="1:1" x14ac:dyDescent="0.55000000000000004">
      <c r="A15454" s="17"/>
    </row>
    <row r="15455" spans="1:1" x14ac:dyDescent="0.55000000000000004">
      <c r="A15455" s="17"/>
    </row>
    <row r="15456" spans="1:1" x14ac:dyDescent="0.55000000000000004">
      <c r="A15456" s="17"/>
    </row>
    <row r="15457" spans="1:1" x14ac:dyDescent="0.55000000000000004">
      <c r="A15457" s="17"/>
    </row>
    <row r="15458" spans="1:1" x14ac:dyDescent="0.55000000000000004">
      <c r="A15458" s="17"/>
    </row>
    <row r="15459" spans="1:1" x14ac:dyDescent="0.55000000000000004">
      <c r="A15459" s="17"/>
    </row>
    <row r="15460" spans="1:1" x14ac:dyDescent="0.55000000000000004">
      <c r="A15460" s="17"/>
    </row>
    <row r="15461" spans="1:1" x14ac:dyDescent="0.55000000000000004">
      <c r="A15461" s="17"/>
    </row>
    <row r="15462" spans="1:1" x14ac:dyDescent="0.55000000000000004">
      <c r="A15462" s="17"/>
    </row>
    <row r="15463" spans="1:1" x14ac:dyDescent="0.55000000000000004">
      <c r="A15463" s="17"/>
    </row>
    <row r="15464" spans="1:1" x14ac:dyDescent="0.55000000000000004">
      <c r="A15464" s="17"/>
    </row>
    <row r="15465" spans="1:1" x14ac:dyDescent="0.55000000000000004">
      <c r="A15465" s="17"/>
    </row>
    <row r="15466" spans="1:1" x14ac:dyDescent="0.55000000000000004">
      <c r="A15466" s="17"/>
    </row>
    <row r="15467" spans="1:1" x14ac:dyDescent="0.55000000000000004">
      <c r="A15467" s="17"/>
    </row>
    <row r="15468" spans="1:1" x14ac:dyDescent="0.55000000000000004">
      <c r="A15468" s="17"/>
    </row>
    <row r="15469" spans="1:1" x14ac:dyDescent="0.55000000000000004">
      <c r="A15469" s="17"/>
    </row>
    <row r="15470" spans="1:1" x14ac:dyDescent="0.55000000000000004">
      <c r="A15470" s="17"/>
    </row>
    <row r="15471" spans="1:1" x14ac:dyDescent="0.55000000000000004">
      <c r="A15471" s="17"/>
    </row>
    <row r="15472" spans="1:1" x14ac:dyDescent="0.55000000000000004">
      <c r="A15472" s="17"/>
    </row>
    <row r="15473" spans="1:1" x14ac:dyDescent="0.55000000000000004">
      <c r="A15473" s="17"/>
    </row>
    <row r="15474" spans="1:1" x14ac:dyDescent="0.55000000000000004">
      <c r="A15474" s="17"/>
    </row>
    <row r="15475" spans="1:1" x14ac:dyDescent="0.55000000000000004">
      <c r="A15475" s="17"/>
    </row>
    <row r="15476" spans="1:1" x14ac:dyDescent="0.55000000000000004">
      <c r="A15476" s="17"/>
    </row>
    <row r="15477" spans="1:1" x14ac:dyDescent="0.55000000000000004">
      <c r="A15477" s="17"/>
    </row>
    <row r="15478" spans="1:1" x14ac:dyDescent="0.55000000000000004">
      <c r="A15478" s="17"/>
    </row>
    <row r="15479" spans="1:1" x14ac:dyDescent="0.55000000000000004">
      <c r="A15479" s="17"/>
    </row>
    <row r="15480" spans="1:1" x14ac:dyDescent="0.55000000000000004">
      <c r="A15480" s="17"/>
    </row>
    <row r="15481" spans="1:1" x14ac:dyDescent="0.55000000000000004">
      <c r="A15481" s="17"/>
    </row>
    <row r="15482" spans="1:1" x14ac:dyDescent="0.55000000000000004">
      <c r="A15482" s="17"/>
    </row>
    <row r="15483" spans="1:1" x14ac:dyDescent="0.55000000000000004">
      <c r="A15483" s="17"/>
    </row>
    <row r="15484" spans="1:1" x14ac:dyDescent="0.55000000000000004">
      <c r="A15484" s="17"/>
    </row>
    <row r="15485" spans="1:1" x14ac:dyDescent="0.55000000000000004">
      <c r="A15485" s="17"/>
    </row>
    <row r="15486" spans="1:1" x14ac:dyDescent="0.55000000000000004">
      <c r="A15486" s="17"/>
    </row>
    <row r="15487" spans="1:1" x14ac:dyDescent="0.55000000000000004">
      <c r="A15487" s="17"/>
    </row>
    <row r="15488" spans="1:1" x14ac:dyDescent="0.55000000000000004">
      <c r="A15488" s="17"/>
    </row>
    <row r="15489" spans="1:1" x14ac:dyDescent="0.55000000000000004">
      <c r="A15489" s="17"/>
    </row>
    <row r="15490" spans="1:1" x14ac:dyDescent="0.55000000000000004">
      <c r="A15490" s="17"/>
    </row>
    <row r="15491" spans="1:1" x14ac:dyDescent="0.55000000000000004">
      <c r="A15491" s="17"/>
    </row>
    <row r="15492" spans="1:1" x14ac:dyDescent="0.55000000000000004">
      <c r="A15492" s="17"/>
    </row>
    <row r="15493" spans="1:1" x14ac:dyDescent="0.55000000000000004">
      <c r="A15493" s="17"/>
    </row>
    <row r="15494" spans="1:1" x14ac:dyDescent="0.55000000000000004">
      <c r="A15494" s="17"/>
    </row>
    <row r="15495" spans="1:1" x14ac:dyDescent="0.55000000000000004">
      <c r="A15495" s="17"/>
    </row>
    <row r="15496" spans="1:1" x14ac:dyDescent="0.55000000000000004">
      <c r="A15496" s="17"/>
    </row>
    <row r="15497" spans="1:1" x14ac:dyDescent="0.55000000000000004">
      <c r="A15497" s="17"/>
    </row>
    <row r="15498" spans="1:1" x14ac:dyDescent="0.55000000000000004">
      <c r="A15498" s="17"/>
    </row>
    <row r="15499" spans="1:1" x14ac:dyDescent="0.55000000000000004">
      <c r="A15499" s="17"/>
    </row>
    <row r="15500" spans="1:1" x14ac:dyDescent="0.55000000000000004">
      <c r="A15500" s="17"/>
    </row>
    <row r="15501" spans="1:1" x14ac:dyDescent="0.55000000000000004">
      <c r="A15501" s="17"/>
    </row>
    <row r="15502" spans="1:1" x14ac:dyDescent="0.55000000000000004">
      <c r="A15502" s="17"/>
    </row>
    <row r="15503" spans="1:1" x14ac:dyDescent="0.55000000000000004">
      <c r="A15503" s="17"/>
    </row>
    <row r="15504" spans="1:1" x14ac:dyDescent="0.55000000000000004">
      <c r="A15504" s="17"/>
    </row>
    <row r="15505" spans="1:1" x14ac:dyDescent="0.55000000000000004">
      <c r="A15505" s="17"/>
    </row>
    <row r="15506" spans="1:1" x14ac:dyDescent="0.55000000000000004">
      <c r="A15506" s="17"/>
    </row>
    <row r="15507" spans="1:1" x14ac:dyDescent="0.55000000000000004">
      <c r="A15507" s="17"/>
    </row>
    <row r="15508" spans="1:1" x14ac:dyDescent="0.55000000000000004">
      <c r="A15508" s="17"/>
    </row>
    <row r="15509" spans="1:1" x14ac:dyDescent="0.55000000000000004">
      <c r="A15509" s="17"/>
    </row>
    <row r="15510" spans="1:1" x14ac:dyDescent="0.55000000000000004">
      <c r="A15510" s="17"/>
    </row>
    <row r="15511" spans="1:1" x14ac:dyDescent="0.55000000000000004">
      <c r="A15511" s="17"/>
    </row>
    <row r="15512" spans="1:1" x14ac:dyDescent="0.55000000000000004">
      <c r="A15512" s="17"/>
    </row>
    <row r="15513" spans="1:1" x14ac:dyDescent="0.55000000000000004">
      <c r="A15513" s="17"/>
    </row>
    <row r="15514" spans="1:1" x14ac:dyDescent="0.55000000000000004">
      <c r="A15514" s="17"/>
    </row>
    <row r="15515" spans="1:1" x14ac:dyDescent="0.55000000000000004">
      <c r="A15515" s="17"/>
    </row>
    <row r="15516" spans="1:1" x14ac:dyDescent="0.55000000000000004">
      <c r="A15516" s="17"/>
    </row>
    <row r="15517" spans="1:1" x14ac:dyDescent="0.55000000000000004">
      <c r="A15517" s="17"/>
    </row>
    <row r="15518" spans="1:1" x14ac:dyDescent="0.55000000000000004">
      <c r="A15518" s="17"/>
    </row>
    <row r="15519" spans="1:1" x14ac:dyDescent="0.55000000000000004">
      <c r="A15519" s="17"/>
    </row>
    <row r="15520" spans="1:1" x14ac:dyDescent="0.55000000000000004">
      <c r="A15520" s="17"/>
    </row>
    <row r="15521" spans="1:1" x14ac:dyDescent="0.55000000000000004">
      <c r="A15521" s="17"/>
    </row>
    <row r="15522" spans="1:1" x14ac:dyDescent="0.55000000000000004">
      <c r="A15522" s="17"/>
    </row>
    <row r="15523" spans="1:1" x14ac:dyDescent="0.55000000000000004">
      <c r="A15523" s="17"/>
    </row>
    <row r="15524" spans="1:1" x14ac:dyDescent="0.55000000000000004">
      <c r="A15524" s="17"/>
    </row>
    <row r="15525" spans="1:1" x14ac:dyDescent="0.55000000000000004">
      <c r="A15525" s="17"/>
    </row>
    <row r="15526" spans="1:1" x14ac:dyDescent="0.55000000000000004">
      <c r="A15526" s="17"/>
    </row>
    <row r="15527" spans="1:1" x14ac:dyDescent="0.55000000000000004">
      <c r="A15527" s="17"/>
    </row>
    <row r="15528" spans="1:1" x14ac:dyDescent="0.55000000000000004">
      <c r="A15528" s="17"/>
    </row>
    <row r="15529" spans="1:1" x14ac:dyDescent="0.55000000000000004">
      <c r="A15529" s="17"/>
    </row>
    <row r="15530" spans="1:1" x14ac:dyDescent="0.55000000000000004">
      <c r="A15530" s="17"/>
    </row>
    <row r="15531" spans="1:1" x14ac:dyDescent="0.55000000000000004">
      <c r="A15531" s="17"/>
    </row>
    <row r="15532" spans="1:1" x14ac:dyDescent="0.55000000000000004">
      <c r="A15532" s="17"/>
    </row>
    <row r="15533" spans="1:1" x14ac:dyDescent="0.55000000000000004">
      <c r="A15533" s="17"/>
    </row>
    <row r="15534" spans="1:1" x14ac:dyDescent="0.55000000000000004">
      <c r="A15534" s="17"/>
    </row>
    <row r="15535" spans="1:1" x14ac:dyDescent="0.55000000000000004">
      <c r="A15535" s="17"/>
    </row>
    <row r="15536" spans="1:1" x14ac:dyDescent="0.55000000000000004">
      <c r="A15536" s="17"/>
    </row>
    <row r="15537" spans="1:1" x14ac:dyDescent="0.55000000000000004">
      <c r="A15537" s="17"/>
    </row>
    <row r="15538" spans="1:1" x14ac:dyDescent="0.55000000000000004">
      <c r="A15538" s="17"/>
    </row>
    <row r="15539" spans="1:1" x14ac:dyDescent="0.55000000000000004">
      <c r="A15539" s="17"/>
    </row>
    <row r="15540" spans="1:1" x14ac:dyDescent="0.55000000000000004">
      <c r="A15540" s="17"/>
    </row>
    <row r="15541" spans="1:1" x14ac:dyDescent="0.55000000000000004">
      <c r="A15541" s="17"/>
    </row>
    <row r="15542" spans="1:1" x14ac:dyDescent="0.55000000000000004">
      <c r="A15542" s="17"/>
    </row>
    <row r="15543" spans="1:1" x14ac:dyDescent="0.55000000000000004">
      <c r="A15543" s="17"/>
    </row>
    <row r="15544" spans="1:1" x14ac:dyDescent="0.55000000000000004">
      <c r="A15544" s="17"/>
    </row>
    <row r="15545" spans="1:1" x14ac:dyDescent="0.55000000000000004">
      <c r="A15545" s="17"/>
    </row>
    <row r="15546" spans="1:1" x14ac:dyDescent="0.55000000000000004">
      <c r="A15546" s="17"/>
    </row>
    <row r="15547" spans="1:1" x14ac:dyDescent="0.55000000000000004">
      <c r="A15547" s="17"/>
    </row>
    <row r="15548" spans="1:1" x14ac:dyDescent="0.55000000000000004">
      <c r="A15548" s="17"/>
    </row>
    <row r="15549" spans="1:1" x14ac:dyDescent="0.55000000000000004">
      <c r="A15549" s="17"/>
    </row>
    <row r="15550" spans="1:1" x14ac:dyDescent="0.55000000000000004">
      <c r="A15550" s="17"/>
    </row>
    <row r="15551" spans="1:1" x14ac:dyDescent="0.55000000000000004">
      <c r="A15551" s="17"/>
    </row>
    <row r="15552" spans="1:1" x14ac:dyDescent="0.55000000000000004">
      <c r="A15552" s="17"/>
    </row>
    <row r="15553" spans="1:1" x14ac:dyDescent="0.55000000000000004">
      <c r="A15553" s="17"/>
    </row>
    <row r="15554" spans="1:1" x14ac:dyDescent="0.55000000000000004">
      <c r="A15554" s="17"/>
    </row>
    <row r="15555" spans="1:1" x14ac:dyDescent="0.55000000000000004">
      <c r="A15555" s="17"/>
    </row>
    <row r="15556" spans="1:1" x14ac:dyDescent="0.55000000000000004">
      <c r="A15556" s="17"/>
    </row>
    <row r="15557" spans="1:1" x14ac:dyDescent="0.55000000000000004">
      <c r="A15557" s="17"/>
    </row>
    <row r="15558" spans="1:1" x14ac:dyDescent="0.55000000000000004">
      <c r="A15558" s="17"/>
    </row>
    <row r="15559" spans="1:1" x14ac:dyDescent="0.55000000000000004">
      <c r="A15559" s="17"/>
    </row>
    <row r="15560" spans="1:1" x14ac:dyDescent="0.55000000000000004">
      <c r="A15560" s="17"/>
    </row>
    <row r="15561" spans="1:1" x14ac:dyDescent="0.55000000000000004">
      <c r="A15561" s="17"/>
    </row>
    <row r="15562" spans="1:1" x14ac:dyDescent="0.55000000000000004">
      <c r="A15562" s="17"/>
    </row>
    <row r="15563" spans="1:1" x14ac:dyDescent="0.55000000000000004">
      <c r="A15563" s="17"/>
    </row>
    <row r="15564" spans="1:1" x14ac:dyDescent="0.55000000000000004">
      <c r="A15564" s="17"/>
    </row>
    <row r="15565" spans="1:1" x14ac:dyDescent="0.55000000000000004">
      <c r="A15565" s="17"/>
    </row>
    <row r="15566" spans="1:1" x14ac:dyDescent="0.55000000000000004">
      <c r="A15566" s="17"/>
    </row>
    <row r="15567" spans="1:1" x14ac:dyDescent="0.55000000000000004">
      <c r="A15567" s="17"/>
    </row>
    <row r="15568" spans="1:1" x14ac:dyDescent="0.55000000000000004">
      <c r="A15568" s="17"/>
    </row>
    <row r="15569" spans="1:1" x14ac:dyDescent="0.55000000000000004">
      <c r="A15569" s="17"/>
    </row>
    <row r="15570" spans="1:1" x14ac:dyDescent="0.55000000000000004">
      <c r="A15570" s="17"/>
    </row>
    <row r="15571" spans="1:1" x14ac:dyDescent="0.55000000000000004">
      <c r="A15571" s="17"/>
    </row>
    <row r="15572" spans="1:1" x14ac:dyDescent="0.55000000000000004">
      <c r="A15572" s="17"/>
    </row>
    <row r="15573" spans="1:1" x14ac:dyDescent="0.55000000000000004">
      <c r="A15573" s="17"/>
    </row>
    <row r="15574" spans="1:1" x14ac:dyDescent="0.55000000000000004">
      <c r="A15574" s="17"/>
    </row>
    <row r="15575" spans="1:1" x14ac:dyDescent="0.55000000000000004">
      <c r="A15575" s="17"/>
    </row>
    <row r="15576" spans="1:1" x14ac:dyDescent="0.55000000000000004">
      <c r="A15576" s="17"/>
    </row>
    <row r="15577" spans="1:1" x14ac:dyDescent="0.55000000000000004">
      <c r="A15577" s="17"/>
    </row>
    <row r="15578" spans="1:1" x14ac:dyDescent="0.55000000000000004">
      <c r="A15578" s="17"/>
    </row>
    <row r="15579" spans="1:1" x14ac:dyDescent="0.55000000000000004">
      <c r="A15579" s="17"/>
    </row>
    <row r="15580" spans="1:1" x14ac:dyDescent="0.55000000000000004">
      <c r="A15580" s="17"/>
    </row>
    <row r="15581" spans="1:1" x14ac:dyDescent="0.55000000000000004">
      <c r="A15581" s="17"/>
    </row>
    <row r="15582" spans="1:1" x14ac:dyDescent="0.55000000000000004">
      <c r="A15582" s="17"/>
    </row>
    <row r="15583" spans="1:1" x14ac:dyDescent="0.55000000000000004">
      <c r="A15583" s="17"/>
    </row>
    <row r="15584" spans="1:1" x14ac:dyDescent="0.55000000000000004">
      <c r="A15584" s="17"/>
    </row>
    <row r="15585" spans="1:1" x14ac:dyDescent="0.55000000000000004">
      <c r="A15585" s="17"/>
    </row>
    <row r="15586" spans="1:1" x14ac:dyDescent="0.55000000000000004">
      <c r="A15586" s="17"/>
    </row>
    <row r="15587" spans="1:1" x14ac:dyDescent="0.55000000000000004">
      <c r="A15587" s="17"/>
    </row>
    <row r="15588" spans="1:1" x14ac:dyDescent="0.55000000000000004">
      <c r="A15588" s="17"/>
    </row>
    <row r="15589" spans="1:1" x14ac:dyDescent="0.55000000000000004">
      <c r="A15589" s="17"/>
    </row>
    <row r="15590" spans="1:1" x14ac:dyDescent="0.55000000000000004">
      <c r="A15590" s="17"/>
    </row>
    <row r="15591" spans="1:1" x14ac:dyDescent="0.55000000000000004">
      <c r="A15591" s="17"/>
    </row>
    <row r="15592" spans="1:1" x14ac:dyDescent="0.55000000000000004">
      <c r="A15592" s="17"/>
    </row>
    <row r="15593" spans="1:1" x14ac:dyDescent="0.55000000000000004">
      <c r="A15593" s="17"/>
    </row>
    <row r="15594" spans="1:1" x14ac:dyDescent="0.55000000000000004">
      <c r="A15594" s="17"/>
    </row>
    <row r="15595" spans="1:1" x14ac:dyDescent="0.55000000000000004">
      <c r="A15595" s="17"/>
    </row>
    <row r="15596" spans="1:1" x14ac:dyDescent="0.55000000000000004">
      <c r="A15596" s="17"/>
    </row>
    <row r="15597" spans="1:1" x14ac:dyDescent="0.55000000000000004">
      <c r="A15597" s="17"/>
    </row>
    <row r="15598" spans="1:1" x14ac:dyDescent="0.55000000000000004">
      <c r="A15598" s="17"/>
    </row>
    <row r="15599" spans="1:1" x14ac:dyDescent="0.55000000000000004">
      <c r="A15599" s="17"/>
    </row>
    <row r="15600" spans="1:1" x14ac:dyDescent="0.55000000000000004">
      <c r="A15600" s="17"/>
    </row>
    <row r="15601" spans="1:1" x14ac:dyDescent="0.55000000000000004">
      <c r="A15601" s="17"/>
    </row>
    <row r="15602" spans="1:1" x14ac:dyDescent="0.55000000000000004">
      <c r="A15602" s="17"/>
    </row>
    <row r="15603" spans="1:1" x14ac:dyDescent="0.55000000000000004">
      <c r="A15603" s="17"/>
    </row>
    <row r="15604" spans="1:1" x14ac:dyDescent="0.55000000000000004">
      <c r="A15604" s="17"/>
    </row>
    <row r="15605" spans="1:1" x14ac:dyDescent="0.55000000000000004">
      <c r="A15605" s="17"/>
    </row>
    <row r="15606" spans="1:1" x14ac:dyDescent="0.55000000000000004">
      <c r="A15606" s="17"/>
    </row>
    <row r="15607" spans="1:1" x14ac:dyDescent="0.55000000000000004">
      <c r="A15607" s="17"/>
    </row>
    <row r="15608" spans="1:1" x14ac:dyDescent="0.55000000000000004">
      <c r="A15608" s="17"/>
    </row>
    <row r="15609" spans="1:1" x14ac:dyDescent="0.55000000000000004">
      <c r="A15609" s="17"/>
    </row>
    <row r="15610" spans="1:1" x14ac:dyDescent="0.55000000000000004">
      <c r="A15610" s="17"/>
    </row>
    <row r="15611" spans="1:1" x14ac:dyDescent="0.55000000000000004">
      <c r="A15611" s="17"/>
    </row>
    <row r="15612" spans="1:1" x14ac:dyDescent="0.55000000000000004">
      <c r="A15612" s="17"/>
    </row>
    <row r="15613" spans="1:1" x14ac:dyDescent="0.55000000000000004">
      <c r="A15613" s="17"/>
    </row>
    <row r="15614" spans="1:1" x14ac:dyDescent="0.55000000000000004">
      <c r="A15614" s="17"/>
    </row>
    <row r="15615" spans="1:1" x14ac:dyDescent="0.55000000000000004">
      <c r="A15615" s="17"/>
    </row>
    <row r="15616" spans="1:1" x14ac:dyDescent="0.55000000000000004">
      <c r="A15616" s="17"/>
    </row>
    <row r="15617" spans="1:1" x14ac:dyDescent="0.55000000000000004">
      <c r="A15617" s="17"/>
    </row>
    <row r="15618" spans="1:1" x14ac:dyDescent="0.55000000000000004">
      <c r="A15618" s="17"/>
    </row>
    <row r="15619" spans="1:1" x14ac:dyDescent="0.55000000000000004">
      <c r="A15619" s="17"/>
    </row>
    <row r="15620" spans="1:1" x14ac:dyDescent="0.55000000000000004">
      <c r="A15620" s="17"/>
    </row>
    <row r="15621" spans="1:1" x14ac:dyDescent="0.55000000000000004">
      <c r="A15621" s="17"/>
    </row>
    <row r="15622" spans="1:1" x14ac:dyDescent="0.55000000000000004">
      <c r="A15622" s="17"/>
    </row>
    <row r="15623" spans="1:1" x14ac:dyDescent="0.55000000000000004">
      <c r="A15623" s="17"/>
    </row>
    <row r="15624" spans="1:1" x14ac:dyDescent="0.55000000000000004">
      <c r="A15624" s="17"/>
    </row>
    <row r="15625" spans="1:1" x14ac:dyDescent="0.55000000000000004">
      <c r="A15625" s="17"/>
    </row>
    <row r="15626" spans="1:1" x14ac:dyDescent="0.55000000000000004">
      <c r="A15626" s="17"/>
    </row>
    <row r="15627" spans="1:1" x14ac:dyDescent="0.55000000000000004">
      <c r="A15627" s="17"/>
    </row>
    <row r="15628" spans="1:1" x14ac:dyDescent="0.55000000000000004">
      <c r="A15628" s="17"/>
    </row>
    <row r="15629" spans="1:1" x14ac:dyDescent="0.55000000000000004">
      <c r="A15629" s="17"/>
    </row>
    <row r="15630" spans="1:1" x14ac:dyDescent="0.55000000000000004">
      <c r="A15630" s="17"/>
    </row>
    <row r="15631" spans="1:1" x14ac:dyDescent="0.55000000000000004">
      <c r="A15631" s="17"/>
    </row>
    <row r="15632" spans="1:1" x14ac:dyDescent="0.55000000000000004">
      <c r="A15632" s="17"/>
    </row>
    <row r="15633" spans="1:1" x14ac:dyDescent="0.55000000000000004">
      <c r="A15633" s="17"/>
    </row>
    <row r="15634" spans="1:1" x14ac:dyDescent="0.55000000000000004">
      <c r="A15634" s="17"/>
    </row>
    <row r="15635" spans="1:1" x14ac:dyDescent="0.55000000000000004">
      <c r="A15635" s="17"/>
    </row>
    <row r="15636" spans="1:1" x14ac:dyDescent="0.55000000000000004">
      <c r="A15636" s="17"/>
    </row>
    <row r="15637" spans="1:1" x14ac:dyDescent="0.55000000000000004">
      <c r="A15637" s="17"/>
    </row>
    <row r="15638" spans="1:1" x14ac:dyDescent="0.55000000000000004">
      <c r="A15638" s="17"/>
    </row>
    <row r="15639" spans="1:1" x14ac:dyDescent="0.55000000000000004">
      <c r="A15639" s="17"/>
    </row>
    <row r="15640" spans="1:1" x14ac:dyDescent="0.55000000000000004">
      <c r="A15640" s="17"/>
    </row>
    <row r="15641" spans="1:1" x14ac:dyDescent="0.55000000000000004">
      <c r="A15641" s="17"/>
    </row>
    <row r="15642" spans="1:1" x14ac:dyDescent="0.55000000000000004">
      <c r="A15642" s="17"/>
    </row>
    <row r="15643" spans="1:1" x14ac:dyDescent="0.55000000000000004">
      <c r="A15643" s="17"/>
    </row>
    <row r="15644" spans="1:1" x14ac:dyDescent="0.55000000000000004">
      <c r="A15644" s="17"/>
    </row>
    <row r="15645" spans="1:1" x14ac:dyDescent="0.55000000000000004">
      <c r="A15645" s="17"/>
    </row>
    <row r="15646" spans="1:1" x14ac:dyDescent="0.55000000000000004">
      <c r="A15646" s="17"/>
    </row>
    <row r="15647" spans="1:1" x14ac:dyDescent="0.55000000000000004">
      <c r="A15647" s="17"/>
    </row>
    <row r="15648" spans="1:1" x14ac:dyDescent="0.55000000000000004">
      <c r="A15648" s="17"/>
    </row>
    <row r="15649" spans="1:1" x14ac:dyDescent="0.55000000000000004">
      <c r="A15649" s="17"/>
    </row>
    <row r="15650" spans="1:1" x14ac:dyDescent="0.55000000000000004">
      <c r="A15650" s="17"/>
    </row>
    <row r="15651" spans="1:1" x14ac:dyDescent="0.55000000000000004">
      <c r="A15651" s="17"/>
    </row>
    <row r="15652" spans="1:1" x14ac:dyDescent="0.55000000000000004">
      <c r="A15652" s="17"/>
    </row>
    <row r="15653" spans="1:1" x14ac:dyDescent="0.55000000000000004">
      <c r="A15653" s="17"/>
    </row>
    <row r="15654" spans="1:1" x14ac:dyDescent="0.55000000000000004">
      <c r="A15654" s="17"/>
    </row>
    <row r="15655" spans="1:1" x14ac:dyDescent="0.55000000000000004">
      <c r="A15655" s="17"/>
    </row>
    <row r="15656" spans="1:1" x14ac:dyDescent="0.55000000000000004">
      <c r="A15656" s="17"/>
    </row>
    <row r="15657" spans="1:1" x14ac:dyDescent="0.55000000000000004">
      <c r="A15657" s="17"/>
    </row>
    <row r="15658" spans="1:1" x14ac:dyDescent="0.55000000000000004">
      <c r="A15658" s="17"/>
    </row>
    <row r="15659" spans="1:1" x14ac:dyDescent="0.55000000000000004">
      <c r="A15659" s="17"/>
    </row>
    <row r="15660" spans="1:1" x14ac:dyDescent="0.55000000000000004">
      <c r="A15660" s="17"/>
    </row>
    <row r="15661" spans="1:1" x14ac:dyDescent="0.55000000000000004">
      <c r="A15661" s="17"/>
    </row>
    <row r="15662" spans="1:1" x14ac:dyDescent="0.55000000000000004">
      <c r="A15662" s="17"/>
    </row>
    <row r="15663" spans="1:1" x14ac:dyDescent="0.55000000000000004">
      <c r="A15663" s="17"/>
    </row>
    <row r="15664" spans="1:1" x14ac:dyDescent="0.55000000000000004">
      <c r="A15664" s="17"/>
    </row>
    <row r="15665" spans="1:1" x14ac:dyDescent="0.55000000000000004">
      <c r="A15665" s="17"/>
    </row>
    <row r="15666" spans="1:1" x14ac:dyDescent="0.55000000000000004">
      <c r="A15666" s="17"/>
    </row>
    <row r="15667" spans="1:1" x14ac:dyDescent="0.55000000000000004">
      <c r="A15667" s="17"/>
    </row>
    <row r="15668" spans="1:1" x14ac:dyDescent="0.55000000000000004">
      <c r="A15668" s="17"/>
    </row>
    <row r="15669" spans="1:1" x14ac:dyDescent="0.55000000000000004">
      <c r="A15669" s="17"/>
    </row>
    <row r="15670" spans="1:1" x14ac:dyDescent="0.55000000000000004">
      <c r="A15670" s="17"/>
    </row>
    <row r="15671" spans="1:1" x14ac:dyDescent="0.55000000000000004">
      <c r="A15671" s="17"/>
    </row>
    <row r="15672" spans="1:1" x14ac:dyDescent="0.55000000000000004">
      <c r="A15672" s="17"/>
    </row>
    <row r="15673" spans="1:1" x14ac:dyDescent="0.55000000000000004">
      <c r="A15673" s="17"/>
    </row>
    <row r="15674" spans="1:1" x14ac:dyDescent="0.55000000000000004">
      <c r="A15674" s="17"/>
    </row>
    <row r="15675" spans="1:1" x14ac:dyDescent="0.55000000000000004">
      <c r="A15675" s="17"/>
    </row>
    <row r="15676" spans="1:1" x14ac:dyDescent="0.55000000000000004">
      <c r="A15676" s="17"/>
    </row>
    <row r="15677" spans="1:1" x14ac:dyDescent="0.55000000000000004">
      <c r="A15677" s="17"/>
    </row>
    <row r="15678" spans="1:1" x14ac:dyDescent="0.55000000000000004">
      <c r="A15678" s="17"/>
    </row>
    <row r="15679" spans="1:1" x14ac:dyDescent="0.55000000000000004">
      <c r="A15679" s="17"/>
    </row>
    <row r="15680" spans="1:1" x14ac:dyDescent="0.55000000000000004">
      <c r="A15680" s="17"/>
    </row>
    <row r="15681" spans="1:1" x14ac:dyDescent="0.55000000000000004">
      <c r="A15681" s="17"/>
    </row>
    <row r="15682" spans="1:1" x14ac:dyDescent="0.55000000000000004">
      <c r="A15682" s="17"/>
    </row>
    <row r="15683" spans="1:1" x14ac:dyDescent="0.55000000000000004">
      <c r="A15683" s="17"/>
    </row>
    <row r="15684" spans="1:1" x14ac:dyDescent="0.55000000000000004">
      <c r="A15684" s="17"/>
    </row>
    <row r="15685" spans="1:1" x14ac:dyDescent="0.55000000000000004">
      <c r="A15685" s="17"/>
    </row>
    <row r="15686" spans="1:1" x14ac:dyDescent="0.55000000000000004">
      <c r="A15686" s="17"/>
    </row>
    <row r="15687" spans="1:1" x14ac:dyDescent="0.55000000000000004">
      <c r="A15687" s="17"/>
    </row>
    <row r="15688" spans="1:1" x14ac:dyDescent="0.55000000000000004">
      <c r="A15688" s="17"/>
    </row>
    <row r="15689" spans="1:1" x14ac:dyDescent="0.55000000000000004">
      <c r="A15689" s="17"/>
    </row>
    <row r="15690" spans="1:1" x14ac:dyDescent="0.55000000000000004">
      <c r="A15690" s="17"/>
    </row>
    <row r="15691" spans="1:1" x14ac:dyDescent="0.55000000000000004">
      <c r="A15691" s="17"/>
    </row>
    <row r="15692" spans="1:1" x14ac:dyDescent="0.55000000000000004">
      <c r="A15692" s="17"/>
    </row>
    <row r="15693" spans="1:1" x14ac:dyDescent="0.55000000000000004">
      <c r="A15693" s="17"/>
    </row>
    <row r="15694" spans="1:1" x14ac:dyDescent="0.55000000000000004">
      <c r="A15694" s="17"/>
    </row>
    <row r="15695" spans="1:1" x14ac:dyDescent="0.55000000000000004">
      <c r="A15695" s="17"/>
    </row>
    <row r="15696" spans="1:1" x14ac:dyDescent="0.55000000000000004">
      <c r="A15696" s="17"/>
    </row>
    <row r="15697" spans="1:1" x14ac:dyDescent="0.55000000000000004">
      <c r="A15697" s="17"/>
    </row>
    <row r="15698" spans="1:1" x14ac:dyDescent="0.55000000000000004">
      <c r="A15698" s="17"/>
    </row>
    <row r="15699" spans="1:1" x14ac:dyDescent="0.55000000000000004">
      <c r="A15699" s="17"/>
    </row>
    <row r="15700" spans="1:1" x14ac:dyDescent="0.55000000000000004">
      <c r="A15700" s="17"/>
    </row>
    <row r="15701" spans="1:1" x14ac:dyDescent="0.55000000000000004">
      <c r="A15701" s="17"/>
    </row>
    <row r="15702" spans="1:1" x14ac:dyDescent="0.55000000000000004">
      <c r="A15702" s="17"/>
    </row>
    <row r="15703" spans="1:1" x14ac:dyDescent="0.55000000000000004">
      <c r="A15703" s="17"/>
    </row>
    <row r="15704" spans="1:1" x14ac:dyDescent="0.55000000000000004">
      <c r="A15704" s="17"/>
    </row>
    <row r="15705" spans="1:1" x14ac:dyDescent="0.55000000000000004">
      <c r="A15705" s="17"/>
    </row>
    <row r="15706" spans="1:1" x14ac:dyDescent="0.55000000000000004">
      <c r="A15706" s="17"/>
    </row>
    <row r="15707" spans="1:1" x14ac:dyDescent="0.55000000000000004">
      <c r="A15707" s="17"/>
    </row>
    <row r="15708" spans="1:1" x14ac:dyDescent="0.55000000000000004">
      <c r="A15708" s="17"/>
    </row>
    <row r="15709" spans="1:1" x14ac:dyDescent="0.55000000000000004">
      <c r="A15709" s="17"/>
    </row>
    <row r="15710" spans="1:1" x14ac:dyDescent="0.55000000000000004">
      <c r="A15710" s="17"/>
    </row>
    <row r="15711" spans="1:1" x14ac:dyDescent="0.55000000000000004">
      <c r="A15711" s="17"/>
    </row>
    <row r="15712" spans="1:1" x14ac:dyDescent="0.55000000000000004">
      <c r="A15712" s="17"/>
    </row>
    <row r="15713" spans="1:1" x14ac:dyDescent="0.55000000000000004">
      <c r="A15713" s="17"/>
    </row>
    <row r="15714" spans="1:1" x14ac:dyDescent="0.55000000000000004">
      <c r="A15714" s="17"/>
    </row>
    <row r="15715" spans="1:1" x14ac:dyDescent="0.55000000000000004">
      <c r="A15715" s="17"/>
    </row>
    <row r="15716" spans="1:1" x14ac:dyDescent="0.55000000000000004">
      <c r="A15716" s="17"/>
    </row>
    <row r="15717" spans="1:1" x14ac:dyDescent="0.55000000000000004">
      <c r="A15717" s="17"/>
    </row>
    <row r="15718" spans="1:1" x14ac:dyDescent="0.55000000000000004">
      <c r="A15718" s="17"/>
    </row>
    <row r="15719" spans="1:1" x14ac:dyDescent="0.55000000000000004">
      <c r="A15719" s="17"/>
    </row>
    <row r="15720" spans="1:1" x14ac:dyDescent="0.55000000000000004">
      <c r="A15720" s="17"/>
    </row>
    <row r="15721" spans="1:1" x14ac:dyDescent="0.55000000000000004">
      <c r="A15721" s="17"/>
    </row>
    <row r="15722" spans="1:1" x14ac:dyDescent="0.55000000000000004">
      <c r="A15722" s="17"/>
    </row>
    <row r="15723" spans="1:1" x14ac:dyDescent="0.55000000000000004">
      <c r="A15723" s="17"/>
    </row>
    <row r="15724" spans="1:1" x14ac:dyDescent="0.55000000000000004">
      <c r="A15724" s="17"/>
    </row>
    <row r="15725" spans="1:1" x14ac:dyDescent="0.55000000000000004">
      <c r="A15725" s="17"/>
    </row>
    <row r="15726" spans="1:1" x14ac:dyDescent="0.55000000000000004">
      <c r="A15726" s="17"/>
    </row>
    <row r="15727" spans="1:1" x14ac:dyDescent="0.55000000000000004">
      <c r="A15727" s="17"/>
    </row>
    <row r="15728" spans="1:1" x14ac:dyDescent="0.55000000000000004">
      <c r="A15728" s="17"/>
    </row>
    <row r="15729" spans="1:1" x14ac:dyDescent="0.55000000000000004">
      <c r="A15729" s="17"/>
    </row>
    <row r="15730" spans="1:1" x14ac:dyDescent="0.55000000000000004">
      <c r="A15730" s="17"/>
    </row>
    <row r="15731" spans="1:1" x14ac:dyDescent="0.55000000000000004">
      <c r="A15731" s="17"/>
    </row>
    <row r="15732" spans="1:1" x14ac:dyDescent="0.55000000000000004">
      <c r="A15732" s="17"/>
    </row>
    <row r="15733" spans="1:1" x14ac:dyDescent="0.55000000000000004">
      <c r="A15733" s="17"/>
    </row>
    <row r="15734" spans="1:1" x14ac:dyDescent="0.55000000000000004">
      <c r="A15734" s="17"/>
    </row>
    <row r="15735" spans="1:1" x14ac:dyDescent="0.55000000000000004">
      <c r="A15735" s="17"/>
    </row>
    <row r="15736" spans="1:1" x14ac:dyDescent="0.55000000000000004">
      <c r="A15736" s="17"/>
    </row>
    <row r="15737" spans="1:1" x14ac:dyDescent="0.55000000000000004">
      <c r="A15737" s="17"/>
    </row>
    <row r="15738" spans="1:1" x14ac:dyDescent="0.55000000000000004">
      <c r="A15738" s="17"/>
    </row>
    <row r="15739" spans="1:1" x14ac:dyDescent="0.55000000000000004">
      <c r="A15739" s="17"/>
    </row>
    <row r="15740" spans="1:1" x14ac:dyDescent="0.55000000000000004">
      <c r="A15740" s="17"/>
    </row>
    <row r="15741" spans="1:1" x14ac:dyDescent="0.55000000000000004">
      <c r="A15741" s="17"/>
    </row>
    <row r="15742" spans="1:1" x14ac:dyDescent="0.55000000000000004">
      <c r="A15742" s="17"/>
    </row>
    <row r="15743" spans="1:1" x14ac:dyDescent="0.55000000000000004">
      <c r="A15743" s="17"/>
    </row>
    <row r="15744" spans="1:1" x14ac:dyDescent="0.55000000000000004">
      <c r="A15744" s="17"/>
    </row>
    <row r="15745" spans="1:1" x14ac:dyDescent="0.55000000000000004">
      <c r="A15745" s="17"/>
    </row>
    <row r="15746" spans="1:1" x14ac:dyDescent="0.55000000000000004">
      <c r="A15746" s="17"/>
    </row>
    <row r="15747" spans="1:1" x14ac:dyDescent="0.55000000000000004">
      <c r="A15747" s="17"/>
    </row>
    <row r="15748" spans="1:1" x14ac:dyDescent="0.55000000000000004">
      <c r="A15748" s="17"/>
    </row>
    <row r="15749" spans="1:1" x14ac:dyDescent="0.55000000000000004">
      <c r="A15749" s="17"/>
    </row>
    <row r="15750" spans="1:1" x14ac:dyDescent="0.55000000000000004">
      <c r="A15750" s="17"/>
    </row>
    <row r="15751" spans="1:1" x14ac:dyDescent="0.55000000000000004">
      <c r="A15751" s="17"/>
    </row>
    <row r="15752" spans="1:1" x14ac:dyDescent="0.55000000000000004">
      <c r="A15752" s="17"/>
    </row>
    <row r="15753" spans="1:1" x14ac:dyDescent="0.55000000000000004">
      <c r="A15753" s="17"/>
    </row>
    <row r="15754" spans="1:1" x14ac:dyDescent="0.55000000000000004">
      <c r="A15754" s="17"/>
    </row>
    <row r="15755" spans="1:1" x14ac:dyDescent="0.55000000000000004">
      <c r="A15755" s="17"/>
    </row>
    <row r="15756" spans="1:1" x14ac:dyDescent="0.55000000000000004">
      <c r="A15756" s="17"/>
    </row>
    <row r="15757" spans="1:1" x14ac:dyDescent="0.55000000000000004">
      <c r="A15757" s="17"/>
    </row>
    <row r="15758" spans="1:1" x14ac:dyDescent="0.55000000000000004">
      <c r="A15758" s="17"/>
    </row>
    <row r="15759" spans="1:1" x14ac:dyDescent="0.55000000000000004">
      <c r="A15759" s="17"/>
    </row>
    <row r="15760" spans="1:1" x14ac:dyDescent="0.55000000000000004">
      <c r="A15760" s="17"/>
    </row>
    <row r="15761" spans="1:1" x14ac:dyDescent="0.55000000000000004">
      <c r="A15761" s="17"/>
    </row>
    <row r="15762" spans="1:1" x14ac:dyDescent="0.55000000000000004">
      <c r="A15762" s="17"/>
    </row>
    <row r="15763" spans="1:1" x14ac:dyDescent="0.55000000000000004">
      <c r="A15763" s="17"/>
    </row>
    <row r="15764" spans="1:1" x14ac:dyDescent="0.55000000000000004">
      <c r="A15764" s="17"/>
    </row>
    <row r="15765" spans="1:1" x14ac:dyDescent="0.55000000000000004">
      <c r="A15765" s="17"/>
    </row>
    <row r="15766" spans="1:1" x14ac:dyDescent="0.55000000000000004">
      <c r="A15766" s="17"/>
    </row>
    <row r="15767" spans="1:1" x14ac:dyDescent="0.55000000000000004">
      <c r="A15767" s="17"/>
    </row>
    <row r="15768" spans="1:1" x14ac:dyDescent="0.55000000000000004">
      <c r="A15768" s="17"/>
    </row>
    <row r="15769" spans="1:1" x14ac:dyDescent="0.55000000000000004">
      <c r="A15769" s="17"/>
    </row>
    <row r="15770" spans="1:1" x14ac:dyDescent="0.55000000000000004">
      <c r="A15770" s="17"/>
    </row>
    <row r="15771" spans="1:1" x14ac:dyDescent="0.55000000000000004">
      <c r="A15771" s="17"/>
    </row>
    <row r="15772" spans="1:1" x14ac:dyDescent="0.55000000000000004">
      <c r="A15772" s="17"/>
    </row>
    <row r="15773" spans="1:1" x14ac:dyDescent="0.55000000000000004">
      <c r="A15773" s="17"/>
    </row>
    <row r="15774" spans="1:1" x14ac:dyDescent="0.55000000000000004">
      <c r="A15774" s="17"/>
    </row>
    <row r="15775" spans="1:1" x14ac:dyDescent="0.55000000000000004">
      <c r="A15775" s="17"/>
    </row>
    <row r="15776" spans="1:1" x14ac:dyDescent="0.55000000000000004">
      <c r="A15776" s="17"/>
    </row>
    <row r="15777" spans="1:1" x14ac:dyDescent="0.55000000000000004">
      <c r="A15777" s="17"/>
    </row>
    <row r="15778" spans="1:1" x14ac:dyDescent="0.55000000000000004">
      <c r="A15778" s="17"/>
    </row>
    <row r="15779" spans="1:1" x14ac:dyDescent="0.55000000000000004">
      <c r="A15779" s="17"/>
    </row>
    <row r="15780" spans="1:1" x14ac:dyDescent="0.55000000000000004">
      <c r="A15780" s="17"/>
    </row>
    <row r="15781" spans="1:1" x14ac:dyDescent="0.55000000000000004">
      <c r="A15781" s="17"/>
    </row>
    <row r="15782" spans="1:1" x14ac:dyDescent="0.55000000000000004">
      <c r="A15782" s="17"/>
    </row>
    <row r="15783" spans="1:1" x14ac:dyDescent="0.55000000000000004">
      <c r="A15783" s="17"/>
    </row>
    <row r="15784" spans="1:1" x14ac:dyDescent="0.55000000000000004">
      <c r="A15784" s="17"/>
    </row>
    <row r="15785" spans="1:1" x14ac:dyDescent="0.55000000000000004">
      <c r="A15785" s="17"/>
    </row>
    <row r="15786" spans="1:1" x14ac:dyDescent="0.55000000000000004">
      <c r="A15786" s="17"/>
    </row>
    <row r="15787" spans="1:1" x14ac:dyDescent="0.55000000000000004">
      <c r="A15787" s="17"/>
    </row>
    <row r="15788" spans="1:1" x14ac:dyDescent="0.55000000000000004">
      <c r="A15788" s="17"/>
    </row>
    <row r="15789" spans="1:1" x14ac:dyDescent="0.55000000000000004">
      <c r="A15789" s="17"/>
    </row>
    <row r="15790" spans="1:1" x14ac:dyDescent="0.55000000000000004">
      <c r="A15790" s="17"/>
    </row>
    <row r="15791" spans="1:1" x14ac:dyDescent="0.55000000000000004">
      <c r="A15791" s="17"/>
    </row>
    <row r="15792" spans="1:1" x14ac:dyDescent="0.55000000000000004">
      <c r="A15792" s="17"/>
    </row>
    <row r="15793" spans="1:1" x14ac:dyDescent="0.55000000000000004">
      <c r="A15793" s="17"/>
    </row>
    <row r="15794" spans="1:1" x14ac:dyDescent="0.55000000000000004">
      <c r="A15794" s="17"/>
    </row>
    <row r="15795" spans="1:1" x14ac:dyDescent="0.55000000000000004">
      <c r="A15795" s="17"/>
    </row>
    <row r="15796" spans="1:1" x14ac:dyDescent="0.55000000000000004">
      <c r="A15796" s="17"/>
    </row>
    <row r="15797" spans="1:1" x14ac:dyDescent="0.55000000000000004">
      <c r="A15797" s="17"/>
    </row>
    <row r="15798" spans="1:1" x14ac:dyDescent="0.55000000000000004">
      <c r="A15798" s="17"/>
    </row>
    <row r="15799" spans="1:1" x14ac:dyDescent="0.55000000000000004">
      <c r="A15799" s="17"/>
    </row>
    <row r="15800" spans="1:1" x14ac:dyDescent="0.55000000000000004">
      <c r="A15800" s="17"/>
    </row>
    <row r="15801" spans="1:1" x14ac:dyDescent="0.55000000000000004">
      <c r="A15801" s="17"/>
    </row>
    <row r="15802" spans="1:1" x14ac:dyDescent="0.55000000000000004">
      <c r="A15802" s="17"/>
    </row>
    <row r="15803" spans="1:1" x14ac:dyDescent="0.55000000000000004">
      <c r="A15803" s="17"/>
    </row>
    <row r="15804" spans="1:1" x14ac:dyDescent="0.55000000000000004">
      <c r="A15804" s="17"/>
    </row>
    <row r="15805" spans="1:1" x14ac:dyDescent="0.55000000000000004">
      <c r="A15805" s="17"/>
    </row>
    <row r="15806" spans="1:1" x14ac:dyDescent="0.55000000000000004">
      <c r="A15806" s="17"/>
    </row>
    <row r="15807" spans="1:1" x14ac:dyDescent="0.55000000000000004">
      <c r="A15807" s="17"/>
    </row>
    <row r="15808" spans="1:1" x14ac:dyDescent="0.55000000000000004">
      <c r="A15808" s="17"/>
    </row>
    <row r="15809" spans="1:1" x14ac:dyDescent="0.55000000000000004">
      <c r="A15809" s="17"/>
    </row>
    <row r="15810" spans="1:1" x14ac:dyDescent="0.55000000000000004">
      <c r="A15810" s="17"/>
    </row>
    <row r="15811" spans="1:1" x14ac:dyDescent="0.55000000000000004">
      <c r="A15811" s="17"/>
    </row>
    <row r="15812" spans="1:1" x14ac:dyDescent="0.55000000000000004">
      <c r="A15812" s="17"/>
    </row>
    <row r="15813" spans="1:1" x14ac:dyDescent="0.55000000000000004">
      <c r="A15813" s="17"/>
    </row>
    <row r="15814" spans="1:1" x14ac:dyDescent="0.55000000000000004">
      <c r="A15814" s="17"/>
    </row>
    <row r="15815" spans="1:1" x14ac:dyDescent="0.55000000000000004">
      <c r="A15815" s="17"/>
    </row>
    <row r="15816" spans="1:1" x14ac:dyDescent="0.55000000000000004">
      <c r="A15816" s="17"/>
    </row>
    <row r="15817" spans="1:1" x14ac:dyDescent="0.55000000000000004">
      <c r="A15817" s="17"/>
    </row>
    <row r="15818" spans="1:1" x14ac:dyDescent="0.55000000000000004">
      <c r="A15818" s="17"/>
    </row>
    <row r="15819" spans="1:1" x14ac:dyDescent="0.55000000000000004">
      <c r="A15819" s="17"/>
    </row>
    <row r="15820" spans="1:1" x14ac:dyDescent="0.55000000000000004">
      <c r="A15820" s="17"/>
    </row>
    <row r="15821" spans="1:1" x14ac:dyDescent="0.55000000000000004">
      <c r="A15821" s="17"/>
    </row>
    <row r="15822" spans="1:1" x14ac:dyDescent="0.55000000000000004">
      <c r="A15822" s="17"/>
    </row>
    <row r="15823" spans="1:1" x14ac:dyDescent="0.55000000000000004">
      <c r="A15823" s="17"/>
    </row>
    <row r="15824" spans="1:1" x14ac:dyDescent="0.55000000000000004">
      <c r="A15824" s="17"/>
    </row>
    <row r="15825" spans="1:1" x14ac:dyDescent="0.55000000000000004">
      <c r="A15825" s="17"/>
    </row>
    <row r="15826" spans="1:1" x14ac:dyDescent="0.55000000000000004">
      <c r="A15826" s="17"/>
    </row>
    <row r="15827" spans="1:1" x14ac:dyDescent="0.55000000000000004">
      <c r="A15827" s="17"/>
    </row>
    <row r="15828" spans="1:1" x14ac:dyDescent="0.55000000000000004">
      <c r="A15828" s="17"/>
    </row>
    <row r="15829" spans="1:1" x14ac:dyDescent="0.55000000000000004">
      <c r="A15829" s="17"/>
    </row>
    <row r="15830" spans="1:1" x14ac:dyDescent="0.55000000000000004">
      <c r="A15830" s="17"/>
    </row>
    <row r="15831" spans="1:1" x14ac:dyDescent="0.55000000000000004">
      <c r="A15831" s="17"/>
    </row>
    <row r="15832" spans="1:1" x14ac:dyDescent="0.55000000000000004">
      <c r="A15832" s="17"/>
    </row>
    <row r="15833" spans="1:1" x14ac:dyDescent="0.55000000000000004">
      <c r="A15833" s="17"/>
    </row>
    <row r="15834" spans="1:1" x14ac:dyDescent="0.55000000000000004">
      <c r="A15834" s="17"/>
    </row>
    <row r="15835" spans="1:1" x14ac:dyDescent="0.55000000000000004">
      <c r="A15835" s="17"/>
    </row>
    <row r="15836" spans="1:1" x14ac:dyDescent="0.55000000000000004">
      <c r="A15836" s="17"/>
    </row>
    <row r="15837" spans="1:1" x14ac:dyDescent="0.55000000000000004">
      <c r="A15837" s="17"/>
    </row>
    <row r="15838" spans="1:1" x14ac:dyDescent="0.55000000000000004">
      <c r="A15838" s="17"/>
    </row>
    <row r="15839" spans="1:1" x14ac:dyDescent="0.55000000000000004">
      <c r="A15839" s="17"/>
    </row>
    <row r="15840" spans="1:1" x14ac:dyDescent="0.55000000000000004">
      <c r="A15840" s="17"/>
    </row>
    <row r="15841" spans="1:1" x14ac:dyDescent="0.55000000000000004">
      <c r="A15841" s="17"/>
    </row>
    <row r="15842" spans="1:1" x14ac:dyDescent="0.55000000000000004">
      <c r="A15842" s="17"/>
    </row>
    <row r="15843" spans="1:1" x14ac:dyDescent="0.55000000000000004">
      <c r="A15843" s="17"/>
    </row>
    <row r="15844" spans="1:1" x14ac:dyDescent="0.55000000000000004">
      <c r="A15844" s="17"/>
    </row>
    <row r="15845" spans="1:1" x14ac:dyDescent="0.55000000000000004">
      <c r="A15845" s="17"/>
    </row>
    <row r="15846" spans="1:1" x14ac:dyDescent="0.55000000000000004">
      <c r="A15846" s="17"/>
    </row>
    <row r="15847" spans="1:1" x14ac:dyDescent="0.55000000000000004">
      <c r="A15847" s="17"/>
    </row>
    <row r="15848" spans="1:1" x14ac:dyDescent="0.55000000000000004">
      <c r="A15848" s="17"/>
    </row>
    <row r="15849" spans="1:1" x14ac:dyDescent="0.55000000000000004">
      <c r="A15849" s="17"/>
    </row>
    <row r="15850" spans="1:1" x14ac:dyDescent="0.55000000000000004">
      <c r="A15850" s="17"/>
    </row>
    <row r="15851" spans="1:1" x14ac:dyDescent="0.55000000000000004">
      <c r="A15851" s="17"/>
    </row>
    <row r="15852" spans="1:1" x14ac:dyDescent="0.55000000000000004">
      <c r="A15852" s="17"/>
    </row>
    <row r="15853" spans="1:1" x14ac:dyDescent="0.55000000000000004">
      <c r="A15853" s="17"/>
    </row>
    <row r="15854" spans="1:1" x14ac:dyDescent="0.55000000000000004">
      <c r="A15854" s="17"/>
    </row>
    <row r="15855" spans="1:1" x14ac:dyDescent="0.55000000000000004">
      <c r="A15855" s="17"/>
    </row>
    <row r="15856" spans="1:1" x14ac:dyDescent="0.55000000000000004">
      <c r="A15856" s="17"/>
    </row>
    <row r="15857" spans="1:1" x14ac:dyDescent="0.55000000000000004">
      <c r="A15857" s="17"/>
    </row>
    <row r="15858" spans="1:1" x14ac:dyDescent="0.55000000000000004">
      <c r="A15858" s="17"/>
    </row>
    <row r="15859" spans="1:1" x14ac:dyDescent="0.55000000000000004">
      <c r="A15859" s="17"/>
    </row>
    <row r="15860" spans="1:1" x14ac:dyDescent="0.55000000000000004">
      <c r="A15860" s="17"/>
    </row>
    <row r="15861" spans="1:1" x14ac:dyDescent="0.55000000000000004">
      <c r="A15861" s="17"/>
    </row>
    <row r="15862" spans="1:1" x14ac:dyDescent="0.55000000000000004">
      <c r="A15862" s="17"/>
    </row>
    <row r="15863" spans="1:1" x14ac:dyDescent="0.55000000000000004">
      <c r="A15863" s="17"/>
    </row>
    <row r="15864" spans="1:1" x14ac:dyDescent="0.55000000000000004">
      <c r="A15864" s="17"/>
    </row>
    <row r="15865" spans="1:1" x14ac:dyDescent="0.55000000000000004">
      <c r="A15865" s="17"/>
    </row>
    <row r="15866" spans="1:1" x14ac:dyDescent="0.55000000000000004">
      <c r="A15866" s="17"/>
    </row>
    <row r="15867" spans="1:1" x14ac:dyDescent="0.55000000000000004">
      <c r="A15867" s="17"/>
    </row>
    <row r="15868" spans="1:1" x14ac:dyDescent="0.55000000000000004">
      <c r="A15868" s="17"/>
    </row>
    <row r="15869" spans="1:1" x14ac:dyDescent="0.55000000000000004">
      <c r="A15869" s="17"/>
    </row>
    <row r="15870" spans="1:1" x14ac:dyDescent="0.55000000000000004">
      <c r="A15870" s="17"/>
    </row>
    <row r="15871" spans="1:1" x14ac:dyDescent="0.55000000000000004">
      <c r="A15871" s="17"/>
    </row>
    <row r="15872" spans="1:1" x14ac:dyDescent="0.55000000000000004">
      <c r="A15872" s="17"/>
    </row>
    <row r="15873" spans="1:1" x14ac:dyDescent="0.55000000000000004">
      <c r="A15873" s="17"/>
    </row>
    <row r="15874" spans="1:1" x14ac:dyDescent="0.55000000000000004">
      <c r="A15874" s="17"/>
    </row>
    <row r="15875" spans="1:1" x14ac:dyDescent="0.55000000000000004">
      <c r="A15875" s="17"/>
    </row>
    <row r="15876" spans="1:1" x14ac:dyDescent="0.55000000000000004">
      <c r="A15876" s="17"/>
    </row>
    <row r="15877" spans="1:1" x14ac:dyDescent="0.55000000000000004">
      <c r="A15877" s="17"/>
    </row>
    <row r="15878" spans="1:1" x14ac:dyDescent="0.55000000000000004">
      <c r="A15878" s="17"/>
    </row>
    <row r="15879" spans="1:1" x14ac:dyDescent="0.55000000000000004">
      <c r="A15879" s="17"/>
    </row>
    <row r="15880" spans="1:1" x14ac:dyDescent="0.55000000000000004">
      <c r="A15880" s="17"/>
    </row>
    <row r="15881" spans="1:1" x14ac:dyDescent="0.55000000000000004">
      <c r="A15881" s="17"/>
    </row>
    <row r="15882" spans="1:1" x14ac:dyDescent="0.55000000000000004">
      <c r="A15882" s="17"/>
    </row>
    <row r="15883" spans="1:1" x14ac:dyDescent="0.55000000000000004">
      <c r="A15883" s="17"/>
    </row>
    <row r="15884" spans="1:1" x14ac:dyDescent="0.55000000000000004">
      <c r="A15884" s="17"/>
    </row>
    <row r="15885" spans="1:1" x14ac:dyDescent="0.55000000000000004">
      <c r="A15885" s="17"/>
    </row>
    <row r="15886" spans="1:1" x14ac:dyDescent="0.55000000000000004">
      <c r="A15886" s="17"/>
    </row>
    <row r="15887" spans="1:1" x14ac:dyDescent="0.55000000000000004">
      <c r="A15887" s="17"/>
    </row>
    <row r="15888" spans="1:1" x14ac:dyDescent="0.55000000000000004">
      <c r="A15888" s="17"/>
    </row>
    <row r="15889" spans="1:1" x14ac:dyDescent="0.55000000000000004">
      <c r="A15889" s="17"/>
    </row>
    <row r="15890" spans="1:1" x14ac:dyDescent="0.55000000000000004">
      <c r="A15890" s="17"/>
    </row>
    <row r="15891" spans="1:1" x14ac:dyDescent="0.55000000000000004">
      <c r="A15891" s="17"/>
    </row>
    <row r="15892" spans="1:1" x14ac:dyDescent="0.55000000000000004">
      <c r="A15892" s="17"/>
    </row>
    <row r="15893" spans="1:1" x14ac:dyDescent="0.55000000000000004">
      <c r="A15893" s="17"/>
    </row>
    <row r="15894" spans="1:1" x14ac:dyDescent="0.55000000000000004">
      <c r="A15894" s="17"/>
    </row>
    <row r="15895" spans="1:1" x14ac:dyDescent="0.55000000000000004">
      <c r="A15895" s="17"/>
    </row>
    <row r="15896" spans="1:1" x14ac:dyDescent="0.55000000000000004">
      <c r="A15896" s="17"/>
    </row>
    <row r="15897" spans="1:1" x14ac:dyDescent="0.55000000000000004">
      <c r="A15897" s="17"/>
    </row>
    <row r="15898" spans="1:1" x14ac:dyDescent="0.55000000000000004">
      <c r="A15898" s="17"/>
    </row>
    <row r="15899" spans="1:1" x14ac:dyDescent="0.55000000000000004">
      <c r="A15899" s="17"/>
    </row>
    <row r="15900" spans="1:1" x14ac:dyDescent="0.55000000000000004">
      <c r="A15900" s="17"/>
    </row>
    <row r="15901" spans="1:1" x14ac:dyDescent="0.55000000000000004">
      <c r="A15901" s="17"/>
    </row>
    <row r="15902" spans="1:1" x14ac:dyDescent="0.55000000000000004">
      <c r="A15902" s="17"/>
    </row>
    <row r="15903" spans="1:1" x14ac:dyDescent="0.55000000000000004">
      <c r="A15903" s="17"/>
    </row>
    <row r="15904" spans="1:1" x14ac:dyDescent="0.55000000000000004">
      <c r="A15904" s="17"/>
    </row>
    <row r="15905" spans="1:1" x14ac:dyDescent="0.55000000000000004">
      <c r="A15905" s="17"/>
    </row>
    <row r="15906" spans="1:1" x14ac:dyDescent="0.55000000000000004">
      <c r="A15906" s="17"/>
    </row>
    <row r="15907" spans="1:1" x14ac:dyDescent="0.55000000000000004">
      <c r="A15907" s="17"/>
    </row>
    <row r="15908" spans="1:1" x14ac:dyDescent="0.55000000000000004">
      <c r="A15908" s="17"/>
    </row>
    <row r="15909" spans="1:1" x14ac:dyDescent="0.55000000000000004">
      <c r="A15909" s="17"/>
    </row>
    <row r="15910" spans="1:1" x14ac:dyDescent="0.55000000000000004">
      <c r="A15910" s="17"/>
    </row>
    <row r="15911" spans="1:1" x14ac:dyDescent="0.55000000000000004">
      <c r="A15911" s="17"/>
    </row>
    <row r="15912" spans="1:1" x14ac:dyDescent="0.55000000000000004">
      <c r="A15912" s="17"/>
    </row>
    <row r="15913" spans="1:1" x14ac:dyDescent="0.55000000000000004">
      <c r="A15913" s="17"/>
    </row>
    <row r="15914" spans="1:1" x14ac:dyDescent="0.55000000000000004">
      <c r="A15914" s="17"/>
    </row>
    <row r="15915" spans="1:1" x14ac:dyDescent="0.55000000000000004">
      <c r="A15915" s="17"/>
    </row>
    <row r="15916" spans="1:1" x14ac:dyDescent="0.55000000000000004">
      <c r="A15916" s="17"/>
    </row>
    <row r="15917" spans="1:1" x14ac:dyDescent="0.55000000000000004">
      <c r="A15917" s="17"/>
    </row>
    <row r="15918" spans="1:1" x14ac:dyDescent="0.55000000000000004">
      <c r="A15918" s="17"/>
    </row>
    <row r="15919" spans="1:1" x14ac:dyDescent="0.55000000000000004">
      <c r="A15919" s="17"/>
    </row>
    <row r="15920" spans="1:1" x14ac:dyDescent="0.55000000000000004">
      <c r="A15920" s="17"/>
    </row>
    <row r="15921" spans="1:1" x14ac:dyDescent="0.55000000000000004">
      <c r="A15921" s="17"/>
    </row>
    <row r="15922" spans="1:1" x14ac:dyDescent="0.55000000000000004">
      <c r="A15922" s="17"/>
    </row>
    <row r="15923" spans="1:1" x14ac:dyDescent="0.55000000000000004">
      <c r="A15923" s="17"/>
    </row>
    <row r="15924" spans="1:1" x14ac:dyDescent="0.55000000000000004">
      <c r="A15924" s="17"/>
    </row>
    <row r="15925" spans="1:1" x14ac:dyDescent="0.55000000000000004">
      <c r="A15925" s="17"/>
    </row>
    <row r="15926" spans="1:1" x14ac:dyDescent="0.55000000000000004">
      <c r="A15926" s="17"/>
    </row>
    <row r="15927" spans="1:1" x14ac:dyDescent="0.55000000000000004">
      <c r="A15927" s="17"/>
    </row>
    <row r="15928" spans="1:1" x14ac:dyDescent="0.55000000000000004">
      <c r="A15928" s="17"/>
    </row>
    <row r="15929" spans="1:1" x14ac:dyDescent="0.55000000000000004">
      <c r="A15929" s="17"/>
    </row>
    <row r="15930" spans="1:1" x14ac:dyDescent="0.55000000000000004">
      <c r="A15930" s="17"/>
    </row>
    <row r="15931" spans="1:1" x14ac:dyDescent="0.55000000000000004">
      <c r="A15931" s="17"/>
    </row>
    <row r="15932" spans="1:1" x14ac:dyDescent="0.55000000000000004">
      <c r="A15932" s="17"/>
    </row>
    <row r="15933" spans="1:1" x14ac:dyDescent="0.55000000000000004">
      <c r="A15933" s="17"/>
    </row>
    <row r="15934" spans="1:1" x14ac:dyDescent="0.55000000000000004">
      <c r="A15934" s="17"/>
    </row>
    <row r="15935" spans="1:1" x14ac:dyDescent="0.55000000000000004">
      <c r="A15935" s="17"/>
    </row>
    <row r="15936" spans="1:1" x14ac:dyDescent="0.55000000000000004">
      <c r="A15936" s="17"/>
    </row>
    <row r="15937" spans="1:1" x14ac:dyDescent="0.55000000000000004">
      <c r="A15937" s="17"/>
    </row>
    <row r="15938" spans="1:1" x14ac:dyDescent="0.55000000000000004">
      <c r="A15938" s="17"/>
    </row>
    <row r="15939" spans="1:1" x14ac:dyDescent="0.55000000000000004">
      <c r="A15939" s="17"/>
    </row>
    <row r="15940" spans="1:1" x14ac:dyDescent="0.55000000000000004">
      <c r="A15940" s="17"/>
    </row>
    <row r="15941" spans="1:1" x14ac:dyDescent="0.55000000000000004">
      <c r="A15941" s="17"/>
    </row>
    <row r="15942" spans="1:1" x14ac:dyDescent="0.55000000000000004">
      <c r="A15942" s="17"/>
    </row>
    <row r="15943" spans="1:1" x14ac:dyDescent="0.55000000000000004">
      <c r="A15943" s="17"/>
    </row>
    <row r="15944" spans="1:1" x14ac:dyDescent="0.55000000000000004">
      <c r="A15944" s="17"/>
    </row>
    <row r="15945" spans="1:1" x14ac:dyDescent="0.55000000000000004">
      <c r="A15945" s="17"/>
    </row>
    <row r="15946" spans="1:1" x14ac:dyDescent="0.55000000000000004">
      <c r="A15946" s="17"/>
    </row>
    <row r="15947" spans="1:1" x14ac:dyDescent="0.55000000000000004">
      <c r="A15947" s="17"/>
    </row>
    <row r="15948" spans="1:1" x14ac:dyDescent="0.55000000000000004">
      <c r="A15948" s="17"/>
    </row>
    <row r="15949" spans="1:1" x14ac:dyDescent="0.55000000000000004">
      <c r="A15949" s="17"/>
    </row>
    <row r="15950" spans="1:1" x14ac:dyDescent="0.55000000000000004">
      <c r="A15950" s="17"/>
    </row>
    <row r="15951" spans="1:1" x14ac:dyDescent="0.55000000000000004">
      <c r="A15951" s="17"/>
    </row>
    <row r="15952" spans="1:1" x14ac:dyDescent="0.55000000000000004">
      <c r="A15952" s="17"/>
    </row>
    <row r="15953" spans="1:1" x14ac:dyDescent="0.55000000000000004">
      <c r="A15953" s="17"/>
    </row>
    <row r="15954" spans="1:1" x14ac:dyDescent="0.55000000000000004">
      <c r="A15954" s="17"/>
    </row>
    <row r="15955" spans="1:1" x14ac:dyDescent="0.55000000000000004">
      <c r="A15955" s="17"/>
    </row>
    <row r="15956" spans="1:1" x14ac:dyDescent="0.55000000000000004">
      <c r="A15956" s="17"/>
    </row>
    <row r="15957" spans="1:1" x14ac:dyDescent="0.55000000000000004">
      <c r="A15957" s="17"/>
    </row>
    <row r="15958" spans="1:1" x14ac:dyDescent="0.55000000000000004">
      <c r="A15958" s="17"/>
    </row>
    <row r="15959" spans="1:1" x14ac:dyDescent="0.55000000000000004">
      <c r="A15959" s="17"/>
    </row>
    <row r="15960" spans="1:1" x14ac:dyDescent="0.55000000000000004">
      <c r="A15960" s="17"/>
    </row>
    <row r="15961" spans="1:1" x14ac:dyDescent="0.55000000000000004">
      <c r="A15961" s="17"/>
    </row>
    <row r="15962" spans="1:1" x14ac:dyDescent="0.55000000000000004">
      <c r="A15962" s="17"/>
    </row>
    <row r="15963" spans="1:1" x14ac:dyDescent="0.55000000000000004">
      <c r="A15963" s="17"/>
    </row>
    <row r="15964" spans="1:1" x14ac:dyDescent="0.55000000000000004">
      <c r="A15964" s="17"/>
    </row>
    <row r="15965" spans="1:1" x14ac:dyDescent="0.55000000000000004">
      <c r="A15965" s="17"/>
    </row>
    <row r="15966" spans="1:1" x14ac:dyDescent="0.55000000000000004">
      <c r="A15966" s="17"/>
    </row>
    <row r="15967" spans="1:1" x14ac:dyDescent="0.55000000000000004">
      <c r="A15967" s="17"/>
    </row>
    <row r="15968" spans="1:1" x14ac:dyDescent="0.55000000000000004">
      <c r="A15968" s="17"/>
    </row>
    <row r="15969" spans="1:1" x14ac:dyDescent="0.55000000000000004">
      <c r="A15969" s="17"/>
    </row>
    <row r="15970" spans="1:1" x14ac:dyDescent="0.55000000000000004">
      <c r="A15970" s="17"/>
    </row>
    <row r="15971" spans="1:1" x14ac:dyDescent="0.55000000000000004">
      <c r="A15971" s="17"/>
    </row>
    <row r="15972" spans="1:1" x14ac:dyDescent="0.55000000000000004">
      <c r="A15972" s="17"/>
    </row>
    <row r="15973" spans="1:1" x14ac:dyDescent="0.55000000000000004">
      <c r="A15973" s="17"/>
    </row>
    <row r="15974" spans="1:1" x14ac:dyDescent="0.55000000000000004">
      <c r="A15974" s="17"/>
    </row>
    <row r="15975" spans="1:1" x14ac:dyDescent="0.55000000000000004">
      <c r="A15975" s="17"/>
    </row>
    <row r="15976" spans="1:1" x14ac:dyDescent="0.55000000000000004">
      <c r="A15976" s="17"/>
    </row>
    <row r="15977" spans="1:1" x14ac:dyDescent="0.55000000000000004">
      <c r="A15977" s="17"/>
    </row>
    <row r="15978" spans="1:1" x14ac:dyDescent="0.55000000000000004">
      <c r="A15978" s="17"/>
    </row>
    <row r="15979" spans="1:1" x14ac:dyDescent="0.55000000000000004">
      <c r="A15979" s="17"/>
    </row>
    <row r="15980" spans="1:1" x14ac:dyDescent="0.55000000000000004">
      <c r="A15980" s="17"/>
    </row>
    <row r="15981" spans="1:1" x14ac:dyDescent="0.55000000000000004">
      <c r="A15981" s="17"/>
    </row>
    <row r="15982" spans="1:1" x14ac:dyDescent="0.55000000000000004">
      <c r="A15982" s="17"/>
    </row>
    <row r="15983" spans="1:1" x14ac:dyDescent="0.55000000000000004">
      <c r="A15983" s="17"/>
    </row>
    <row r="15984" spans="1:1" x14ac:dyDescent="0.55000000000000004">
      <c r="A15984" s="17"/>
    </row>
    <row r="15985" spans="1:1" x14ac:dyDescent="0.55000000000000004">
      <c r="A15985" s="17"/>
    </row>
    <row r="15986" spans="1:1" x14ac:dyDescent="0.55000000000000004">
      <c r="A15986" s="17"/>
    </row>
    <row r="15987" spans="1:1" x14ac:dyDescent="0.55000000000000004">
      <c r="A15987" s="17"/>
    </row>
    <row r="15988" spans="1:1" x14ac:dyDescent="0.55000000000000004">
      <c r="A15988" s="17"/>
    </row>
    <row r="15989" spans="1:1" x14ac:dyDescent="0.55000000000000004">
      <c r="A15989" s="17"/>
    </row>
    <row r="15990" spans="1:1" x14ac:dyDescent="0.55000000000000004">
      <c r="A15990" s="17"/>
    </row>
    <row r="15991" spans="1:1" x14ac:dyDescent="0.55000000000000004">
      <c r="A15991" s="17"/>
    </row>
    <row r="15992" spans="1:1" x14ac:dyDescent="0.55000000000000004">
      <c r="A15992" s="17"/>
    </row>
    <row r="15993" spans="1:1" x14ac:dyDescent="0.55000000000000004">
      <c r="A15993" s="17"/>
    </row>
    <row r="15994" spans="1:1" x14ac:dyDescent="0.55000000000000004">
      <c r="A15994" s="17"/>
    </row>
    <row r="15995" spans="1:1" x14ac:dyDescent="0.55000000000000004">
      <c r="A15995" s="17"/>
    </row>
    <row r="15996" spans="1:1" x14ac:dyDescent="0.55000000000000004">
      <c r="A15996" s="17"/>
    </row>
    <row r="15997" spans="1:1" x14ac:dyDescent="0.55000000000000004">
      <c r="A15997" s="17"/>
    </row>
    <row r="15998" spans="1:1" x14ac:dyDescent="0.55000000000000004">
      <c r="A15998" s="17"/>
    </row>
    <row r="15999" spans="1:1" x14ac:dyDescent="0.55000000000000004">
      <c r="A15999" s="17"/>
    </row>
    <row r="16000" spans="1:1" x14ac:dyDescent="0.55000000000000004">
      <c r="A16000" s="17"/>
    </row>
    <row r="16001" spans="1:1" x14ac:dyDescent="0.55000000000000004">
      <c r="A16001" s="17"/>
    </row>
    <row r="16002" spans="1:1" x14ac:dyDescent="0.55000000000000004">
      <c r="A16002" s="17"/>
    </row>
    <row r="16003" spans="1:1" x14ac:dyDescent="0.55000000000000004">
      <c r="A16003" s="17"/>
    </row>
    <row r="16004" spans="1:1" x14ac:dyDescent="0.55000000000000004">
      <c r="A16004" s="17"/>
    </row>
    <row r="16005" spans="1:1" x14ac:dyDescent="0.55000000000000004">
      <c r="A16005" s="17"/>
    </row>
    <row r="16006" spans="1:1" x14ac:dyDescent="0.55000000000000004">
      <c r="A16006" s="17"/>
    </row>
    <row r="16007" spans="1:1" x14ac:dyDescent="0.55000000000000004">
      <c r="A16007" s="17"/>
    </row>
    <row r="16008" spans="1:1" x14ac:dyDescent="0.55000000000000004">
      <c r="A16008" s="17"/>
    </row>
    <row r="16009" spans="1:1" x14ac:dyDescent="0.55000000000000004">
      <c r="A16009" s="17"/>
    </row>
    <row r="16010" spans="1:1" x14ac:dyDescent="0.55000000000000004">
      <c r="A16010" s="17"/>
    </row>
    <row r="16011" spans="1:1" x14ac:dyDescent="0.55000000000000004">
      <c r="A16011" s="17"/>
    </row>
    <row r="16012" spans="1:1" x14ac:dyDescent="0.55000000000000004">
      <c r="A16012" s="17"/>
    </row>
    <row r="16013" spans="1:1" x14ac:dyDescent="0.55000000000000004">
      <c r="A16013" s="17"/>
    </row>
    <row r="16014" spans="1:1" x14ac:dyDescent="0.55000000000000004">
      <c r="A16014" s="17"/>
    </row>
    <row r="16015" spans="1:1" x14ac:dyDescent="0.55000000000000004">
      <c r="A16015" s="17"/>
    </row>
    <row r="16016" spans="1:1" x14ac:dyDescent="0.55000000000000004">
      <c r="A16016" s="17"/>
    </row>
    <row r="16017" spans="1:1" x14ac:dyDescent="0.55000000000000004">
      <c r="A16017" s="17"/>
    </row>
    <row r="16018" spans="1:1" x14ac:dyDescent="0.55000000000000004">
      <c r="A16018" s="17"/>
    </row>
    <row r="16019" spans="1:1" x14ac:dyDescent="0.55000000000000004">
      <c r="A16019" s="17"/>
    </row>
    <row r="16020" spans="1:1" x14ac:dyDescent="0.55000000000000004">
      <c r="A16020" s="17"/>
    </row>
    <row r="16021" spans="1:1" x14ac:dyDescent="0.55000000000000004">
      <c r="A16021" s="17"/>
    </row>
    <row r="16022" spans="1:1" x14ac:dyDescent="0.55000000000000004">
      <c r="A16022" s="17"/>
    </row>
    <row r="16023" spans="1:1" x14ac:dyDescent="0.55000000000000004">
      <c r="A16023" s="17"/>
    </row>
    <row r="16024" spans="1:1" x14ac:dyDescent="0.55000000000000004">
      <c r="A16024" s="17"/>
    </row>
    <row r="16025" spans="1:1" x14ac:dyDescent="0.55000000000000004">
      <c r="A16025" s="17"/>
    </row>
    <row r="16026" spans="1:1" x14ac:dyDescent="0.55000000000000004">
      <c r="A16026" s="17"/>
    </row>
    <row r="16027" spans="1:1" x14ac:dyDescent="0.55000000000000004">
      <c r="A16027" s="17"/>
    </row>
    <row r="16028" spans="1:1" x14ac:dyDescent="0.55000000000000004">
      <c r="A16028" s="17"/>
    </row>
    <row r="16029" spans="1:1" x14ac:dyDescent="0.55000000000000004">
      <c r="A16029" s="17"/>
    </row>
    <row r="16030" spans="1:1" x14ac:dyDescent="0.55000000000000004">
      <c r="A16030" s="17"/>
    </row>
    <row r="16031" spans="1:1" x14ac:dyDescent="0.55000000000000004">
      <c r="A16031" s="17"/>
    </row>
    <row r="16032" spans="1:1" x14ac:dyDescent="0.55000000000000004">
      <c r="A16032" s="17"/>
    </row>
    <row r="16033" spans="1:1" x14ac:dyDescent="0.55000000000000004">
      <c r="A16033" s="17"/>
    </row>
    <row r="16034" spans="1:1" x14ac:dyDescent="0.55000000000000004">
      <c r="A16034" s="17"/>
    </row>
    <row r="16035" spans="1:1" x14ac:dyDescent="0.55000000000000004">
      <c r="A16035" s="17"/>
    </row>
    <row r="16036" spans="1:1" x14ac:dyDescent="0.55000000000000004">
      <c r="A16036" s="17"/>
    </row>
    <row r="16037" spans="1:1" x14ac:dyDescent="0.55000000000000004">
      <c r="A16037" s="17"/>
    </row>
    <row r="16038" spans="1:1" x14ac:dyDescent="0.55000000000000004">
      <c r="A16038" s="17"/>
    </row>
    <row r="16039" spans="1:1" x14ac:dyDescent="0.55000000000000004">
      <c r="A16039" s="17"/>
    </row>
    <row r="16040" spans="1:1" x14ac:dyDescent="0.55000000000000004">
      <c r="A16040" s="17"/>
    </row>
    <row r="16041" spans="1:1" x14ac:dyDescent="0.55000000000000004">
      <c r="A16041" s="17"/>
    </row>
    <row r="16042" spans="1:1" x14ac:dyDescent="0.55000000000000004">
      <c r="A16042" s="17"/>
    </row>
    <row r="16043" spans="1:1" x14ac:dyDescent="0.55000000000000004">
      <c r="A16043" s="17"/>
    </row>
    <row r="16044" spans="1:1" x14ac:dyDescent="0.55000000000000004">
      <c r="A16044" s="17"/>
    </row>
    <row r="16045" spans="1:1" x14ac:dyDescent="0.55000000000000004">
      <c r="A16045" s="17"/>
    </row>
    <row r="16046" spans="1:1" x14ac:dyDescent="0.55000000000000004">
      <c r="A16046" s="17"/>
    </row>
    <row r="16047" spans="1:1" x14ac:dyDescent="0.55000000000000004">
      <c r="A16047" s="17"/>
    </row>
    <row r="16048" spans="1:1" x14ac:dyDescent="0.55000000000000004">
      <c r="A16048" s="17"/>
    </row>
    <row r="16049" spans="1:1" x14ac:dyDescent="0.55000000000000004">
      <c r="A16049" s="17"/>
    </row>
    <row r="16050" spans="1:1" x14ac:dyDescent="0.55000000000000004">
      <c r="A16050" s="17"/>
    </row>
    <row r="16051" spans="1:1" x14ac:dyDescent="0.55000000000000004">
      <c r="A16051" s="17"/>
    </row>
    <row r="16052" spans="1:1" x14ac:dyDescent="0.55000000000000004">
      <c r="A16052" s="17"/>
    </row>
    <row r="16053" spans="1:1" x14ac:dyDescent="0.55000000000000004">
      <c r="A16053" s="17"/>
    </row>
    <row r="16054" spans="1:1" x14ac:dyDescent="0.55000000000000004">
      <c r="A16054" s="17"/>
    </row>
    <row r="16055" spans="1:1" x14ac:dyDescent="0.55000000000000004">
      <c r="A16055" s="17"/>
    </row>
    <row r="16056" spans="1:1" x14ac:dyDescent="0.55000000000000004">
      <c r="A16056" s="17"/>
    </row>
    <row r="16057" spans="1:1" x14ac:dyDescent="0.55000000000000004">
      <c r="A16057" s="17"/>
    </row>
    <row r="16058" spans="1:1" x14ac:dyDescent="0.55000000000000004">
      <c r="A16058" s="17"/>
    </row>
    <row r="16059" spans="1:1" x14ac:dyDescent="0.55000000000000004">
      <c r="A16059" s="17"/>
    </row>
    <row r="16060" spans="1:1" x14ac:dyDescent="0.55000000000000004">
      <c r="A16060" s="17"/>
    </row>
    <row r="16061" spans="1:1" x14ac:dyDescent="0.55000000000000004">
      <c r="A16061" s="17"/>
    </row>
    <row r="16062" spans="1:1" x14ac:dyDescent="0.55000000000000004">
      <c r="A16062" s="17"/>
    </row>
    <row r="16063" spans="1:1" x14ac:dyDescent="0.55000000000000004">
      <c r="A16063" s="17"/>
    </row>
    <row r="16064" spans="1:1" x14ac:dyDescent="0.55000000000000004">
      <c r="A16064" s="17"/>
    </row>
    <row r="16065" spans="1:1" x14ac:dyDescent="0.55000000000000004">
      <c r="A16065" s="17"/>
    </row>
    <row r="16066" spans="1:1" x14ac:dyDescent="0.55000000000000004">
      <c r="A16066" s="17"/>
    </row>
    <row r="16067" spans="1:1" x14ac:dyDescent="0.55000000000000004">
      <c r="A16067" s="17"/>
    </row>
    <row r="16068" spans="1:1" x14ac:dyDescent="0.55000000000000004">
      <c r="A16068" s="17"/>
    </row>
    <row r="16069" spans="1:1" x14ac:dyDescent="0.55000000000000004">
      <c r="A16069" s="17"/>
    </row>
    <row r="16070" spans="1:1" x14ac:dyDescent="0.55000000000000004">
      <c r="A16070" s="17"/>
    </row>
    <row r="16071" spans="1:1" x14ac:dyDescent="0.55000000000000004">
      <c r="A16071" s="17"/>
    </row>
    <row r="16072" spans="1:1" x14ac:dyDescent="0.55000000000000004">
      <c r="A16072" s="17"/>
    </row>
    <row r="16073" spans="1:1" x14ac:dyDescent="0.55000000000000004">
      <c r="A16073" s="17"/>
    </row>
    <row r="16074" spans="1:1" x14ac:dyDescent="0.55000000000000004">
      <c r="A16074" s="17"/>
    </row>
    <row r="16075" spans="1:1" x14ac:dyDescent="0.55000000000000004">
      <c r="A16075" s="17"/>
    </row>
    <row r="16076" spans="1:1" x14ac:dyDescent="0.55000000000000004">
      <c r="A16076" s="17"/>
    </row>
    <row r="16077" spans="1:1" x14ac:dyDescent="0.55000000000000004">
      <c r="A16077" s="17"/>
    </row>
    <row r="16078" spans="1:1" x14ac:dyDescent="0.55000000000000004">
      <c r="A16078" s="17"/>
    </row>
    <row r="16079" spans="1:1" x14ac:dyDescent="0.55000000000000004">
      <c r="A16079" s="17"/>
    </row>
    <row r="16080" spans="1:1" x14ac:dyDescent="0.55000000000000004">
      <c r="A16080" s="17"/>
    </row>
    <row r="16081" spans="1:1" x14ac:dyDescent="0.55000000000000004">
      <c r="A16081" s="17"/>
    </row>
    <row r="16082" spans="1:1" x14ac:dyDescent="0.55000000000000004">
      <c r="A16082" s="17"/>
    </row>
    <row r="16083" spans="1:1" x14ac:dyDescent="0.55000000000000004">
      <c r="A16083" s="17"/>
    </row>
    <row r="16084" spans="1:1" x14ac:dyDescent="0.55000000000000004">
      <c r="A16084" s="17"/>
    </row>
    <row r="16085" spans="1:1" x14ac:dyDescent="0.55000000000000004">
      <c r="A16085" s="17"/>
    </row>
    <row r="16086" spans="1:1" x14ac:dyDescent="0.55000000000000004">
      <c r="A16086" s="17"/>
    </row>
    <row r="16087" spans="1:1" x14ac:dyDescent="0.55000000000000004">
      <c r="A16087" s="17"/>
    </row>
    <row r="16088" spans="1:1" x14ac:dyDescent="0.55000000000000004">
      <c r="A16088" s="17"/>
    </row>
    <row r="16089" spans="1:1" x14ac:dyDescent="0.55000000000000004">
      <c r="A16089" s="17"/>
    </row>
    <row r="16090" spans="1:1" x14ac:dyDescent="0.55000000000000004">
      <c r="A16090" s="17"/>
    </row>
    <row r="16091" spans="1:1" x14ac:dyDescent="0.55000000000000004">
      <c r="A16091" s="17"/>
    </row>
    <row r="16092" spans="1:1" x14ac:dyDescent="0.55000000000000004">
      <c r="A16092" s="17"/>
    </row>
    <row r="16093" spans="1:1" x14ac:dyDescent="0.55000000000000004">
      <c r="A16093" s="17"/>
    </row>
    <row r="16094" spans="1:1" x14ac:dyDescent="0.55000000000000004">
      <c r="A16094" s="17"/>
    </row>
    <row r="16095" spans="1:1" x14ac:dyDescent="0.55000000000000004">
      <c r="A16095" s="17"/>
    </row>
    <row r="16096" spans="1:1" x14ac:dyDescent="0.55000000000000004">
      <c r="A16096" s="17"/>
    </row>
    <row r="16097" spans="1:1" x14ac:dyDescent="0.55000000000000004">
      <c r="A16097" s="17"/>
    </row>
    <row r="16098" spans="1:1" x14ac:dyDescent="0.55000000000000004">
      <c r="A16098" s="17"/>
    </row>
    <row r="16099" spans="1:1" x14ac:dyDescent="0.55000000000000004">
      <c r="A16099" s="17"/>
    </row>
    <row r="16100" spans="1:1" x14ac:dyDescent="0.55000000000000004">
      <c r="A16100" s="17"/>
    </row>
    <row r="16101" spans="1:1" x14ac:dyDescent="0.55000000000000004">
      <c r="A16101" s="17"/>
    </row>
    <row r="16102" spans="1:1" x14ac:dyDescent="0.55000000000000004">
      <c r="A16102" s="17"/>
    </row>
    <row r="16103" spans="1:1" x14ac:dyDescent="0.55000000000000004">
      <c r="A16103" s="17"/>
    </row>
    <row r="16104" spans="1:1" x14ac:dyDescent="0.55000000000000004">
      <c r="A16104" s="17"/>
    </row>
    <row r="16105" spans="1:1" x14ac:dyDescent="0.55000000000000004">
      <c r="A16105" s="17"/>
    </row>
    <row r="16106" spans="1:1" x14ac:dyDescent="0.55000000000000004">
      <c r="A16106" s="17"/>
    </row>
    <row r="16107" spans="1:1" x14ac:dyDescent="0.55000000000000004">
      <c r="A16107" s="17"/>
    </row>
    <row r="16108" spans="1:1" x14ac:dyDescent="0.55000000000000004">
      <c r="A16108" s="17"/>
    </row>
    <row r="16109" spans="1:1" x14ac:dyDescent="0.55000000000000004">
      <c r="A16109" s="17"/>
    </row>
    <row r="16110" spans="1:1" x14ac:dyDescent="0.55000000000000004">
      <c r="A16110" s="17"/>
    </row>
    <row r="16111" spans="1:1" x14ac:dyDescent="0.55000000000000004">
      <c r="A16111" s="17"/>
    </row>
    <row r="16112" spans="1:1" x14ac:dyDescent="0.55000000000000004">
      <c r="A16112" s="17"/>
    </row>
    <row r="16113" spans="1:1" x14ac:dyDescent="0.55000000000000004">
      <c r="A16113" s="17"/>
    </row>
    <row r="16114" spans="1:1" x14ac:dyDescent="0.55000000000000004">
      <c r="A16114" s="17"/>
    </row>
    <row r="16115" spans="1:1" x14ac:dyDescent="0.55000000000000004">
      <c r="A16115" s="17"/>
    </row>
    <row r="16116" spans="1:1" x14ac:dyDescent="0.55000000000000004">
      <c r="A16116" s="17"/>
    </row>
    <row r="16117" spans="1:1" x14ac:dyDescent="0.55000000000000004">
      <c r="A16117" s="17"/>
    </row>
    <row r="16118" spans="1:1" x14ac:dyDescent="0.55000000000000004">
      <c r="A16118" s="17"/>
    </row>
    <row r="16119" spans="1:1" x14ac:dyDescent="0.55000000000000004">
      <c r="A16119" s="17"/>
    </row>
    <row r="16120" spans="1:1" x14ac:dyDescent="0.55000000000000004">
      <c r="A16120" s="17"/>
    </row>
    <row r="16121" spans="1:1" x14ac:dyDescent="0.55000000000000004">
      <c r="A16121" s="17"/>
    </row>
    <row r="16122" spans="1:1" x14ac:dyDescent="0.55000000000000004">
      <c r="A16122" s="17"/>
    </row>
    <row r="16123" spans="1:1" x14ac:dyDescent="0.55000000000000004">
      <c r="A16123" s="17"/>
    </row>
    <row r="16124" spans="1:1" x14ac:dyDescent="0.55000000000000004">
      <c r="A16124" s="17"/>
    </row>
    <row r="16125" spans="1:1" x14ac:dyDescent="0.55000000000000004">
      <c r="A16125" s="17"/>
    </row>
    <row r="16126" spans="1:1" x14ac:dyDescent="0.55000000000000004">
      <c r="A16126" s="17"/>
    </row>
    <row r="16127" spans="1:1" x14ac:dyDescent="0.55000000000000004">
      <c r="A16127" s="17"/>
    </row>
    <row r="16128" spans="1:1" x14ac:dyDescent="0.55000000000000004">
      <c r="A16128" s="17"/>
    </row>
    <row r="16129" spans="1:1" x14ac:dyDescent="0.55000000000000004">
      <c r="A16129" s="17"/>
    </row>
    <row r="16130" spans="1:1" x14ac:dyDescent="0.55000000000000004">
      <c r="A16130" s="17"/>
    </row>
    <row r="16131" spans="1:1" x14ac:dyDescent="0.55000000000000004">
      <c r="A16131" s="17"/>
    </row>
    <row r="16132" spans="1:1" x14ac:dyDescent="0.55000000000000004">
      <c r="A16132" s="17"/>
    </row>
    <row r="16133" spans="1:1" x14ac:dyDescent="0.55000000000000004">
      <c r="A16133" s="17"/>
    </row>
    <row r="16134" spans="1:1" x14ac:dyDescent="0.55000000000000004">
      <c r="A16134" s="17"/>
    </row>
    <row r="16135" spans="1:1" x14ac:dyDescent="0.55000000000000004">
      <c r="A16135" s="17"/>
    </row>
    <row r="16136" spans="1:1" x14ac:dyDescent="0.55000000000000004">
      <c r="A16136" s="17"/>
    </row>
    <row r="16137" spans="1:1" x14ac:dyDescent="0.55000000000000004">
      <c r="A16137" s="17"/>
    </row>
    <row r="16138" spans="1:1" x14ac:dyDescent="0.55000000000000004">
      <c r="A16138" s="17"/>
    </row>
    <row r="16139" spans="1:1" x14ac:dyDescent="0.55000000000000004">
      <c r="A16139" s="17"/>
    </row>
    <row r="16140" spans="1:1" x14ac:dyDescent="0.55000000000000004">
      <c r="A16140" s="17"/>
    </row>
    <row r="16141" spans="1:1" x14ac:dyDescent="0.55000000000000004">
      <c r="A16141" s="17"/>
    </row>
    <row r="16142" spans="1:1" x14ac:dyDescent="0.55000000000000004">
      <c r="A16142" s="17"/>
    </row>
    <row r="16143" spans="1:1" x14ac:dyDescent="0.55000000000000004">
      <c r="A16143" s="17"/>
    </row>
    <row r="16144" spans="1:1" x14ac:dyDescent="0.55000000000000004">
      <c r="A16144" s="17"/>
    </row>
    <row r="16145" spans="1:1" x14ac:dyDescent="0.55000000000000004">
      <c r="A16145" s="17"/>
    </row>
    <row r="16146" spans="1:1" x14ac:dyDescent="0.55000000000000004">
      <c r="A16146" s="17"/>
    </row>
    <row r="16147" spans="1:1" x14ac:dyDescent="0.55000000000000004">
      <c r="A16147" s="17"/>
    </row>
    <row r="16148" spans="1:1" x14ac:dyDescent="0.55000000000000004">
      <c r="A16148" s="17"/>
    </row>
    <row r="16149" spans="1:1" x14ac:dyDescent="0.55000000000000004">
      <c r="A16149" s="17"/>
    </row>
    <row r="16150" spans="1:1" x14ac:dyDescent="0.55000000000000004">
      <c r="A16150" s="17"/>
    </row>
    <row r="16151" spans="1:1" x14ac:dyDescent="0.55000000000000004">
      <c r="A16151" s="17"/>
    </row>
    <row r="16152" spans="1:1" x14ac:dyDescent="0.55000000000000004">
      <c r="A16152" s="17"/>
    </row>
    <row r="16153" spans="1:1" x14ac:dyDescent="0.55000000000000004">
      <c r="A16153" s="17"/>
    </row>
    <row r="16154" spans="1:1" x14ac:dyDescent="0.55000000000000004">
      <c r="A16154" s="17"/>
    </row>
    <row r="16155" spans="1:1" x14ac:dyDescent="0.55000000000000004">
      <c r="A16155" s="17"/>
    </row>
    <row r="16156" spans="1:1" x14ac:dyDescent="0.55000000000000004">
      <c r="A16156" s="17"/>
    </row>
    <row r="16157" spans="1:1" x14ac:dyDescent="0.55000000000000004">
      <c r="A16157" s="17"/>
    </row>
    <row r="16158" spans="1:1" x14ac:dyDescent="0.55000000000000004">
      <c r="A16158" s="17"/>
    </row>
    <row r="16159" spans="1:1" x14ac:dyDescent="0.55000000000000004">
      <c r="A16159" s="17"/>
    </row>
    <row r="16160" spans="1:1" x14ac:dyDescent="0.55000000000000004">
      <c r="A16160" s="17"/>
    </row>
    <row r="16161" spans="1:1" x14ac:dyDescent="0.55000000000000004">
      <c r="A16161" s="17"/>
    </row>
    <row r="16162" spans="1:1" x14ac:dyDescent="0.55000000000000004">
      <c r="A16162" s="17"/>
    </row>
    <row r="16163" spans="1:1" x14ac:dyDescent="0.55000000000000004">
      <c r="A16163" s="17"/>
    </row>
    <row r="16164" spans="1:1" x14ac:dyDescent="0.55000000000000004">
      <c r="A16164" s="17"/>
    </row>
    <row r="16165" spans="1:1" x14ac:dyDescent="0.55000000000000004">
      <c r="A16165" s="17"/>
    </row>
    <row r="16166" spans="1:1" x14ac:dyDescent="0.55000000000000004">
      <c r="A16166" s="17"/>
    </row>
    <row r="16167" spans="1:1" x14ac:dyDescent="0.55000000000000004">
      <c r="A16167" s="17"/>
    </row>
    <row r="16168" spans="1:1" x14ac:dyDescent="0.55000000000000004">
      <c r="A16168" s="17"/>
    </row>
    <row r="16169" spans="1:1" x14ac:dyDescent="0.55000000000000004">
      <c r="A16169" s="17"/>
    </row>
    <row r="16170" spans="1:1" x14ac:dyDescent="0.55000000000000004">
      <c r="A16170" s="17"/>
    </row>
    <row r="16171" spans="1:1" x14ac:dyDescent="0.55000000000000004">
      <c r="A16171" s="17"/>
    </row>
    <row r="16172" spans="1:1" x14ac:dyDescent="0.55000000000000004">
      <c r="A16172" s="17"/>
    </row>
    <row r="16173" spans="1:1" x14ac:dyDescent="0.55000000000000004">
      <c r="A16173" s="17"/>
    </row>
    <row r="16174" spans="1:1" x14ac:dyDescent="0.55000000000000004">
      <c r="A16174" s="17"/>
    </row>
    <row r="16175" spans="1:1" x14ac:dyDescent="0.55000000000000004">
      <c r="A16175" s="17"/>
    </row>
    <row r="16176" spans="1:1" x14ac:dyDescent="0.55000000000000004">
      <c r="A16176" s="17"/>
    </row>
    <row r="16177" spans="1:1" x14ac:dyDescent="0.55000000000000004">
      <c r="A16177" s="17"/>
    </row>
    <row r="16178" spans="1:1" x14ac:dyDescent="0.55000000000000004">
      <c r="A16178" s="17"/>
    </row>
    <row r="16179" spans="1:1" x14ac:dyDescent="0.55000000000000004">
      <c r="A16179" s="17"/>
    </row>
    <row r="16180" spans="1:1" x14ac:dyDescent="0.55000000000000004">
      <c r="A16180" s="17"/>
    </row>
    <row r="16181" spans="1:1" x14ac:dyDescent="0.55000000000000004">
      <c r="A16181" s="17"/>
    </row>
    <row r="16182" spans="1:1" x14ac:dyDescent="0.55000000000000004">
      <c r="A16182" s="17"/>
    </row>
    <row r="16183" spans="1:1" x14ac:dyDescent="0.55000000000000004">
      <c r="A16183" s="17"/>
    </row>
    <row r="16184" spans="1:1" x14ac:dyDescent="0.55000000000000004">
      <c r="A16184" s="17"/>
    </row>
    <row r="16185" spans="1:1" x14ac:dyDescent="0.55000000000000004">
      <c r="A16185" s="17"/>
    </row>
    <row r="16186" spans="1:1" x14ac:dyDescent="0.55000000000000004">
      <c r="A16186" s="17"/>
    </row>
    <row r="16187" spans="1:1" x14ac:dyDescent="0.55000000000000004">
      <c r="A16187" s="17"/>
    </row>
    <row r="16188" spans="1:1" x14ac:dyDescent="0.55000000000000004">
      <c r="A16188" s="17"/>
    </row>
    <row r="16189" spans="1:1" x14ac:dyDescent="0.55000000000000004">
      <c r="A16189" s="17"/>
    </row>
    <row r="16190" spans="1:1" x14ac:dyDescent="0.55000000000000004">
      <c r="A16190" s="17"/>
    </row>
    <row r="16191" spans="1:1" x14ac:dyDescent="0.55000000000000004">
      <c r="A16191" s="17"/>
    </row>
    <row r="16192" spans="1:1" x14ac:dyDescent="0.55000000000000004">
      <c r="A16192" s="17"/>
    </row>
    <row r="16193" spans="1:1" x14ac:dyDescent="0.55000000000000004">
      <c r="A16193" s="17"/>
    </row>
    <row r="16194" spans="1:1" x14ac:dyDescent="0.55000000000000004">
      <c r="A16194" s="17"/>
    </row>
    <row r="16195" spans="1:1" x14ac:dyDescent="0.55000000000000004">
      <c r="A16195" s="17"/>
    </row>
    <row r="16196" spans="1:1" x14ac:dyDescent="0.55000000000000004">
      <c r="A16196" s="17"/>
    </row>
    <row r="16197" spans="1:1" x14ac:dyDescent="0.55000000000000004">
      <c r="A16197" s="17"/>
    </row>
    <row r="16198" spans="1:1" x14ac:dyDescent="0.55000000000000004">
      <c r="A16198" s="17"/>
    </row>
    <row r="16199" spans="1:1" x14ac:dyDescent="0.55000000000000004">
      <c r="A16199" s="17"/>
    </row>
    <row r="16200" spans="1:1" x14ac:dyDescent="0.55000000000000004">
      <c r="A16200" s="17"/>
    </row>
    <row r="16201" spans="1:1" x14ac:dyDescent="0.55000000000000004">
      <c r="A16201" s="17"/>
    </row>
    <row r="16202" spans="1:1" x14ac:dyDescent="0.55000000000000004">
      <c r="A16202" s="17"/>
    </row>
    <row r="16203" spans="1:1" x14ac:dyDescent="0.55000000000000004">
      <c r="A16203" s="17"/>
    </row>
    <row r="16204" spans="1:1" x14ac:dyDescent="0.55000000000000004">
      <c r="A16204" s="17"/>
    </row>
    <row r="16205" spans="1:1" x14ac:dyDescent="0.55000000000000004">
      <c r="A16205" s="17"/>
    </row>
    <row r="16206" spans="1:1" x14ac:dyDescent="0.55000000000000004">
      <c r="A16206" s="17"/>
    </row>
    <row r="16207" spans="1:1" x14ac:dyDescent="0.55000000000000004">
      <c r="A16207" s="17"/>
    </row>
    <row r="16208" spans="1:1" x14ac:dyDescent="0.55000000000000004">
      <c r="A16208" s="17"/>
    </row>
    <row r="16209" spans="1:1" x14ac:dyDescent="0.55000000000000004">
      <c r="A16209" s="17"/>
    </row>
    <row r="16210" spans="1:1" x14ac:dyDescent="0.55000000000000004">
      <c r="A16210" s="17"/>
    </row>
    <row r="16211" spans="1:1" x14ac:dyDescent="0.55000000000000004">
      <c r="A16211" s="17"/>
    </row>
    <row r="16212" spans="1:1" x14ac:dyDescent="0.55000000000000004">
      <c r="A16212" s="17"/>
    </row>
    <row r="16213" spans="1:1" x14ac:dyDescent="0.55000000000000004">
      <c r="A16213" s="17"/>
    </row>
    <row r="16214" spans="1:1" x14ac:dyDescent="0.55000000000000004">
      <c r="A16214" s="17"/>
    </row>
    <row r="16215" spans="1:1" x14ac:dyDescent="0.55000000000000004">
      <c r="A16215" s="17"/>
    </row>
    <row r="16216" spans="1:1" x14ac:dyDescent="0.55000000000000004">
      <c r="A16216" s="17"/>
    </row>
    <row r="16217" spans="1:1" x14ac:dyDescent="0.55000000000000004">
      <c r="A16217" s="17"/>
    </row>
    <row r="16218" spans="1:1" x14ac:dyDescent="0.55000000000000004">
      <c r="A16218" s="17"/>
    </row>
    <row r="16219" spans="1:1" x14ac:dyDescent="0.55000000000000004">
      <c r="A16219" s="17"/>
    </row>
    <row r="16220" spans="1:1" x14ac:dyDescent="0.55000000000000004">
      <c r="A16220" s="17"/>
    </row>
    <row r="16221" spans="1:1" x14ac:dyDescent="0.55000000000000004">
      <c r="A16221" s="17"/>
    </row>
    <row r="16222" spans="1:1" x14ac:dyDescent="0.55000000000000004">
      <c r="A16222" s="17"/>
    </row>
    <row r="16223" spans="1:1" x14ac:dyDescent="0.55000000000000004">
      <c r="A16223" s="17"/>
    </row>
    <row r="16224" spans="1:1" x14ac:dyDescent="0.55000000000000004">
      <c r="A16224" s="17"/>
    </row>
    <row r="16225" spans="1:1" x14ac:dyDescent="0.55000000000000004">
      <c r="A16225" s="17"/>
    </row>
    <row r="16226" spans="1:1" x14ac:dyDescent="0.55000000000000004">
      <c r="A16226" s="17"/>
    </row>
    <row r="16227" spans="1:1" x14ac:dyDescent="0.55000000000000004">
      <c r="A16227" s="17"/>
    </row>
    <row r="16228" spans="1:1" x14ac:dyDescent="0.55000000000000004">
      <c r="A16228" s="17"/>
    </row>
    <row r="16229" spans="1:1" x14ac:dyDescent="0.55000000000000004">
      <c r="A16229" s="17"/>
    </row>
    <row r="16230" spans="1:1" x14ac:dyDescent="0.55000000000000004">
      <c r="A16230" s="17"/>
    </row>
    <row r="16231" spans="1:1" x14ac:dyDescent="0.55000000000000004">
      <c r="A16231" s="17"/>
    </row>
    <row r="16232" spans="1:1" x14ac:dyDescent="0.55000000000000004">
      <c r="A16232" s="17"/>
    </row>
    <row r="16233" spans="1:1" x14ac:dyDescent="0.55000000000000004">
      <c r="A16233" s="17"/>
    </row>
    <row r="16234" spans="1:1" x14ac:dyDescent="0.55000000000000004">
      <c r="A16234" s="17"/>
    </row>
    <row r="16235" spans="1:1" x14ac:dyDescent="0.55000000000000004">
      <c r="A16235" s="17"/>
    </row>
    <row r="16236" spans="1:1" x14ac:dyDescent="0.55000000000000004">
      <c r="A16236" s="17"/>
    </row>
    <row r="16237" spans="1:1" x14ac:dyDescent="0.55000000000000004">
      <c r="A16237" s="17"/>
    </row>
    <row r="16238" spans="1:1" x14ac:dyDescent="0.55000000000000004">
      <c r="A16238" s="17"/>
    </row>
    <row r="16239" spans="1:1" x14ac:dyDescent="0.55000000000000004">
      <c r="A16239" s="17"/>
    </row>
    <row r="16240" spans="1:1" x14ac:dyDescent="0.55000000000000004">
      <c r="A16240" s="17"/>
    </row>
    <row r="16241" spans="1:1" x14ac:dyDescent="0.55000000000000004">
      <c r="A16241" s="17"/>
    </row>
    <row r="16242" spans="1:1" x14ac:dyDescent="0.55000000000000004">
      <c r="A16242" s="17"/>
    </row>
    <row r="16243" spans="1:1" x14ac:dyDescent="0.55000000000000004">
      <c r="A16243" s="17"/>
    </row>
    <row r="16244" spans="1:1" x14ac:dyDescent="0.55000000000000004">
      <c r="A16244" s="17"/>
    </row>
    <row r="16245" spans="1:1" x14ac:dyDescent="0.55000000000000004">
      <c r="A16245" s="17"/>
    </row>
    <row r="16246" spans="1:1" x14ac:dyDescent="0.55000000000000004">
      <c r="A16246" s="17"/>
    </row>
    <row r="16247" spans="1:1" x14ac:dyDescent="0.55000000000000004">
      <c r="A16247" s="17"/>
    </row>
    <row r="16248" spans="1:1" x14ac:dyDescent="0.55000000000000004">
      <c r="A16248" s="17"/>
    </row>
    <row r="16249" spans="1:1" x14ac:dyDescent="0.55000000000000004">
      <c r="A16249" s="17"/>
    </row>
    <row r="16250" spans="1:1" x14ac:dyDescent="0.55000000000000004">
      <c r="A16250" s="17"/>
    </row>
    <row r="16251" spans="1:1" x14ac:dyDescent="0.55000000000000004">
      <c r="A16251" s="17"/>
    </row>
    <row r="16252" spans="1:1" x14ac:dyDescent="0.55000000000000004">
      <c r="A16252" s="17"/>
    </row>
    <row r="16253" spans="1:1" x14ac:dyDescent="0.55000000000000004">
      <c r="A16253" s="17"/>
    </row>
    <row r="16254" spans="1:1" x14ac:dyDescent="0.55000000000000004">
      <c r="A16254" s="17"/>
    </row>
    <row r="16255" spans="1:1" x14ac:dyDescent="0.55000000000000004">
      <c r="A16255" s="17"/>
    </row>
    <row r="16256" spans="1:1" x14ac:dyDescent="0.55000000000000004">
      <c r="A16256" s="17"/>
    </row>
    <row r="16257" spans="1:1" x14ac:dyDescent="0.55000000000000004">
      <c r="A16257" s="17"/>
    </row>
    <row r="16258" spans="1:1" x14ac:dyDescent="0.55000000000000004">
      <c r="A16258" s="17"/>
    </row>
    <row r="16259" spans="1:1" x14ac:dyDescent="0.55000000000000004">
      <c r="A16259" s="17"/>
    </row>
    <row r="16260" spans="1:1" x14ac:dyDescent="0.55000000000000004">
      <c r="A16260" s="17"/>
    </row>
    <row r="16261" spans="1:1" x14ac:dyDescent="0.55000000000000004">
      <c r="A16261" s="17"/>
    </row>
    <row r="16262" spans="1:1" x14ac:dyDescent="0.55000000000000004">
      <c r="A16262" s="17"/>
    </row>
    <row r="16263" spans="1:1" x14ac:dyDescent="0.55000000000000004">
      <c r="A16263" s="17"/>
    </row>
    <row r="16264" spans="1:1" x14ac:dyDescent="0.55000000000000004">
      <c r="A16264" s="17"/>
    </row>
    <row r="16265" spans="1:1" x14ac:dyDescent="0.55000000000000004">
      <c r="A16265" s="17"/>
    </row>
    <row r="16266" spans="1:1" x14ac:dyDescent="0.55000000000000004">
      <c r="A16266" s="17"/>
    </row>
    <row r="16267" spans="1:1" x14ac:dyDescent="0.55000000000000004">
      <c r="A16267" s="17"/>
    </row>
    <row r="16268" spans="1:1" x14ac:dyDescent="0.55000000000000004">
      <c r="A16268" s="17"/>
    </row>
    <row r="16269" spans="1:1" x14ac:dyDescent="0.55000000000000004">
      <c r="A16269" s="17"/>
    </row>
    <row r="16270" spans="1:1" x14ac:dyDescent="0.55000000000000004">
      <c r="A16270" s="17"/>
    </row>
    <row r="16271" spans="1:1" x14ac:dyDescent="0.55000000000000004">
      <c r="A16271" s="17"/>
    </row>
    <row r="16272" spans="1:1" x14ac:dyDescent="0.55000000000000004">
      <c r="A16272" s="17"/>
    </row>
    <row r="16273" spans="1:1" x14ac:dyDescent="0.55000000000000004">
      <c r="A16273" s="17"/>
    </row>
    <row r="16274" spans="1:1" x14ac:dyDescent="0.55000000000000004">
      <c r="A16274" s="17"/>
    </row>
    <row r="16275" spans="1:1" x14ac:dyDescent="0.55000000000000004">
      <c r="A16275" s="17"/>
    </row>
    <row r="16276" spans="1:1" x14ac:dyDescent="0.55000000000000004">
      <c r="A16276" s="17"/>
    </row>
    <row r="16277" spans="1:1" x14ac:dyDescent="0.55000000000000004">
      <c r="A16277" s="17"/>
    </row>
    <row r="16278" spans="1:1" x14ac:dyDescent="0.55000000000000004">
      <c r="A16278" s="17"/>
    </row>
    <row r="16279" spans="1:1" x14ac:dyDescent="0.55000000000000004">
      <c r="A16279" s="17"/>
    </row>
    <row r="16280" spans="1:1" x14ac:dyDescent="0.55000000000000004">
      <c r="A16280" s="17"/>
    </row>
    <row r="16281" spans="1:1" x14ac:dyDescent="0.55000000000000004">
      <c r="A16281" s="17"/>
    </row>
    <row r="16282" spans="1:1" x14ac:dyDescent="0.55000000000000004">
      <c r="A16282" s="17"/>
    </row>
    <row r="16283" spans="1:1" x14ac:dyDescent="0.55000000000000004">
      <c r="A16283" s="17"/>
    </row>
    <row r="16284" spans="1:1" x14ac:dyDescent="0.55000000000000004">
      <c r="A16284" s="17"/>
    </row>
    <row r="16285" spans="1:1" x14ac:dyDescent="0.55000000000000004">
      <c r="A16285" s="17"/>
    </row>
    <row r="16286" spans="1:1" x14ac:dyDescent="0.55000000000000004">
      <c r="A16286" s="17"/>
    </row>
    <row r="16287" spans="1:1" x14ac:dyDescent="0.55000000000000004">
      <c r="A16287" s="17"/>
    </row>
    <row r="16288" spans="1:1" x14ac:dyDescent="0.55000000000000004">
      <c r="A16288" s="17"/>
    </row>
    <row r="16289" spans="1:1" x14ac:dyDescent="0.55000000000000004">
      <c r="A16289" s="17"/>
    </row>
    <row r="16290" spans="1:1" x14ac:dyDescent="0.55000000000000004">
      <c r="A16290" s="17"/>
    </row>
    <row r="16291" spans="1:1" x14ac:dyDescent="0.55000000000000004">
      <c r="A16291" s="17"/>
    </row>
    <row r="16292" spans="1:1" x14ac:dyDescent="0.55000000000000004">
      <c r="A16292" s="17"/>
    </row>
    <row r="16293" spans="1:1" x14ac:dyDescent="0.55000000000000004">
      <c r="A16293" s="17"/>
    </row>
    <row r="16294" spans="1:1" x14ac:dyDescent="0.55000000000000004">
      <c r="A16294" s="17"/>
    </row>
    <row r="16295" spans="1:1" x14ac:dyDescent="0.55000000000000004">
      <c r="A16295" s="17"/>
    </row>
    <row r="16296" spans="1:1" x14ac:dyDescent="0.55000000000000004">
      <c r="A16296" s="17"/>
    </row>
    <row r="16297" spans="1:1" x14ac:dyDescent="0.55000000000000004">
      <c r="A16297" s="17"/>
    </row>
    <row r="16298" spans="1:1" x14ac:dyDescent="0.55000000000000004">
      <c r="A16298" s="17"/>
    </row>
    <row r="16299" spans="1:1" x14ac:dyDescent="0.55000000000000004">
      <c r="A16299" s="17"/>
    </row>
    <row r="16300" spans="1:1" x14ac:dyDescent="0.55000000000000004">
      <c r="A16300" s="17"/>
    </row>
    <row r="16301" spans="1:1" x14ac:dyDescent="0.55000000000000004">
      <c r="A16301" s="17"/>
    </row>
    <row r="16302" spans="1:1" x14ac:dyDescent="0.55000000000000004">
      <c r="A16302" s="17"/>
    </row>
    <row r="16303" spans="1:1" x14ac:dyDescent="0.55000000000000004">
      <c r="A16303" s="17"/>
    </row>
    <row r="16304" spans="1:1" x14ac:dyDescent="0.55000000000000004">
      <c r="A16304" s="17"/>
    </row>
    <row r="16305" spans="1:1" x14ac:dyDescent="0.55000000000000004">
      <c r="A16305" s="17"/>
    </row>
    <row r="16306" spans="1:1" x14ac:dyDescent="0.55000000000000004">
      <c r="A16306" s="17"/>
    </row>
    <row r="16307" spans="1:1" x14ac:dyDescent="0.55000000000000004">
      <c r="A16307" s="17"/>
    </row>
    <row r="16308" spans="1:1" x14ac:dyDescent="0.55000000000000004">
      <c r="A16308" s="17"/>
    </row>
    <row r="16309" spans="1:1" x14ac:dyDescent="0.55000000000000004">
      <c r="A16309" s="17"/>
    </row>
    <row r="16310" spans="1:1" x14ac:dyDescent="0.55000000000000004">
      <c r="A16310" s="17"/>
    </row>
    <row r="16311" spans="1:1" x14ac:dyDescent="0.55000000000000004">
      <c r="A16311" s="17"/>
    </row>
    <row r="16312" spans="1:1" x14ac:dyDescent="0.55000000000000004">
      <c r="A16312" s="17"/>
    </row>
    <row r="16313" spans="1:1" x14ac:dyDescent="0.55000000000000004">
      <c r="A16313" s="17"/>
    </row>
    <row r="16314" spans="1:1" x14ac:dyDescent="0.55000000000000004">
      <c r="A16314" s="17"/>
    </row>
    <row r="16315" spans="1:1" x14ac:dyDescent="0.55000000000000004">
      <c r="A16315" s="17"/>
    </row>
    <row r="16316" spans="1:1" x14ac:dyDescent="0.55000000000000004">
      <c r="A16316" s="17"/>
    </row>
    <row r="16317" spans="1:1" x14ac:dyDescent="0.55000000000000004">
      <c r="A16317" s="17"/>
    </row>
    <row r="16318" spans="1:1" x14ac:dyDescent="0.55000000000000004">
      <c r="A16318" s="17"/>
    </row>
    <row r="16319" spans="1:1" x14ac:dyDescent="0.55000000000000004">
      <c r="A16319" s="17"/>
    </row>
    <row r="16320" spans="1:1" x14ac:dyDescent="0.55000000000000004">
      <c r="A16320" s="17"/>
    </row>
    <row r="16321" spans="1:1" x14ac:dyDescent="0.55000000000000004">
      <c r="A16321" s="17"/>
    </row>
    <row r="16322" spans="1:1" x14ac:dyDescent="0.55000000000000004">
      <c r="A16322" s="17"/>
    </row>
    <row r="16323" spans="1:1" x14ac:dyDescent="0.55000000000000004">
      <c r="A16323" s="17"/>
    </row>
    <row r="16324" spans="1:1" x14ac:dyDescent="0.55000000000000004">
      <c r="A16324" s="17"/>
    </row>
    <row r="16325" spans="1:1" x14ac:dyDescent="0.55000000000000004">
      <c r="A16325" s="17"/>
    </row>
    <row r="16326" spans="1:1" x14ac:dyDescent="0.55000000000000004">
      <c r="A16326" s="17"/>
    </row>
    <row r="16327" spans="1:1" x14ac:dyDescent="0.55000000000000004">
      <c r="A16327" s="17"/>
    </row>
    <row r="16328" spans="1:1" x14ac:dyDescent="0.55000000000000004">
      <c r="A16328" s="17"/>
    </row>
    <row r="16329" spans="1:1" x14ac:dyDescent="0.55000000000000004">
      <c r="A16329" s="17"/>
    </row>
    <row r="16330" spans="1:1" x14ac:dyDescent="0.55000000000000004">
      <c r="A16330" s="17"/>
    </row>
    <row r="16331" spans="1:1" x14ac:dyDescent="0.55000000000000004">
      <c r="A16331" s="17"/>
    </row>
    <row r="16332" spans="1:1" x14ac:dyDescent="0.55000000000000004">
      <c r="A16332" s="17"/>
    </row>
    <row r="16333" spans="1:1" x14ac:dyDescent="0.55000000000000004">
      <c r="A16333" s="17"/>
    </row>
    <row r="16334" spans="1:1" x14ac:dyDescent="0.55000000000000004">
      <c r="A16334" s="17"/>
    </row>
    <row r="16335" spans="1:1" x14ac:dyDescent="0.55000000000000004">
      <c r="A16335" s="17"/>
    </row>
    <row r="16336" spans="1:1" x14ac:dyDescent="0.55000000000000004">
      <c r="A16336" s="17"/>
    </row>
    <row r="16337" spans="1:1" x14ac:dyDescent="0.55000000000000004">
      <c r="A16337" s="17"/>
    </row>
    <row r="16338" spans="1:1" x14ac:dyDescent="0.55000000000000004">
      <c r="A16338" s="17"/>
    </row>
    <row r="16339" spans="1:1" x14ac:dyDescent="0.55000000000000004">
      <c r="A16339" s="17"/>
    </row>
    <row r="16340" spans="1:1" x14ac:dyDescent="0.55000000000000004">
      <c r="A16340" s="17"/>
    </row>
    <row r="16341" spans="1:1" x14ac:dyDescent="0.55000000000000004">
      <c r="A16341" s="17"/>
    </row>
    <row r="16342" spans="1:1" x14ac:dyDescent="0.55000000000000004">
      <c r="A16342" s="17"/>
    </row>
    <row r="16343" spans="1:1" x14ac:dyDescent="0.55000000000000004">
      <c r="A16343" s="17"/>
    </row>
    <row r="16344" spans="1:1" x14ac:dyDescent="0.55000000000000004">
      <c r="A16344" s="17"/>
    </row>
    <row r="16345" spans="1:1" x14ac:dyDescent="0.55000000000000004">
      <c r="A16345" s="17"/>
    </row>
    <row r="16346" spans="1:1" x14ac:dyDescent="0.55000000000000004">
      <c r="A16346" s="17"/>
    </row>
    <row r="16347" spans="1:1" x14ac:dyDescent="0.55000000000000004">
      <c r="A16347" s="17"/>
    </row>
    <row r="16348" spans="1:1" x14ac:dyDescent="0.55000000000000004">
      <c r="A16348" s="17"/>
    </row>
    <row r="16349" spans="1:1" x14ac:dyDescent="0.55000000000000004">
      <c r="A16349" s="17"/>
    </row>
    <row r="16350" spans="1:1" x14ac:dyDescent="0.55000000000000004">
      <c r="A16350" s="17"/>
    </row>
    <row r="16351" spans="1:1" x14ac:dyDescent="0.55000000000000004">
      <c r="A16351" s="17"/>
    </row>
    <row r="16352" spans="1:1" x14ac:dyDescent="0.55000000000000004">
      <c r="A16352" s="17"/>
    </row>
    <row r="16353" spans="1:1" x14ac:dyDescent="0.55000000000000004">
      <c r="A16353" s="17"/>
    </row>
    <row r="16354" spans="1:1" x14ac:dyDescent="0.55000000000000004">
      <c r="A16354" s="17"/>
    </row>
    <row r="16355" spans="1:1" x14ac:dyDescent="0.55000000000000004">
      <c r="A16355" s="17"/>
    </row>
    <row r="16356" spans="1:1" x14ac:dyDescent="0.55000000000000004">
      <c r="A16356" s="17"/>
    </row>
    <row r="16357" spans="1:1" x14ac:dyDescent="0.55000000000000004">
      <c r="A16357" s="17"/>
    </row>
    <row r="16358" spans="1:1" x14ac:dyDescent="0.55000000000000004">
      <c r="A16358" s="17"/>
    </row>
    <row r="16359" spans="1:1" x14ac:dyDescent="0.55000000000000004">
      <c r="A16359" s="17"/>
    </row>
    <row r="16360" spans="1:1" x14ac:dyDescent="0.55000000000000004">
      <c r="A16360" s="17"/>
    </row>
    <row r="16361" spans="1:1" x14ac:dyDescent="0.55000000000000004">
      <c r="A16361" s="17"/>
    </row>
    <row r="16362" spans="1:1" x14ac:dyDescent="0.55000000000000004">
      <c r="A16362" s="17"/>
    </row>
    <row r="16363" spans="1:1" x14ac:dyDescent="0.55000000000000004">
      <c r="A16363" s="17"/>
    </row>
    <row r="16364" spans="1:1" x14ac:dyDescent="0.55000000000000004">
      <c r="A16364" s="17"/>
    </row>
    <row r="16365" spans="1:1" x14ac:dyDescent="0.55000000000000004">
      <c r="A16365" s="17"/>
    </row>
    <row r="16366" spans="1:1" x14ac:dyDescent="0.55000000000000004">
      <c r="A16366" s="17"/>
    </row>
    <row r="16367" spans="1:1" x14ac:dyDescent="0.55000000000000004">
      <c r="A16367" s="17"/>
    </row>
    <row r="16368" spans="1:1" x14ac:dyDescent="0.55000000000000004">
      <c r="A16368" s="17"/>
    </row>
    <row r="16369" spans="1:1" x14ac:dyDescent="0.55000000000000004">
      <c r="A16369" s="17"/>
    </row>
    <row r="16370" spans="1:1" x14ac:dyDescent="0.55000000000000004">
      <c r="A16370" s="17"/>
    </row>
    <row r="16371" spans="1:1" x14ac:dyDescent="0.55000000000000004">
      <c r="A16371" s="17"/>
    </row>
    <row r="16372" spans="1:1" x14ac:dyDescent="0.55000000000000004">
      <c r="A16372" s="17"/>
    </row>
    <row r="16373" spans="1:1" x14ac:dyDescent="0.55000000000000004">
      <c r="A16373" s="17"/>
    </row>
    <row r="16374" spans="1:1" x14ac:dyDescent="0.55000000000000004">
      <c r="A16374" s="17"/>
    </row>
    <row r="16375" spans="1:1" x14ac:dyDescent="0.55000000000000004">
      <c r="A16375" s="17"/>
    </row>
    <row r="16376" spans="1:1" x14ac:dyDescent="0.55000000000000004">
      <c r="A16376" s="17"/>
    </row>
    <row r="16377" spans="1:1" x14ac:dyDescent="0.55000000000000004">
      <c r="A16377" s="17"/>
    </row>
    <row r="16378" spans="1:1" x14ac:dyDescent="0.55000000000000004">
      <c r="A16378" s="17"/>
    </row>
    <row r="16379" spans="1:1" x14ac:dyDescent="0.55000000000000004">
      <c r="A16379" s="17"/>
    </row>
    <row r="16380" spans="1:1" x14ac:dyDescent="0.55000000000000004">
      <c r="A16380" s="17"/>
    </row>
    <row r="16381" spans="1:1" x14ac:dyDescent="0.55000000000000004">
      <c r="A16381" s="17"/>
    </row>
    <row r="16382" spans="1:1" x14ac:dyDescent="0.55000000000000004">
      <c r="A16382" s="17"/>
    </row>
    <row r="16383" spans="1:1" x14ac:dyDescent="0.55000000000000004">
      <c r="A16383" s="17"/>
    </row>
    <row r="16384" spans="1:1" x14ac:dyDescent="0.55000000000000004">
      <c r="A1638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Length</vt:lpstr>
      <vt:lpstr>Ackiss</vt:lpstr>
      <vt:lpstr>PrelimAssignPOP</vt:lpstr>
      <vt:lpstr>Effort</vt:lpstr>
      <vt:lpstr>CatchData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Ackiss, Amanda</dc:creator>
  <cp:lastModifiedBy>Mark Vinson</cp:lastModifiedBy>
  <dcterms:created xsi:type="dcterms:W3CDTF">2020-01-27T04:31:54Z</dcterms:created>
  <dcterms:modified xsi:type="dcterms:W3CDTF">2020-09-22T17:45:04Z</dcterms:modified>
</cp:coreProperties>
</file>