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igsareebgslsbs1\Users\MVinson\MyDocuments\R\R_Projects\2019_CiscoeLarvae\Data\"/>
    </mc:Choice>
  </mc:AlternateContent>
  <xr:revisionPtr revIDLastSave="0" documentId="14_{C89D93DA-D7B0-47EE-9C07-FBD0B0517FE0}" xr6:coauthVersionLast="44" xr6:coauthVersionMax="44" xr10:uidLastSave="{00000000-0000-0000-0000-000000000000}"/>
  <bookViews>
    <workbookView xWindow="47880" yWindow="4065" windowWidth="15990" windowHeight="24840" xr2:uid="{F8151561-7CB6-4577-9BEE-D08A92FE96AB}"/>
  </bookViews>
  <sheets>
    <sheet name="Data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15" i="1" l="1"/>
  <c r="U115" i="1" s="1"/>
  <c r="V115" i="1" s="1"/>
  <c r="O115" i="1"/>
  <c r="R115" i="1" s="1"/>
  <c r="N115" i="1"/>
  <c r="W115" i="1" s="1"/>
  <c r="E115" i="1"/>
  <c r="D115" i="1"/>
  <c r="T114" i="1"/>
  <c r="U114" i="1" s="1"/>
  <c r="V114" i="1" s="1"/>
  <c r="W114" i="1" s="1"/>
  <c r="O114" i="1"/>
  <c r="R114" i="1" s="1"/>
  <c r="N114" i="1"/>
  <c r="E114" i="1"/>
  <c r="D114" i="1"/>
  <c r="T113" i="1"/>
  <c r="U113" i="1" s="1"/>
  <c r="V113" i="1" s="1"/>
  <c r="W113" i="1" s="1"/>
  <c r="O113" i="1"/>
  <c r="R113" i="1" s="1"/>
  <c r="N113" i="1"/>
  <c r="E113" i="1"/>
  <c r="D113" i="1"/>
  <c r="T112" i="1"/>
  <c r="U112" i="1" s="1"/>
  <c r="V112" i="1" s="1"/>
  <c r="W112" i="1" s="1"/>
  <c r="O112" i="1"/>
  <c r="R112" i="1" s="1"/>
  <c r="N112" i="1"/>
  <c r="E112" i="1"/>
  <c r="D112" i="1"/>
  <c r="T111" i="1"/>
  <c r="U111" i="1" s="1"/>
  <c r="V111" i="1" s="1"/>
  <c r="W111" i="1" s="1"/>
  <c r="O111" i="1"/>
  <c r="R111" i="1" s="1"/>
  <c r="N111" i="1"/>
  <c r="E111" i="1"/>
  <c r="D111" i="1"/>
  <c r="T110" i="1"/>
  <c r="U110" i="1" s="1"/>
  <c r="V110" i="1" s="1"/>
  <c r="W110" i="1" s="1"/>
  <c r="O110" i="1"/>
  <c r="R110" i="1" s="1"/>
  <c r="N110" i="1"/>
  <c r="E110" i="1"/>
  <c r="D110" i="1"/>
  <c r="T109" i="1"/>
  <c r="U109" i="1" s="1"/>
  <c r="V109" i="1" s="1"/>
  <c r="W109" i="1" s="1"/>
  <c r="O109" i="1"/>
  <c r="R109" i="1" s="1"/>
  <c r="N109" i="1"/>
  <c r="E109" i="1"/>
  <c r="D109" i="1"/>
  <c r="T108" i="1"/>
  <c r="U108" i="1" s="1"/>
  <c r="V108" i="1" s="1"/>
  <c r="W108" i="1" s="1"/>
  <c r="O108" i="1"/>
  <c r="R108" i="1" s="1"/>
  <c r="N108" i="1"/>
  <c r="E108" i="1"/>
  <c r="D108" i="1"/>
  <c r="T107" i="1"/>
  <c r="U107" i="1" s="1"/>
  <c r="V107" i="1" s="1"/>
  <c r="W107" i="1" s="1"/>
  <c r="O107" i="1"/>
  <c r="R107" i="1" s="1"/>
  <c r="N107" i="1"/>
  <c r="E107" i="1"/>
  <c r="D107" i="1"/>
  <c r="T106" i="1"/>
  <c r="U106" i="1" s="1"/>
  <c r="V106" i="1" s="1"/>
  <c r="W106" i="1" s="1"/>
  <c r="O106" i="1"/>
  <c r="R106" i="1" s="1"/>
  <c r="N106" i="1"/>
  <c r="E106" i="1"/>
  <c r="D106" i="1"/>
  <c r="T105" i="1"/>
  <c r="U105" i="1" s="1"/>
  <c r="V105" i="1" s="1"/>
  <c r="W105" i="1" s="1"/>
  <c r="O105" i="1"/>
  <c r="R105" i="1" s="1"/>
  <c r="N105" i="1"/>
  <c r="E105" i="1"/>
  <c r="D105" i="1"/>
  <c r="O104" i="1"/>
  <c r="R104" i="1" s="1"/>
  <c r="N104" i="1"/>
  <c r="E104" i="1"/>
  <c r="D104" i="1"/>
  <c r="T103" i="1"/>
  <c r="U103" i="1" s="1"/>
  <c r="V103" i="1" s="1"/>
  <c r="W103" i="1" s="1"/>
  <c r="O103" i="1"/>
  <c r="R103" i="1" s="1"/>
  <c r="N103" i="1"/>
  <c r="E103" i="1"/>
  <c r="D103" i="1"/>
  <c r="T102" i="1"/>
  <c r="U102" i="1" s="1"/>
  <c r="V102" i="1" s="1"/>
  <c r="W102" i="1" s="1"/>
  <c r="O102" i="1"/>
  <c r="R102" i="1" s="1"/>
  <c r="N102" i="1"/>
  <c r="E102" i="1"/>
  <c r="D102" i="1"/>
  <c r="T101" i="1"/>
  <c r="U101" i="1" s="1"/>
  <c r="V101" i="1" s="1"/>
  <c r="W101" i="1" s="1"/>
  <c r="O101" i="1"/>
  <c r="R101" i="1" s="1"/>
  <c r="N101" i="1"/>
  <c r="E101" i="1"/>
  <c r="D101" i="1"/>
  <c r="U100" i="1"/>
  <c r="V100" i="1" s="1"/>
  <c r="W100" i="1" s="1"/>
  <c r="T100" i="1"/>
  <c r="O100" i="1"/>
  <c r="R100" i="1" s="1"/>
  <c r="N100" i="1"/>
  <c r="E100" i="1"/>
  <c r="D100" i="1"/>
  <c r="T99" i="1"/>
  <c r="U99" i="1" s="1"/>
  <c r="V99" i="1" s="1"/>
  <c r="W99" i="1" s="1"/>
  <c r="O99" i="1"/>
  <c r="R99" i="1" s="1"/>
  <c r="N99" i="1"/>
  <c r="E99" i="1"/>
  <c r="D99" i="1"/>
  <c r="T98" i="1"/>
  <c r="U98" i="1" s="1"/>
  <c r="V98" i="1" s="1"/>
  <c r="W98" i="1" s="1"/>
  <c r="O98" i="1"/>
  <c r="R98" i="1" s="1"/>
  <c r="N98" i="1"/>
  <c r="E98" i="1"/>
  <c r="D98" i="1"/>
  <c r="U97" i="1"/>
  <c r="V97" i="1" s="1"/>
  <c r="W97" i="1" s="1"/>
  <c r="T97" i="1"/>
  <c r="O97" i="1"/>
  <c r="R97" i="1" s="1"/>
  <c r="N97" i="1"/>
  <c r="E97" i="1"/>
  <c r="D97" i="1"/>
  <c r="U96" i="1"/>
  <c r="V96" i="1" s="1"/>
  <c r="W96" i="1" s="1"/>
  <c r="T96" i="1"/>
  <c r="O96" i="1"/>
  <c r="R96" i="1" s="1"/>
  <c r="N96" i="1"/>
  <c r="E96" i="1"/>
  <c r="D96" i="1"/>
  <c r="T95" i="1"/>
  <c r="U95" i="1" s="1"/>
  <c r="V95" i="1" s="1"/>
  <c r="W95" i="1" s="1"/>
  <c r="O95" i="1"/>
  <c r="R95" i="1" s="1"/>
  <c r="N95" i="1"/>
  <c r="E95" i="1"/>
  <c r="D95" i="1"/>
  <c r="T94" i="1"/>
  <c r="U94" i="1" s="1"/>
  <c r="V94" i="1" s="1"/>
  <c r="W94" i="1" s="1"/>
  <c r="O94" i="1"/>
  <c r="R94" i="1" s="1"/>
  <c r="N94" i="1"/>
  <c r="E94" i="1"/>
  <c r="D94" i="1"/>
  <c r="U93" i="1"/>
  <c r="V93" i="1" s="1"/>
  <c r="W93" i="1" s="1"/>
  <c r="T93" i="1"/>
  <c r="O93" i="1"/>
  <c r="R93" i="1" s="1"/>
  <c r="N93" i="1"/>
  <c r="E93" i="1"/>
  <c r="D93" i="1"/>
  <c r="U92" i="1"/>
  <c r="V92" i="1" s="1"/>
  <c r="W92" i="1" s="1"/>
  <c r="T92" i="1"/>
  <c r="O92" i="1"/>
  <c r="R92" i="1" s="1"/>
  <c r="N92" i="1"/>
  <c r="E92" i="1"/>
  <c r="D92" i="1"/>
  <c r="U91" i="1"/>
  <c r="V91" i="1" s="1"/>
  <c r="W91" i="1" s="1"/>
  <c r="T91" i="1"/>
  <c r="O91" i="1"/>
  <c r="R91" i="1" s="1"/>
  <c r="N91" i="1"/>
  <c r="E91" i="1"/>
  <c r="D91" i="1"/>
  <c r="T90" i="1"/>
  <c r="U90" i="1" s="1"/>
  <c r="V90" i="1" s="1"/>
  <c r="W90" i="1" s="1"/>
  <c r="O90" i="1"/>
  <c r="R90" i="1" s="1"/>
  <c r="N90" i="1"/>
  <c r="E90" i="1"/>
  <c r="D90" i="1"/>
  <c r="U89" i="1"/>
  <c r="V89" i="1" s="1"/>
  <c r="W89" i="1" s="1"/>
  <c r="T89" i="1"/>
  <c r="O89" i="1"/>
  <c r="R89" i="1" s="1"/>
  <c r="N89" i="1"/>
  <c r="E89" i="1"/>
  <c r="D89" i="1"/>
  <c r="U88" i="1"/>
  <c r="V88" i="1" s="1"/>
  <c r="W88" i="1" s="1"/>
  <c r="T88" i="1"/>
  <c r="O88" i="1"/>
  <c r="R88" i="1" s="1"/>
  <c r="N88" i="1"/>
  <c r="E88" i="1"/>
  <c r="D88" i="1"/>
  <c r="T87" i="1"/>
  <c r="U87" i="1" s="1"/>
  <c r="V87" i="1" s="1"/>
  <c r="W87" i="1" s="1"/>
  <c r="O87" i="1"/>
  <c r="R87" i="1" s="1"/>
  <c r="N87" i="1"/>
  <c r="E87" i="1"/>
  <c r="D87" i="1"/>
  <c r="T86" i="1"/>
  <c r="U86" i="1" s="1"/>
  <c r="V86" i="1" s="1"/>
  <c r="W86" i="1" s="1"/>
  <c r="O86" i="1"/>
  <c r="R86" i="1" s="1"/>
  <c r="N86" i="1"/>
  <c r="E86" i="1"/>
  <c r="D86" i="1"/>
  <c r="U85" i="1"/>
  <c r="V85" i="1" s="1"/>
  <c r="W85" i="1" s="1"/>
  <c r="T85" i="1"/>
  <c r="O85" i="1"/>
  <c r="R85" i="1" s="1"/>
  <c r="N85" i="1"/>
  <c r="E85" i="1"/>
  <c r="D85" i="1"/>
  <c r="U84" i="1"/>
  <c r="V84" i="1" s="1"/>
  <c r="W84" i="1" s="1"/>
  <c r="T84" i="1"/>
  <c r="O84" i="1"/>
  <c r="R84" i="1" s="1"/>
  <c r="N84" i="1"/>
  <c r="E84" i="1"/>
  <c r="D84" i="1"/>
  <c r="T83" i="1"/>
  <c r="U83" i="1" s="1"/>
  <c r="V83" i="1" s="1"/>
  <c r="W83" i="1" s="1"/>
  <c r="O83" i="1"/>
  <c r="R83" i="1" s="1"/>
  <c r="N83" i="1"/>
  <c r="E83" i="1"/>
  <c r="D83" i="1"/>
  <c r="U82" i="1"/>
  <c r="V82" i="1" s="1"/>
  <c r="O82" i="1"/>
  <c r="R82" i="1" s="1"/>
  <c r="N82" i="1"/>
  <c r="W82" i="1" s="1"/>
  <c r="E82" i="1"/>
  <c r="D82" i="1"/>
  <c r="W81" i="1"/>
  <c r="U81" i="1"/>
  <c r="V81" i="1" s="1"/>
  <c r="T81" i="1"/>
  <c r="O81" i="1"/>
  <c r="R81" i="1" s="1"/>
  <c r="N81" i="1"/>
  <c r="E81" i="1"/>
  <c r="D81" i="1"/>
  <c r="W80" i="1"/>
  <c r="T80" i="1"/>
  <c r="U80" i="1" s="1"/>
  <c r="V80" i="1" s="1"/>
  <c r="O80" i="1"/>
  <c r="R80" i="1" s="1"/>
  <c r="N80" i="1"/>
  <c r="E80" i="1"/>
  <c r="D80" i="1"/>
  <c r="T79" i="1"/>
  <c r="U79" i="1" s="1"/>
  <c r="V79" i="1" s="1"/>
  <c r="W79" i="1" s="1"/>
  <c r="O79" i="1"/>
  <c r="R79" i="1" s="1"/>
  <c r="N79" i="1"/>
  <c r="E79" i="1"/>
  <c r="D79" i="1"/>
  <c r="T78" i="1"/>
  <c r="U78" i="1" s="1"/>
  <c r="V78" i="1" s="1"/>
  <c r="W78" i="1" s="1"/>
  <c r="O78" i="1"/>
  <c r="R78" i="1" s="1"/>
  <c r="N78" i="1"/>
  <c r="E78" i="1"/>
  <c r="D78" i="1"/>
  <c r="T77" i="1"/>
  <c r="U77" i="1" s="1"/>
  <c r="V77" i="1" s="1"/>
  <c r="W77" i="1" s="1"/>
  <c r="O77" i="1"/>
  <c r="R77" i="1" s="1"/>
  <c r="N77" i="1"/>
  <c r="E77" i="1"/>
  <c r="D77" i="1"/>
  <c r="T76" i="1"/>
  <c r="U76" i="1" s="1"/>
  <c r="V76" i="1" s="1"/>
  <c r="W76" i="1" s="1"/>
  <c r="O76" i="1"/>
  <c r="R76" i="1" s="1"/>
  <c r="N76" i="1"/>
  <c r="E76" i="1"/>
  <c r="D76" i="1"/>
  <c r="U75" i="1"/>
  <c r="V75" i="1" s="1"/>
  <c r="W75" i="1" s="1"/>
  <c r="T75" i="1"/>
  <c r="O75" i="1"/>
  <c r="R75" i="1" s="1"/>
  <c r="N75" i="1"/>
  <c r="E75" i="1"/>
  <c r="D75" i="1"/>
  <c r="W74" i="1"/>
  <c r="T74" i="1"/>
  <c r="U74" i="1" s="1"/>
  <c r="V74" i="1" s="1"/>
  <c r="O74" i="1"/>
  <c r="R74" i="1" s="1"/>
  <c r="N74" i="1"/>
  <c r="E74" i="1"/>
  <c r="D74" i="1"/>
  <c r="W73" i="1"/>
  <c r="U73" i="1"/>
  <c r="V73" i="1" s="1"/>
  <c r="T73" i="1"/>
  <c r="O73" i="1"/>
  <c r="R73" i="1" s="1"/>
  <c r="N73" i="1"/>
  <c r="E73" i="1"/>
  <c r="D73" i="1"/>
  <c r="T72" i="1"/>
  <c r="U72" i="1" s="1"/>
  <c r="V72" i="1" s="1"/>
  <c r="W72" i="1" s="1"/>
  <c r="O72" i="1"/>
  <c r="R72" i="1" s="1"/>
  <c r="N72" i="1"/>
  <c r="E72" i="1"/>
  <c r="D72" i="1"/>
  <c r="U71" i="1"/>
  <c r="V71" i="1" s="1"/>
  <c r="W71" i="1" s="1"/>
  <c r="T71" i="1"/>
  <c r="O71" i="1"/>
  <c r="R71" i="1" s="1"/>
  <c r="N71" i="1"/>
  <c r="E71" i="1"/>
  <c r="D71" i="1"/>
  <c r="T70" i="1"/>
  <c r="U70" i="1" s="1"/>
  <c r="V70" i="1" s="1"/>
  <c r="W70" i="1" s="1"/>
  <c r="O70" i="1"/>
  <c r="R70" i="1" s="1"/>
  <c r="N70" i="1"/>
  <c r="E70" i="1"/>
  <c r="D70" i="1"/>
  <c r="W69" i="1"/>
  <c r="U69" i="1"/>
  <c r="V69" i="1" s="1"/>
  <c r="T69" i="1"/>
  <c r="O69" i="1"/>
  <c r="R69" i="1" s="1"/>
  <c r="N69" i="1"/>
  <c r="E69" i="1"/>
  <c r="D69" i="1"/>
  <c r="T68" i="1"/>
  <c r="U68" i="1" s="1"/>
  <c r="V68" i="1" s="1"/>
  <c r="W68" i="1" s="1"/>
  <c r="O68" i="1"/>
  <c r="R68" i="1" s="1"/>
  <c r="N68" i="1"/>
  <c r="E68" i="1"/>
  <c r="D68" i="1"/>
  <c r="U67" i="1"/>
  <c r="V67" i="1" s="1"/>
  <c r="W67" i="1" s="1"/>
  <c r="T67" i="1"/>
  <c r="O67" i="1"/>
  <c r="R67" i="1" s="1"/>
  <c r="N67" i="1"/>
  <c r="E67" i="1"/>
  <c r="D67" i="1"/>
  <c r="T66" i="1"/>
  <c r="U66" i="1" s="1"/>
  <c r="V66" i="1" s="1"/>
  <c r="W66" i="1" s="1"/>
  <c r="O66" i="1"/>
  <c r="R66" i="1" s="1"/>
  <c r="N66" i="1"/>
  <c r="E66" i="1"/>
  <c r="D66" i="1"/>
  <c r="U65" i="1"/>
  <c r="V65" i="1" s="1"/>
  <c r="W65" i="1" s="1"/>
  <c r="T65" i="1"/>
  <c r="O65" i="1"/>
  <c r="R65" i="1" s="1"/>
  <c r="N65" i="1"/>
  <c r="E65" i="1"/>
  <c r="D65" i="1"/>
  <c r="T64" i="1"/>
  <c r="U64" i="1" s="1"/>
  <c r="V64" i="1" s="1"/>
  <c r="W64" i="1" s="1"/>
  <c r="O64" i="1"/>
  <c r="R64" i="1" s="1"/>
  <c r="N64" i="1"/>
  <c r="E64" i="1"/>
  <c r="D64" i="1"/>
  <c r="U63" i="1"/>
  <c r="V63" i="1" s="1"/>
  <c r="W63" i="1" s="1"/>
  <c r="T63" i="1"/>
  <c r="O63" i="1"/>
  <c r="R63" i="1" s="1"/>
  <c r="N63" i="1"/>
  <c r="E63" i="1"/>
  <c r="D63" i="1"/>
  <c r="T62" i="1"/>
  <c r="U62" i="1" s="1"/>
  <c r="V62" i="1" s="1"/>
  <c r="W62" i="1" s="1"/>
  <c r="O62" i="1"/>
  <c r="R62" i="1" s="1"/>
  <c r="N62" i="1"/>
  <c r="E62" i="1"/>
  <c r="D62" i="1"/>
  <c r="W61" i="1"/>
  <c r="U61" i="1"/>
  <c r="V61" i="1" s="1"/>
  <c r="T61" i="1"/>
  <c r="O61" i="1"/>
  <c r="R61" i="1" s="1"/>
  <c r="N61" i="1"/>
  <c r="E61" i="1"/>
  <c r="D61" i="1"/>
  <c r="T60" i="1"/>
  <c r="U60" i="1" s="1"/>
  <c r="V60" i="1" s="1"/>
  <c r="W60" i="1" s="1"/>
  <c r="O60" i="1"/>
  <c r="R60" i="1" s="1"/>
  <c r="N60" i="1"/>
  <c r="E60" i="1"/>
  <c r="D60" i="1"/>
  <c r="T59" i="1"/>
  <c r="U59" i="1" s="1"/>
  <c r="V59" i="1" s="1"/>
  <c r="W59" i="1" s="1"/>
  <c r="O59" i="1"/>
  <c r="R59" i="1" s="1"/>
  <c r="N59" i="1"/>
  <c r="E59" i="1"/>
  <c r="D59" i="1"/>
  <c r="T58" i="1"/>
  <c r="U58" i="1" s="1"/>
  <c r="V58" i="1" s="1"/>
  <c r="W58" i="1" s="1"/>
  <c r="O58" i="1"/>
  <c r="R58" i="1" s="1"/>
  <c r="N58" i="1"/>
  <c r="E58" i="1"/>
  <c r="D58" i="1"/>
  <c r="T57" i="1"/>
  <c r="U57" i="1" s="1"/>
  <c r="V57" i="1" s="1"/>
  <c r="W57" i="1" s="1"/>
  <c r="O57" i="1"/>
  <c r="R57" i="1" s="1"/>
  <c r="N57" i="1"/>
  <c r="E57" i="1"/>
  <c r="D57" i="1"/>
  <c r="T56" i="1"/>
  <c r="U56" i="1" s="1"/>
  <c r="V56" i="1" s="1"/>
  <c r="W56" i="1" s="1"/>
  <c r="O56" i="1"/>
  <c r="R56" i="1" s="1"/>
  <c r="N56" i="1"/>
  <c r="E56" i="1"/>
  <c r="D56" i="1"/>
  <c r="U55" i="1"/>
  <c r="V55" i="1" s="1"/>
  <c r="W55" i="1" s="1"/>
  <c r="T55" i="1"/>
  <c r="O55" i="1"/>
  <c r="R55" i="1" s="1"/>
  <c r="N55" i="1"/>
  <c r="E55" i="1"/>
  <c r="D55" i="1"/>
  <c r="W54" i="1"/>
  <c r="T54" i="1"/>
  <c r="U54" i="1" s="1"/>
  <c r="V54" i="1" s="1"/>
  <c r="O54" i="1"/>
  <c r="R54" i="1" s="1"/>
  <c r="N54" i="1"/>
  <c r="E54" i="1"/>
  <c r="D54" i="1"/>
  <c r="T53" i="1"/>
  <c r="U53" i="1" s="1"/>
  <c r="V53" i="1" s="1"/>
  <c r="W53" i="1" s="1"/>
  <c r="O53" i="1"/>
  <c r="R53" i="1" s="1"/>
  <c r="N53" i="1"/>
  <c r="E53" i="1"/>
  <c r="D53" i="1"/>
  <c r="T52" i="1"/>
  <c r="U52" i="1" s="1"/>
  <c r="V52" i="1" s="1"/>
  <c r="W52" i="1" s="1"/>
  <c r="O52" i="1"/>
  <c r="R52" i="1" s="1"/>
  <c r="N52" i="1"/>
  <c r="E52" i="1"/>
  <c r="D52" i="1"/>
  <c r="T51" i="1"/>
  <c r="U51" i="1" s="1"/>
  <c r="V51" i="1" s="1"/>
  <c r="W51" i="1" s="1"/>
  <c r="O51" i="1"/>
  <c r="R51" i="1" s="1"/>
  <c r="N51" i="1"/>
  <c r="E51" i="1"/>
  <c r="D51" i="1"/>
  <c r="T50" i="1"/>
  <c r="U50" i="1" s="1"/>
  <c r="V50" i="1" s="1"/>
  <c r="W50" i="1" s="1"/>
  <c r="O50" i="1"/>
  <c r="R50" i="1" s="1"/>
  <c r="N50" i="1"/>
  <c r="E50" i="1"/>
  <c r="D50" i="1"/>
  <c r="T49" i="1"/>
  <c r="U49" i="1" s="1"/>
  <c r="V49" i="1" s="1"/>
  <c r="W49" i="1" s="1"/>
  <c r="O49" i="1"/>
  <c r="R49" i="1" s="1"/>
  <c r="N49" i="1"/>
  <c r="E49" i="1"/>
  <c r="D49" i="1"/>
  <c r="T48" i="1"/>
  <c r="U48" i="1" s="1"/>
  <c r="V48" i="1" s="1"/>
  <c r="W48" i="1" s="1"/>
  <c r="O48" i="1"/>
  <c r="R48" i="1" s="1"/>
  <c r="N48" i="1"/>
  <c r="E48" i="1"/>
  <c r="D48" i="1"/>
  <c r="U47" i="1"/>
  <c r="V47" i="1" s="1"/>
  <c r="W47" i="1" s="1"/>
  <c r="T47" i="1"/>
  <c r="O47" i="1"/>
  <c r="R47" i="1" s="1"/>
  <c r="N47" i="1"/>
  <c r="E47" i="1"/>
  <c r="D47" i="1"/>
  <c r="W46" i="1"/>
  <c r="T46" i="1"/>
  <c r="U46" i="1" s="1"/>
  <c r="V46" i="1" s="1"/>
  <c r="O46" i="1"/>
  <c r="R46" i="1" s="1"/>
  <c r="N46" i="1"/>
  <c r="E46" i="1"/>
  <c r="D46" i="1"/>
  <c r="W45" i="1"/>
  <c r="U45" i="1"/>
  <c r="V45" i="1" s="1"/>
  <c r="T45" i="1"/>
  <c r="O45" i="1"/>
  <c r="R45" i="1" s="1"/>
  <c r="N45" i="1"/>
  <c r="E45" i="1"/>
  <c r="D45" i="1"/>
  <c r="W44" i="1"/>
  <c r="T44" i="1"/>
  <c r="U44" i="1" s="1"/>
  <c r="V44" i="1" s="1"/>
  <c r="O44" i="1"/>
  <c r="R44" i="1" s="1"/>
  <c r="N44" i="1"/>
  <c r="E44" i="1"/>
  <c r="D44" i="1"/>
  <c r="T43" i="1"/>
  <c r="U43" i="1" s="1"/>
  <c r="V43" i="1" s="1"/>
  <c r="W43" i="1" s="1"/>
  <c r="O43" i="1"/>
  <c r="R43" i="1" s="1"/>
  <c r="N43" i="1"/>
  <c r="E43" i="1"/>
  <c r="D43" i="1"/>
  <c r="T42" i="1"/>
  <c r="U42" i="1" s="1"/>
  <c r="V42" i="1" s="1"/>
  <c r="W42" i="1" s="1"/>
  <c r="O42" i="1"/>
  <c r="R42" i="1" s="1"/>
  <c r="N42" i="1"/>
  <c r="E42" i="1"/>
  <c r="D42" i="1"/>
  <c r="T41" i="1"/>
  <c r="U41" i="1" s="1"/>
  <c r="V41" i="1" s="1"/>
  <c r="W41" i="1" s="1"/>
  <c r="O41" i="1"/>
  <c r="R41" i="1" s="1"/>
  <c r="N41" i="1"/>
  <c r="E41" i="1"/>
  <c r="D41" i="1"/>
  <c r="T40" i="1"/>
  <c r="U40" i="1" s="1"/>
  <c r="V40" i="1" s="1"/>
  <c r="W40" i="1" s="1"/>
  <c r="O40" i="1"/>
  <c r="R40" i="1" s="1"/>
  <c r="N40" i="1"/>
  <c r="E40" i="1"/>
  <c r="D40" i="1"/>
  <c r="U39" i="1"/>
  <c r="V39" i="1" s="1"/>
  <c r="W39" i="1" s="1"/>
  <c r="T39" i="1"/>
  <c r="O39" i="1"/>
  <c r="R39" i="1" s="1"/>
  <c r="N39" i="1"/>
  <c r="E39" i="1"/>
  <c r="D39" i="1"/>
  <c r="W38" i="1"/>
  <c r="T38" i="1"/>
  <c r="U38" i="1" s="1"/>
  <c r="V38" i="1" s="1"/>
  <c r="O38" i="1"/>
  <c r="R38" i="1" s="1"/>
  <c r="N38" i="1"/>
  <c r="E38" i="1"/>
  <c r="D38" i="1"/>
  <c r="W37" i="1"/>
  <c r="U37" i="1"/>
  <c r="V37" i="1" s="1"/>
  <c r="T37" i="1"/>
  <c r="O37" i="1"/>
  <c r="R37" i="1" s="1"/>
  <c r="N37" i="1"/>
  <c r="E37" i="1"/>
  <c r="D37" i="1"/>
  <c r="W36" i="1"/>
  <c r="T36" i="1"/>
  <c r="U36" i="1" s="1"/>
  <c r="V36" i="1" s="1"/>
  <c r="O36" i="1"/>
  <c r="R36" i="1" s="1"/>
  <c r="N36" i="1"/>
  <c r="E36" i="1"/>
  <c r="D36" i="1"/>
  <c r="T35" i="1"/>
  <c r="U35" i="1" s="1"/>
  <c r="V35" i="1" s="1"/>
  <c r="W35" i="1" s="1"/>
  <c r="O35" i="1"/>
  <c r="R35" i="1" s="1"/>
  <c r="N35" i="1"/>
  <c r="E35" i="1"/>
  <c r="D35" i="1"/>
  <c r="T34" i="1"/>
  <c r="U34" i="1" s="1"/>
  <c r="V34" i="1" s="1"/>
  <c r="W34" i="1" s="1"/>
  <c r="O34" i="1"/>
  <c r="R34" i="1" s="1"/>
  <c r="N34" i="1"/>
  <c r="E34" i="1"/>
  <c r="D34" i="1"/>
  <c r="T33" i="1"/>
  <c r="U33" i="1" s="1"/>
  <c r="V33" i="1" s="1"/>
  <c r="W33" i="1" s="1"/>
  <c r="O33" i="1"/>
  <c r="R33" i="1" s="1"/>
  <c r="N33" i="1"/>
  <c r="E33" i="1"/>
  <c r="D33" i="1"/>
  <c r="T32" i="1"/>
  <c r="U32" i="1" s="1"/>
  <c r="V32" i="1" s="1"/>
  <c r="W32" i="1" s="1"/>
  <c r="O32" i="1"/>
  <c r="R32" i="1" s="1"/>
  <c r="N32" i="1"/>
  <c r="E32" i="1"/>
  <c r="D32" i="1"/>
  <c r="W31" i="1"/>
  <c r="U31" i="1"/>
  <c r="V31" i="1" s="1"/>
  <c r="T31" i="1"/>
  <c r="O31" i="1"/>
  <c r="R31" i="1" s="1"/>
  <c r="N31" i="1"/>
  <c r="E31" i="1"/>
  <c r="D31" i="1"/>
  <c r="T30" i="1"/>
  <c r="U30" i="1" s="1"/>
  <c r="V30" i="1" s="1"/>
  <c r="W30" i="1" s="1"/>
  <c r="O30" i="1"/>
  <c r="R30" i="1" s="1"/>
  <c r="N30" i="1"/>
  <c r="E30" i="1"/>
  <c r="D30" i="1"/>
  <c r="W29" i="1"/>
  <c r="U29" i="1"/>
  <c r="V29" i="1" s="1"/>
  <c r="T29" i="1"/>
  <c r="O29" i="1"/>
  <c r="R29" i="1" s="1"/>
  <c r="N29" i="1"/>
  <c r="E29" i="1"/>
  <c r="D29" i="1"/>
  <c r="T28" i="1"/>
  <c r="U28" i="1" s="1"/>
  <c r="V28" i="1" s="1"/>
  <c r="W28" i="1" s="1"/>
  <c r="O28" i="1"/>
  <c r="R28" i="1" s="1"/>
  <c r="N28" i="1"/>
  <c r="E28" i="1"/>
  <c r="D28" i="1"/>
  <c r="W27" i="1"/>
  <c r="U27" i="1"/>
  <c r="V27" i="1" s="1"/>
  <c r="T27" i="1"/>
  <c r="O27" i="1"/>
  <c r="R27" i="1" s="1"/>
  <c r="N27" i="1"/>
  <c r="E27" i="1"/>
  <c r="D27" i="1"/>
  <c r="T26" i="1"/>
  <c r="U26" i="1" s="1"/>
  <c r="V26" i="1" s="1"/>
  <c r="W26" i="1" s="1"/>
  <c r="O26" i="1"/>
  <c r="R26" i="1" s="1"/>
  <c r="N26" i="1"/>
  <c r="E26" i="1"/>
  <c r="D26" i="1"/>
  <c r="W25" i="1"/>
  <c r="U25" i="1"/>
  <c r="V25" i="1" s="1"/>
  <c r="T25" i="1"/>
  <c r="O25" i="1"/>
  <c r="R25" i="1" s="1"/>
  <c r="N25" i="1"/>
  <c r="E25" i="1"/>
  <c r="D25" i="1"/>
  <c r="T24" i="1"/>
  <c r="U24" i="1" s="1"/>
  <c r="V24" i="1" s="1"/>
  <c r="W24" i="1" s="1"/>
  <c r="O24" i="1"/>
  <c r="R24" i="1" s="1"/>
  <c r="N24" i="1"/>
  <c r="E24" i="1"/>
  <c r="D24" i="1"/>
  <c r="W23" i="1"/>
  <c r="U23" i="1"/>
  <c r="V23" i="1" s="1"/>
  <c r="T23" i="1"/>
  <c r="O23" i="1"/>
  <c r="R23" i="1" s="1"/>
  <c r="N23" i="1"/>
  <c r="E23" i="1"/>
  <c r="D23" i="1"/>
  <c r="O22" i="1"/>
  <c r="R22" i="1" s="1"/>
  <c r="N22" i="1"/>
  <c r="E22" i="1"/>
  <c r="D22" i="1"/>
  <c r="T21" i="1"/>
  <c r="U21" i="1" s="1"/>
  <c r="V21" i="1" s="1"/>
  <c r="W21" i="1" s="1"/>
  <c r="O21" i="1"/>
  <c r="R21" i="1" s="1"/>
  <c r="N21" i="1"/>
  <c r="E21" i="1"/>
  <c r="D21" i="1"/>
  <c r="U20" i="1"/>
  <c r="V20" i="1" s="1"/>
  <c r="W20" i="1" s="1"/>
  <c r="T20" i="1"/>
  <c r="O20" i="1"/>
  <c r="R20" i="1" s="1"/>
  <c r="N20" i="1"/>
  <c r="E20" i="1"/>
  <c r="D20" i="1"/>
  <c r="T19" i="1"/>
  <c r="U19" i="1" s="1"/>
  <c r="V19" i="1" s="1"/>
  <c r="W19" i="1" s="1"/>
  <c r="O19" i="1"/>
  <c r="R19" i="1" s="1"/>
  <c r="N19" i="1"/>
  <c r="E19" i="1"/>
  <c r="D19" i="1"/>
  <c r="U18" i="1"/>
  <c r="V18" i="1" s="1"/>
  <c r="W18" i="1" s="1"/>
  <c r="T18" i="1"/>
  <c r="O18" i="1"/>
  <c r="R18" i="1" s="1"/>
  <c r="N18" i="1"/>
  <c r="E18" i="1"/>
  <c r="D18" i="1"/>
  <c r="T17" i="1"/>
  <c r="U17" i="1" s="1"/>
  <c r="V17" i="1" s="1"/>
  <c r="W17" i="1" s="1"/>
  <c r="O17" i="1"/>
  <c r="R17" i="1" s="1"/>
  <c r="N17" i="1"/>
  <c r="E17" i="1"/>
  <c r="D17" i="1"/>
  <c r="U16" i="1"/>
  <c r="V16" i="1" s="1"/>
  <c r="W16" i="1" s="1"/>
  <c r="T16" i="1"/>
  <c r="O16" i="1"/>
  <c r="R16" i="1" s="1"/>
  <c r="N16" i="1"/>
  <c r="E16" i="1"/>
  <c r="D16" i="1"/>
  <c r="T15" i="1"/>
  <c r="U15" i="1" s="1"/>
  <c r="V15" i="1" s="1"/>
  <c r="W15" i="1" s="1"/>
  <c r="O15" i="1"/>
  <c r="R15" i="1" s="1"/>
  <c r="N15" i="1"/>
  <c r="E15" i="1"/>
  <c r="D15" i="1"/>
  <c r="U14" i="1"/>
  <c r="V14" i="1" s="1"/>
  <c r="W14" i="1" s="1"/>
  <c r="T14" i="1"/>
  <c r="O14" i="1"/>
  <c r="R14" i="1" s="1"/>
  <c r="N14" i="1"/>
  <c r="E14" i="1"/>
  <c r="D14" i="1"/>
  <c r="T13" i="1"/>
  <c r="U13" i="1" s="1"/>
  <c r="V13" i="1" s="1"/>
  <c r="W13" i="1" s="1"/>
  <c r="O13" i="1"/>
  <c r="R13" i="1" s="1"/>
  <c r="N13" i="1"/>
  <c r="E13" i="1"/>
  <c r="D13" i="1"/>
  <c r="U12" i="1"/>
  <c r="V12" i="1" s="1"/>
  <c r="W12" i="1" s="1"/>
  <c r="T12" i="1"/>
  <c r="O12" i="1"/>
  <c r="R12" i="1" s="1"/>
  <c r="N12" i="1"/>
  <c r="E12" i="1"/>
  <c r="D12" i="1"/>
  <c r="T11" i="1"/>
  <c r="U11" i="1" s="1"/>
  <c r="V11" i="1" s="1"/>
  <c r="N11" i="1"/>
  <c r="W11" i="1" s="1"/>
  <c r="E11" i="1"/>
  <c r="D11" i="1"/>
  <c r="V10" i="1"/>
  <c r="U10" i="1"/>
  <c r="T10" i="1"/>
  <c r="N10" i="1"/>
  <c r="W10" i="1" s="1"/>
  <c r="E10" i="1"/>
  <c r="D10" i="1"/>
  <c r="V9" i="1"/>
  <c r="U9" i="1"/>
  <c r="T9" i="1"/>
  <c r="N9" i="1"/>
  <c r="W9" i="1" s="1"/>
  <c r="E9" i="1"/>
  <c r="D9" i="1"/>
  <c r="V8" i="1"/>
  <c r="U8" i="1"/>
  <c r="T8" i="1"/>
  <c r="N8" i="1"/>
  <c r="W8" i="1" s="1"/>
  <c r="E8" i="1"/>
  <c r="D8" i="1"/>
  <c r="V7" i="1"/>
  <c r="U7" i="1"/>
  <c r="T7" i="1"/>
  <c r="N7" i="1"/>
  <c r="O7" i="1" s="1"/>
  <c r="R7" i="1" s="1"/>
  <c r="E7" i="1"/>
  <c r="D7" i="1"/>
  <c r="V6" i="1"/>
  <c r="U6" i="1"/>
  <c r="T6" i="1"/>
  <c r="N6" i="1"/>
  <c r="O6" i="1" s="1"/>
  <c r="R6" i="1" s="1"/>
  <c r="E6" i="1"/>
  <c r="D6" i="1"/>
  <c r="V5" i="1"/>
  <c r="U5" i="1"/>
  <c r="T5" i="1"/>
  <c r="N5" i="1"/>
  <c r="W5" i="1" s="1"/>
  <c r="E5" i="1"/>
  <c r="D5" i="1"/>
  <c r="V4" i="1"/>
  <c r="U4" i="1"/>
  <c r="T4" i="1"/>
  <c r="N4" i="1"/>
  <c r="W4" i="1" s="1"/>
  <c r="E4" i="1"/>
  <c r="D4" i="1"/>
  <c r="V3" i="1"/>
  <c r="U3" i="1"/>
  <c r="T3" i="1"/>
  <c r="N3" i="1"/>
  <c r="O3" i="1" s="1"/>
  <c r="R3" i="1" s="1"/>
  <c r="E3" i="1"/>
  <c r="D3" i="1"/>
  <c r="V2" i="1"/>
  <c r="U2" i="1"/>
  <c r="T2" i="1"/>
  <c r="N2" i="1"/>
  <c r="W2" i="1" s="1"/>
  <c r="E2" i="1"/>
  <c r="D2" i="1"/>
  <c r="O2" i="1" l="1"/>
  <c r="W3" i="1"/>
  <c r="O4" i="1"/>
  <c r="R4" i="1" s="1"/>
  <c r="W6" i="1"/>
  <c r="W7" i="1"/>
  <c r="O8" i="1"/>
  <c r="R8" i="1" s="1"/>
  <c r="O9" i="1"/>
  <c r="R9" i="1" s="1"/>
  <c r="O10" i="1"/>
  <c r="R10" i="1" s="1"/>
  <c r="O5" i="1"/>
  <c r="R5" i="1" s="1"/>
  <c r="O11" i="1"/>
  <c r="R11" i="1" s="1"/>
  <c r="Q82" i="1" l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P82" i="1"/>
  <c r="P80" i="1"/>
  <c r="P78" i="1"/>
  <c r="P76" i="1"/>
  <c r="P74" i="1"/>
  <c r="Q114" i="1"/>
  <c r="P113" i="1"/>
  <c r="Q110" i="1"/>
  <c r="P109" i="1"/>
  <c r="Q106" i="1"/>
  <c r="P105" i="1"/>
  <c r="P103" i="1"/>
  <c r="P99" i="1"/>
  <c r="P95" i="1"/>
  <c r="P91" i="1"/>
  <c r="P87" i="1"/>
  <c r="P83" i="1"/>
  <c r="P79" i="1"/>
  <c r="Q78" i="1"/>
  <c r="Q77" i="1"/>
  <c r="Q72" i="1"/>
  <c r="Q70" i="1"/>
  <c r="Q68" i="1"/>
  <c r="Q66" i="1"/>
  <c r="Q64" i="1"/>
  <c r="Q62" i="1"/>
  <c r="Q115" i="1"/>
  <c r="P114" i="1"/>
  <c r="Q111" i="1"/>
  <c r="P110" i="1"/>
  <c r="Q107" i="1"/>
  <c r="P106" i="1"/>
  <c r="P104" i="1"/>
  <c r="P100" i="1"/>
  <c r="P96" i="1"/>
  <c r="P92" i="1"/>
  <c r="P88" i="1"/>
  <c r="P84" i="1"/>
  <c r="P77" i="1"/>
  <c r="Q76" i="1"/>
  <c r="Q75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Q113" i="1"/>
  <c r="Q109" i="1"/>
  <c r="Q105" i="1"/>
  <c r="P102" i="1"/>
  <c r="P98" i="1"/>
  <c r="P93" i="1"/>
  <c r="Q81" i="1"/>
  <c r="Q74" i="1"/>
  <c r="Q73" i="1"/>
  <c r="P71" i="1"/>
  <c r="Q65" i="1"/>
  <c r="P63" i="1"/>
  <c r="P59" i="1"/>
  <c r="Q58" i="1"/>
  <c r="Q57" i="1"/>
  <c r="P51" i="1"/>
  <c r="Q50" i="1"/>
  <c r="Q49" i="1"/>
  <c r="P43" i="1"/>
  <c r="Q42" i="1"/>
  <c r="Q41" i="1"/>
  <c r="P35" i="1"/>
  <c r="Q34" i="1"/>
  <c r="Q33" i="1"/>
  <c r="P31" i="1"/>
  <c r="P29" i="1"/>
  <c r="P27" i="1"/>
  <c r="P25" i="1"/>
  <c r="P23" i="1"/>
  <c r="Q21" i="1"/>
  <c r="Q19" i="1"/>
  <c r="Q17" i="1"/>
  <c r="Q15" i="1"/>
  <c r="Q13" i="1"/>
  <c r="Q11" i="1"/>
  <c r="Q10" i="1"/>
  <c r="Q9" i="1"/>
  <c r="Q8" i="1"/>
  <c r="Q7" i="1"/>
  <c r="Q6" i="1"/>
  <c r="Q5" i="1"/>
  <c r="Q4" i="1"/>
  <c r="Q3" i="1"/>
  <c r="Q2" i="1"/>
  <c r="Q61" i="1"/>
  <c r="Q53" i="1"/>
  <c r="P47" i="1"/>
  <c r="Q46" i="1"/>
  <c r="P39" i="1"/>
  <c r="Q38" i="1"/>
  <c r="P32" i="1"/>
  <c r="Q22" i="1"/>
  <c r="Q18" i="1"/>
  <c r="Q16" i="1"/>
  <c r="Q12" i="1"/>
  <c r="P108" i="1"/>
  <c r="P86" i="1"/>
  <c r="Q71" i="1"/>
  <c r="Q59" i="1"/>
  <c r="P53" i="1"/>
  <c r="Q52" i="1"/>
  <c r="Q43" i="1"/>
  <c r="Q36" i="1"/>
  <c r="Q31" i="1"/>
  <c r="Q23" i="1"/>
  <c r="P14" i="1"/>
  <c r="R2" i="1"/>
  <c r="P115" i="1"/>
  <c r="P111" i="1"/>
  <c r="P107" i="1"/>
  <c r="P94" i="1"/>
  <c r="P89" i="1"/>
  <c r="P81" i="1"/>
  <c r="Q80" i="1"/>
  <c r="P75" i="1"/>
  <c r="P73" i="1"/>
  <c r="Q67" i="1"/>
  <c r="P65" i="1"/>
  <c r="P57" i="1"/>
  <c r="Q56" i="1"/>
  <c r="Q55" i="1"/>
  <c r="P49" i="1"/>
  <c r="Q48" i="1"/>
  <c r="Q47" i="1"/>
  <c r="P41" i="1"/>
  <c r="Q40" i="1"/>
  <c r="Q39" i="1"/>
  <c r="P33" i="1"/>
  <c r="Q32" i="1"/>
  <c r="Q30" i="1"/>
  <c r="Q28" i="1"/>
  <c r="Q26" i="1"/>
  <c r="Q24" i="1"/>
  <c r="P21" i="1"/>
  <c r="P19" i="1"/>
  <c r="P17" i="1"/>
  <c r="P15" i="1"/>
  <c r="P13" i="1"/>
  <c r="P11" i="1"/>
  <c r="P10" i="1"/>
  <c r="P9" i="1"/>
  <c r="P8" i="1"/>
  <c r="P7" i="1"/>
  <c r="P6" i="1"/>
  <c r="P5" i="1"/>
  <c r="P4" i="1"/>
  <c r="P3" i="1"/>
  <c r="P2" i="1"/>
  <c r="Q112" i="1"/>
  <c r="Q108" i="1"/>
  <c r="P101" i="1"/>
  <c r="P90" i="1"/>
  <c r="P85" i="1"/>
  <c r="Q69" i="1"/>
  <c r="P67" i="1"/>
  <c r="P55" i="1"/>
  <c r="Q54" i="1"/>
  <c r="Q45" i="1"/>
  <c r="Q37" i="1"/>
  <c r="P30" i="1"/>
  <c r="P28" i="1"/>
  <c r="P26" i="1"/>
  <c r="P24" i="1"/>
  <c r="Q20" i="1"/>
  <c r="Q14" i="1"/>
  <c r="P112" i="1"/>
  <c r="P97" i="1"/>
  <c r="Q79" i="1"/>
  <c r="P69" i="1"/>
  <c r="Q63" i="1"/>
  <c r="P61" i="1"/>
  <c r="Q60" i="1"/>
  <c r="Q51" i="1"/>
  <c r="P45" i="1"/>
  <c r="Q44" i="1"/>
  <c r="P37" i="1"/>
  <c r="Q35" i="1"/>
  <c r="Q29" i="1"/>
  <c r="Q27" i="1"/>
  <c r="Q25" i="1"/>
  <c r="P22" i="1"/>
  <c r="P20" i="1"/>
  <c r="P18" i="1"/>
  <c r="P16" i="1"/>
  <c r="P12" i="1"/>
  <c r="S115" i="1" l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79" i="1"/>
  <c r="S77" i="1"/>
  <c r="S75" i="1"/>
  <c r="S73" i="1"/>
  <c r="S76" i="1"/>
  <c r="S74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82" i="1"/>
  <c r="S80" i="1"/>
  <c r="S66" i="1"/>
  <c r="S56" i="1"/>
  <c r="S48" i="1"/>
  <c r="S40" i="1"/>
  <c r="S32" i="1"/>
  <c r="S30" i="1"/>
  <c r="S28" i="1"/>
  <c r="S26" i="1"/>
  <c r="S24" i="1"/>
  <c r="S52" i="1"/>
  <c r="S31" i="1"/>
  <c r="S10" i="1"/>
  <c r="S9" i="1"/>
  <c r="S8" i="1"/>
  <c r="S4" i="1"/>
  <c r="S2" i="1"/>
  <c r="S72" i="1"/>
  <c r="S42" i="1"/>
  <c r="S78" i="1"/>
  <c r="S68" i="1"/>
  <c r="S54" i="1"/>
  <c r="S46" i="1"/>
  <c r="S38" i="1"/>
  <c r="S22" i="1"/>
  <c r="S20" i="1"/>
  <c r="S18" i="1"/>
  <c r="S16" i="1"/>
  <c r="S14" i="1"/>
  <c r="S12" i="1"/>
  <c r="S70" i="1"/>
  <c r="S62" i="1"/>
  <c r="S60" i="1"/>
  <c r="S44" i="1"/>
  <c r="S36" i="1"/>
  <c r="S29" i="1"/>
  <c r="S27" i="1"/>
  <c r="S25" i="1"/>
  <c r="S23" i="1"/>
  <c r="S7" i="1"/>
  <c r="S6" i="1"/>
  <c r="S5" i="1"/>
  <c r="S3" i="1"/>
  <c r="S64" i="1"/>
  <c r="S58" i="1"/>
  <c r="S50" i="1"/>
  <c r="S34" i="1"/>
  <c r="S21" i="1"/>
  <c r="S19" i="1"/>
  <c r="S17" i="1"/>
  <c r="S15" i="1"/>
  <c r="S13" i="1"/>
  <c r="S11" i="1"/>
</calcChain>
</file>

<file path=xl/sharedStrings.xml><?xml version="1.0" encoding="utf-8"?>
<sst xmlns="http://schemas.openxmlformats.org/spreadsheetml/2006/main" count="315" uniqueCount="177">
  <si>
    <t>Number</t>
  </si>
  <si>
    <t>Site</t>
  </si>
  <si>
    <t>Latitude</t>
  </si>
  <si>
    <t>Longitude</t>
  </si>
  <si>
    <t>Date</t>
  </si>
  <si>
    <t>Time</t>
  </si>
  <si>
    <t>SurfTemp_C</t>
  </si>
  <si>
    <t>Fish</t>
  </si>
  <si>
    <t>Station_ha</t>
  </si>
  <si>
    <t>Median_ha</t>
  </si>
  <si>
    <t>Fish lakewide</t>
  </si>
  <si>
    <t>Mean lakewide</t>
  </si>
  <si>
    <t>Meter_Revolutions</t>
  </si>
  <si>
    <t>MeterDistance_meters</t>
  </si>
  <si>
    <t>MeterDistance_Miles</t>
  </si>
  <si>
    <t>MeterFishEst</t>
  </si>
  <si>
    <t>Genetics</t>
  </si>
  <si>
    <t>500/501</t>
  </si>
  <si>
    <t>Yes</t>
  </si>
  <si>
    <t>502/503</t>
  </si>
  <si>
    <t>504/505</t>
  </si>
  <si>
    <t>506/507</t>
  </si>
  <si>
    <t>508/509</t>
  </si>
  <si>
    <t>510/511</t>
  </si>
  <si>
    <t>512/513</t>
  </si>
  <si>
    <t>514/515</t>
  </si>
  <si>
    <t>516/517</t>
  </si>
  <si>
    <t>518/519</t>
  </si>
  <si>
    <t>520/521</t>
  </si>
  <si>
    <t>522/523</t>
  </si>
  <si>
    <t>524/525</t>
  </si>
  <si>
    <t>526/527</t>
  </si>
  <si>
    <t>528/529</t>
  </si>
  <si>
    <t>530/531</t>
  </si>
  <si>
    <t>532/533</t>
  </si>
  <si>
    <t>534/535</t>
  </si>
  <si>
    <t>536/537</t>
  </si>
  <si>
    <t>538/539</t>
  </si>
  <si>
    <t>540/541</t>
  </si>
  <si>
    <t>542/543</t>
  </si>
  <si>
    <t>No</t>
  </si>
  <si>
    <t>544/545</t>
  </si>
  <si>
    <t>546/547</t>
  </si>
  <si>
    <t>548/549</t>
  </si>
  <si>
    <t>550/551</t>
  </si>
  <si>
    <t>552/553</t>
  </si>
  <si>
    <t>554/555</t>
  </si>
  <si>
    <t>556/557</t>
  </si>
  <si>
    <t>558/559</t>
  </si>
  <si>
    <t>560/561</t>
  </si>
  <si>
    <t>562/563</t>
  </si>
  <si>
    <t>564/565</t>
  </si>
  <si>
    <t>566/567</t>
  </si>
  <si>
    <t>568/569</t>
  </si>
  <si>
    <t>570/571</t>
  </si>
  <si>
    <t>572/573</t>
  </si>
  <si>
    <t>574/575</t>
  </si>
  <si>
    <t>576/577</t>
  </si>
  <si>
    <t>578/579</t>
  </si>
  <si>
    <t>580/581</t>
  </si>
  <si>
    <t>582/583</t>
  </si>
  <si>
    <t>584/585</t>
  </si>
  <si>
    <t>586/587</t>
  </si>
  <si>
    <t>588/589</t>
  </si>
  <si>
    <t>590/591</t>
  </si>
  <si>
    <t>592/593</t>
  </si>
  <si>
    <t>594/595</t>
  </si>
  <si>
    <t>596/597</t>
  </si>
  <si>
    <t>598/599</t>
  </si>
  <si>
    <t>600/601</t>
  </si>
  <si>
    <t>602/603</t>
  </si>
  <si>
    <t>604/605</t>
  </si>
  <si>
    <t>606/607</t>
  </si>
  <si>
    <t>608/609</t>
  </si>
  <si>
    <t>610/611</t>
  </si>
  <si>
    <t>612/613</t>
  </si>
  <si>
    <t>614/615</t>
  </si>
  <si>
    <t>616/617</t>
  </si>
  <si>
    <t>618/619</t>
  </si>
  <si>
    <t>620/621</t>
  </si>
  <si>
    <t>622/623</t>
  </si>
  <si>
    <t>624/625</t>
  </si>
  <si>
    <t>626/627</t>
  </si>
  <si>
    <t>628/629</t>
  </si>
  <si>
    <t>630/631</t>
  </si>
  <si>
    <t>632/633</t>
  </si>
  <si>
    <t>634/635</t>
  </si>
  <si>
    <t>636/637</t>
  </si>
  <si>
    <t>638/639</t>
  </si>
  <si>
    <t>640/641</t>
  </si>
  <si>
    <t>642/643</t>
  </si>
  <si>
    <t>644/645</t>
  </si>
  <si>
    <t>646/647</t>
  </si>
  <si>
    <t>648/649</t>
  </si>
  <si>
    <t>650/651</t>
  </si>
  <si>
    <t>652/653</t>
  </si>
  <si>
    <t>654/655</t>
  </si>
  <si>
    <t>656/657</t>
  </si>
  <si>
    <t>658/659</t>
  </si>
  <si>
    <t>660/661</t>
  </si>
  <si>
    <t>662/663</t>
  </si>
  <si>
    <t>664/665</t>
  </si>
  <si>
    <t>666/667</t>
  </si>
  <si>
    <t>668/669</t>
  </si>
  <si>
    <t>670/671</t>
  </si>
  <si>
    <t>672/673</t>
  </si>
  <si>
    <t>674/675</t>
  </si>
  <si>
    <t>676/677</t>
  </si>
  <si>
    <t>678/679</t>
  </si>
  <si>
    <t>680/681</t>
  </si>
  <si>
    <t>682/683</t>
  </si>
  <si>
    <t>684/685</t>
  </si>
  <si>
    <t>686/687</t>
  </si>
  <si>
    <t>688/689</t>
  </si>
  <si>
    <t>690/691</t>
  </si>
  <si>
    <t>692/693</t>
  </si>
  <si>
    <t>694/695</t>
  </si>
  <si>
    <t>696/697</t>
  </si>
  <si>
    <t>698/699</t>
  </si>
  <si>
    <t>700/701</t>
  </si>
  <si>
    <t>702/703</t>
  </si>
  <si>
    <t>704/705</t>
  </si>
  <si>
    <t>706/707</t>
  </si>
  <si>
    <t>708/709</t>
  </si>
  <si>
    <t>710/711</t>
  </si>
  <si>
    <t>712/713</t>
  </si>
  <si>
    <t>714/715</t>
  </si>
  <si>
    <t>716/717</t>
  </si>
  <si>
    <t>718/719</t>
  </si>
  <si>
    <t>720/721</t>
  </si>
  <si>
    <t>722/723</t>
  </si>
  <si>
    <t>724/725</t>
  </si>
  <si>
    <t>726/727</t>
  </si>
  <si>
    <t>Secchi_m</t>
  </si>
  <si>
    <t>Distance_SM</t>
  </si>
  <si>
    <t>Speed_MPH</t>
  </si>
  <si>
    <t>InsideNet</t>
  </si>
  <si>
    <t>OutsideNet</t>
  </si>
  <si>
    <t>NeustonSerial</t>
  </si>
  <si>
    <t>Lakewide_mean_ha</t>
  </si>
  <si>
    <t>Field</t>
  </si>
  <si>
    <t>Definition</t>
  </si>
  <si>
    <t>Sequential collection site number</t>
  </si>
  <si>
    <t>Sample serial number, two per collection, sequential</t>
  </si>
  <si>
    <t>USGS sampling station identifier</t>
  </si>
  <si>
    <t>Sample collection starting point</t>
  </si>
  <si>
    <t>Sample collection date</t>
  </si>
  <si>
    <t>Number of fish collected in inside net, even number serial number</t>
  </si>
  <si>
    <t>Number of fish collected in outside net, odd number serial number</t>
  </si>
  <si>
    <t>Total fish collected, inside net + outside net</t>
  </si>
  <si>
    <t>Running average of Fish Lakewide field</t>
  </si>
  <si>
    <t>Net tow distance, statute miles</t>
  </si>
  <si>
    <t>Running median of Fish Lakewide field</t>
  </si>
  <si>
    <t>Revolutions of the current meter attached to the net mouth</t>
  </si>
  <si>
    <t>Distance based on meter revolutionsm, meters</t>
  </si>
  <si>
    <t>Distance based on meter revolutionsm, statute miles</t>
  </si>
  <si>
    <t>Was a vial specifically labeled for genetic samples to be sent to UWSP</t>
  </si>
  <si>
    <t>Estimated number of fish collected per hectare sampled based on the current meter revolutions</t>
  </si>
  <si>
    <t>Wild ass guess of number of larvae in the whole lake based on that collection, estimated number of fish per hectare muliplied by total lake surface hectares</t>
  </si>
  <si>
    <t>Sample collection starting time</t>
  </si>
  <si>
    <t>Sample collection secchi depth near sample end point, meters</t>
  </si>
  <si>
    <t xml:space="preserve">Sample collection surface temperature near sample end point, , celsius </t>
  </si>
  <si>
    <t>Average ship speed based on distance travelled in 10 minutes, miles per hour</t>
  </si>
  <si>
    <t>Collections</t>
  </si>
  <si>
    <t>Net</t>
  </si>
  <si>
    <t>Size</t>
  </si>
  <si>
    <t>Mesh</t>
  </si>
  <si>
    <t>500 micron</t>
  </si>
  <si>
    <t>Sea-Gear paired neuston frame, model 9550, http://www.sea-gear.net/neuston-net-frames.html</t>
  </si>
  <si>
    <t>Sample depth</t>
  </si>
  <si>
    <t>Two, 1 x 1 meter net frames</t>
  </si>
  <si>
    <t>Collection time</t>
  </si>
  <si>
    <t>all collections were made for 10 minutes</t>
  </si>
  <si>
    <t xml:space="preserve">net was fished approximately 0.5 m below the surface, so went it rode the waves the top of the net was at the surface.  </t>
  </si>
  <si>
    <t xml:space="preserve">All larvae were removed from the collection nets, counted, and preserved in 90% ethanol. </t>
  </si>
  <si>
    <t/>
  </si>
  <si>
    <t>Estimated number of fish collected per hectare, based on the ship distance and a sampling area width of 2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</si>
</sst>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400]h:mm:ss\ AM/PM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2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/>
    <xf numFmtId="14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6F43-F4A2-4C14-856B-23DA07439A3B}">
  <dimension ref="A1:X115"/>
  <sheetViews>
    <sheetView tabSelected="1" workbookViewId="0">
      <pane ySplit="1" topLeftCell="A56" activePane="bottomLeft" state="frozen"/>
      <selection activeCell="B1" sqref="B1"/>
      <selection pane="bottomLeft" activeCell="A99" sqref="A99"/>
    </sheetView>
  </sheetViews>
  <sheetFormatPr defaultRowHeight="14.4" x14ac:dyDescent="0.55000000000000004"/>
  <cols>
    <col min="1" max="1" width="6.5234375" bestFit="1" customWidth="1"/>
    <col min="2" max="2" width="11" bestFit="1" customWidth="1"/>
    <col min="3" max="3" width="4.5234375" bestFit="1" customWidth="1"/>
    <col min="4" max="4" width="11" bestFit="1" customWidth="1"/>
    <col min="5" max="5" width="11.5234375" bestFit="1" customWidth="1"/>
    <col min="6" max="6" width="8.62890625" bestFit="1" customWidth="1"/>
    <col min="7" max="7" width="9.9453125" bestFit="1" customWidth="1"/>
    <col min="8" max="8" width="9.26171875" bestFit="1" customWidth="1"/>
    <col min="9" max="9" width="7.578125" bestFit="1" customWidth="1"/>
    <col min="10" max="10" width="10.20703125" bestFit="1" customWidth="1"/>
    <col min="11" max="11" width="9.26171875" bestFit="1" customWidth="1"/>
    <col min="12" max="12" width="7.68359375" bestFit="1" customWidth="1"/>
    <col min="13" max="13" width="8.89453125" bestFit="1" customWidth="1"/>
    <col min="14" max="14" width="4.9453125" bestFit="1" customWidth="1"/>
    <col min="15" max="15" width="8.62890625" bestFit="1" customWidth="1"/>
    <col min="16" max="16" width="14.9453125" bestFit="1" customWidth="1"/>
    <col min="17" max="17" width="9" bestFit="1" customWidth="1"/>
    <col min="18" max="18" width="12.3125" bestFit="1" customWidth="1"/>
    <col min="19" max="19" width="11.7890625" bestFit="1" customWidth="1"/>
    <col min="20" max="20" width="14.5234375" bestFit="1" customWidth="1"/>
    <col min="21" max="21" width="17.3125" bestFit="1" customWidth="1"/>
    <col min="22" max="22" width="16.5234375" bestFit="1" customWidth="1"/>
    <col min="23" max="23" width="10.20703125" bestFit="1" customWidth="1"/>
    <col min="24" max="24" width="7.05078125" bestFit="1" customWidth="1"/>
  </cols>
  <sheetData>
    <row r="1" spans="1:24" x14ac:dyDescent="0.55000000000000004">
      <c r="A1" s="1" t="s">
        <v>0</v>
      </c>
      <c r="B1" s="2" t="s">
        <v>138</v>
      </c>
      <c r="C1" s="2" t="s">
        <v>1</v>
      </c>
      <c r="D1" s="3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6" t="s">
        <v>133</v>
      </c>
      <c r="J1" s="7" t="s">
        <v>134</v>
      </c>
      <c r="K1" s="2" t="s">
        <v>135</v>
      </c>
      <c r="L1" s="2" t="s">
        <v>136</v>
      </c>
      <c r="M1" s="2" t="s">
        <v>137</v>
      </c>
      <c r="N1" s="2" t="s">
        <v>7</v>
      </c>
      <c r="O1" s="8" t="s">
        <v>8</v>
      </c>
      <c r="P1" s="8" t="s">
        <v>139</v>
      </c>
      <c r="Q1" s="9" t="s">
        <v>9</v>
      </c>
      <c r="R1" s="10" t="s">
        <v>10</v>
      </c>
      <c r="S1" s="1" t="s">
        <v>11</v>
      </c>
      <c r="T1" s="9" t="s">
        <v>12</v>
      </c>
      <c r="U1" s="9" t="s">
        <v>13</v>
      </c>
      <c r="V1" s="9" t="s">
        <v>14</v>
      </c>
      <c r="W1" s="9" t="s">
        <v>15</v>
      </c>
      <c r="X1" s="9" t="s">
        <v>16</v>
      </c>
    </row>
    <row r="2" spans="1:24" x14ac:dyDescent="0.55000000000000004">
      <c r="A2" s="9">
        <v>1</v>
      </c>
      <c r="B2" s="11" t="s">
        <v>17</v>
      </c>
      <c r="C2" s="12">
        <v>71</v>
      </c>
      <c r="D2" s="12">
        <f>46+(56.46/60)</f>
        <v>46.941000000000003</v>
      </c>
      <c r="E2" s="12">
        <f>-1*(90+(46.91/60))</f>
        <v>-90.781833333333338</v>
      </c>
      <c r="F2" s="13">
        <v>43614</v>
      </c>
      <c r="G2" s="14">
        <v>0.41666666666666669</v>
      </c>
      <c r="H2" s="15">
        <v>8.6</v>
      </c>
      <c r="I2" s="9">
        <v>3</v>
      </c>
      <c r="J2" s="16">
        <v>0.43</v>
      </c>
      <c r="K2" s="9">
        <v>2.6</v>
      </c>
      <c r="L2" s="9">
        <v>549</v>
      </c>
      <c r="M2" s="9">
        <v>263</v>
      </c>
      <c r="N2" s="8">
        <f t="shared" ref="N2:N65" si="0">L2+M2</f>
        <v>812</v>
      </c>
      <c r="O2" s="8">
        <f t="shared" ref="O2:O65" si="1">$N2/(((1609.34*$J2)*2)*0.000001)/100</f>
        <v>5866.9146762749206</v>
      </c>
      <c r="P2" s="8">
        <f>AVERAGE(O$2:$O2)</f>
        <v>5866.9146762749206</v>
      </c>
      <c r="Q2" s="8">
        <f>MEDIAN($O$2:$O2)</f>
        <v>5866.9146762749206</v>
      </c>
      <c r="R2" s="8">
        <f>$O2*1647200</f>
        <v>9663981854.7600498</v>
      </c>
      <c r="S2" s="8">
        <f>AVERAGE($R$2:$R2)</f>
        <v>9663981854.7600498</v>
      </c>
      <c r="T2" s="9">
        <f>28500.9-25860.8</f>
        <v>2640.1000000000022</v>
      </c>
      <c r="U2" s="9">
        <f t="shared" ref="U2:U21" si="2">((T2*26873)/999999)*10</f>
        <v>709.47478247478307</v>
      </c>
      <c r="V2" s="9">
        <f t="shared" ref="V2:V77" si="3">$U2*0.000621371</f>
        <v>0.44084705506113842</v>
      </c>
      <c r="W2" s="8">
        <f t="shared" ref="W2:W65" si="4">$N2/(((1609.34*V2)*2)*0.000001)/100</f>
        <v>5722.5590640462551</v>
      </c>
      <c r="X2" s="9" t="s">
        <v>18</v>
      </c>
    </row>
    <row r="3" spans="1:24" x14ac:dyDescent="0.55000000000000004">
      <c r="A3" s="9">
        <v>2</v>
      </c>
      <c r="B3" s="11" t="s">
        <v>19</v>
      </c>
      <c r="C3" s="12">
        <v>75</v>
      </c>
      <c r="D3" s="12">
        <f>47+(0.03/60)</f>
        <v>47.000500000000002</v>
      </c>
      <c r="E3" s="12">
        <f>-1*(90+(43.77/60))</f>
        <v>-90.729500000000002</v>
      </c>
      <c r="F3" s="13">
        <v>43614</v>
      </c>
      <c r="G3" s="14">
        <v>0.4770833333333333</v>
      </c>
      <c r="H3" s="15">
        <v>7.1</v>
      </c>
      <c r="I3" s="9">
        <v>3.5</v>
      </c>
      <c r="J3" s="16">
        <v>0.43</v>
      </c>
      <c r="K3" s="9">
        <v>2.6</v>
      </c>
      <c r="L3" s="9">
        <v>31</v>
      </c>
      <c r="M3" s="9">
        <v>9</v>
      </c>
      <c r="N3" s="8">
        <f t="shared" si="0"/>
        <v>40</v>
      </c>
      <c r="O3" s="8">
        <f t="shared" si="1"/>
        <v>289.01057518595667</v>
      </c>
      <c r="P3" s="8">
        <f>AVERAGE(O$2:$O3)</f>
        <v>3077.9626257304385</v>
      </c>
      <c r="Q3" s="8">
        <f>MEDIAN($O$2:$O3)</f>
        <v>3077.962625730439</v>
      </c>
      <c r="R3" s="8">
        <f t="shared" ref="R3:R115" si="5">$O3*1647200</f>
        <v>476058219.44630784</v>
      </c>
      <c r="S3" s="8">
        <f>AVERAGE($R$2:$R3)</f>
        <v>5070020037.103179</v>
      </c>
      <c r="T3" s="9">
        <f>31240.2-28500.9</f>
        <v>2739.2999999999993</v>
      </c>
      <c r="U3" s="9">
        <f t="shared" si="2"/>
        <v>736.13282513282479</v>
      </c>
      <c r="V3" s="9">
        <f t="shared" si="3"/>
        <v>0.45741158968560847</v>
      </c>
      <c r="W3" s="8">
        <f t="shared" si="4"/>
        <v>271.69085815114272</v>
      </c>
      <c r="X3" s="9" t="s">
        <v>18</v>
      </c>
    </row>
    <row r="4" spans="1:24" x14ac:dyDescent="0.55000000000000004">
      <c r="A4" s="9">
        <v>3</v>
      </c>
      <c r="B4" s="11" t="s">
        <v>20</v>
      </c>
      <c r="C4" s="12">
        <v>87</v>
      </c>
      <c r="D4" s="12">
        <f>46+(56.59/60)</f>
        <v>46.94316666666667</v>
      </c>
      <c r="E4" s="12">
        <f>-1*(90+(39.03/60))</f>
        <v>-90.650499999999994</v>
      </c>
      <c r="F4" s="13">
        <v>43614</v>
      </c>
      <c r="G4" s="14">
        <v>0.53611111111111109</v>
      </c>
      <c r="H4" s="15">
        <v>9.8000000000000007</v>
      </c>
      <c r="I4" s="9">
        <v>5</v>
      </c>
      <c r="J4" s="16">
        <v>0.43</v>
      </c>
      <c r="K4" s="9">
        <v>2.6</v>
      </c>
      <c r="L4" s="9">
        <v>92</v>
      </c>
      <c r="M4" s="9">
        <v>50</v>
      </c>
      <c r="N4" s="8">
        <f t="shared" si="0"/>
        <v>142</v>
      </c>
      <c r="O4" s="8">
        <f t="shared" si="1"/>
        <v>1025.9875419101463</v>
      </c>
      <c r="P4" s="8">
        <f>AVERAGE(O$2:$O4)</f>
        <v>2393.9709311236743</v>
      </c>
      <c r="Q4" s="8">
        <f>MEDIAN($O$2:$O4)</f>
        <v>1025.9875419101463</v>
      </c>
      <c r="R4" s="8">
        <f t="shared" si="5"/>
        <v>1690006679.0343931</v>
      </c>
      <c r="S4" s="8">
        <f>AVERAGE($R$2:$R4)</f>
        <v>3943348917.7469172</v>
      </c>
      <c r="T4" s="9">
        <f>33879.9-31240.2</f>
        <v>2639.7000000000007</v>
      </c>
      <c r="U4" s="9">
        <f t="shared" si="2"/>
        <v>709.36729036729059</v>
      </c>
      <c r="V4" s="9">
        <f t="shared" si="3"/>
        <v>0.44078026258281372</v>
      </c>
      <c r="W4" s="8">
        <f t="shared" si="4"/>
        <v>1000.8947325278092</v>
      </c>
      <c r="X4" s="9" t="s">
        <v>18</v>
      </c>
    </row>
    <row r="5" spans="1:24" x14ac:dyDescent="0.55000000000000004">
      <c r="A5" s="9">
        <v>4</v>
      </c>
      <c r="B5" s="11" t="s">
        <v>21</v>
      </c>
      <c r="C5" s="12">
        <v>86</v>
      </c>
      <c r="D5" s="12">
        <f>46+(50.12/60)</f>
        <v>46.835333333333331</v>
      </c>
      <c r="E5" s="12">
        <f>-1*(90+(43.22/60))</f>
        <v>-90.720333333333329</v>
      </c>
      <c r="F5" s="13">
        <v>43614</v>
      </c>
      <c r="G5" s="14">
        <v>0.6118055555555556</v>
      </c>
      <c r="H5" s="15">
        <v>11</v>
      </c>
      <c r="I5" s="9">
        <v>3</v>
      </c>
      <c r="J5" s="16">
        <v>0.39</v>
      </c>
      <c r="K5" s="9">
        <v>2.2999999999999998</v>
      </c>
      <c r="L5" s="9">
        <v>139</v>
      </c>
      <c r="M5" s="9">
        <v>92</v>
      </c>
      <c r="N5" s="8">
        <f t="shared" si="0"/>
        <v>231</v>
      </c>
      <c r="O5" s="8">
        <f t="shared" si="1"/>
        <v>1840.2192585398122</v>
      </c>
      <c r="P5" s="8">
        <f>AVERAGE(O$2:$O5)</f>
        <v>2255.5330129777089</v>
      </c>
      <c r="Q5" s="8">
        <f>MEDIAN($O$2:$O5)</f>
        <v>1433.1034002249794</v>
      </c>
      <c r="R5" s="8">
        <f t="shared" si="5"/>
        <v>3031209162.6667786</v>
      </c>
      <c r="S5" s="8">
        <f>AVERAGE($R$2:$R5)</f>
        <v>3715313978.9768825</v>
      </c>
      <c r="T5" s="9">
        <f>36429.6-33879.7</f>
        <v>2549.9000000000015</v>
      </c>
      <c r="U5" s="9">
        <f t="shared" si="2"/>
        <v>685.23531223531245</v>
      </c>
      <c r="V5" s="9">
        <f t="shared" si="3"/>
        <v>0.42578535119896832</v>
      </c>
      <c r="W5" s="8">
        <f t="shared" si="4"/>
        <v>1685.5570742619427</v>
      </c>
      <c r="X5" s="9" t="s">
        <v>18</v>
      </c>
    </row>
    <row r="6" spans="1:24" x14ac:dyDescent="0.55000000000000004">
      <c r="A6" s="9">
        <v>5</v>
      </c>
      <c r="B6" s="11" t="s">
        <v>22</v>
      </c>
      <c r="C6" s="12">
        <v>2</v>
      </c>
      <c r="D6" s="12">
        <f>46+(54.94/60)</f>
        <v>46.915666666666667</v>
      </c>
      <c r="E6" s="12">
        <f>-1*(90+(33.72/60))</f>
        <v>-90.561999999999998</v>
      </c>
      <c r="F6" s="13">
        <v>43615</v>
      </c>
      <c r="G6" s="14">
        <v>0.37291666666666662</v>
      </c>
      <c r="H6" s="15">
        <v>6.5</v>
      </c>
      <c r="I6" s="9">
        <v>7.5</v>
      </c>
      <c r="J6" s="16">
        <v>0.45</v>
      </c>
      <c r="K6" s="9">
        <v>2.7</v>
      </c>
      <c r="L6" s="9">
        <v>285</v>
      </c>
      <c r="M6" s="9">
        <v>363</v>
      </c>
      <c r="N6" s="8">
        <f t="shared" si="0"/>
        <v>648</v>
      </c>
      <c r="O6" s="8">
        <f t="shared" si="1"/>
        <v>4473.8837038786087</v>
      </c>
      <c r="P6" s="8">
        <f>AVERAGE(O$2:$O6)</f>
        <v>2699.2031511578889</v>
      </c>
      <c r="Q6" s="8">
        <f>MEDIAN($O$2:$O6)</f>
        <v>1840.2192585398122</v>
      </c>
      <c r="R6" s="8">
        <f t="shared" si="5"/>
        <v>7369381237.0288439</v>
      </c>
      <c r="S6" s="8">
        <f>AVERAGE($R$2:$R6)</f>
        <v>4446127430.5872746</v>
      </c>
      <c r="T6" s="9">
        <f>39246.9-36429.7</f>
        <v>2817.2000000000044</v>
      </c>
      <c r="U6" s="9">
        <f t="shared" si="2"/>
        <v>757.06691306691425</v>
      </c>
      <c r="V6" s="9">
        <f t="shared" si="3"/>
        <v>0.4704194248393016</v>
      </c>
      <c r="W6" s="8">
        <f t="shared" si="4"/>
        <v>4279.6865104648114</v>
      </c>
      <c r="X6" s="9" t="s">
        <v>18</v>
      </c>
    </row>
    <row r="7" spans="1:24" x14ac:dyDescent="0.55000000000000004">
      <c r="A7" s="9">
        <v>6</v>
      </c>
      <c r="B7" s="11" t="s">
        <v>23</v>
      </c>
      <c r="C7" s="12">
        <v>24</v>
      </c>
      <c r="D7" s="12">
        <f>46+(51.29/60)</f>
        <v>46.854833333333332</v>
      </c>
      <c r="E7" s="12">
        <f>-1*(90+(29.17/60))</f>
        <v>-90.486166666666662</v>
      </c>
      <c r="F7" s="13">
        <v>43615</v>
      </c>
      <c r="G7" s="14">
        <v>0.43472222222222223</v>
      </c>
      <c r="H7" s="15">
        <v>5.2</v>
      </c>
      <c r="I7" s="9">
        <v>8</v>
      </c>
      <c r="J7" s="16">
        <v>0.43</v>
      </c>
      <c r="K7" s="9">
        <v>2.6</v>
      </c>
      <c r="L7" s="9">
        <v>37</v>
      </c>
      <c r="M7" s="9">
        <v>36</v>
      </c>
      <c r="N7" s="8">
        <f t="shared" si="0"/>
        <v>73</v>
      </c>
      <c r="O7" s="8">
        <f t="shared" si="1"/>
        <v>527.44429971437091</v>
      </c>
      <c r="P7" s="8">
        <f>AVERAGE(O$2:$O7)</f>
        <v>2337.2433425839695</v>
      </c>
      <c r="Q7" s="8">
        <f>MEDIAN($O$2:$O7)</f>
        <v>1433.1034002249794</v>
      </c>
      <c r="R7" s="8">
        <f t="shared" si="5"/>
        <v>868806250.48951173</v>
      </c>
      <c r="S7" s="8">
        <f>AVERAGE($R$2:$R7)</f>
        <v>3849907233.9043145</v>
      </c>
      <c r="T7" s="9">
        <f>42085.7-39246.9</f>
        <v>2838.7999999999956</v>
      </c>
      <c r="U7" s="9">
        <f t="shared" si="2"/>
        <v>762.87148687148579</v>
      </c>
      <c r="V7" s="9">
        <f t="shared" si="3"/>
        <v>0.474026218668822</v>
      </c>
      <c r="W7" s="8">
        <f t="shared" si="4"/>
        <v>478.45676029079272</v>
      </c>
      <c r="X7" s="9" t="s">
        <v>18</v>
      </c>
    </row>
    <row r="8" spans="1:24" x14ac:dyDescent="0.55000000000000004">
      <c r="A8" s="9">
        <v>7</v>
      </c>
      <c r="B8" s="11" t="s">
        <v>24</v>
      </c>
      <c r="C8" s="12">
        <v>52</v>
      </c>
      <c r="D8" s="12">
        <f>46+(59/60)</f>
        <v>46.983333333333334</v>
      </c>
      <c r="E8" s="12">
        <f>-1*(90+(27.29/60))</f>
        <v>-90.45483333333334</v>
      </c>
      <c r="F8" s="13">
        <v>43615</v>
      </c>
      <c r="G8" s="14">
        <v>0.53749999999999998</v>
      </c>
      <c r="H8" s="15">
        <v>5.4</v>
      </c>
      <c r="I8" s="9">
        <v>7.5</v>
      </c>
      <c r="J8" s="16">
        <v>0.42</v>
      </c>
      <c r="K8" s="9">
        <v>2.5</v>
      </c>
      <c r="L8" s="9">
        <v>16</v>
      </c>
      <c r="M8" s="9">
        <v>8</v>
      </c>
      <c r="N8" s="8">
        <f t="shared" si="0"/>
        <v>24</v>
      </c>
      <c r="O8" s="8">
        <f t="shared" si="1"/>
        <v>177.53506761423054</v>
      </c>
      <c r="P8" s="8">
        <f>AVERAGE(O$2:$O8)</f>
        <v>2028.7135890168636</v>
      </c>
      <c r="Q8" s="8">
        <f>MEDIAN($O$2:$O8)</f>
        <v>1025.9875419101463</v>
      </c>
      <c r="R8" s="8">
        <f t="shared" si="5"/>
        <v>292435763.37416053</v>
      </c>
      <c r="S8" s="8">
        <f>AVERAGE($R$2:$R8)</f>
        <v>3341697023.8285785</v>
      </c>
      <c r="T8" s="9">
        <f>44571.9-42085.7</f>
        <v>2486.2000000000044</v>
      </c>
      <c r="U8" s="9">
        <f t="shared" si="2"/>
        <v>668.11719411719537</v>
      </c>
      <c r="V8" s="9">
        <f t="shared" si="3"/>
        <v>0.41514864902579579</v>
      </c>
      <c r="W8" s="8">
        <f t="shared" si="4"/>
        <v>179.60970985441807</v>
      </c>
      <c r="X8" s="9" t="s">
        <v>18</v>
      </c>
    </row>
    <row r="9" spans="1:24" x14ac:dyDescent="0.55000000000000004">
      <c r="A9" s="9">
        <v>8</v>
      </c>
      <c r="B9" s="11" t="s">
        <v>25</v>
      </c>
      <c r="C9" s="12">
        <v>44</v>
      </c>
      <c r="D9" s="12">
        <f>47+(1.95/60)</f>
        <v>47.032499999999999</v>
      </c>
      <c r="E9" s="12">
        <f>-1*(90+(28.82/60))</f>
        <v>-90.480333333333334</v>
      </c>
      <c r="F9" s="13">
        <v>43615</v>
      </c>
      <c r="G9" s="14">
        <v>0.61111111111111105</v>
      </c>
      <c r="H9" s="15">
        <v>6.6</v>
      </c>
      <c r="I9" s="9">
        <v>7</v>
      </c>
      <c r="J9" s="16">
        <v>0.4</v>
      </c>
      <c r="K9" s="9">
        <v>2.4</v>
      </c>
      <c r="L9" s="9">
        <v>39</v>
      </c>
      <c r="M9" s="9">
        <v>31</v>
      </c>
      <c r="N9" s="8">
        <f t="shared" si="0"/>
        <v>70</v>
      </c>
      <c r="O9" s="8">
        <f t="shared" si="1"/>
        <v>543.70114456858096</v>
      </c>
      <c r="P9" s="8">
        <f>AVERAGE(O$2:$O9)</f>
        <v>1843.0870334608283</v>
      </c>
      <c r="Q9" s="8">
        <f>MEDIAN($O$2:$O9)</f>
        <v>784.84434323936364</v>
      </c>
      <c r="R9" s="8">
        <f t="shared" si="5"/>
        <v>895584525.33336651</v>
      </c>
      <c r="S9" s="8">
        <f>AVERAGE($R$2:$R9)</f>
        <v>3035932961.5166769</v>
      </c>
      <c r="T9" s="9">
        <f>47219.9-44571.9</f>
        <v>2648</v>
      </c>
      <c r="U9" s="9">
        <f t="shared" si="2"/>
        <v>711.59775159775165</v>
      </c>
      <c r="V9" s="9">
        <f t="shared" si="3"/>
        <v>0.44216620650804656</v>
      </c>
      <c r="W9" s="8">
        <f t="shared" si="4"/>
        <v>491.85228230116832</v>
      </c>
      <c r="X9" s="9" t="s">
        <v>18</v>
      </c>
    </row>
    <row r="10" spans="1:24" x14ac:dyDescent="0.55000000000000004">
      <c r="A10" s="9">
        <v>9</v>
      </c>
      <c r="B10" s="11" t="s">
        <v>26</v>
      </c>
      <c r="C10" s="12">
        <v>45</v>
      </c>
      <c r="D10" s="12">
        <f>46+(59.6/60)</f>
        <v>46.993333333333332</v>
      </c>
      <c r="E10" s="12">
        <f>-1*(90+(32.93/60))</f>
        <v>-90.548833333333334</v>
      </c>
      <c r="F10" s="13">
        <v>43615</v>
      </c>
      <c r="G10" s="14">
        <v>0.66111111111111109</v>
      </c>
      <c r="H10" s="15">
        <v>6.7</v>
      </c>
      <c r="I10" s="9">
        <v>7</v>
      </c>
      <c r="J10" s="16">
        <v>0.43</v>
      </c>
      <c r="K10" s="9">
        <v>2.6</v>
      </c>
      <c r="L10" s="9">
        <v>889</v>
      </c>
      <c r="M10" s="9">
        <v>471</v>
      </c>
      <c r="N10" s="8">
        <f t="shared" si="0"/>
        <v>1360</v>
      </c>
      <c r="O10" s="8">
        <f t="shared" si="1"/>
        <v>9826.3595563225281</v>
      </c>
      <c r="P10" s="8">
        <f>AVERAGE(O$2:$O10)</f>
        <v>2730.1173137787951</v>
      </c>
      <c r="Q10" s="8">
        <f>MEDIAN($O$2:$O10)</f>
        <v>1025.9875419101463</v>
      </c>
      <c r="R10" s="8">
        <f t="shared" si="5"/>
        <v>16185979461.174469</v>
      </c>
      <c r="S10" s="8">
        <f>AVERAGE($R$2:$R10)</f>
        <v>4497049239.2564316</v>
      </c>
      <c r="T10" s="9">
        <f>49784.4-47219.9</f>
        <v>2564.5</v>
      </c>
      <c r="U10" s="9">
        <f t="shared" si="2"/>
        <v>689.15877415877412</v>
      </c>
      <c r="V10" s="9">
        <f t="shared" si="3"/>
        <v>0.42822327665781162</v>
      </c>
      <c r="W10" s="8">
        <f t="shared" si="4"/>
        <v>9867.1296950424839</v>
      </c>
      <c r="X10" s="9" t="s">
        <v>18</v>
      </c>
    </row>
    <row r="11" spans="1:24" x14ac:dyDescent="0.55000000000000004">
      <c r="A11" s="17">
        <v>10</v>
      </c>
      <c r="B11" s="11" t="s">
        <v>27</v>
      </c>
      <c r="C11" s="12">
        <v>190</v>
      </c>
      <c r="D11" s="12">
        <f>47+(37.27/60)</f>
        <v>47.621166666666667</v>
      </c>
      <c r="E11" s="12">
        <f>-1*(90+(42.32/60))</f>
        <v>-90.705333333333328</v>
      </c>
      <c r="F11" s="13">
        <v>43615</v>
      </c>
      <c r="G11" s="14">
        <v>0.49444444444444446</v>
      </c>
      <c r="H11" s="15">
        <v>4.9000000000000004</v>
      </c>
      <c r="I11" s="9">
        <v>11.5</v>
      </c>
      <c r="J11" s="16">
        <v>0.42</v>
      </c>
      <c r="K11" s="9">
        <v>2.5</v>
      </c>
      <c r="L11" s="9">
        <v>93</v>
      </c>
      <c r="M11" s="9">
        <v>45</v>
      </c>
      <c r="N11" s="8">
        <f t="shared" si="0"/>
        <v>138</v>
      </c>
      <c r="O11" s="8">
        <f t="shared" si="1"/>
        <v>1020.8266387818256</v>
      </c>
      <c r="P11" s="8">
        <f>AVERAGE(O$2:$O11)</f>
        <v>2559.1882462790982</v>
      </c>
      <c r="Q11" s="8">
        <f>MEDIAN($O$2:$O11)</f>
        <v>1023.407090345986</v>
      </c>
      <c r="R11" s="8">
        <f t="shared" si="5"/>
        <v>1681505639.4014232</v>
      </c>
      <c r="S11" s="8">
        <f>AVERAGE($R$2:$R11)</f>
        <v>4215494879.2709303</v>
      </c>
      <c r="T11" s="9">
        <f>52661.6-49899.6</f>
        <v>2762</v>
      </c>
      <c r="U11" s="9">
        <f t="shared" si="2"/>
        <v>742.23300223300225</v>
      </c>
      <c r="V11" s="9">
        <f t="shared" si="3"/>
        <v>0.46120206283052284</v>
      </c>
      <c r="W11" s="8">
        <f t="shared" si="4"/>
        <v>929.62981487339482</v>
      </c>
      <c r="X11" s="9" t="s">
        <v>18</v>
      </c>
    </row>
    <row r="12" spans="1:24" x14ac:dyDescent="0.55000000000000004">
      <c r="A12" s="17">
        <v>11</v>
      </c>
      <c r="B12" s="11" t="s">
        <v>28</v>
      </c>
      <c r="C12" s="12">
        <v>208</v>
      </c>
      <c r="D12" s="12">
        <f>47+(41.06/60)</f>
        <v>47.684333333333335</v>
      </c>
      <c r="E12" s="12">
        <f>-1*(90+(32.74/60))</f>
        <v>-90.545666666666662</v>
      </c>
      <c r="F12" s="13">
        <v>43615</v>
      </c>
      <c r="G12" s="14">
        <v>0.57708333333333328</v>
      </c>
      <c r="H12" s="15">
        <v>3.6</v>
      </c>
      <c r="I12" s="9">
        <v>9</v>
      </c>
      <c r="J12" s="16">
        <v>0.44</v>
      </c>
      <c r="K12" s="9">
        <v>2.6</v>
      </c>
      <c r="L12" s="9">
        <v>3</v>
      </c>
      <c r="M12" s="9">
        <v>7</v>
      </c>
      <c r="N12" s="8">
        <f t="shared" si="0"/>
        <v>10</v>
      </c>
      <c r="O12" s="8">
        <f t="shared" si="1"/>
        <v>70.610538255659861</v>
      </c>
      <c r="P12" s="8">
        <f>AVERAGE(O$2:$O12)</f>
        <v>2332.9539091860584</v>
      </c>
      <c r="Q12" s="8">
        <f>MEDIAN($O$2:$O12)</f>
        <v>1020.8266387818256</v>
      </c>
      <c r="R12" s="8">
        <f t="shared" si="5"/>
        <v>116309678.61472292</v>
      </c>
      <c r="S12" s="8">
        <f>AVERAGE($R$2:$R12)</f>
        <v>3842841679.2112751</v>
      </c>
      <c r="T12" s="9">
        <f>55523.9-52661.6</f>
        <v>2862.3000000000029</v>
      </c>
      <c r="U12" s="9">
        <f t="shared" si="2"/>
        <v>769.18664818664888</v>
      </c>
      <c r="V12" s="9">
        <f t="shared" si="3"/>
        <v>0.47795027677038621</v>
      </c>
      <c r="W12" s="8">
        <f t="shared" si="4"/>
        <v>65.003910118909985</v>
      </c>
      <c r="X12" s="9" t="s">
        <v>18</v>
      </c>
    </row>
    <row r="13" spans="1:24" x14ac:dyDescent="0.55000000000000004">
      <c r="A13" s="17">
        <v>12</v>
      </c>
      <c r="B13" s="11" t="s">
        <v>29</v>
      </c>
      <c r="C13" s="12">
        <v>65</v>
      </c>
      <c r="D13" s="12">
        <f>47+(44.42/60)</f>
        <v>47.740333333333332</v>
      </c>
      <c r="E13" s="12">
        <f>-1*(90+(19/60))</f>
        <v>-90.316666666666663</v>
      </c>
      <c r="F13" s="13">
        <v>43615</v>
      </c>
      <c r="G13" s="14">
        <v>0.66249999999999998</v>
      </c>
      <c r="H13" s="15">
        <v>3.5</v>
      </c>
      <c r="I13" s="9">
        <v>10</v>
      </c>
      <c r="J13" s="16">
        <v>0.42</v>
      </c>
      <c r="K13" s="9">
        <v>2.5</v>
      </c>
      <c r="L13" s="9">
        <v>72</v>
      </c>
      <c r="M13" s="9">
        <v>32</v>
      </c>
      <c r="N13" s="8">
        <f t="shared" si="0"/>
        <v>104</v>
      </c>
      <c r="O13" s="8">
        <f t="shared" si="1"/>
        <v>769.31862632833236</v>
      </c>
      <c r="P13" s="8">
        <f>AVERAGE(O$2:$O13)</f>
        <v>2202.6509689479144</v>
      </c>
      <c r="Q13" s="8">
        <f>MEDIAN($O$2:$O13)</f>
        <v>895.07263255507905</v>
      </c>
      <c r="R13" s="8">
        <f t="shared" si="5"/>
        <v>1267221641.288029</v>
      </c>
      <c r="S13" s="8">
        <f>AVERAGE($R$2:$R13)</f>
        <v>3628206676.0510049</v>
      </c>
      <c r="T13" s="9">
        <f>58342-55523.9</f>
        <v>2818.0999999999985</v>
      </c>
      <c r="U13" s="9">
        <f t="shared" si="2"/>
        <v>757.30877030876991</v>
      </c>
      <c r="V13" s="9">
        <f t="shared" si="3"/>
        <v>0.47056970791553066</v>
      </c>
      <c r="W13" s="8">
        <f t="shared" si="4"/>
        <v>686.64390763525284</v>
      </c>
      <c r="X13" s="9" t="s">
        <v>18</v>
      </c>
    </row>
    <row r="14" spans="1:24" x14ac:dyDescent="0.55000000000000004">
      <c r="A14" s="17">
        <v>13</v>
      </c>
      <c r="B14" s="11" t="s">
        <v>30</v>
      </c>
      <c r="C14" s="12">
        <v>172</v>
      </c>
      <c r="D14" s="12">
        <f>47+(20.36/60)</f>
        <v>47.339333333333336</v>
      </c>
      <c r="E14" s="12">
        <f>-1*(91+(10.91/60))</f>
        <v>-91.18183333333333</v>
      </c>
      <c r="F14" s="18">
        <v>43617</v>
      </c>
      <c r="G14" s="14">
        <v>0.4597222222222222</v>
      </c>
      <c r="H14" s="15">
        <v>4</v>
      </c>
      <c r="I14" s="19">
        <v>12</v>
      </c>
      <c r="J14" s="16">
        <v>0.42</v>
      </c>
      <c r="K14" s="9">
        <v>2.5</v>
      </c>
      <c r="L14" s="9">
        <v>632</v>
      </c>
      <c r="M14" s="9">
        <v>495</v>
      </c>
      <c r="N14" s="8">
        <f t="shared" si="0"/>
        <v>1127</v>
      </c>
      <c r="O14" s="8">
        <f t="shared" si="1"/>
        <v>8336.7508833849097</v>
      </c>
      <c r="P14" s="8">
        <f>AVERAGE(O$2:$O14)</f>
        <v>2674.504808519991</v>
      </c>
      <c r="Q14" s="8">
        <f>MEDIAN($O$2:$O14)</f>
        <v>1020.8266387818256</v>
      </c>
      <c r="R14" s="8">
        <f t="shared" si="5"/>
        <v>13732296055.111624</v>
      </c>
      <c r="S14" s="8">
        <f>AVERAGE($R$2:$R14)</f>
        <v>4405444320.5941296</v>
      </c>
      <c r="T14" s="9">
        <f>61002.7-58342</f>
        <v>2660.6999999999971</v>
      </c>
      <c r="U14" s="9">
        <f t="shared" si="2"/>
        <v>715.01062601062517</v>
      </c>
      <c r="V14" s="9">
        <f t="shared" si="3"/>
        <v>0.44428686769484821</v>
      </c>
      <c r="W14" s="8">
        <f t="shared" si="4"/>
        <v>7881.023783549168</v>
      </c>
      <c r="X14" s="9" t="s">
        <v>18</v>
      </c>
    </row>
    <row r="15" spans="1:24" x14ac:dyDescent="0.55000000000000004">
      <c r="A15" s="17">
        <v>14</v>
      </c>
      <c r="B15" s="11" t="s">
        <v>31</v>
      </c>
      <c r="C15" s="12">
        <v>188</v>
      </c>
      <c r="D15" s="12">
        <f>47+(4.85/60)</f>
        <v>47.080833333333331</v>
      </c>
      <c r="E15" s="12">
        <f>-1*(91+(32.04/60))</f>
        <v>-91.534000000000006</v>
      </c>
      <c r="F15" s="18">
        <v>43617</v>
      </c>
      <c r="G15" s="14">
        <v>0.4597222222222222</v>
      </c>
      <c r="H15" s="15">
        <v>4.2</v>
      </c>
      <c r="I15" s="19">
        <v>11.5</v>
      </c>
      <c r="J15" s="16">
        <v>0.42</v>
      </c>
      <c r="K15" s="9">
        <v>2.5</v>
      </c>
      <c r="L15" s="9">
        <v>31</v>
      </c>
      <c r="M15" s="9">
        <v>22</v>
      </c>
      <c r="N15" s="8">
        <f t="shared" si="0"/>
        <v>53</v>
      </c>
      <c r="O15" s="8">
        <f t="shared" si="1"/>
        <v>392.05660764809249</v>
      </c>
      <c r="P15" s="8">
        <f>AVERAGE(O$2:$O15)</f>
        <v>2511.472794171998</v>
      </c>
      <c r="Q15" s="8">
        <f>MEDIAN($O$2:$O15)</f>
        <v>895.07263255507905</v>
      </c>
      <c r="R15" s="8">
        <f t="shared" si="5"/>
        <v>645795644.11793792</v>
      </c>
      <c r="S15" s="8">
        <f>AVERAGE($R$2:$R15)</f>
        <v>4136897986.5601158</v>
      </c>
      <c r="T15" s="9">
        <f>63704-61002.7</f>
        <v>2701.3000000000029</v>
      </c>
      <c r="U15" s="9">
        <f t="shared" si="2"/>
        <v>725.92107492107573</v>
      </c>
      <c r="V15" s="9">
        <f t="shared" si="3"/>
        <v>0.45106630424478378</v>
      </c>
      <c r="W15" s="8">
        <f t="shared" si="4"/>
        <v>365.05448015651245</v>
      </c>
      <c r="X15" s="9" t="s">
        <v>18</v>
      </c>
    </row>
    <row r="16" spans="1:24" x14ac:dyDescent="0.55000000000000004">
      <c r="A16" s="17">
        <v>15</v>
      </c>
      <c r="B16" s="11" t="s">
        <v>32</v>
      </c>
      <c r="C16" s="12">
        <v>36</v>
      </c>
      <c r="D16" s="12">
        <f>47+(0.09/60)</f>
        <v>47.0015</v>
      </c>
      <c r="E16" s="12">
        <f>-1*(91+(40.18/60))</f>
        <v>-91.669666666666672</v>
      </c>
      <c r="F16" s="18">
        <v>43617</v>
      </c>
      <c r="G16" s="14">
        <v>0.64861111111111114</v>
      </c>
      <c r="H16" s="15">
        <v>4.2</v>
      </c>
      <c r="I16" s="19">
        <v>11.5</v>
      </c>
      <c r="J16" s="16">
        <v>0.42</v>
      </c>
      <c r="K16" s="9">
        <v>2.5</v>
      </c>
      <c r="L16" s="9">
        <v>19</v>
      </c>
      <c r="M16" s="9">
        <v>21</v>
      </c>
      <c r="N16" s="8">
        <f t="shared" si="0"/>
        <v>40</v>
      </c>
      <c r="O16" s="8">
        <f t="shared" si="1"/>
        <v>295.89177935705089</v>
      </c>
      <c r="P16" s="8">
        <f>AVERAGE(O$2:$O16)</f>
        <v>2363.7673931843351</v>
      </c>
      <c r="Q16" s="8">
        <f>MEDIAN($O$2:$O16)</f>
        <v>769.31862632833236</v>
      </c>
      <c r="R16" s="8">
        <f t="shared" si="5"/>
        <v>487392938.95693421</v>
      </c>
      <c r="S16" s="8">
        <f>AVERAGE($R$2:$R16)</f>
        <v>3893597650.053237</v>
      </c>
      <c r="T16" s="9">
        <f>66465.5-63704</f>
        <v>2761.5</v>
      </c>
      <c r="U16" s="9">
        <f t="shared" si="2"/>
        <v>742.09863709863714</v>
      </c>
      <c r="V16" s="9">
        <f t="shared" si="3"/>
        <v>0.46111857223261726</v>
      </c>
      <c r="W16" s="8">
        <f t="shared" si="4"/>
        <v>269.50670567931377</v>
      </c>
      <c r="X16" s="9" t="s">
        <v>18</v>
      </c>
    </row>
    <row r="17" spans="1:24" x14ac:dyDescent="0.55000000000000004">
      <c r="A17" s="17">
        <v>16</v>
      </c>
      <c r="B17" s="11" t="s">
        <v>33</v>
      </c>
      <c r="C17" s="12">
        <v>210</v>
      </c>
      <c r="D17" s="12">
        <f>46+(43.54/60)</f>
        <v>46.725666666666669</v>
      </c>
      <c r="E17" s="12">
        <f>-1*(92+(1.49/60))</f>
        <v>-92.024833333333333</v>
      </c>
      <c r="F17" s="18">
        <v>43618</v>
      </c>
      <c r="G17" s="14">
        <v>0.3354166666666667</v>
      </c>
      <c r="H17" s="15">
        <v>9</v>
      </c>
      <c r="I17" s="19">
        <v>0.3</v>
      </c>
      <c r="J17" s="16">
        <v>0.4</v>
      </c>
      <c r="K17" s="9">
        <v>2.4</v>
      </c>
      <c r="L17" s="9">
        <v>62</v>
      </c>
      <c r="M17" s="9">
        <v>44</v>
      </c>
      <c r="N17" s="8">
        <f t="shared" si="0"/>
        <v>106</v>
      </c>
      <c r="O17" s="8">
        <f t="shared" si="1"/>
        <v>823.31887606099394</v>
      </c>
      <c r="P17" s="8">
        <f>AVERAGE(O$2:$O17)</f>
        <v>2267.489360864126</v>
      </c>
      <c r="Q17" s="8">
        <f>MEDIAN($O$2:$O17)</f>
        <v>796.31875119466315</v>
      </c>
      <c r="R17" s="8">
        <f t="shared" si="5"/>
        <v>1356170852.6476693</v>
      </c>
      <c r="S17" s="8">
        <f>AVERAGE($R$2:$R17)</f>
        <v>3735008475.2153888</v>
      </c>
      <c r="T17" s="9">
        <f>69186.5-66465.5</f>
        <v>2721</v>
      </c>
      <c r="U17" s="9">
        <f t="shared" si="2"/>
        <v>731.21506121506116</v>
      </c>
      <c r="V17" s="9">
        <f t="shared" si="3"/>
        <v>0.4543558338022638</v>
      </c>
      <c r="W17" s="8">
        <f t="shared" si="4"/>
        <v>724.82298217331004</v>
      </c>
      <c r="X17" s="9" t="s">
        <v>18</v>
      </c>
    </row>
    <row r="18" spans="1:24" x14ac:dyDescent="0.55000000000000004">
      <c r="A18" s="17">
        <v>17</v>
      </c>
      <c r="B18" s="11" t="s">
        <v>34</v>
      </c>
      <c r="C18" s="12">
        <v>206</v>
      </c>
      <c r="D18" s="12">
        <f>46+(46.19/60)</f>
        <v>46.769833333333331</v>
      </c>
      <c r="E18" s="12">
        <f>-1*(91+(37.53/60))</f>
        <v>-91.625500000000002</v>
      </c>
      <c r="F18" s="18">
        <v>43618</v>
      </c>
      <c r="G18" s="14">
        <v>0.4458333333333333</v>
      </c>
      <c r="H18" s="15">
        <v>8.1999999999999993</v>
      </c>
      <c r="I18" s="19">
        <v>1.5</v>
      </c>
      <c r="J18" s="16">
        <v>0.4</v>
      </c>
      <c r="K18" s="9">
        <v>2.4</v>
      </c>
      <c r="L18" s="9">
        <v>44</v>
      </c>
      <c r="M18" s="9">
        <v>28</v>
      </c>
      <c r="N18" s="8">
        <f t="shared" si="0"/>
        <v>72</v>
      </c>
      <c r="O18" s="8">
        <f t="shared" si="1"/>
        <v>559.23546298482609</v>
      </c>
      <c r="P18" s="8">
        <f>AVERAGE(O$2:$O18)</f>
        <v>2167.0038374594615</v>
      </c>
      <c r="Q18" s="8">
        <f>MEDIAN($O$2:$O18)</f>
        <v>769.31862632833236</v>
      </c>
      <c r="R18" s="8">
        <f t="shared" si="5"/>
        <v>921172654.62860548</v>
      </c>
      <c r="S18" s="8">
        <f>AVERAGE($R$2:$R18)</f>
        <v>3569488721.0632253</v>
      </c>
      <c r="T18" s="9">
        <f>71902.9-69186.5</f>
        <v>2716.3999999999942</v>
      </c>
      <c r="U18" s="9">
        <f t="shared" si="2"/>
        <v>729.97890197890047</v>
      </c>
      <c r="V18" s="9">
        <f t="shared" si="3"/>
        <v>0.45358772030153138</v>
      </c>
      <c r="W18" s="8">
        <f t="shared" si="4"/>
        <v>493.16631641885135</v>
      </c>
      <c r="X18" s="9" t="s">
        <v>18</v>
      </c>
    </row>
    <row r="19" spans="1:24" x14ac:dyDescent="0.55000000000000004">
      <c r="A19" s="17">
        <v>18</v>
      </c>
      <c r="B19" s="11" t="s">
        <v>35</v>
      </c>
      <c r="C19" s="12">
        <v>205</v>
      </c>
      <c r="D19" s="12">
        <f>46+(48.59/60)</f>
        <v>46.80983333333333</v>
      </c>
      <c r="E19" s="12">
        <f>-1*(91+(24.84/60))</f>
        <v>-91.414000000000001</v>
      </c>
      <c r="F19" s="18">
        <v>43618</v>
      </c>
      <c r="G19" s="14">
        <v>0.53333333333333333</v>
      </c>
      <c r="H19" s="15">
        <v>7</v>
      </c>
      <c r="I19" s="19">
        <v>5</v>
      </c>
      <c r="J19" s="16">
        <v>0.44</v>
      </c>
      <c r="K19" s="9">
        <v>2.6</v>
      </c>
      <c r="L19" s="9">
        <v>9</v>
      </c>
      <c r="M19" s="9">
        <v>1</v>
      </c>
      <c r="N19" s="8">
        <f t="shared" si="0"/>
        <v>10</v>
      </c>
      <c r="O19" s="8">
        <f t="shared" si="1"/>
        <v>70.610538255659861</v>
      </c>
      <c r="P19" s="8">
        <f>AVERAGE(O$2:$O19)</f>
        <v>2050.5375430592503</v>
      </c>
      <c r="Q19" s="8">
        <f>MEDIAN($O$2:$O19)</f>
        <v>664.27704465657916</v>
      </c>
      <c r="R19" s="8">
        <f t="shared" si="5"/>
        <v>116309678.61472292</v>
      </c>
      <c r="S19" s="8">
        <f>AVERAGE($R$2:$R19)</f>
        <v>3377645440.9271975</v>
      </c>
      <c r="T19" s="9">
        <f>74826.4-71902.9</f>
        <v>2923.5</v>
      </c>
      <c r="U19" s="9">
        <f t="shared" si="2"/>
        <v>785.63294063294063</v>
      </c>
      <c r="V19" s="9">
        <f t="shared" si="3"/>
        <v>0.48816952595403096</v>
      </c>
      <c r="W19" s="8">
        <f t="shared" si="4"/>
        <v>63.643130471474684</v>
      </c>
      <c r="X19" s="9" t="s">
        <v>18</v>
      </c>
    </row>
    <row r="20" spans="1:24" x14ac:dyDescent="0.55000000000000004">
      <c r="A20" s="17">
        <v>19</v>
      </c>
      <c r="B20" s="11" t="s">
        <v>36</v>
      </c>
      <c r="C20" s="12">
        <v>187</v>
      </c>
      <c r="D20" s="12">
        <f>46+(54.82/60)</f>
        <v>46.913666666666664</v>
      </c>
      <c r="E20" s="12">
        <f>-1*(91+(49.71/60))</f>
        <v>-91.828500000000005</v>
      </c>
      <c r="F20" s="18">
        <v>43618</v>
      </c>
      <c r="G20" s="14">
        <v>0.63611111111111118</v>
      </c>
      <c r="H20" s="15">
        <v>4.4000000000000004</v>
      </c>
      <c r="I20" s="19">
        <v>7.8</v>
      </c>
      <c r="J20" s="16">
        <v>0.44</v>
      </c>
      <c r="K20" s="9">
        <v>2.6</v>
      </c>
      <c r="L20" s="9">
        <v>373</v>
      </c>
      <c r="M20" s="9">
        <v>217</v>
      </c>
      <c r="N20" s="8">
        <f t="shared" si="0"/>
        <v>590</v>
      </c>
      <c r="O20" s="8">
        <f t="shared" si="1"/>
        <v>4166.0217570839322</v>
      </c>
      <c r="P20" s="8">
        <f>AVERAGE(O$2:$O20)</f>
        <v>2161.8788174816018</v>
      </c>
      <c r="Q20" s="8">
        <f>MEDIAN($O$2:$O20)</f>
        <v>769.31862632833236</v>
      </c>
      <c r="R20" s="8">
        <f t="shared" si="5"/>
        <v>6862271038.2686529</v>
      </c>
      <c r="S20" s="8">
        <f>AVERAGE($R$2:$R20)</f>
        <v>3561046788.155695</v>
      </c>
      <c r="T20" s="9">
        <f>77648.1-74826.4</f>
        <v>2821.7000000000116</v>
      </c>
      <c r="U20" s="9">
        <f t="shared" si="2"/>
        <v>758.27619927620231</v>
      </c>
      <c r="V20" s="9">
        <f t="shared" si="3"/>
        <v>0.47117084022045314</v>
      </c>
      <c r="W20" s="8">
        <f t="shared" si="4"/>
        <v>3890.4138725123062</v>
      </c>
      <c r="X20" s="9" t="s">
        <v>18</v>
      </c>
    </row>
    <row r="21" spans="1:24" x14ac:dyDescent="0.55000000000000004">
      <c r="A21" s="17">
        <v>20</v>
      </c>
      <c r="B21" s="11" t="s">
        <v>37</v>
      </c>
      <c r="C21" s="12">
        <v>151</v>
      </c>
      <c r="D21" s="12">
        <f>46+(52.77/60)</f>
        <v>46.8795</v>
      </c>
      <c r="E21" s="12">
        <f>-1*(91+(12.54/60))</f>
        <v>-91.209000000000003</v>
      </c>
      <c r="F21" s="18">
        <v>76491</v>
      </c>
      <c r="G21" s="14">
        <v>0.45208333333333334</v>
      </c>
      <c r="H21" s="15">
        <v>6.3</v>
      </c>
      <c r="I21" s="19">
        <v>5.5</v>
      </c>
      <c r="J21" s="16">
        <v>0.42</v>
      </c>
      <c r="K21" s="9">
        <v>2.4</v>
      </c>
      <c r="L21" s="9">
        <v>132</v>
      </c>
      <c r="M21" s="9">
        <v>50</v>
      </c>
      <c r="N21" s="8">
        <f t="shared" si="0"/>
        <v>182</v>
      </c>
      <c r="O21" s="8">
        <f t="shared" si="1"/>
        <v>1346.3075960745816</v>
      </c>
      <c r="P21" s="8">
        <f>AVERAGE(O$2:$O21)</f>
        <v>2121.1002564112509</v>
      </c>
      <c r="Q21" s="8">
        <f>MEDIAN($O$2:$O21)</f>
        <v>796.31875119466315</v>
      </c>
      <c r="R21" s="8">
        <f t="shared" si="5"/>
        <v>2217637872.2540507</v>
      </c>
      <c r="S21" s="8">
        <f>AVERAGE($R$2:$R21)</f>
        <v>3493876342.3606124</v>
      </c>
      <c r="T21" s="9">
        <f>80000-77648.1</f>
        <v>2351.8999999999942</v>
      </c>
      <c r="U21" s="9">
        <f t="shared" si="2"/>
        <v>632.0267190267175</v>
      </c>
      <c r="V21" s="9">
        <f t="shared" si="3"/>
        <v>0.39272307442835047</v>
      </c>
      <c r="W21" s="8">
        <f t="shared" si="4"/>
        <v>1439.816570937154</v>
      </c>
      <c r="X21" s="9" t="s">
        <v>18</v>
      </c>
    </row>
    <row r="22" spans="1:24" x14ac:dyDescent="0.55000000000000004">
      <c r="A22" s="17">
        <v>21</v>
      </c>
      <c r="B22" s="11" t="s">
        <v>38</v>
      </c>
      <c r="C22" s="12">
        <v>76</v>
      </c>
      <c r="D22" s="12">
        <f>46+(53.11/60)</f>
        <v>46.885166666666663</v>
      </c>
      <c r="E22" s="12">
        <f>-1*(91+(5.74/60))</f>
        <v>-91.095666666666673</v>
      </c>
      <c r="F22" s="18">
        <v>76491</v>
      </c>
      <c r="G22" s="14">
        <v>0.52361111111111114</v>
      </c>
      <c r="H22" s="15">
        <v>7.9</v>
      </c>
      <c r="I22" s="19">
        <v>5</v>
      </c>
      <c r="J22" s="16">
        <v>0.47</v>
      </c>
      <c r="K22" s="9">
        <v>2.8</v>
      </c>
      <c r="L22" s="9">
        <v>22</v>
      </c>
      <c r="M22" s="9">
        <v>28</v>
      </c>
      <c r="N22" s="8">
        <f t="shared" si="0"/>
        <v>50</v>
      </c>
      <c r="O22" s="8">
        <f t="shared" si="1"/>
        <v>330.51741311159935</v>
      </c>
      <c r="P22" s="8">
        <f>AVERAGE(O$2:$O22)</f>
        <v>2035.8344067303153</v>
      </c>
      <c r="Q22" s="8">
        <f>MEDIAN($O$2:$O22)</f>
        <v>769.31862632833236</v>
      </c>
      <c r="R22" s="8">
        <f t="shared" si="5"/>
        <v>544428282.87742651</v>
      </c>
      <c r="S22" s="8">
        <f>AVERAGE($R$2:$R22)</f>
        <v>3353426434.7661753</v>
      </c>
      <c r="T22" s="9"/>
      <c r="U22" s="9"/>
      <c r="V22" s="9"/>
      <c r="W22" s="8"/>
      <c r="X22" s="9" t="s">
        <v>18</v>
      </c>
    </row>
    <row r="23" spans="1:24" x14ac:dyDescent="0.55000000000000004">
      <c r="A23" s="17">
        <v>22</v>
      </c>
      <c r="B23" s="11" t="s">
        <v>39</v>
      </c>
      <c r="C23" s="12">
        <v>139</v>
      </c>
      <c r="D23" s="12">
        <f>46+(58.3/60)</f>
        <v>46.971666666666664</v>
      </c>
      <c r="E23" s="12">
        <f>-1*(90+(59.71/60))</f>
        <v>-90.995166666666663</v>
      </c>
      <c r="F23" s="18">
        <v>76491</v>
      </c>
      <c r="G23" s="14">
        <v>0.52361111111111114</v>
      </c>
      <c r="H23" s="15">
        <v>9.5</v>
      </c>
      <c r="I23" s="19">
        <v>3.2</v>
      </c>
      <c r="J23" s="16">
        <v>0.4</v>
      </c>
      <c r="K23" s="9">
        <v>2.4</v>
      </c>
      <c r="L23" s="9">
        <v>37</v>
      </c>
      <c r="M23" s="9">
        <v>22</v>
      </c>
      <c r="N23" s="8">
        <f t="shared" si="0"/>
        <v>59</v>
      </c>
      <c r="O23" s="8">
        <f t="shared" si="1"/>
        <v>458.26239327923247</v>
      </c>
      <c r="P23" s="8">
        <f>AVERAGE(O$2:$O23)</f>
        <v>1964.1265879370842</v>
      </c>
      <c r="Q23" s="8">
        <f>MEDIAN($O$2:$O23)</f>
        <v>664.27704465657916</v>
      </c>
      <c r="R23" s="8">
        <f t="shared" si="5"/>
        <v>754849814.20955169</v>
      </c>
      <c r="S23" s="8">
        <f>AVERAGE($R$2:$R23)</f>
        <v>3235309315.6499648</v>
      </c>
      <c r="T23" s="9">
        <f>82636-80007</f>
        <v>2629</v>
      </c>
      <c r="U23" s="9">
        <f t="shared" ref="U23:U86" si="6">((T23*26873)/999999)*10</f>
        <v>706.4918764918765</v>
      </c>
      <c r="V23" s="9">
        <f t="shared" si="3"/>
        <v>0.43899356378763382</v>
      </c>
      <c r="W23" s="8">
        <f t="shared" si="4"/>
        <v>417.5572774464822</v>
      </c>
      <c r="X23" s="9" t="s">
        <v>40</v>
      </c>
    </row>
    <row r="24" spans="1:24" x14ac:dyDescent="0.55000000000000004">
      <c r="A24" s="17">
        <v>23</v>
      </c>
      <c r="B24" s="11" t="s">
        <v>41</v>
      </c>
      <c r="C24" s="17">
        <v>184</v>
      </c>
      <c r="D24" s="12">
        <f>46+(36.97/60)</f>
        <v>46.616166666666665</v>
      </c>
      <c r="E24" s="12">
        <f>-1*(90+(19.87/60))</f>
        <v>-90.331166666666661</v>
      </c>
      <c r="F24" s="13">
        <v>43622</v>
      </c>
      <c r="G24" s="14">
        <v>0.42638888888888887</v>
      </c>
      <c r="H24" s="15">
        <v>10.3</v>
      </c>
      <c r="I24" s="19">
        <v>2.9</v>
      </c>
      <c r="J24" s="16">
        <v>0.44</v>
      </c>
      <c r="K24" s="9">
        <v>2.6</v>
      </c>
      <c r="L24" s="9">
        <v>55</v>
      </c>
      <c r="M24" s="9">
        <v>78</v>
      </c>
      <c r="N24" s="8">
        <f t="shared" si="0"/>
        <v>133</v>
      </c>
      <c r="O24" s="8">
        <f t="shared" si="1"/>
        <v>939.12015880027627</v>
      </c>
      <c r="P24" s="8">
        <f>AVERAGE(O$2:$O24)</f>
        <v>1919.5610910180926</v>
      </c>
      <c r="Q24" s="8">
        <f>MEDIAN($O$2:$O24)</f>
        <v>769.31862632833236</v>
      </c>
      <c r="R24" s="8">
        <f t="shared" si="5"/>
        <v>1546918725.575815</v>
      </c>
      <c r="S24" s="8">
        <f>AVERAGE($R$2:$R24)</f>
        <v>3161901029.1250019</v>
      </c>
      <c r="T24" s="9">
        <f>85592.7-82632.1</f>
        <v>2960.5999999999913</v>
      </c>
      <c r="U24" s="9">
        <f t="shared" si="6"/>
        <v>795.6028336028312</v>
      </c>
      <c r="V24" s="9">
        <f t="shared" si="3"/>
        <v>0.49436452831862482</v>
      </c>
      <c r="W24" s="8">
        <f t="shared" si="4"/>
        <v>835.84651851437059</v>
      </c>
      <c r="X24" s="9" t="s">
        <v>18</v>
      </c>
    </row>
    <row r="25" spans="1:24" x14ac:dyDescent="0.55000000000000004">
      <c r="A25" s="17">
        <v>24</v>
      </c>
      <c r="B25" s="11" t="s">
        <v>42</v>
      </c>
      <c r="C25" s="17">
        <v>192</v>
      </c>
      <c r="D25" s="12">
        <f>46+(41.32/60)</f>
        <v>46.68866666666667</v>
      </c>
      <c r="E25" s="12">
        <f>-1*(90+(1.69/60))</f>
        <v>-90.028166666666664</v>
      </c>
      <c r="F25" s="13">
        <v>43622</v>
      </c>
      <c r="G25" s="14">
        <v>0.53472222222222221</v>
      </c>
      <c r="H25" s="15">
        <v>9.1</v>
      </c>
      <c r="I25" s="19">
        <v>5.5</v>
      </c>
      <c r="J25" s="16">
        <v>0.44</v>
      </c>
      <c r="K25" s="9">
        <v>2.6</v>
      </c>
      <c r="L25" s="9">
        <v>35</v>
      </c>
      <c r="M25" s="9">
        <v>15</v>
      </c>
      <c r="N25" s="8">
        <f t="shared" si="0"/>
        <v>50</v>
      </c>
      <c r="O25" s="8">
        <f t="shared" si="1"/>
        <v>353.05269127829933</v>
      </c>
      <c r="P25" s="8">
        <f>AVERAGE(O$2:$O25)</f>
        <v>1854.2899076956012</v>
      </c>
      <c r="Q25" s="8">
        <f>MEDIAN($O$2:$O25)</f>
        <v>664.27704465657916</v>
      </c>
      <c r="R25" s="8">
        <f t="shared" si="5"/>
        <v>581548393.07361472</v>
      </c>
      <c r="S25" s="8">
        <f>AVERAGE($R$2:$R25)</f>
        <v>3054386335.9561939</v>
      </c>
      <c r="T25" s="9">
        <f>88537-85592.7</f>
        <v>2944.3000000000029</v>
      </c>
      <c r="U25" s="9">
        <f t="shared" si="6"/>
        <v>791.22253022253108</v>
      </c>
      <c r="V25" s="9">
        <f t="shared" si="3"/>
        <v>0.49164273482690435</v>
      </c>
      <c r="W25" s="8">
        <f t="shared" si="4"/>
        <v>315.9676186756717</v>
      </c>
      <c r="X25" s="9" t="s">
        <v>18</v>
      </c>
    </row>
    <row r="26" spans="1:24" x14ac:dyDescent="0.55000000000000004">
      <c r="A26" s="17">
        <v>25</v>
      </c>
      <c r="B26" s="11" t="s">
        <v>43</v>
      </c>
      <c r="C26" s="17">
        <v>57</v>
      </c>
      <c r="D26" s="12">
        <f>46+(54.01/60)</f>
        <v>46.900166666666664</v>
      </c>
      <c r="E26" s="12">
        <f>-1*(89+(21.02/60))</f>
        <v>-89.350333333333339</v>
      </c>
      <c r="F26" s="13">
        <v>43622</v>
      </c>
      <c r="G26" s="14">
        <v>0.7006944444444444</v>
      </c>
      <c r="H26" s="15">
        <v>11.7</v>
      </c>
      <c r="I26" s="9">
        <v>3.2</v>
      </c>
      <c r="J26" s="16">
        <v>0.44</v>
      </c>
      <c r="K26" s="9">
        <v>2.6</v>
      </c>
      <c r="L26" s="9">
        <v>68</v>
      </c>
      <c r="M26" s="9">
        <v>211</v>
      </c>
      <c r="N26" s="8">
        <f t="shared" si="0"/>
        <v>279</v>
      </c>
      <c r="O26" s="8">
        <f t="shared" si="1"/>
        <v>1970.0340173329103</v>
      </c>
      <c r="P26" s="8">
        <f>AVERAGE(O$2:$O26)</f>
        <v>1858.9196720810935</v>
      </c>
      <c r="Q26" s="8">
        <f>MEDIAN($O$2:$O26)</f>
        <v>769.31862632833236</v>
      </c>
      <c r="R26" s="8">
        <f t="shared" si="5"/>
        <v>3245040033.35077</v>
      </c>
      <c r="S26" s="8">
        <f>AVERAGE($R$2:$R26)</f>
        <v>3062012483.8519769</v>
      </c>
      <c r="T26" s="9">
        <f>91416.2-88537</f>
        <v>2879.1999999999971</v>
      </c>
      <c r="U26" s="9">
        <f t="shared" si="6"/>
        <v>773.72818972818891</v>
      </c>
      <c r="V26" s="9">
        <f t="shared" si="3"/>
        <v>0.48077225897959447</v>
      </c>
      <c r="W26" s="8">
        <f t="shared" si="4"/>
        <v>1802.9637763756059</v>
      </c>
      <c r="X26" s="9" t="s">
        <v>18</v>
      </c>
    </row>
    <row r="27" spans="1:24" x14ac:dyDescent="0.55000000000000004">
      <c r="A27" s="17">
        <v>26</v>
      </c>
      <c r="B27" s="11" t="s">
        <v>44</v>
      </c>
      <c r="C27" s="17">
        <v>183</v>
      </c>
      <c r="D27" s="12">
        <f>46+(59.84/60)</f>
        <v>46.99733333333333</v>
      </c>
      <c r="E27" s="12">
        <f>-1*(89+(8.71/60))</f>
        <v>-89.145166666666668</v>
      </c>
      <c r="F27" s="13">
        <v>43623</v>
      </c>
      <c r="G27" s="14">
        <v>0.31458333333333333</v>
      </c>
      <c r="H27" s="15">
        <v>9.5</v>
      </c>
      <c r="I27" s="9">
        <v>3.9</v>
      </c>
      <c r="J27" s="16">
        <v>0.43</v>
      </c>
      <c r="K27" s="9">
        <v>2.6</v>
      </c>
      <c r="L27" s="9">
        <v>21</v>
      </c>
      <c r="M27" s="9">
        <v>38</v>
      </c>
      <c r="N27" s="8">
        <f t="shared" si="0"/>
        <v>59</v>
      </c>
      <c r="O27" s="8">
        <f t="shared" si="1"/>
        <v>426.29059839928613</v>
      </c>
      <c r="P27" s="8">
        <f>AVERAGE(O$2:$O27)</f>
        <v>1803.8185538625626</v>
      </c>
      <c r="Q27" s="8">
        <f>MEDIAN($O$2:$O27)</f>
        <v>664.27704465657916</v>
      </c>
      <c r="R27" s="8">
        <f t="shared" si="5"/>
        <v>702185873.68330407</v>
      </c>
      <c r="S27" s="8">
        <f>AVERAGE($R$2:$R27)</f>
        <v>2971249921.9224124</v>
      </c>
      <c r="T27" s="9">
        <f>94255.8-91416.2</f>
        <v>2839.6000000000058</v>
      </c>
      <c r="U27" s="9">
        <f t="shared" si="6"/>
        <v>763.08647108647267</v>
      </c>
      <c r="V27" s="9">
        <f t="shared" si="3"/>
        <v>0.47415980362547261</v>
      </c>
      <c r="W27" s="8">
        <f t="shared" si="4"/>
        <v>386.58898521157897</v>
      </c>
      <c r="X27" s="9" t="s">
        <v>18</v>
      </c>
    </row>
    <row r="28" spans="1:24" x14ac:dyDescent="0.55000000000000004">
      <c r="A28" s="17">
        <v>27</v>
      </c>
      <c r="B28" s="11" t="s">
        <v>45</v>
      </c>
      <c r="C28" s="17">
        <v>182</v>
      </c>
      <c r="D28" s="12">
        <f>47+(8.87/60)</f>
        <v>47.147833333333331</v>
      </c>
      <c r="E28" s="12">
        <f>-1*(88+(51.15/60))</f>
        <v>-88.852500000000006</v>
      </c>
      <c r="F28" s="13">
        <v>43623</v>
      </c>
      <c r="G28" s="14">
        <v>0.43888888888888888</v>
      </c>
      <c r="H28" s="15">
        <v>7.9</v>
      </c>
      <c r="I28" s="19">
        <v>10.5</v>
      </c>
      <c r="J28" s="16">
        <v>0.43</v>
      </c>
      <c r="K28" s="9">
        <v>2.6</v>
      </c>
      <c r="L28" s="9">
        <v>5</v>
      </c>
      <c r="M28" s="9">
        <v>0</v>
      </c>
      <c r="N28" s="8">
        <f t="shared" si="0"/>
        <v>5</v>
      </c>
      <c r="O28" s="8">
        <f t="shared" si="1"/>
        <v>36.126321898244584</v>
      </c>
      <c r="P28" s="8">
        <f>AVERAGE(O$2:$O28)</f>
        <v>1738.3484711972176</v>
      </c>
      <c r="Q28" s="8">
        <f>MEDIAN($O$2:$O28)</f>
        <v>559.23546298482609</v>
      </c>
      <c r="R28" s="8">
        <f t="shared" si="5"/>
        <v>59507277.43078848</v>
      </c>
      <c r="S28" s="8">
        <f>AVERAGE($R$2:$R28)</f>
        <v>2863407601.7560558</v>
      </c>
      <c r="T28" s="9">
        <f>97042.8-94255.8</f>
        <v>2787</v>
      </c>
      <c r="U28" s="9">
        <f t="shared" si="6"/>
        <v>748.95125895125898</v>
      </c>
      <c r="V28" s="9">
        <f t="shared" si="3"/>
        <v>0.46537659272580273</v>
      </c>
      <c r="W28" s="8">
        <f t="shared" si="4"/>
        <v>33.380102607347723</v>
      </c>
      <c r="X28" s="9" t="s">
        <v>18</v>
      </c>
    </row>
    <row r="29" spans="1:24" x14ac:dyDescent="0.55000000000000004">
      <c r="A29" s="17">
        <v>28</v>
      </c>
      <c r="B29" s="11" t="s">
        <v>46</v>
      </c>
      <c r="C29" s="17">
        <v>181</v>
      </c>
      <c r="D29" s="12">
        <f>47+(20.19/60)</f>
        <v>47.336500000000001</v>
      </c>
      <c r="E29" s="12">
        <f>-1*(88+(28.82/60))</f>
        <v>-88.480333333333334</v>
      </c>
      <c r="F29" s="13">
        <v>43623</v>
      </c>
      <c r="G29" s="14">
        <v>0.57708333333333328</v>
      </c>
      <c r="H29" s="15">
        <v>4.7</v>
      </c>
      <c r="I29" s="19">
        <v>20</v>
      </c>
      <c r="J29" s="16">
        <v>0.46</v>
      </c>
      <c r="K29" s="9">
        <v>2.7</v>
      </c>
      <c r="L29" s="9">
        <v>0</v>
      </c>
      <c r="M29" s="9">
        <v>0</v>
      </c>
      <c r="N29" s="8">
        <f t="shared" si="0"/>
        <v>0</v>
      </c>
      <c r="O29" s="8">
        <f t="shared" si="1"/>
        <v>0</v>
      </c>
      <c r="P29" s="8">
        <f>AVERAGE(O$2:$O29)</f>
        <v>1676.2645972258883</v>
      </c>
      <c r="Q29" s="8">
        <f>MEDIAN($O$2:$O29)</f>
        <v>551.46830377670358</v>
      </c>
      <c r="R29" s="8">
        <f t="shared" si="5"/>
        <v>0</v>
      </c>
      <c r="S29" s="8">
        <f>AVERAGE($R$2:$R29)</f>
        <v>2761143044.5504827</v>
      </c>
      <c r="T29" s="9">
        <f>99896.2-97042.8</f>
        <v>2853.3999999999942</v>
      </c>
      <c r="U29" s="9">
        <f t="shared" si="6"/>
        <v>766.79494879494712</v>
      </c>
      <c r="V29" s="9">
        <f t="shared" si="3"/>
        <v>0.47646414412766508</v>
      </c>
      <c r="W29" s="8">
        <f t="shared" si="4"/>
        <v>0</v>
      </c>
      <c r="X29" s="9" t="s">
        <v>40</v>
      </c>
    </row>
    <row r="30" spans="1:24" x14ac:dyDescent="0.55000000000000004">
      <c r="A30" s="17">
        <v>29</v>
      </c>
      <c r="B30" s="11" t="s">
        <v>47</v>
      </c>
      <c r="C30" s="17">
        <v>82</v>
      </c>
      <c r="D30" s="12">
        <f>46+(58.71/60)</f>
        <v>46.978499999999997</v>
      </c>
      <c r="E30" s="12">
        <f>-1*(88+(23.75/60))</f>
        <v>-88.395833333333329</v>
      </c>
      <c r="F30" s="13">
        <v>43624</v>
      </c>
      <c r="G30" s="14">
        <v>0.39861111111111108</v>
      </c>
      <c r="H30" s="15">
        <v>9.5</v>
      </c>
      <c r="I30" s="19">
        <v>9.9</v>
      </c>
      <c r="J30" s="16">
        <v>0.42</v>
      </c>
      <c r="K30" s="9">
        <v>2.5</v>
      </c>
      <c r="L30" s="9">
        <v>643</v>
      </c>
      <c r="M30" s="9">
        <v>384</v>
      </c>
      <c r="N30" s="8">
        <f t="shared" si="0"/>
        <v>1027</v>
      </c>
      <c r="O30" s="8">
        <f t="shared" si="1"/>
        <v>7597.0214349922817</v>
      </c>
      <c r="P30" s="8">
        <f>AVERAGE(O$2:$O30)</f>
        <v>1880.4286261143845</v>
      </c>
      <c r="Q30" s="8">
        <f>MEDIAN($O$2:$O30)</f>
        <v>559.23546298482609</v>
      </c>
      <c r="R30" s="8">
        <f t="shared" si="5"/>
        <v>12513813707.719286</v>
      </c>
      <c r="S30" s="8">
        <f>AVERAGE($R$2:$R30)</f>
        <v>3097442032.9356136</v>
      </c>
      <c r="T30" s="9">
        <f>102786-99896.5</f>
        <v>2889.5</v>
      </c>
      <c r="U30" s="9">
        <f t="shared" si="6"/>
        <v>776.49611149611144</v>
      </c>
      <c r="V30" s="9">
        <f t="shared" si="3"/>
        <v>0.48249216529645028</v>
      </c>
      <c r="W30" s="8">
        <f t="shared" si="4"/>
        <v>6613.058681971168</v>
      </c>
      <c r="X30" s="9" t="s">
        <v>18</v>
      </c>
    </row>
    <row r="31" spans="1:24" x14ac:dyDescent="0.55000000000000004">
      <c r="A31" s="17">
        <v>30</v>
      </c>
      <c r="B31" s="11" t="s">
        <v>48</v>
      </c>
      <c r="C31" s="17">
        <v>84</v>
      </c>
      <c r="D31" s="12">
        <f>46+(53.51/60)</f>
        <v>46.891833333333331</v>
      </c>
      <c r="E31" s="12">
        <f>-1*(88+(19.24/60))</f>
        <v>-88.320666666666668</v>
      </c>
      <c r="F31" s="13">
        <v>43624</v>
      </c>
      <c r="G31" s="14">
        <v>0.42708333333333331</v>
      </c>
      <c r="H31" s="15">
        <v>8.5</v>
      </c>
      <c r="I31" s="19">
        <v>9.5</v>
      </c>
      <c r="J31" s="16">
        <v>0.38</v>
      </c>
      <c r="K31" s="9">
        <v>2.2999999999999998</v>
      </c>
      <c r="L31" s="9">
        <v>965</v>
      </c>
      <c r="M31" s="9">
        <v>244</v>
      </c>
      <c r="N31" s="8">
        <f t="shared" si="0"/>
        <v>1209</v>
      </c>
      <c r="O31" s="8">
        <f t="shared" si="1"/>
        <v>9884.7320869686373</v>
      </c>
      <c r="P31" s="8">
        <f>AVERAGE(O$2:$O31)</f>
        <v>2147.2387414761929</v>
      </c>
      <c r="Q31" s="8">
        <f>MEDIAN($O$2:$O31)</f>
        <v>664.27704465657916</v>
      </c>
      <c r="R31" s="8">
        <f t="shared" si="5"/>
        <v>16282130693.654739</v>
      </c>
      <c r="S31" s="8">
        <f>AVERAGE($R$2:$R31)</f>
        <v>3536931654.9595847</v>
      </c>
      <c r="T31" s="9">
        <f>5488.3-2786</f>
        <v>2702.3</v>
      </c>
      <c r="U31" s="9">
        <f t="shared" si="6"/>
        <v>726.18980518980516</v>
      </c>
      <c r="V31" s="9">
        <f t="shared" si="3"/>
        <v>0.45123328544059443</v>
      </c>
      <c r="W31" s="8">
        <f t="shared" si="4"/>
        <v>8324.2932519493643</v>
      </c>
      <c r="X31" s="9" t="s">
        <v>18</v>
      </c>
    </row>
    <row r="32" spans="1:24" x14ac:dyDescent="0.55000000000000004">
      <c r="A32" s="17">
        <v>31</v>
      </c>
      <c r="B32" s="11" t="s">
        <v>49</v>
      </c>
      <c r="C32" s="17">
        <v>85</v>
      </c>
      <c r="D32" s="12">
        <f>47+(12.31/60)</f>
        <v>47.205166666666663</v>
      </c>
      <c r="E32" s="12">
        <f>-1*(88+(9.46/60))</f>
        <v>-88.157666666666671</v>
      </c>
      <c r="F32" s="13">
        <v>43624</v>
      </c>
      <c r="G32" s="14">
        <v>0.56388888888888888</v>
      </c>
      <c r="H32" s="15">
        <v>8.6999999999999993</v>
      </c>
      <c r="I32" s="19">
        <v>5.9</v>
      </c>
      <c r="J32" s="16">
        <v>0.42</v>
      </c>
      <c r="K32" s="9">
        <v>2.5</v>
      </c>
      <c r="L32" s="9">
        <v>118</v>
      </c>
      <c r="M32" s="9">
        <v>54</v>
      </c>
      <c r="N32" s="8">
        <f t="shared" si="0"/>
        <v>172</v>
      </c>
      <c r="O32" s="8">
        <f t="shared" si="1"/>
        <v>1272.3346512353189</v>
      </c>
      <c r="P32" s="8">
        <f>AVERAGE(O$2:$O32)</f>
        <v>2119.0160288877778</v>
      </c>
      <c r="Q32" s="8">
        <f>MEDIAN($O$2:$O32)</f>
        <v>769.31862632833236</v>
      </c>
      <c r="R32" s="8">
        <f t="shared" si="5"/>
        <v>2095789637.5148172</v>
      </c>
      <c r="S32" s="8">
        <f>AVERAGE($R$2:$R32)</f>
        <v>3490443202.783947</v>
      </c>
      <c r="T32" s="9">
        <f>8533.6-5488.3</f>
        <v>3045.3</v>
      </c>
      <c r="U32" s="9">
        <f t="shared" si="6"/>
        <v>818.36428736428741</v>
      </c>
      <c r="V32" s="9">
        <f t="shared" si="3"/>
        <v>0.50850783560383461</v>
      </c>
      <c r="W32" s="8">
        <f t="shared" si="4"/>
        <v>1050.8796838583153</v>
      </c>
      <c r="X32" s="9" t="s">
        <v>18</v>
      </c>
    </row>
    <row r="33" spans="1:24" x14ac:dyDescent="0.55000000000000004">
      <c r="A33" s="17">
        <v>32</v>
      </c>
      <c r="B33" s="11" t="s">
        <v>50</v>
      </c>
      <c r="C33" s="9">
        <v>101</v>
      </c>
      <c r="D33" s="12">
        <f>47+(22.85/60)</f>
        <v>47.380833333333335</v>
      </c>
      <c r="E33" s="12">
        <f>-1*(87+(48.63/60))</f>
        <v>-87.810500000000005</v>
      </c>
      <c r="F33" s="13">
        <v>43624</v>
      </c>
      <c r="G33" s="14">
        <v>0.68819444444444444</v>
      </c>
      <c r="H33" s="15">
        <v>6.6</v>
      </c>
      <c r="I33" s="19">
        <v>6.2</v>
      </c>
      <c r="J33" s="16">
        <v>0.42</v>
      </c>
      <c r="K33" s="9">
        <v>2.6</v>
      </c>
      <c r="L33" s="9">
        <v>47</v>
      </c>
      <c r="M33" s="9">
        <v>27</v>
      </c>
      <c r="N33" s="8">
        <f t="shared" si="0"/>
        <v>74</v>
      </c>
      <c r="O33" s="8">
        <f t="shared" si="1"/>
        <v>547.39979181054412</v>
      </c>
      <c r="P33" s="8">
        <f>AVERAGE(O$2:$O33)</f>
        <v>2069.9030214791142</v>
      </c>
      <c r="Q33" s="8">
        <f>MEDIAN($O$2:$O33)</f>
        <v>664.27704465657916</v>
      </c>
      <c r="R33" s="8">
        <f t="shared" si="5"/>
        <v>901676937.07032824</v>
      </c>
      <c r="S33" s="8">
        <f>AVERAGE($R$2:$R33)</f>
        <v>3409544256.9803963</v>
      </c>
      <c r="T33" s="9">
        <f>11250.9-8533.6</f>
        <v>2717.2999999999993</v>
      </c>
      <c r="U33" s="9">
        <f t="shared" si="6"/>
        <v>730.22075922075896</v>
      </c>
      <c r="V33" s="9">
        <f t="shared" si="3"/>
        <v>0.45373800337776221</v>
      </c>
      <c r="W33" s="8">
        <f t="shared" si="4"/>
        <v>506.69750130895989</v>
      </c>
      <c r="X33" s="9" t="s">
        <v>18</v>
      </c>
    </row>
    <row r="34" spans="1:24" x14ac:dyDescent="0.55000000000000004">
      <c r="A34" s="17">
        <v>33</v>
      </c>
      <c r="B34" s="11" t="s">
        <v>51</v>
      </c>
      <c r="C34" s="17">
        <v>158</v>
      </c>
      <c r="D34" s="12">
        <f>46+(56.29/60)</f>
        <v>46.938166666666667</v>
      </c>
      <c r="E34" s="12">
        <f>-1*(88+(8.2/60))</f>
        <v>-88.13666666666667</v>
      </c>
      <c r="F34" s="13">
        <v>43625</v>
      </c>
      <c r="G34" s="14">
        <v>0.68819444444444444</v>
      </c>
      <c r="H34" s="15">
        <v>12.3</v>
      </c>
      <c r="I34" s="19">
        <v>6.7</v>
      </c>
      <c r="J34" s="16">
        <v>0.45</v>
      </c>
      <c r="K34" s="9">
        <v>2.7</v>
      </c>
      <c r="L34" s="9">
        <v>23</v>
      </c>
      <c r="M34" s="9">
        <v>25</v>
      </c>
      <c r="N34" s="8">
        <f t="shared" si="0"/>
        <v>48</v>
      </c>
      <c r="O34" s="8">
        <f t="shared" si="1"/>
        <v>331.39879287989692</v>
      </c>
      <c r="P34" s="8">
        <f>AVERAGE(O$2:$O34)</f>
        <v>2017.221075157926</v>
      </c>
      <c r="Q34" s="8">
        <f>MEDIAN($O$2:$O34)</f>
        <v>559.23546298482609</v>
      </c>
      <c r="R34" s="8">
        <f t="shared" si="5"/>
        <v>545880091.6317662</v>
      </c>
      <c r="S34" s="8">
        <f>AVERAGE($R$2:$R34)</f>
        <v>3322766555.0001345</v>
      </c>
      <c r="T34" s="9">
        <f>14083.1-11251.1</f>
        <v>2832</v>
      </c>
      <c r="U34" s="9">
        <f t="shared" si="6"/>
        <v>761.04412104412108</v>
      </c>
      <c r="V34" s="9">
        <f t="shared" si="3"/>
        <v>0.47289074653730656</v>
      </c>
      <c r="W34" s="8">
        <f t="shared" si="4"/>
        <v>315.35710497179019</v>
      </c>
      <c r="X34" s="9" t="s">
        <v>18</v>
      </c>
    </row>
    <row r="35" spans="1:24" x14ac:dyDescent="0.55000000000000004">
      <c r="A35" s="17">
        <v>34</v>
      </c>
      <c r="B35" s="11" t="s">
        <v>52</v>
      </c>
      <c r="C35" s="17">
        <v>142</v>
      </c>
      <c r="D35" s="12">
        <f>46+(51.24/60)</f>
        <v>46.853999999999999</v>
      </c>
      <c r="E35" s="12">
        <f>-1*(87+(43.7/60))</f>
        <v>-87.728333333333339</v>
      </c>
      <c r="F35" s="13">
        <v>43625</v>
      </c>
      <c r="G35" s="14">
        <v>0.46597222222222223</v>
      </c>
      <c r="H35" s="15">
        <v>7.6</v>
      </c>
      <c r="I35" s="19">
        <v>8.1</v>
      </c>
      <c r="J35" s="16">
        <v>0.42</v>
      </c>
      <c r="K35" s="9">
        <v>2.5</v>
      </c>
      <c r="L35" s="9">
        <v>0</v>
      </c>
      <c r="M35" s="9">
        <v>0</v>
      </c>
      <c r="N35" s="8">
        <f t="shared" si="0"/>
        <v>0</v>
      </c>
      <c r="O35" s="8">
        <f t="shared" si="1"/>
        <v>0</v>
      </c>
      <c r="P35" s="8">
        <f>AVERAGE(O$2:$O35)</f>
        <v>1957.891043535634</v>
      </c>
      <c r="Q35" s="8">
        <f>MEDIAN($O$2:$O35)</f>
        <v>553.3176273976851</v>
      </c>
      <c r="R35" s="8">
        <f t="shared" si="5"/>
        <v>0</v>
      </c>
      <c r="S35" s="8">
        <f>AVERAGE($R$2:$R35)</f>
        <v>3225038126.9118953</v>
      </c>
      <c r="T35" s="9">
        <f>16866.5-14083.1</f>
        <v>2783.3999999999996</v>
      </c>
      <c r="U35" s="9">
        <f t="shared" si="6"/>
        <v>747.98382998382988</v>
      </c>
      <c r="V35" s="9">
        <f t="shared" si="3"/>
        <v>0.46477546042088236</v>
      </c>
      <c r="W35" s="8">
        <f t="shared" si="4"/>
        <v>0</v>
      </c>
      <c r="X35" s="9" t="s">
        <v>18</v>
      </c>
    </row>
    <row r="36" spans="1:24" x14ac:dyDescent="0.55000000000000004">
      <c r="A36" s="17">
        <v>35</v>
      </c>
      <c r="B36" s="11" t="s">
        <v>53</v>
      </c>
      <c r="C36" s="17">
        <v>196</v>
      </c>
      <c r="D36" s="12">
        <f>46+(46.81/60)</f>
        <v>46.780166666666666</v>
      </c>
      <c r="E36" s="12">
        <f>-1*(87+(33.44/60))</f>
        <v>-87.557333333333332</v>
      </c>
      <c r="F36" s="13">
        <v>43625</v>
      </c>
      <c r="G36" s="14">
        <v>0.55625000000000002</v>
      </c>
      <c r="H36" s="15">
        <v>7.7</v>
      </c>
      <c r="I36" s="19">
        <v>5.2</v>
      </c>
      <c r="J36" s="16">
        <v>0.47</v>
      </c>
      <c r="K36" s="9">
        <v>2.8</v>
      </c>
      <c r="L36" s="9">
        <v>8</v>
      </c>
      <c r="M36" s="9">
        <v>7</v>
      </c>
      <c r="N36" s="8">
        <f t="shared" si="0"/>
        <v>15</v>
      </c>
      <c r="O36" s="8">
        <f t="shared" si="1"/>
        <v>99.155223933479832</v>
      </c>
      <c r="P36" s="8">
        <f>AVERAGE(O$2:$O36)</f>
        <v>1904.7843058327155</v>
      </c>
      <c r="Q36" s="8">
        <f>MEDIAN($O$2:$O36)</f>
        <v>547.39979181054412</v>
      </c>
      <c r="R36" s="8">
        <f t="shared" si="5"/>
        <v>163328484.86322799</v>
      </c>
      <c r="S36" s="8">
        <f>AVERAGE($R$2:$R36)</f>
        <v>3137560708.5676479</v>
      </c>
      <c r="T36" s="9">
        <f>19804.6-16866.5</f>
        <v>2938.0999999999985</v>
      </c>
      <c r="U36" s="9">
        <f t="shared" si="6"/>
        <v>789.55640255640219</v>
      </c>
      <c r="V36" s="9">
        <f t="shared" si="3"/>
        <v>0.49060745141287421</v>
      </c>
      <c r="W36" s="8">
        <f t="shared" si="4"/>
        <v>94.990312753151514</v>
      </c>
      <c r="X36" s="9" t="s">
        <v>18</v>
      </c>
    </row>
    <row r="37" spans="1:24" x14ac:dyDescent="0.55000000000000004">
      <c r="A37" s="17">
        <v>36</v>
      </c>
      <c r="B37" s="11" t="s">
        <v>54</v>
      </c>
      <c r="C37" s="17">
        <v>120</v>
      </c>
      <c r="D37" s="12">
        <f>46+(30.44/60)</f>
        <v>46.507333333333335</v>
      </c>
      <c r="E37" s="12">
        <f>-1*(87+(13.95/60))</f>
        <v>-87.232500000000002</v>
      </c>
      <c r="F37" s="13">
        <v>43627</v>
      </c>
      <c r="G37" s="14">
        <v>0.2951388888888889</v>
      </c>
      <c r="H37" s="15">
        <v>7.9</v>
      </c>
      <c r="I37" s="19">
        <v>8.9</v>
      </c>
      <c r="J37" s="16">
        <v>0.43</v>
      </c>
      <c r="K37" s="9">
        <v>2.6</v>
      </c>
      <c r="L37" s="9">
        <v>3</v>
      </c>
      <c r="M37" s="9">
        <v>3</v>
      </c>
      <c r="N37" s="8">
        <f t="shared" si="0"/>
        <v>6</v>
      </c>
      <c r="O37" s="8">
        <f t="shared" si="1"/>
        <v>43.351586277893503</v>
      </c>
      <c r="P37" s="8">
        <f>AVERAGE(O$2:$O37)</f>
        <v>1853.077841400637</v>
      </c>
      <c r="Q37" s="8">
        <f>MEDIAN($O$2:$O37)</f>
        <v>545.55046818956248</v>
      </c>
      <c r="R37" s="8">
        <f t="shared" si="5"/>
        <v>71408732.916946173</v>
      </c>
      <c r="S37" s="8">
        <f>AVERAGE($R$2:$R37)</f>
        <v>3052389820.3551283</v>
      </c>
      <c r="T37" s="9">
        <f>22699.1-19804.6</f>
        <v>2894.5</v>
      </c>
      <c r="U37" s="9">
        <f t="shared" si="6"/>
        <v>777.8397628397629</v>
      </c>
      <c r="V37" s="9">
        <f t="shared" si="3"/>
        <v>0.48332707127550634</v>
      </c>
      <c r="W37" s="8">
        <f t="shared" si="4"/>
        <v>38.568462656767572</v>
      </c>
      <c r="X37" s="9" t="s">
        <v>18</v>
      </c>
    </row>
    <row r="38" spans="1:24" x14ac:dyDescent="0.55000000000000004">
      <c r="A38" s="17">
        <v>37</v>
      </c>
      <c r="B38" s="11" t="s">
        <v>55</v>
      </c>
      <c r="C38" s="17">
        <v>88</v>
      </c>
      <c r="D38" s="12">
        <f>46+(31.43/60)</f>
        <v>46.523833333333336</v>
      </c>
      <c r="E38" s="12">
        <f>-1*(86+(55.27/60))</f>
        <v>-86.921166666666664</v>
      </c>
      <c r="F38" s="13">
        <v>43627</v>
      </c>
      <c r="G38" s="14">
        <v>0.4069444444444445</v>
      </c>
      <c r="H38" s="15">
        <v>6.4</v>
      </c>
      <c r="I38" s="19">
        <v>10.5</v>
      </c>
      <c r="J38" s="16">
        <v>0.42</v>
      </c>
      <c r="K38" s="9">
        <v>2.6</v>
      </c>
      <c r="L38" s="9">
        <v>0</v>
      </c>
      <c r="M38" s="9">
        <v>0</v>
      </c>
      <c r="N38" s="8">
        <f t="shared" si="0"/>
        <v>0</v>
      </c>
      <c r="O38" s="8">
        <f t="shared" si="1"/>
        <v>0</v>
      </c>
      <c r="P38" s="8">
        <f>AVERAGE(O$2:$O38)</f>
        <v>1802.994656497917</v>
      </c>
      <c r="Q38" s="8">
        <f>MEDIAN($O$2:$O38)</f>
        <v>543.70114456858096</v>
      </c>
      <c r="R38" s="8">
        <f t="shared" si="5"/>
        <v>0</v>
      </c>
      <c r="S38" s="8">
        <f>AVERAGE($R$2:$R38)</f>
        <v>2969892798.1833682</v>
      </c>
      <c r="T38" s="9">
        <f>25389.8-22699.1</f>
        <v>2690.7000000000007</v>
      </c>
      <c r="U38" s="9">
        <f t="shared" si="6"/>
        <v>723.07253407253427</v>
      </c>
      <c r="V38" s="9">
        <f t="shared" si="3"/>
        <v>0.44929630356918471</v>
      </c>
      <c r="W38" s="8">
        <f t="shared" si="4"/>
        <v>0</v>
      </c>
      <c r="X38" s="9" t="s">
        <v>40</v>
      </c>
    </row>
    <row r="39" spans="1:24" x14ac:dyDescent="0.55000000000000004">
      <c r="A39" s="17">
        <v>38</v>
      </c>
      <c r="B39" s="11" t="s">
        <v>56</v>
      </c>
      <c r="C39" s="17">
        <v>209</v>
      </c>
      <c r="D39" s="12">
        <f>46+(31.65/60)</f>
        <v>46.527500000000003</v>
      </c>
      <c r="E39" s="12">
        <f>-1*(86+(42.92/60))</f>
        <v>-86.715333333333334</v>
      </c>
      <c r="F39" s="13">
        <v>43627</v>
      </c>
      <c r="G39" s="14">
        <v>0.57222222222222219</v>
      </c>
      <c r="H39" s="15">
        <v>6.3</v>
      </c>
      <c r="I39" s="19">
        <v>8.9</v>
      </c>
      <c r="J39" s="16">
        <v>0.43</v>
      </c>
      <c r="K39" s="9">
        <v>2.6</v>
      </c>
      <c r="L39" s="9">
        <v>0</v>
      </c>
      <c r="M39" s="9">
        <v>1</v>
      </c>
      <c r="N39" s="8">
        <f t="shared" si="0"/>
        <v>1</v>
      </c>
      <c r="O39" s="8">
        <f t="shared" si="1"/>
        <v>7.2252643796489169</v>
      </c>
      <c r="P39" s="8">
        <f>AVERAGE(O$2:$O39)</f>
        <v>1755.7375672316468</v>
      </c>
      <c r="Q39" s="8">
        <f>MEDIAN($O$2:$O39)</f>
        <v>535.57272214147588</v>
      </c>
      <c r="R39" s="8">
        <f t="shared" si="5"/>
        <v>11901455.486157697</v>
      </c>
      <c r="S39" s="8">
        <f>AVERAGE($R$2:$R39)</f>
        <v>2892050920.743968</v>
      </c>
      <c r="T39" s="9">
        <f>28378.4-25389.8</f>
        <v>2988.6000000000022</v>
      </c>
      <c r="U39" s="9">
        <f t="shared" si="6"/>
        <v>803.12728112728166</v>
      </c>
      <c r="V39" s="9">
        <f t="shared" si="3"/>
        <v>0.49904000180134012</v>
      </c>
      <c r="W39" s="8">
        <f t="shared" si="4"/>
        <v>6.2256806509186946</v>
      </c>
      <c r="X39" s="9" t="s">
        <v>18</v>
      </c>
    </row>
    <row r="40" spans="1:24" x14ac:dyDescent="0.55000000000000004">
      <c r="A40" s="17">
        <v>39</v>
      </c>
      <c r="B40" s="11" t="s">
        <v>57</v>
      </c>
      <c r="C40" s="17">
        <v>178</v>
      </c>
      <c r="D40" s="12">
        <f>46+(31.65/60)</f>
        <v>46.527500000000003</v>
      </c>
      <c r="E40" s="12">
        <f>-1*(86+(42.92/60))</f>
        <v>-86.715333333333334</v>
      </c>
      <c r="F40" s="13">
        <v>43627</v>
      </c>
      <c r="G40" s="14">
        <v>0.7006944444444444</v>
      </c>
      <c r="H40" s="15">
        <v>6.1</v>
      </c>
      <c r="I40" s="19">
        <v>6.7</v>
      </c>
      <c r="J40" s="16">
        <v>0.44</v>
      </c>
      <c r="K40" s="9">
        <v>2.6</v>
      </c>
      <c r="L40" s="9">
        <v>3</v>
      </c>
      <c r="M40" s="9">
        <v>0</v>
      </c>
      <c r="N40" s="8">
        <f t="shared" si="0"/>
        <v>3</v>
      </c>
      <c r="O40" s="8">
        <f t="shared" si="1"/>
        <v>21.183161476697961</v>
      </c>
      <c r="P40" s="8">
        <f>AVERAGE(O$2:$O40)</f>
        <v>1711.2618132379303</v>
      </c>
      <c r="Q40" s="8">
        <f>MEDIAN($O$2:$O40)</f>
        <v>527.44429971437091</v>
      </c>
      <c r="R40" s="8">
        <f t="shared" si="5"/>
        <v>34892903.584416881</v>
      </c>
      <c r="S40" s="8">
        <f>AVERAGE($R$2:$R40)</f>
        <v>2818790458.7655177</v>
      </c>
      <c r="T40" s="9">
        <f>31148.5-28378.4</f>
        <v>2770.0999999999985</v>
      </c>
      <c r="U40" s="9">
        <f t="shared" si="6"/>
        <v>744.40971740971702</v>
      </c>
      <c r="V40" s="9">
        <f t="shared" si="3"/>
        <v>0.4625546105165933</v>
      </c>
      <c r="W40" s="8">
        <f t="shared" si="4"/>
        <v>20.150250019857371</v>
      </c>
      <c r="X40" s="9" t="s">
        <v>18</v>
      </c>
    </row>
    <row r="41" spans="1:24" x14ac:dyDescent="0.55000000000000004">
      <c r="A41" s="17">
        <v>40</v>
      </c>
      <c r="B41" s="11" t="s">
        <v>58</v>
      </c>
      <c r="C41" s="17">
        <v>177</v>
      </c>
      <c r="D41" s="12">
        <f>46+(43.44/60)</f>
        <v>46.723999999999997</v>
      </c>
      <c r="E41" s="12">
        <f>-1*(85+(46.05/60))</f>
        <v>-85.767499999999998</v>
      </c>
      <c r="F41" s="13">
        <v>43628</v>
      </c>
      <c r="G41" s="14">
        <v>0.34236111111111112</v>
      </c>
      <c r="H41" s="15">
        <v>7</v>
      </c>
      <c r="I41" s="19">
        <v>6</v>
      </c>
      <c r="J41" s="16">
        <v>0.42</v>
      </c>
      <c r="K41" s="9">
        <v>2.5</v>
      </c>
      <c r="L41" s="9">
        <v>99</v>
      </c>
      <c r="M41" s="9">
        <v>87</v>
      </c>
      <c r="N41" s="8">
        <f t="shared" si="0"/>
        <v>186</v>
      </c>
      <c r="O41" s="8">
        <f t="shared" si="1"/>
        <v>1375.8967740102867</v>
      </c>
      <c r="P41" s="8">
        <f>AVERAGE(O$2:$O41)</f>
        <v>1702.8776872572391</v>
      </c>
      <c r="Q41" s="8">
        <f>MEDIAN($O$2:$O41)</f>
        <v>535.57272214147588</v>
      </c>
      <c r="R41" s="8">
        <f t="shared" si="5"/>
        <v>2266377166.149744</v>
      </c>
      <c r="S41" s="8">
        <f>AVERAGE($R$2:$R41)</f>
        <v>2804980126.4501238</v>
      </c>
      <c r="T41" s="9">
        <f>33891.9-31148.5</f>
        <v>2743.4000000000015</v>
      </c>
      <c r="U41" s="9">
        <f t="shared" si="6"/>
        <v>737.23461923461957</v>
      </c>
      <c r="V41" s="9">
        <f t="shared" si="3"/>
        <v>0.4580962125884348</v>
      </c>
      <c r="W41" s="8">
        <f t="shared" si="4"/>
        <v>1261.4744003646661</v>
      </c>
      <c r="X41" s="9" t="s">
        <v>18</v>
      </c>
    </row>
    <row r="42" spans="1:24" x14ac:dyDescent="0.55000000000000004">
      <c r="A42" s="17">
        <v>41</v>
      </c>
      <c r="B42" s="11" t="s">
        <v>59</v>
      </c>
      <c r="C42" s="17">
        <v>176</v>
      </c>
      <c r="D42" s="12">
        <f>46+(46.46/60)</f>
        <v>46.774333333333331</v>
      </c>
      <c r="E42" s="12">
        <f>-1*(85+(19.03/60))</f>
        <v>-85.317166666666665</v>
      </c>
      <c r="F42" s="13">
        <v>43628</v>
      </c>
      <c r="G42" s="14">
        <v>0.47291666666666665</v>
      </c>
      <c r="H42" s="15">
        <v>6.6</v>
      </c>
      <c r="I42" s="19">
        <v>5.9</v>
      </c>
      <c r="J42" s="16">
        <v>0.45</v>
      </c>
      <c r="K42" s="9">
        <v>2.7</v>
      </c>
      <c r="L42" s="9">
        <v>6</v>
      </c>
      <c r="M42" s="9">
        <v>1</v>
      </c>
      <c r="N42" s="8">
        <f t="shared" si="0"/>
        <v>7</v>
      </c>
      <c r="O42" s="8">
        <f t="shared" si="1"/>
        <v>48.328990628318309</v>
      </c>
      <c r="P42" s="8">
        <f>AVERAGE(O$2:$O42)</f>
        <v>1662.522840997997</v>
      </c>
      <c r="Q42" s="8">
        <f>MEDIAN($O$2:$O42)</f>
        <v>527.44429971437091</v>
      </c>
      <c r="R42" s="8">
        <f t="shared" si="5"/>
        <v>79607513.362965912</v>
      </c>
      <c r="S42" s="8">
        <f>AVERAGE($R$2:$R42)</f>
        <v>2738507623.6919003</v>
      </c>
      <c r="T42" s="9">
        <f>36891.7-33891.9</f>
        <v>2999.7999999999956</v>
      </c>
      <c r="U42" s="9">
        <f t="shared" si="6"/>
        <v>806.13706013705894</v>
      </c>
      <c r="V42" s="9">
        <f t="shared" si="3"/>
        <v>0.50091019119442448</v>
      </c>
      <c r="W42" s="8">
        <f t="shared" si="4"/>
        <v>43.417055921511285</v>
      </c>
      <c r="X42" s="9" t="s">
        <v>18</v>
      </c>
    </row>
    <row r="43" spans="1:24" x14ac:dyDescent="0.55000000000000004">
      <c r="A43" s="17">
        <v>42</v>
      </c>
      <c r="B43" s="11" t="s">
        <v>60</v>
      </c>
      <c r="C43" s="17">
        <v>195</v>
      </c>
      <c r="D43" s="12">
        <f>46+(47.89/60)</f>
        <v>46.798166666666667</v>
      </c>
      <c r="E43" s="12">
        <f>-1*(84+(59.28/60))</f>
        <v>-84.988</v>
      </c>
      <c r="F43" s="13">
        <v>43628</v>
      </c>
      <c r="G43" s="14">
        <v>0.57708333333333328</v>
      </c>
      <c r="H43" s="15">
        <v>7.1</v>
      </c>
      <c r="I43" s="19">
        <v>5.5</v>
      </c>
      <c r="J43" s="16">
        <v>0.45</v>
      </c>
      <c r="K43" s="9">
        <v>2.7</v>
      </c>
      <c r="L43" s="9">
        <v>12</v>
      </c>
      <c r="M43" s="9">
        <v>5</v>
      </c>
      <c r="N43" s="8">
        <f t="shared" si="0"/>
        <v>17</v>
      </c>
      <c r="O43" s="8">
        <f t="shared" si="1"/>
        <v>117.37040581163018</v>
      </c>
      <c r="P43" s="8">
        <f>AVERAGE(O$2:$O43)</f>
        <v>1625.7334973030836</v>
      </c>
      <c r="Q43" s="8">
        <f>MEDIAN($O$2:$O43)</f>
        <v>492.85334649680169</v>
      </c>
      <c r="R43" s="8">
        <f t="shared" si="5"/>
        <v>193332532.45291722</v>
      </c>
      <c r="S43" s="8">
        <f>AVERAGE($R$2:$R43)</f>
        <v>2677908216.7576385</v>
      </c>
      <c r="T43" s="9">
        <f>39720.1-36891.7</f>
        <v>2828.4000000000015</v>
      </c>
      <c r="U43" s="9">
        <f t="shared" si="6"/>
        <v>760.07669207669232</v>
      </c>
      <c r="V43" s="9">
        <f t="shared" si="3"/>
        <v>0.47228961423238641</v>
      </c>
      <c r="W43" s="8">
        <f t="shared" si="4"/>
        <v>111.8311328972937</v>
      </c>
      <c r="X43" s="9" t="s">
        <v>18</v>
      </c>
    </row>
    <row r="44" spans="1:24" x14ac:dyDescent="0.55000000000000004">
      <c r="A44" s="17">
        <v>43</v>
      </c>
      <c r="B44" s="11" t="s">
        <v>61</v>
      </c>
      <c r="C44" s="17">
        <v>194</v>
      </c>
      <c r="D44" s="12">
        <f>46+(37.24/60)</f>
        <v>46.620666666666665</v>
      </c>
      <c r="E44" s="12">
        <f>-1*(84+(53.94/60))</f>
        <v>-84.899000000000001</v>
      </c>
      <c r="F44" s="13">
        <v>43629</v>
      </c>
      <c r="G44" s="14">
        <v>0.45416666666666666</v>
      </c>
      <c r="H44" s="15">
        <v>6.7</v>
      </c>
      <c r="I44" s="19">
        <v>4.9000000000000004</v>
      </c>
      <c r="J44" s="16">
        <v>0.43</v>
      </c>
      <c r="K44" s="9">
        <v>2.5</v>
      </c>
      <c r="L44" s="9">
        <v>0</v>
      </c>
      <c r="M44" s="9">
        <v>1</v>
      </c>
      <c r="N44" s="8">
        <f t="shared" si="0"/>
        <v>1</v>
      </c>
      <c r="O44" s="8">
        <f t="shared" si="1"/>
        <v>7.2252643796489169</v>
      </c>
      <c r="P44" s="8">
        <f>AVERAGE(O$2:$O44)</f>
        <v>1588.0937709560269</v>
      </c>
      <c r="Q44" s="8">
        <f>MEDIAN($O$2:$O44)</f>
        <v>458.26239327923247</v>
      </c>
      <c r="R44" s="8">
        <f t="shared" si="5"/>
        <v>11901455.486157697</v>
      </c>
      <c r="S44" s="8">
        <f>AVERAGE($R$2:$R44)</f>
        <v>2615908059.5187669</v>
      </c>
      <c r="T44" s="9">
        <f>42358-39720.1</f>
        <v>2637.9000000000015</v>
      </c>
      <c r="U44" s="9">
        <f t="shared" si="6"/>
        <v>708.88357588357621</v>
      </c>
      <c r="V44" s="9">
        <f t="shared" si="3"/>
        <v>0.44047969643035362</v>
      </c>
      <c r="W44" s="8">
        <f t="shared" si="4"/>
        <v>7.0533641128684232</v>
      </c>
      <c r="X44" s="9" t="s">
        <v>18</v>
      </c>
    </row>
    <row r="45" spans="1:24" x14ac:dyDescent="0.55000000000000004">
      <c r="A45" s="17">
        <v>44</v>
      </c>
      <c r="B45" s="11" t="s">
        <v>62</v>
      </c>
      <c r="C45" s="17">
        <v>79</v>
      </c>
      <c r="D45" s="12">
        <f>46+(33.82/60)</f>
        <v>46.56366666666667</v>
      </c>
      <c r="E45" s="12">
        <f>-1*(84+(53.17/60))</f>
        <v>-84.886166666666668</v>
      </c>
      <c r="F45" s="13">
        <v>43629</v>
      </c>
      <c r="G45" s="14">
        <v>0.52708333333333335</v>
      </c>
      <c r="H45" s="15">
        <v>6.7</v>
      </c>
      <c r="I45" s="19">
        <v>3.9</v>
      </c>
      <c r="J45" s="16">
        <v>0.42</v>
      </c>
      <c r="K45" s="9">
        <v>2.5</v>
      </c>
      <c r="L45" s="9">
        <v>0</v>
      </c>
      <c r="M45" s="9">
        <v>0</v>
      </c>
      <c r="N45" s="8">
        <f t="shared" si="0"/>
        <v>0</v>
      </c>
      <c r="O45" s="8">
        <f t="shared" si="1"/>
        <v>0</v>
      </c>
      <c r="P45" s="8">
        <f>AVERAGE(O$2:$O45)</f>
        <v>1552.0007307070264</v>
      </c>
      <c r="Q45" s="8">
        <f>MEDIAN($O$2:$O45)</f>
        <v>442.27649583925927</v>
      </c>
      <c r="R45" s="8">
        <f t="shared" si="5"/>
        <v>0</v>
      </c>
      <c r="S45" s="8">
        <f>AVERAGE($R$2:$R45)</f>
        <v>2556455603.6206131</v>
      </c>
      <c r="T45" s="9">
        <f>45018-42358</f>
        <v>2660</v>
      </c>
      <c r="U45" s="9">
        <f t="shared" si="6"/>
        <v>714.8225148225149</v>
      </c>
      <c r="V45" s="9">
        <f t="shared" si="3"/>
        <v>0.44416998085778092</v>
      </c>
      <c r="W45" s="8">
        <f t="shared" si="4"/>
        <v>0</v>
      </c>
      <c r="X45" s="9" t="s">
        <v>40</v>
      </c>
    </row>
    <row r="46" spans="1:24" x14ac:dyDescent="0.55000000000000004">
      <c r="A46" s="17">
        <v>45</v>
      </c>
      <c r="B46" s="11" t="s">
        <v>63</v>
      </c>
      <c r="C46" s="17">
        <v>193</v>
      </c>
      <c r="D46" s="12">
        <f>46+(30.48/60)</f>
        <v>46.508000000000003</v>
      </c>
      <c r="E46" s="12">
        <f>-1*(84+(52.52/60))</f>
        <v>-84.87533333333333</v>
      </c>
      <c r="F46" s="13">
        <v>43629</v>
      </c>
      <c r="G46" s="14">
        <v>0.59722222222222221</v>
      </c>
      <c r="H46" s="15">
        <v>7.5</v>
      </c>
      <c r="I46" s="19">
        <v>5.5</v>
      </c>
      <c r="J46" s="16">
        <v>0.42</v>
      </c>
      <c r="K46" s="9">
        <v>2.5</v>
      </c>
      <c r="L46" s="9">
        <v>1</v>
      </c>
      <c r="M46" s="9">
        <v>0</v>
      </c>
      <c r="N46" s="8">
        <f t="shared" si="0"/>
        <v>1</v>
      </c>
      <c r="O46" s="8">
        <f t="shared" si="1"/>
        <v>7.397294483926272</v>
      </c>
      <c r="P46" s="8">
        <f>AVERAGE(O$2:$O46)</f>
        <v>1517.6762099020686</v>
      </c>
      <c r="Q46" s="8">
        <f>MEDIAN($O$2:$O46)</f>
        <v>426.29059839928613</v>
      </c>
      <c r="R46" s="8">
        <f t="shared" si="5"/>
        <v>12184823.473923355</v>
      </c>
      <c r="S46" s="8">
        <f>AVERAGE($R$2:$R46)</f>
        <v>2499916252.9506865</v>
      </c>
      <c r="T46" s="9">
        <f>48042.2-45018</f>
        <v>3024.1999999999971</v>
      </c>
      <c r="U46" s="9">
        <f t="shared" si="6"/>
        <v>812.69407869407792</v>
      </c>
      <c r="V46" s="9">
        <f t="shared" si="3"/>
        <v>0.50498453237221785</v>
      </c>
      <c r="W46" s="8">
        <f t="shared" si="4"/>
        <v>6.1523937548229766</v>
      </c>
      <c r="X46" s="9" t="s">
        <v>18</v>
      </c>
    </row>
    <row r="47" spans="1:24" x14ac:dyDescent="0.55000000000000004">
      <c r="A47" s="17">
        <v>46</v>
      </c>
      <c r="B47" s="11" t="s">
        <v>64</v>
      </c>
      <c r="C47" s="17">
        <v>174</v>
      </c>
      <c r="D47" s="12">
        <f>46+(31.52/60)</f>
        <v>46.525333333333336</v>
      </c>
      <c r="E47" s="12">
        <f>-1*(84+(43.06/60))</f>
        <v>-84.717666666666673</v>
      </c>
      <c r="F47" s="13">
        <v>43629</v>
      </c>
      <c r="G47" s="14">
        <v>0.69444444444444453</v>
      </c>
      <c r="H47" s="15">
        <v>6.4</v>
      </c>
      <c r="I47" s="19">
        <v>5.0999999999999996</v>
      </c>
      <c r="J47" s="16">
        <v>0.47</v>
      </c>
      <c r="K47" s="9">
        <v>2.9</v>
      </c>
      <c r="L47" s="9">
        <v>0</v>
      </c>
      <c r="M47" s="9">
        <v>4</v>
      </c>
      <c r="N47" s="8">
        <f t="shared" si="0"/>
        <v>4</v>
      </c>
      <c r="O47" s="8">
        <f t="shared" si="1"/>
        <v>26.441393048927953</v>
      </c>
      <c r="P47" s="8">
        <f>AVERAGE(O$2:$O47)</f>
        <v>1485.2580617096091</v>
      </c>
      <c r="Q47" s="8">
        <f>MEDIAN($O$2:$O47)</f>
        <v>409.17360302368934</v>
      </c>
      <c r="R47" s="8">
        <f t="shared" si="5"/>
        <v>43554262.630194128</v>
      </c>
      <c r="S47" s="8">
        <f>AVERAGE($R$2:$R47)</f>
        <v>2446517079.2480669</v>
      </c>
      <c r="T47" s="9">
        <f>50908.9-48042.2</f>
        <v>2866.7000000000044</v>
      </c>
      <c r="U47" s="9">
        <f t="shared" si="6"/>
        <v>770.36906136906259</v>
      </c>
      <c r="V47" s="9">
        <f t="shared" si="3"/>
        <v>0.4786849940319558</v>
      </c>
      <c r="W47" s="8">
        <f t="shared" si="4"/>
        <v>25.961655134245781</v>
      </c>
      <c r="X47" s="9" t="s">
        <v>18</v>
      </c>
    </row>
    <row r="48" spans="1:24" x14ac:dyDescent="0.55000000000000004">
      <c r="A48" s="17">
        <v>47</v>
      </c>
      <c r="B48" s="11" t="s">
        <v>65</v>
      </c>
      <c r="C48" s="17">
        <v>460</v>
      </c>
      <c r="D48" s="12">
        <f>46+(39.96/60)</f>
        <v>46.665999999999997</v>
      </c>
      <c r="E48" s="12">
        <f>-1*(84+(34.47/60))</f>
        <v>-84.5745</v>
      </c>
      <c r="F48" s="13">
        <v>43631</v>
      </c>
      <c r="G48" s="14">
        <v>0.42499999999999999</v>
      </c>
      <c r="H48" s="15">
        <v>9</v>
      </c>
      <c r="I48" s="19">
        <v>5.5</v>
      </c>
      <c r="J48" s="16">
        <v>0.44</v>
      </c>
      <c r="K48" s="9">
        <v>2.6</v>
      </c>
      <c r="L48" s="9">
        <v>7</v>
      </c>
      <c r="M48" s="9">
        <v>8</v>
      </c>
      <c r="N48" s="8">
        <f t="shared" si="0"/>
        <v>15</v>
      </c>
      <c r="O48" s="8">
        <f t="shared" si="1"/>
        <v>105.91580738348979</v>
      </c>
      <c r="P48" s="8">
        <f>AVERAGE(O$2:$O48)</f>
        <v>1455.9103541707555</v>
      </c>
      <c r="Q48" s="8">
        <f>MEDIAN($O$2:$O48)</f>
        <v>392.05660764809249</v>
      </c>
      <c r="R48" s="8">
        <f t="shared" si="5"/>
        <v>174464517.92208439</v>
      </c>
      <c r="S48" s="8">
        <f>AVERAGE($R$2:$R48)</f>
        <v>2398175535.3900676</v>
      </c>
      <c r="T48" s="9">
        <f>53687.6-50908.9</f>
        <v>2778.6999999999971</v>
      </c>
      <c r="U48" s="9">
        <f t="shared" si="6"/>
        <v>746.72079772079701</v>
      </c>
      <c r="V48" s="9">
        <f t="shared" si="3"/>
        <v>0.46399064880056939</v>
      </c>
      <c r="W48" s="8">
        <f t="shared" si="4"/>
        <v>100.43942775399815</v>
      </c>
      <c r="X48" s="9" t="s">
        <v>18</v>
      </c>
    </row>
    <row r="49" spans="1:24" x14ac:dyDescent="0.55000000000000004">
      <c r="A49" s="17">
        <v>48</v>
      </c>
      <c r="B49" s="11" t="s">
        <v>66</v>
      </c>
      <c r="C49" s="17">
        <v>459</v>
      </c>
      <c r="D49" s="12">
        <f>46+(46.32/60)</f>
        <v>46.771999999999998</v>
      </c>
      <c r="E49" s="12">
        <f>-1*(84+(35.62/60))</f>
        <v>-84.593666666666664</v>
      </c>
      <c r="F49" s="13">
        <v>43631</v>
      </c>
      <c r="G49" s="14">
        <v>0.52152777777777781</v>
      </c>
      <c r="H49" s="15">
        <v>9.5</v>
      </c>
      <c r="I49" s="19">
        <v>5.0999999999999996</v>
      </c>
      <c r="J49" s="16">
        <v>0.43</v>
      </c>
      <c r="K49" s="9">
        <v>2.5</v>
      </c>
      <c r="L49" s="9">
        <v>6</v>
      </c>
      <c r="M49" s="9">
        <v>0</v>
      </c>
      <c r="N49" s="8">
        <f t="shared" si="0"/>
        <v>6</v>
      </c>
      <c r="O49" s="8">
        <f t="shared" si="1"/>
        <v>43.351586277893503</v>
      </c>
      <c r="P49" s="8">
        <f>AVERAGE(O$2:$O49)</f>
        <v>1426.4820465063206</v>
      </c>
      <c r="Q49" s="8">
        <f>MEDIAN($O$2:$O49)</f>
        <v>372.55464946319591</v>
      </c>
      <c r="R49" s="8">
        <f t="shared" si="5"/>
        <v>71408732.916946173</v>
      </c>
      <c r="S49" s="8">
        <f>AVERAGE($R$2:$R49)</f>
        <v>2349701227.0052109</v>
      </c>
      <c r="T49" s="9">
        <f>56587-53687.6</f>
        <v>2899.4000000000015</v>
      </c>
      <c r="U49" s="9">
        <f t="shared" si="6"/>
        <v>779.15654115654149</v>
      </c>
      <c r="V49" s="9">
        <f t="shared" si="3"/>
        <v>0.48414527913498134</v>
      </c>
      <c r="W49" s="8">
        <f t="shared" si="4"/>
        <v>38.503281768646509</v>
      </c>
      <c r="X49" s="9" t="s">
        <v>18</v>
      </c>
    </row>
    <row r="50" spans="1:24" x14ac:dyDescent="0.55000000000000004">
      <c r="A50" s="17">
        <v>49</v>
      </c>
      <c r="B50" s="11" t="s">
        <v>67</v>
      </c>
      <c r="C50" s="17">
        <v>461</v>
      </c>
      <c r="D50" s="12">
        <f>46+(56.71/60)</f>
        <v>46.945166666666665</v>
      </c>
      <c r="E50" s="12">
        <f>-1*(84+(43.64/60))</f>
        <v>-84.727333333333334</v>
      </c>
      <c r="F50" s="13">
        <v>43631</v>
      </c>
      <c r="G50" s="14">
        <v>0.63124999999999998</v>
      </c>
      <c r="H50" s="15">
        <v>6.6</v>
      </c>
      <c r="I50" s="19">
        <v>5.6</v>
      </c>
      <c r="J50" s="16">
        <v>0.43</v>
      </c>
      <c r="K50" s="9">
        <v>2.6</v>
      </c>
      <c r="L50" s="9">
        <v>11</v>
      </c>
      <c r="M50" s="9">
        <v>6</v>
      </c>
      <c r="N50" s="8">
        <f t="shared" si="0"/>
        <v>17</v>
      </c>
      <c r="O50" s="8">
        <f t="shared" si="1"/>
        <v>122.82949445403159</v>
      </c>
      <c r="P50" s="8">
        <f>AVERAGE(O$2:$O50)</f>
        <v>1399.8768923828045</v>
      </c>
      <c r="Q50" s="8">
        <f>MEDIAN($O$2:$O50)</f>
        <v>353.05269127829933</v>
      </c>
      <c r="R50" s="8">
        <f t="shared" si="5"/>
        <v>202324743.26468083</v>
      </c>
      <c r="S50" s="8">
        <f>AVERAGE($R$2:$R50)</f>
        <v>2305877217.1329551</v>
      </c>
      <c r="T50" s="9">
        <f>59339.3-56587</f>
        <v>2752.3000000000029</v>
      </c>
      <c r="U50" s="9">
        <f t="shared" si="6"/>
        <v>739.6263186263194</v>
      </c>
      <c r="V50" s="9">
        <f t="shared" si="3"/>
        <v>0.45958234523115471</v>
      </c>
      <c r="W50" s="8">
        <f t="shared" si="4"/>
        <v>114.92321922999139</v>
      </c>
      <c r="X50" s="9" t="s">
        <v>18</v>
      </c>
    </row>
    <row r="51" spans="1:24" x14ac:dyDescent="0.55000000000000004">
      <c r="A51" s="17">
        <v>50</v>
      </c>
      <c r="B51" s="11" t="s">
        <v>68</v>
      </c>
      <c r="C51" s="17">
        <v>457</v>
      </c>
      <c r="D51" s="12">
        <f>47+(9.46/60)</f>
        <v>47.157666666666664</v>
      </c>
      <c r="E51" s="12">
        <f>-1*(84+(43.11/60))</f>
        <v>-84.718500000000006</v>
      </c>
      <c r="F51" s="13">
        <v>43631</v>
      </c>
      <c r="G51" s="14">
        <v>0.73263888888888884</v>
      </c>
      <c r="H51" s="15">
        <v>4.3</v>
      </c>
      <c r="I51" s="19">
        <v>17.399999999999999</v>
      </c>
      <c r="J51" s="16">
        <v>0.42</v>
      </c>
      <c r="K51" s="9">
        <v>2.5</v>
      </c>
      <c r="L51" s="9">
        <v>6</v>
      </c>
      <c r="M51" s="9">
        <v>2</v>
      </c>
      <c r="N51" s="8">
        <f t="shared" si="0"/>
        <v>8</v>
      </c>
      <c r="O51" s="8">
        <f t="shared" si="1"/>
        <v>59.178355871410176</v>
      </c>
      <c r="P51" s="8">
        <f>AVERAGE(O$2:$O51)</f>
        <v>1373.0629216525765</v>
      </c>
      <c r="Q51" s="8">
        <f>MEDIAN($O$2:$O51)</f>
        <v>342.22574207909815</v>
      </c>
      <c r="R51" s="8">
        <f t="shared" si="5"/>
        <v>97478587.791386843</v>
      </c>
      <c r="S51" s="8">
        <f>AVERAGE($R$2:$R51)</f>
        <v>2261709244.5461235</v>
      </c>
      <c r="T51" s="9">
        <f>62108.9-59339.3</f>
        <v>2769.5999999999985</v>
      </c>
      <c r="U51" s="9">
        <f t="shared" si="6"/>
        <v>744.27535227535191</v>
      </c>
      <c r="V51" s="9">
        <f t="shared" si="3"/>
        <v>0.46247111991868772</v>
      </c>
      <c r="W51" s="8">
        <f t="shared" si="4"/>
        <v>53.743700731760924</v>
      </c>
      <c r="X51" s="9" t="s">
        <v>18</v>
      </c>
    </row>
    <row r="52" spans="1:24" x14ac:dyDescent="0.55000000000000004">
      <c r="A52" s="17">
        <v>51</v>
      </c>
      <c r="B52" s="11" t="s">
        <v>69</v>
      </c>
      <c r="C52" s="17">
        <v>456</v>
      </c>
      <c r="D52" s="12">
        <f>47+(19.04/60)</f>
        <v>47.31733333333333</v>
      </c>
      <c r="E52" s="12">
        <f>-1*(84+(38.69/60))</f>
        <v>-84.644833333333338</v>
      </c>
      <c r="F52" s="13">
        <v>43632</v>
      </c>
      <c r="G52" s="14">
        <v>0.3215277777777778</v>
      </c>
      <c r="H52" s="15">
        <v>4.8</v>
      </c>
      <c r="I52" s="19">
        <v>20.9</v>
      </c>
      <c r="J52" s="16">
        <v>0.43</v>
      </c>
      <c r="K52" s="9">
        <v>2.5</v>
      </c>
      <c r="L52" s="9">
        <v>27</v>
      </c>
      <c r="M52" s="9">
        <v>22</v>
      </c>
      <c r="N52" s="8">
        <f t="shared" si="0"/>
        <v>49</v>
      </c>
      <c r="O52" s="8">
        <f t="shared" si="1"/>
        <v>354.0379546027969</v>
      </c>
      <c r="P52" s="8">
        <f>AVERAGE(O$2:$O52)</f>
        <v>1353.0820399457182</v>
      </c>
      <c r="Q52" s="8">
        <f>MEDIAN($O$2:$O52)</f>
        <v>353.05269127829933</v>
      </c>
      <c r="R52" s="8">
        <f t="shared" si="5"/>
        <v>583171318.82172704</v>
      </c>
      <c r="S52" s="8">
        <f>AVERAGE($R$2:$R52)</f>
        <v>2228796736.1985865</v>
      </c>
      <c r="T52" s="9">
        <f>64914.4-62108.9</f>
        <v>2805.5</v>
      </c>
      <c r="U52" s="9">
        <f t="shared" si="6"/>
        <v>753.92276892276891</v>
      </c>
      <c r="V52" s="9">
        <f t="shared" si="3"/>
        <v>0.46846574484830983</v>
      </c>
      <c r="W52" s="8">
        <f t="shared" si="4"/>
        <v>324.96788111689386</v>
      </c>
      <c r="X52" s="9" t="s">
        <v>18</v>
      </c>
    </row>
    <row r="53" spans="1:24" x14ac:dyDescent="0.55000000000000004">
      <c r="A53" s="17">
        <v>52</v>
      </c>
      <c r="B53" s="11" t="s">
        <v>70</v>
      </c>
      <c r="C53" s="17">
        <v>455</v>
      </c>
      <c r="D53" s="12">
        <f>47+(33.21/60)</f>
        <v>47.5535</v>
      </c>
      <c r="E53" s="12">
        <f>-1*(84+(57.48/60))</f>
        <v>-84.957999999999998</v>
      </c>
      <c r="F53" s="13">
        <v>43632</v>
      </c>
      <c r="G53" s="14">
        <v>0.45</v>
      </c>
      <c r="H53" s="15">
        <v>4</v>
      </c>
      <c r="I53" s="19">
        <v>17.100000000000001</v>
      </c>
      <c r="J53" s="16">
        <v>0.43</v>
      </c>
      <c r="K53" s="9">
        <v>2.6</v>
      </c>
      <c r="L53" s="9">
        <v>0</v>
      </c>
      <c r="M53" s="9">
        <v>0</v>
      </c>
      <c r="N53" s="8">
        <f t="shared" si="0"/>
        <v>0</v>
      </c>
      <c r="O53" s="8">
        <f t="shared" si="1"/>
        <v>0</v>
      </c>
      <c r="P53" s="8">
        <f>AVERAGE(O$2:$O53)</f>
        <v>1327.0612314852235</v>
      </c>
      <c r="Q53" s="8">
        <f>MEDIAN($O$2:$O53)</f>
        <v>342.22574207909815</v>
      </c>
      <c r="R53" s="8">
        <f t="shared" si="5"/>
        <v>0</v>
      </c>
      <c r="S53" s="8">
        <f>AVERAGE($R$2:$R53)</f>
        <v>2185935260.50246</v>
      </c>
      <c r="T53" s="9">
        <f>67803.9-64914.4</f>
        <v>2889.4999999999927</v>
      </c>
      <c r="U53" s="9">
        <f t="shared" si="6"/>
        <v>776.49611149610962</v>
      </c>
      <c r="V53" s="9">
        <f t="shared" si="3"/>
        <v>0.48249216529644912</v>
      </c>
      <c r="W53" s="8">
        <f t="shared" si="4"/>
        <v>0</v>
      </c>
      <c r="X53" s="9" t="s">
        <v>40</v>
      </c>
    </row>
    <row r="54" spans="1:24" x14ac:dyDescent="0.55000000000000004">
      <c r="A54" s="17">
        <v>53</v>
      </c>
      <c r="B54" s="11" t="s">
        <v>71</v>
      </c>
      <c r="C54" s="17">
        <v>454</v>
      </c>
      <c r="D54" s="12">
        <f>47+(40.12/60)</f>
        <v>47.668666666666667</v>
      </c>
      <c r="E54" s="12">
        <f>-1*(84+(59.75/60))</f>
        <v>-84.995833333333337</v>
      </c>
      <c r="F54" s="13">
        <v>43632</v>
      </c>
      <c r="G54" s="14">
        <v>0.52777777777777779</v>
      </c>
      <c r="H54" s="15">
        <v>4.9000000000000004</v>
      </c>
      <c r="I54" s="19">
        <v>12.5</v>
      </c>
      <c r="J54" s="16">
        <v>0.42</v>
      </c>
      <c r="K54" s="9">
        <v>2.5</v>
      </c>
      <c r="L54" s="9">
        <v>0</v>
      </c>
      <c r="M54" s="9">
        <v>0</v>
      </c>
      <c r="N54" s="8">
        <f t="shared" si="0"/>
        <v>0</v>
      </c>
      <c r="O54" s="8">
        <f t="shared" si="1"/>
        <v>0</v>
      </c>
      <c r="P54" s="8">
        <f>AVERAGE(O$2:$O54)</f>
        <v>1302.022340325125</v>
      </c>
      <c r="Q54" s="8">
        <f>MEDIAN($O$2:$O54)</f>
        <v>331.39879287989692</v>
      </c>
      <c r="R54" s="8">
        <f t="shared" si="5"/>
        <v>0</v>
      </c>
      <c r="S54" s="8">
        <f>AVERAGE($R$2:$R54)</f>
        <v>2144691198.9835455</v>
      </c>
      <c r="T54" s="9">
        <f>70437.4-67803.9</f>
        <v>2633.5</v>
      </c>
      <c r="U54" s="9">
        <f t="shared" si="6"/>
        <v>707.70116270116273</v>
      </c>
      <c r="V54" s="9">
        <f t="shared" si="3"/>
        <v>0.43974497916878419</v>
      </c>
      <c r="W54" s="8">
        <f t="shared" si="4"/>
        <v>0</v>
      </c>
      <c r="X54" s="9" t="s">
        <v>40</v>
      </c>
    </row>
    <row r="55" spans="1:24" x14ac:dyDescent="0.55000000000000004">
      <c r="A55" s="17">
        <v>54</v>
      </c>
      <c r="B55" s="11" t="s">
        <v>72</v>
      </c>
      <c r="C55" s="17">
        <v>451</v>
      </c>
      <c r="D55" s="12">
        <f>47+(56.83/60)</f>
        <v>47.947166666666668</v>
      </c>
      <c r="E55" s="12">
        <f>-1*(85+(11.12/60))</f>
        <v>-85.185333333333332</v>
      </c>
      <c r="F55" s="13">
        <v>43632</v>
      </c>
      <c r="G55" s="14">
        <v>0.65555555555555556</v>
      </c>
      <c r="H55" s="15">
        <v>6.1</v>
      </c>
      <c r="I55" s="19">
        <v>5.5</v>
      </c>
      <c r="J55" s="16">
        <v>0.42</v>
      </c>
      <c r="K55" s="9">
        <v>2.5</v>
      </c>
      <c r="L55" s="9">
        <v>4</v>
      </c>
      <c r="M55" s="9">
        <v>5</v>
      </c>
      <c r="N55" s="8">
        <f t="shared" si="0"/>
        <v>9</v>
      </c>
      <c r="O55" s="8">
        <f t="shared" si="1"/>
        <v>66.57565035533645</v>
      </c>
      <c r="P55" s="8">
        <f>AVERAGE(O$2:$O55)</f>
        <v>1279.1436979182772</v>
      </c>
      <c r="Q55" s="8">
        <f>MEDIAN($O$2:$O55)</f>
        <v>330.95810299574816</v>
      </c>
      <c r="R55" s="8">
        <f t="shared" si="5"/>
        <v>109663411.2653102</v>
      </c>
      <c r="S55" s="8">
        <f>AVERAGE($R$2:$R55)</f>
        <v>2107005499.2109854</v>
      </c>
      <c r="T55" s="9">
        <f>73135-70437.4</f>
        <v>2697.6000000000058</v>
      </c>
      <c r="U55" s="9">
        <f t="shared" si="6"/>
        <v>724.92677292677456</v>
      </c>
      <c r="V55" s="9">
        <f t="shared" si="3"/>
        <v>0.45044847382028286</v>
      </c>
      <c r="W55" s="8">
        <f t="shared" si="4"/>
        <v>62.075408785594689</v>
      </c>
      <c r="X55" s="9" t="s">
        <v>18</v>
      </c>
    </row>
    <row r="56" spans="1:24" x14ac:dyDescent="0.55000000000000004">
      <c r="A56" s="17">
        <v>55</v>
      </c>
      <c r="B56" s="11" t="s">
        <v>73</v>
      </c>
      <c r="C56" s="17">
        <v>462</v>
      </c>
      <c r="D56" s="12">
        <f>47+(57.19/60)</f>
        <v>47.953166666666668</v>
      </c>
      <c r="E56" s="12">
        <f>-1*(84+(56.86/60))</f>
        <v>-84.947666666666663</v>
      </c>
      <c r="F56" s="13">
        <v>43632</v>
      </c>
      <c r="G56" s="14">
        <v>0.74861111111111101</v>
      </c>
      <c r="H56" s="15">
        <v>4.5999999999999996</v>
      </c>
      <c r="I56" s="19">
        <v>9.5</v>
      </c>
      <c r="J56" s="16">
        <v>0.45</v>
      </c>
      <c r="K56" s="9">
        <v>2.7</v>
      </c>
      <c r="L56" s="9">
        <v>0</v>
      </c>
      <c r="M56" s="9">
        <v>0</v>
      </c>
      <c r="N56" s="8">
        <f t="shared" si="0"/>
        <v>0</v>
      </c>
      <c r="O56" s="8">
        <f t="shared" si="1"/>
        <v>0</v>
      </c>
      <c r="P56" s="8">
        <f>AVERAGE(O$2:$O56)</f>
        <v>1255.8865397743084</v>
      </c>
      <c r="Q56" s="8">
        <f>MEDIAN($O$2:$O56)</f>
        <v>330.51741311159935</v>
      </c>
      <c r="R56" s="8">
        <f t="shared" si="5"/>
        <v>0</v>
      </c>
      <c r="S56" s="8">
        <f>AVERAGE($R$2:$R56)</f>
        <v>2068696308.3162403</v>
      </c>
      <c r="T56" s="9">
        <f>76024.5-73135</f>
        <v>2889.5</v>
      </c>
      <c r="U56" s="9">
        <f t="shared" si="6"/>
        <v>776.49611149611144</v>
      </c>
      <c r="V56" s="9">
        <f t="shared" si="3"/>
        <v>0.48249216529645028</v>
      </c>
      <c r="W56" s="8">
        <f t="shared" si="4"/>
        <v>0</v>
      </c>
      <c r="X56" s="9" t="s">
        <v>40</v>
      </c>
    </row>
    <row r="57" spans="1:24" x14ac:dyDescent="0.55000000000000004">
      <c r="A57" s="17">
        <v>56</v>
      </c>
      <c r="B57" s="11" t="s">
        <v>74</v>
      </c>
      <c r="C57" s="17">
        <v>463</v>
      </c>
      <c r="D57" s="12">
        <f>47+(55.08/60)</f>
        <v>47.917999999999999</v>
      </c>
      <c r="E57" s="12">
        <f>-1*(85+(25.65/60))</f>
        <v>-85.427499999999995</v>
      </c>
      <c r="F57" s="13">
        <v>43633</v>
      </c>
      <c r="G57" s="14">
        <v>0.39861111111111108</v>
      </c>
      <c r="H57" s="15">
        <v>4.2</v>
      </c>
      <c r="I57" s="19">
        <v>11.2</v>
      </c>
      <c r="J57" s="16">
        <v>0.43</v>
      </c>
      <c r="K57" s="9">
        <v>2.6</v>
      </c>
      <c r="L57" s="9">
        <v>2</v>
      </c>
      <c r="M57" s="9">
        <v>1</v>
      </c>
      <c r="N57" s="8">
        <f t="shared" si="0"/>
        <v>3</v>
      </c>
      <c r="O57" s="8">
        <f t="shared" si="1"/>
        <v>21.675793138946752</v>
      </c>
      <c r="P57" s="8">
        <f>AVERAGE(O$2:$O57)</f>
        <v>1233.8470621558197</v>
      </c>
      <c r="Q57" s="8">
        <f>MEDIAN($O$2:$O57)</f>
        <v>313.20459623432509</v>
      </c>
      <c r="R57" s="8">
        <f t="shared" si="5"/>
        <v>35704366.458473086</v>
      </c>
      <c r="S57" s="8">
        <f>AVERAGE($R$2:$R57)</f>
        <v>2032392880.7830658</v>
      </c>
      <c r="T57" s="9">
        <f>78999.9-76024.7</f>
        <v>2975.1999999999971</v>
      </c>
      <c r="U57" s="9">
        <f t="shared" si="6"/>
        <v>799.52629552629469</v>
      </c>
      <c r="V57" s="9">
        <f t="shared" si="3"/>
        <v>0.49680245377746929</v>
      </c>
      <c r="W57" s="8">
        <f t="shared" si="4"/>
        <v>18.761161461416688</v>
      </c>
      <c r="X57" s="9" t="s">
        <v>18</v>
      </c>
    </row>
    <row r="58" spans="1:24" x14ac:dyDescent="0.55000000000000004">
      <c r="A58" s="17">
        <v>57</v>
      </c>
      <c r="B58" s="11" t="s">
        <v>75</v>
      </c>
      <c r="C58" s="17">
        <v>464</v>
      </c>
      <c r="D58" s="12">
        <f>47+(57.27/60)</f>
        <v>47.954500000000003</v>
      </c>
      <c r="E58" s="12">
        <f>-1*(85+(49.25/60))</f>
        <v>-85.82083333333334</v>
      </c>
      <c r="F58" s="13">
        <v>43633</v>
      </c>
      <c r="G58" s="14">
        <v>0.50694444444444442</v>
      </c>
      <c r="H58" s="15">
        <v>6.9</v>
      </c>
      <c r="I58" s="19">
        <v>10</v>
      </c>
      <c r="J58" s="16">
        <v>0.46</v>
      </c>
      <c r="K58" s="9">
        <v>2.7</v>
      </c>
      <c r="L58" s="9">
        <v>1</v>
      </c>
      <c r="M58" s="9">
        <v>1</v>
      </c>
      <c r="N58" s="8">
        <f t="shared" si="0"/>
        <v>2</v>
      </c>
      <c r="O58" s="8">
        <f t="shared" si="1"/>
        <v>13.508102970647974</v>
      </c>
      <c r="P58" s="8">
        <f>AVERAGE(O$2:$O58)</f>
        <v>1212.4376067315186</v>
      </c>
      <c r="Q58" s="8">
        <f>MEDIAN($O$2:$O58)</f>
        <v>295.89177935705089</v>
      </c>
      <c r="R58" s="8">
        <f t="shared" si="5"/>
        <v>22250547.213251341</v>
      </c>
      <c r="S58" s="8">
        <f>AVERAGE($R$2:$R58)</f>
        <v>1997127225.808157</v>
      </c>
      <c r="T58" s="9">
        <f>82110.6-78999.9</f>
        <v>3110.7000000000116</v>
      </c>
      <c r="U58" s="9">
        <f t="shared" si="6"/>
        <v>835.9392469392501</v>
      </c>
      <c r="V58" s="9">
        <f t="shared" si="3"/>
        <v>0.5194284058098888</v>
      </c>
      <c r="W58" s="8">
        <f t="shared" si="4"/>
        <v>11.962625256910377</v>
      </c>
      <c r="X58" s="9" t="s">
        <v>18</v>
      </c>
    </row>
    <row r="59" spans="1:24" x14ac:dyDescent="0.55000000000000004">
      <c r="A59" s="17">
        <v>58</v>
      </c>
      <c r="B59" s="11" t="s">
        <v>76</v>
      </c>
      <c r="C59" s="17">
        <v>465</v>
      </c>
      <c r="D59" s="12">
        <f>48+(7.42/60)</f>
        <v>48.123666666666665</v>
      </c>
      <c r="E59" s="12">
        <f>-1*(86+(3.81/60))</f>
        <v>-86.063500000000005</v>
      </c>
      <c r="F59" s="13">
        <v>43633</v>
      </c>
      <c r="G59" s="14">
        <v>0.60347222222222219</v>
      </c>
      <c r="H59" s="15">
        <v>6.1</v>
      </c>
      <c r="I59" s="19">
        <v>11.2</v>
      </c>
      <c r="J59" s="16">
        <v>0.43</v>
      </c>
      <c r="K59" s="9">
        <v>2.6</v>
      </c>
      <c r="L59" s="9">
        <v>6</v>
      </c>
      <c r="M59" s="9">
        <v>2</v>
      </c>
      <c r="N59" s="9">
        <f t="shared" si="0"/>
        <v>8</v>
      </c>
      <c r="O59" s="8">
        <f t="shared" si="1"/>
        <v>57.802115037191335</v>
      </c>
      <c r="P59" s="8">
        <f>AVERAGE(O$2:$O59)</f>
        <v>1192.5300982540302</v>
      </c>
      <c r="Q59" s="8">
        <f>MEDIAN($O$2:$O59)</f>
        <v>292.45117727150375</v>
      </c>
      <c r="R59" s="8">
        <f t="shared" si="5"/>
        <v>95211643.889261574</v>
      </c>
      <c r="S59" s="8">
        <f>AVERAGE($R$2:$R59)</f>
        <v>1964335577.844038</v>
      </c>
      <c r="T59" s="9">
        <f>84807.5-82110.6</f>
        <v>2696.8999999999942</v>
      </c>
      <c r="U59" s="9">
        <f t="shared" si="6"/>
        <v>724.73866173866008</v>
      </c>
      <c r="V59" s="9">
        <f t="shared" si="3"/>
        <v>0.45033158698321296</v>
      </c>
      <c r="W59" s="8">
        <f t="shared" si="4"/>
        <v>55.192463030399843</v>
      </c>
      <c r="X59" s="9" t="s">
        <v>18</v>
      </c>
    </row>
    <row r="60" spans="1:24" x14ac:dyDescent="0.55000000000000004">
      <c r="A60" s="17">
        <v>59</v>
      </c>
      <c r="B60" s="11" t="s">
        <v>77</v>
      </c>
      <c r="C60" s="17">
        <v>422</v>
      </c>
      <c r="D60" s="12">
        <f>48+(38.48/60)</f>
        <v>48.641333333333336</v>
      </c>
      <c r="E60" s="12">
        <f>-1*(86+(21.25/60))</f>
        <v>-86.354166666666671</v>
      </c>
      <c r="F60" s="13">
        <v>43634</v>
      </c>
      <c r="G60" s="14">
        <v>0.31944444444444448</v>
      </c>
      <c r="H60" s="15">
        <v>8.6999999999999993</v>
      </c>
      <c r="I60" s="19">
        <v>4.5</v>
      </c>
      <c r="J60" s="16">
        <v>0.43</v>
      </c>
      <c r="K60" s="9">
        <v>2.6</v>
      </c>
      <c r="L60" s="9">
        <v>173</v>
      </c>
      <c r="M60" s="9">
        <v>112</v>
      </c>
      <c r="N60" s="9">
        <f t="shared" si="0"/>
        <v>285</v>
      </c>
      <c r="O60" s="8">
        <f t="shared" si="1"/>
        <v>2059.2003481999413</v>
      </c>
      <c r="P60" s="8">
        <f>AVERAGE(O$2:$O60)</f>
        <v>1207.2194245242999</v>
      </c>
      <c r="Q60" s="8">
        <f>MEDIAN($O$2:$O60)</f>
        <v>295.89177935705089</v>
      </c>
      <c r="R60" s="8">
        <f t="shared" si="5"/>
        <v>3391914813.5549436</v>
      </c>
      <c r="S60" s="8">
        <f>AVERAGE($R$2:$R60)</f>
        <v>1988531836.0764263</v>
      </c>
      <c r="T60" s="9">
        <f>87689.7-84807.5</f>
        <v>2882.1999999999971</v>
      </c>
      <c r="U60" s="9">
        <f t="shared" si="6"/>
        <v>774.53438053437981</v>
      </c>
      <c r="V60" s="9">
        <f t="shared" si="3"/>
        <v>0.4812732025670281</v>
      </c>
      <c r="W60" s="8">
        <f t="shared" si="4"/>
        <v>1839.820179064832</v>
      </c>
      <c r="X60" s="9" t="s">
        <v>18</v>
      </c>
    </row>
    <row r="61" spans="1:24" x14ac:dyDescent="0.55000000000000004">
      <c r="A61" s="17">
        <v>60</v>
      </c>
      <c r="B61" s="11" t="s">
        <v>78</v>
      </c>
      <c r="C61" s="17">
        <v>420</v>
      </c>
      <c r="D61" s="12">
        <f>48+(46.12/60)</f>
        <v>48.768666666666668</v>
      </c>
      <c r="E61" s="12">
        <f>-1*(86+(37.92/60))</f>
        <v>-86.632000000000005</v>
      </c>
      <c r="F61" s="13">
        <v>43634</v>
      </c>
      <c r="G61" s="14">
        <v>0.42638888888888887</v>
      </c>
      <c r="H61" s="15">
        <v>8</v>
      </c>
      <c r="I61" s="19">
        <v>4.9000000000000004</v>
      </c>
      <c r="J61" s="16">
        <v>0.44</v>
      </c>
      <c r="K61" s="9">
        <v>2.6</v>
      </c>
      <c r="L61" s="9">
        <v>58</v>
      </c>
      <c r="M61" s="9">
        <v>30</v>
      </c>
      <c r="N61" s="9">
        <f t="shared" si="0"/>
        <v>88</v>
      </c>
      <c r="O61" s="8">
        <f t="shared" si="1"/>
        <v>621.37273664980682</v>
      </c>
      <c r="P61" s="8">
        <f>AVERAGE(O$2:$O61)</f>
        <v>1197.4553130597249</v>
      </c>
      <c r="Q61" s="8">
        <f>MEDIAN($O$2:$O61)</f>
        <v>313.20459623432509</v>
      </c>
      <c r="R61" s="8">
        <f t="shared" si="5"/>
        <v>1023525171.8095618</v>
      </c>
      <c r="S61" s="8">
        <f>AVERAGE($R$2:$R61)</f>
        <v>1972448391.6719785</v>
      </c>
      <c r="T61" s="9">
        <f>90621.7-87689.7</f>
        <v>2932</v>
      </c>
      <c r="U61" s="9">
        <f t="shared" si="6"/>
        <v>787.91714791714799</v>
      </c>
      <c r="V61" s="9">
        <f t="shared" si="3"/>
        <v>0.48958886611842617</v>
      </c>
      <c r="W61" s="8">
        <f t="shared" si="4"/>
        <v>558.43591030475272</v>
      </c>
      <c r="X61" s="9" t="s">
        <v>18</v>
      </c>
    </row>
    <row r="62" spans="1:24" x14ac:dyDescent="0.55000000000000004">
      <c r="A62" s="17">
        <v>61</v>
      </c>
      <c r="B62" s="11" t="s">
        <v>79</v>
      </c>
      <c r="C62" s="17">
        <v>419</v>
      </c>
      <c r="D62" s="12">
        <f>48+(47.42/60)</f>
        <v>48.790333333333336</v>
      </c>
      <c r="E62" s="12">
        <f>-1*(86+(59.14/60))</f>
        <v>-86.98566666666666</v>
      </c>
      <c r="F62" s="13">
        <v>43634</v>
      </c>
      <c r="G62" s="14">
        <v>0.50902777777777775</v>
      </c>
      <c r="H62" s="15">
        <v>8.1</v>
      </c>
      <c r="I62" s="19">
        <v>6</v>
      </c>
      <c r="J62" s="16">
        <v>0.42</v>
      </c>
      <c r="K62" s="9">
        <v>2.5</v>
      </c>
      <c r="L62" s="9">
        <v>27</v>
      </c>
      <c r="M62" s="9">
        <v>16</v>
      </c>
      <c r="N62" s="9">
        <f t="shared" si="0"/>
        <v>43</v>
      </c>
      <c r="O62" s="8">
        <f t="shared" si="1"/>
        <v>318.08366280882973</v>
      </c>
      <c r="P62" s="8">
        <f>AVERAGE(O$2:$O62)</f>
        <v>1183.0393843670872</v>
      </c>
      <c r="Q62" s="8">
        <f>MEDIAN($O$2:$O62)</f>
        <v>318.08366280882973</v>
      </c>
      <c r="R62" s="8">
        <f t="shared" si="5"/>
        <v>523947409.37870431</v>
      </c>
      <c r="S62" s="8">
        <f>AVERAGE($R$2:$R62)</f>
        <v>1948702473.9294658</v>
      </c>
      <c r="T62" s="9">
        <f>93274.9-90621.7</f>
        <v>2653.1999999999971</v>
      </c>
      <c r="U62" s="9">
        <f t="shared" si="6"/>
        <v>712.99514899514816</v>
      </c>
      <c r="V62" s="9">
        <f t="shared" si="3"/>
        <v>0.44303450872626421</v>
      </c>
      <c r="W62" s="8">
        <f t="shared" si="4"/>
        <v>301.54567138302156</v>
      </c>
      <c r="X62" s="9" t="s">
        <v>18</v>
      </c>
    </row>
    <row r="63" spans="1:24" x14ac:dyDescent="0.55000000000000004">
      <c r="A63" s="17">
        <v>62</v>
      </c>
      <c r="B63" s="11" t="s">
        <v>80</v>
      </c>
      <c r="C63" s="17">
        <v>418</v>
      </c>
      <c r="D63" s="12">
        <f>48+(46.32/60)</f>
        <v>48.771999999999998</v>
      </c>
      <c r="E63" s="12">
        <f>-1*(87+(9.99/60))</f>
        <v>-87.166499999999999</v>
      </c>
      <c r="F63" s="13">
        <v>43634</v>
      </c>
      <c r="G63" s="14">
        <v>0.58124999999999993</v>
      </c>
      <c r="H63" s="15">
        <v>9.6</v>
      </c>
      <c r="I63" s="19">
        <v>3.2</v>
      </c>
      <c r="J63" s="16">
        <v>0.42</v>
      </c>
      <c r="K63" s="9">
        <v>2.6</v>
      </c>
      <c r="L63" s="9">
        <v>97</v>
      </c>
      <c r="M63" s="9">
        <v>85</v>
      </c>
      <c r="N63" s="9">
        <f t="shared" si="0"/>
        <v>182</v>
      </c>
      <c r="O63" s="8">
        <f t="shared" si="1"/>
        <v>1346.3075960745816</v>
      </c>
      <c r="P63" s="8">
        <f>AVERAGE(O$2:$O63)</f>
        <v>1185.6727426204338</v>
      </c>
      <c r="Q63" s="8">
        <f>MEDIAN($O$2:$O63)</f>
        <v>324.30053796021457</v>
      </c>
      <c r="R63" s="8">
        <f t="shared" si="5"/>
        <v>2217637872.2540507</v>
      </c>
      <c r="S63" s="8">
        <f>AVERAGE($R$2:$R63)</f>
        <v>1953040141.6443784</v>
      </c>
      <c r="T63" s="9">
        <f>95834.2-93274.9</f>
        <v>2559.3000000000029</v>
      </c>
      <c r="U63" s="9">
        <f t="shared" si="6"/>
        <v>687.76137676137751</v>
      </c>
      <c r="V63" s="9">
        <f t="shared" si="3"/>
        <v>0.42735497443959392</v>
      </c>
      <c r="W63" s="8">
        <f t="shared" si="4"/>
        <v>1323.1370269945221</v>
      </c>
      <c r="X63" s="9" t="s">
        <v>18</v>
      </c>
    </row>
    <row r="64" spans="1:24" x14ac:dyDescent="0.55000000000000004">
      <c r="A64" s="17">
        <v>63</v>
      </c>
      <c r="B64" s="11" t="s">
        <v>81</v>
      </c>
      <c r="C64" s="17">
        <v>417</v>
      </c>
      <c r="D64" s="12">
        <f>48+(49.89/60)</f>
        <v>48.831499999999998</v>
      </c>
      <c r="E64" s="12">
        <f>-1*(87+(28.31/60))</f>
        <v>-87.471833333333336</v>
      </c>
      <c r="F64" s="13">
        <v>43634</v>
      </c>
      <c r="G64" s="14">
        <v>0.6777777777777777</v>
      </c>
      <c r="H64" s="15">
        <v>11.1</v>
      </c>
      <c r="I64" s="19">
        <v>10.1</v>
      </c>
      <c r="J64" s="16">
        <v>0.42</v>
      </c>
      <c r="K64" s="9">
        <v>2.5</v>
      </c>
      <c r="L64" s="9">
        <v>11</v>
      </c>
      <c r="M64" s="9">
        <v>0</v>
      </c>
      <c r="N64" s="9">
        <f t="shared" si="0"/>
        <v>11</v>
      </c>
      <c r="O64" s="8">
        <f t="shared" si="1"/>
        <v>81.370239323188997</v>
      </c>
      <c r="P64" s="8">
        <f>AVERAGE(O$2:$O64)</f>
        <v>1168.1441314569856</v>
      </c>
      <c r="Q64" s="8">
        <f>MEDIAN($O$2:$O64)</f>
        <v>318.08366280882973</v>
      </c>
      <c r="R64" s="8">
        <f t="shared" si="5"/>
        <v>134033058.21315691</v>
      </c>
      <c r="S64" s="8">
        <f>AVERAGE($R$2:$R64)</f>
        <v>1924167013.3359463</v>
      </c>
      <c r="T64" s="9">
        <f>98781.2-95834.2</f>
        <v>2947</v>
      </c>
      <c r="U64" s="9">
        <f t="shared" si="6"/>
        <v>791.94810194810191</v>
      </c>
      <c r="V64" s="9">
        <f t="shared" si="3"/>
        <v>0.49209358405559406</v>
      </c>
      <c r="W64" s="8">
        <f t="shared" si="4"/>
        <v>69.449189388086822</v>
      </c>
      <c r="X64" s="9" t="s">
        <v>18</v>
      </c>
    </row>
    <row r="65" spans="1:24" x14ac:dyDescent="0.55000000000000004">
      <c r="A65" s="17">
        <v>64</v>
      </c>
      <c r="B65" s="11" t="s">
        <v>82</v>
      </c>
      <c r="C65" s="17">
        <v>415</v>
      </c>
      <c r="D65" s="12">
        <f>48+(53.25/60)</f>
        <v>48.887500000000003</v>
      </c>
      <c r="E65" s="12">
        <f>-1*(87+(45.16/60))</f>
        <v>-87.75266666666667</v>
      </c>
      <c r="F65" s="13">
        <v>43635</v>
      </c>
      <c r="G65" s="14">
        <v>0.33958333333333335</v>
      </c>
      <c r="H65" s="15">
        <v>12.4</v>
      </c>
      <c r="I65" s="19">
        <v>4</v>
      </c>
      <c r="J65" s="16">
        <v>0.42</v>
      </c>
      <c r="K65" s="9">
        <v>2.5</v>
      </c>
      <c r="L65" s="9">
        <v>116</v>
      </c>
      <c r="M65" s="9">
        <v>186</v>
      </c>
      <c r="N65" s="9">
        <f t="shared" si="0"/>
        <v>302</v>
      </c>
      <c r="O65" s="8">
        <f t="shared" si="1"/>
        <v>2233.9829341457344</v>
      </c>
      <c r="P65" s="8">
        <f>AVERAGE(O$2:$O65)</f>
        <v>1184.7978627489974</v>
      </c>
      <c r="Q65" s="8">
        <f>MEDIAN($O$2:$O65)</f>
        <v>324.30053796021457</v>
      </c>
      <c r="R65" s="8">
        <f t="shared" si="5"/>
        <v>3679816689.1248536</v>
      </c>
      <c r="S65" s="8">
        <f>AVERAGE($R$2:$R65)</f>
        <v>1951599039.5201478</v>
      </c>
      <c r="T65" s="9">
        <f>101372.6-98781.3</f>
        <v>2591.3000000000029</v>
      </c>
      <c r="U65" s="9">
        <f t="shared" si="6"/>
        <v>696.36074536074614</v>
      </c>
      <c r="V65" s="9">
        <f t="shared" si="3"/>
        <v>0.43269837270555217</v>
      </c>
      <c r="W65" s="8">
        <f t="shared" si="4"/>
        <v>2168.4223734756119</v>
      </c>
      <c r="X65" s="9" t="s">
        <v>18</v>
      </c>
    </row>
    <row r="66" spans="1:24" x14ac:dyDescent="0.55000000000000004">
      <c r="A66" s="17">
        <v>65</v>
      </c>
      <c r="B66" s="11" t="s">
        <v>83</v>
      </c>
      <c r="C66" s="17">
        <v>414</v>
      </c>
      <c r="D66" s="12">
        <f>48+(56.56/60)</f>
        <v>48.942666666666668</v>
      </c>
      <c r="E66" s="12">
        <f>-1*(87+(58.27/60))</f>
        <v>-87.971166666666662</v>
      </c>
      <c r="F66" s="13">
        <v>43635</v>
      </c>
      <c r="G66" s="14">
        <v>0.41875000000000001</v>
      </c>
      <c r="H66" s="15">
        <v>13.5</v>
      </c>
      <c r="I66" s="19">
        <v>4.0999999999999996</v>
      </c>
      <c r="J66" s="16">
        <v>0.42</v>
      </c>
      <c r="K66" s="9">
        <v>2.5</v>
      </c>
      <c r="L66" s="9">
        <v>6</v>
      </c>
      <c r="M66" s="9">
        <v>23</v>
      </c>
      <c r="N66" s="9">
        <f t="shared" ref="N66:N115" si="7">L66+M66</f>
        <v>29</v>
      </c>
      <c r="O66" s="8">
        <f t="shared" ref="O66:O115" si="8">$N66/(((1609.34*$J66)*2)*0.000001)/100</f>
        <v>214.5215400338619</v>
      </c>
      <c r="P66" s="8">
        <f>AVERAGE(O$2:$O66)</f>
        <v>1169.8705347072262</v>
      </c>
      <c r="Q66" s="8">
        <f>MEDIAN($O$2:$O66)</f>
        <v>318.08366280882973</v>
      </c>
      <c r="R66" s="8">
        <f t="shared" si="5"/>
        <v>353359880.74377733</v>
      </c>
      <c r="S66" s="8">
        <f>AVERAGE($R$2:$R66)</f>
        <v>1927010744.769742</v>
      </c>
      <c r="T66" s="9">
        <f>3959.2-1372.6</f>
        <v>2586.6</v>
      </c>
      <c r="U66" s="9">
        <f t="shared" si="6"/>
        <v>695.09771309771304</v>
      </c>
      <c r="V66" s="9">
        <f t="shared" si="3"/>
        <v>0.43191356108523904</v>
      </c>
      <c r="W66" s="8">
        <f t="shared" ref="W66:W103" si="9">$N66/(((1609.34*V66)*2)*0.000001)/100</f>
        <v>208.60434802703674</v>
      </c>
      <c r="X66" s="9" t="s">
        <v>18</v>
      </c>
    </row>
    <row r="67" spans="1:24" x14ac:dyDescent="0.55000000000000004">
      <c r="A67" s="17">
        <v>66</v>
      </c>
      <c r="B67" s="11" t="s">
        <v>84</v>
      </c>
      <c r="C67" s="17">
        <v>413</v>
      </c>
      <c r="D67" s="12">
        <f>48+(56.25/60)</f>
        <v>48.9375</v>
      </c>
      <c r="E67" s="12">
        <f>-1*(88+(13.36/60))</f>
        <v>-88.222666666666669</v>
      </c>
      <c r="F67" s="13">
        <v>43635</v>
      </c>
      <c r="G67" s="20">
        <v>0.50277777777777777</v>
      </c>
      <c r="H67" s="15">
        <v>16.7</v>
      </c>
      <c r="I67" s="19">
        <v>2.6</v>
      </c>
      <c r="J67" s="16">
        <v>0.42</v>
      </c>
      <c r="K67" s="9">
        <v>2.5</v>
      </c>
      <c r="L67" s="9">
        <v>0</v>
      </c>
      <c r="M67" s="9">
        <v>0</v>
      </c>
      <c r="N67" s="9">
        <f t="shared" si="7"/>
        <v>0</v>
      </c>
      <c r="O67" s="8">
        <f t="shared" si="8"/>
        <v>0</v>
      </c>
      <c r="P67" s="8">
        <f>AVERAGE(O$2:$O67)</f>
        <v>1152.1452235752986</v>
      </c>
      <c r="Q67" s="8">
        <f>MEDIAN($O$2:$O67)</f>
        <v>306.98772108294031</v>
      </c>
      <c r="R67" s="8">
        <f t="shared" si="5"/>
        <v>0</v>
      </c>
      <c r="S67" s="8">
        <f>AVERAGE($R$2:$R67)</f>
        <v>1897813612.2732308</v>
      </c>
      <c r="T67" s="9">
        <f>6633.3-3959.2</f>
        <v>2674.1000000000004</v>
      </c>
      <c r="U67" s="9">
        <f t="shared" si="6"/>
        <v>718.61161161161181</v>
      </c>
      <c r="V67" s="9">
        <f t="shared" si="3"/>
        <v>0.44652441571871887</v>
      </c>
      <c r="W67" s="8">
        <f t="shared" si="9"/>
        <v>0</v>
      </c>
      <c r="X67" s="9" t="s">
        <v>40</v>
      </c>
    </row>
    <row r="68" spans="1:24" x14ac:dyDescent="0.55000000000000004">
      <c r="A68" s="17">
        <v>67</v>
      </c>
      <c r="B68" s="11" t="s">
        <v>85</v>
      </c>
      <c r="C68" s="17">
        <v>412</v>
      </c>
      <c r="D68" s="12">
        <f>48+(49.91/60)</f>
        <v>48.831833333333336</v>
      </c>
      <c r="E68" s="12">
        <f>-1*(88+(6.23/60))</f>
        <v>-88.103833333333327</v>
      </c>
      <c r="F68" s="13">
        <v>43635</v>
      </c>
      <c r="G68" s="14">
        <v>0.57430555555555551</v>
      </c>
      <c r="H68" s="15">
        <v>18.7</v>
      </c>
      <c r="I68" s="19">
        <v>2.5</v>
      </c>
      <c r="J68" s="16">
        <v>0.42</v>
      </c>
      <c r="K68" s="9">
        <v>2.5</v>
      </c>
      <c r="L68" s="9">
        <v>0</v>
      </c>
      <c r="M68" s="9">
        <v>0</v>
      </c>
      <c r="N68" s="9">
        <f t="shared" si="7"/>
        <v>0</v>
      </c>
      <c r="O68" s="8">
        <f t="shared" si="8"/>
        <v>0</v>
      </c>
      <c r="P68" s="8">
        <f>AVERAGE(O$2:$O68)</f>
        <v>1134.949026208503</v>
      </c>
      <c r="Q68" s="8">
        <f>MEDIAN($O$2:$O68)</f>
        <v>295.89177935705089</v>
      </c>
      <c r="R68" s="8">
        <f t="shared" si="5"/>
        <v>0</v>
      </c>
      <c r="S68" s="8">
        <f>AVERAGE($R$2:$R68)</f>
        <v>1869488035.9706452</v>
      </c>
      <c r="T68" s="9">
        <f>9603.9-6633.3</f>
        <v>2970.5999999999995</v>
      </c>
      <c r="U68" s="9">
        <f t="shared" si="6"/>
        <v>798.29013629013616</v>
      </c>
      <c r="V68" s="9">
        <f t="shared" si="3"/>
        <v>0.49603434027673821</v>
      </c>
      <c r="W68" s="8">
        <f t="shared" si="9"/>
        <v>0</v>
      </c>
      <c r="X68" s="9" t="s">
        <v>40</v>
      </c>
    </row>
    <row r="69" spans="1:24" x14ac:dyDescent="0.55000000000000004">
      <c r="A69" s="17">
        <v>68</v>
      </c>
      <c r="B69" s="11" t="s">
        <v>86</v>
      </c>
      <c r="C69" s="17">
        <v>406</v>
      </c>
      <c r="D69" s="12">
        <f>48+(28.8/60)</f>
        <v>48.48</v>
      </c>
      <c r="E69" s="12">
        <f>-1*(88+(36.57/60))</f>
        <v>-88.609499999999997</v>
      </c>
      <c r="F69" s="13">
        <v>43636</v>
      </c>
      <c r="G69" s="14">
        <v>0.38055555555555554</v>
      </c>
      <c r="H69" s="15">
        <v>15.7</v>
      </c>
      <c r="I69" s="19">
        <v>2.5</v>
      </c>
      <c r="J69" s="16">
        <v>0.42</v>
      </c>
      <c r="K69" s="9">
        <v>2.5</v>
      </c>
      <c r="L69" s="9">
        <v>1</v>
      </c>
      <c r="M69" s="9">
        <v>0</v>
      </c>
      <c r="N69" s="9">
        <f t="shared" si="7"/>
        <v>1</v>
      </c>
      <c r="O69" s="8">
        <f t="shared" si="8"/>
        <v>7.397294483926272</v>
      </c>
      <c r="P69" s="8">
        <f>AVERAGE(O$2:$O69)</f>
        <v>1118.3673830949065</v>
      </c>
      <c r="Q69" s="8">
        <f>MEDIAN($O$2:$O69)</f>
        <v>292.45117727150375</v>
      </c>
      <c r="R69" s="8">
        <f t="shared" si="5"/>
        <v>12184823.473923355</v>
      </c>
      <c r="S69" s="8">
        <f>AVERAGE($R$2:$R69)</f>
        <v>1842174753.4339287</v>
      </c>
      <c r="T69" s="9">
        <f>12489.9-9603.9</f>
        <v>2886</v>
      </c>
      <c r="U69" s="9">
        <f t="shared" si="6"/>
        <v>775.55555555555554</v>
      </c>
      <c r="V69" s="9">
        <f t="shared" si="3"/>
        <v>0.48190773111111113</v>
      </c>
      <c r="W69" s="8">
        <f t="shared" si="9"/>
        <v>6.4470094225002166</v>
      </c>
      <c r="X69" s="9" t="s">
        <v>40</v>
      </c>
    </row>
    <row r="70" spans="1:24" x14ac:dyDescent="0.55000000000000004">
      <c r="A70" s="17">
        <v>69</v>
      </c>
      <c r="B70" s="11" t="s">
        <v>87</v>
      </c>
      <c r="C70" s="17">
        <v>407</v>
      </c>
      <c r="D70" s="12">
        <f>48+(33.32/60)</f>
        <v>48.55533333333333</v>
      </c>
      <c r="E70" s="12">
        <f>-1*(88+(35.68/60))</f>
        <v>-88.594666666666669</v>
      </c>
      <c r="F70" s="13">
        <v>43636</v>
      </c>
      <c r="G70" s="14">
        <v>0.43888888888888888</v>
      </c>
      <c r="H70" s="15">
        <v>16.600000000000001</v>
      </c>
      <c r="I70" s="19">
        <v>2.5</v>
      </c>
      <c r="J70" s="16">
        <v>0.43</v>
      </c>
      <c r="K70" s="9">
        <v>2.6</v>
      </c>
      <c r="L70" s="9">
        <v>0</v>
      </c>
      <c r="M70" s="9">
        <v>0</v>
      </c>
      <c r="N70" s="9">
        <f t="shared" si="7"/>
        <v>0</v>
      </c>
      <c r="O70" s="8">
        <f t="shared" si="8"/>
        <v>0</v>
      </c>
      <c r="P70" s="8">
        <f>AVERAGE(O$2:$O70)</f>
        <v>1102.159160151502</v>
      </c>
      <c r="Q70" s="8">
        <f>MEDIAN($O$2:$O70)</f>
        <v>289.01057518595667</v>
      </c>
      <c r="R70" s="8">
        <f t="shared" si="5"/>
        <v>0</v>
      </c>
      <c r="S70" s="8">
        <f>AVERAGE($R$2:$R70)</f>
        <v>1815476568.601553</v>
      </c>
      <c r="T70" s="9">
        <f>15416.9-12489.9</f>
        <v>2927</v>
      </c>
      <c r="U70" s="9">
        <f t="shared" si="6"/>
        <v>786.57349657349653</v>
      </c>
      <c r="V70" s="9">
        <f t="shared" si="3"/>
        <v>0.48875396013937011</v>
      </c>
      <c r="W70" s="8">
        <f t="shared" si="9"/>
        <v>0</v>
      </c>
      <c r="X70" s="9" t="s">
        <v>40</v>
      </c>
    </row>
    <row r="71" spans="1:24" x14ac:dyDescent="0.55000000000000004">
      <c r="A71" s="17">
        <v>70</v>
      </c>
      <c r="B71" s="11" t="s">
        <v>88</v>
      </c>
      <c r="C71" s="17">
        <v>408</v>
      </c>
      <c r="D71" s="12">
        <f>48+(35.69/60)</f>
        <v>48.594833333333334</v>
      </c>
      <c r="E71" s="12">
        <f>-1*(88+(30.15/60))</f>
        <v>-88.502499999999998</v>
      </c>
      <c r="F71" s="13">
        <v>43636</v>
      </c>
      <c r="G71" s="14">
        <v>0.49791666666666662</v>
      </c>
      <c r="H71" s="15">
        <v>18.2</v>
      </c>
      <c r="I71" s="19">
        <v>2.5</v>
      </c>
      <c r="J71" s="16">
        <v>0.43</v>
      </c>
      <c r="K71" s="9">
        <v>2.6</v>
      </c>
      <c r="L71" s="9">
        <v>0</v>
      </c>
      <c r="M71" s="9">
        <v>0</v>
      </c>
      <c r="N71" s="9">
        <f t="shared" si="7"/>
        <v>0</v>
      </c>
      <c r="O71" s="8">
        <f t="shared" si="8"/>
        <v>0</v>
      </c>
      <c r="P71" s="8">
        <f>AVERAGE(O$2:$O71)</f>
        <v>1086.4140292921948</v>
      </c>
      <c r="Q71" s="8">
        <f>MEDIAN($O$2:$O71)</f>
        <v>251.7660576099093</v>
      </c>
      <c r="R71" s="8">
        <f t="shared" si="5"/>
        <v>0</v>
      </c>
      <c r="S71" s="8">
        <f>AVERAGE($R$2:$R71)</f>
        <v>1789541189.0501022</v>
      </c>
      <c r="T71" s="9">
        <f>18293.7-15416.9</f>
        <v>2876.8000000000011</v>
      </c>
      <c r="U71" s="9">
        <f t="shared" si="6"/>
        <v>773.08323708323746</v>
      </c>
      <c r="V71" s="9">
        <f t="shared" si="3"/>
        <v>0.48037150410964835</v>
      </c>
      <c r="W71" s="8">
        <f t="shared" si="9"/>
        <v>0</v>
      </c>
      <c r="X71" s="9" t="s">
        <v>40</v>
      </c>
    </row>
    <row r="72" spans="1:24" x14ac:dyDescent="0.55000000000000004">
      <c r="A72" s="17">
        <v>71</v>
      </c>
      <c r="B72" s="11" t="s">
        <v>89</v>
      </c>
      <c r="C72" s="17">
        <v>405</v>
      </c>
      <c r="D72" s="12">
        <f>48+(25.07/60)</f>
        <v>48.417833333333334</v>
      </c>
      <c r="E72" s="12">
        <f>-1*(88+(41.42/60))</f>
        <v>-88.690333333333328</v>
      </c>
      <c r="F72" s="13">
        <v>43636</v>
      </c>
      <c r="G72" s="14">
        <v>0.58750000000000002</v>
      </c>
      <c r="H72" s="15">
        <v>13.7</v>
      </c>
      <c r="I72" s="19">
        <v>3.9</v>
      </c>
      <c r="J72" s="16">
        <v>0.42</v>
      </c>
      <c r="K72" s="9">
        <v>2.5</v>
      </c>
      <c r="L72" s="9">
        <v>2</v>
      </c>
      <c r="M72" s="9">
        <v>2</v>
      </c>
      <c r="N72" s="9">
        <f t="shared" si="7"/>
        <v>4</v>
      </c>
      <c r="O72" s="8">
        <f t="shared" si="8"/>
        <v>29.589177935705088</v>
      </c>
      <c r="P72" s="8">
        <f>AVERAGE(O$2:$O72)</f>
        <v>1071.5291722308357</v>
      </c>
      <c r="Q72" s="8">
        <f>MEDIAN($O$2:$O72)</f>
        <v>214.5215400338619</v>
      </c>
      <c r="R72" s="8">
        <f t="shared" si="5"/>
        <v>48739293.895693421</v>
      </c>
      <c r="S72" s="8">
        <f>AVERAGE($R$2:$R72)</f>
        <v>1765022852.4986317</v>
      </c>
      <c r="T72" s="9">
        <f>21594.7-18293.7</f>
        <v>3301</v>
      </c>
      <c r="U72" s="9">
        <f t="shared" si="6"/>
        <v>887.07861707861707</v>
      </c>
      <c r="V72" s="9">
        <f t="shared" si="3"/>
        <v>0.55120492737275739</v>
      </c>
      <c r="W72" s="8">
        <f t="shared" si="9"/>
        <v>22.545979028579971</v>
      </c>
      <c r="X72" s="9" t="s">
        <v>18</v>
      </c>
    </row>
    <row r="73" spans="1:24" x14ac:dyDescent="0.55000000000000004">
      <c r="A73" s="17">
        <v>72</v>
      </c>
      <c r="B73" s="11" t="s">
        <v>90</v>
      </c>
      <c r="C73" s="17">
        <v>401</v>
      </c>
      <c r="D73" s="12">
        <f>48+(30.3/60)</f>
        <v>48.505000000000003</v>
      </c>
      <c r="E73" s="12">
        <f>-1*(88+(56.63/60))</f>
        <v>-88.94383333333333</v>
      </c>
      <c r="F73" s="13">
        <v>43637</v>
      </c>
      <c r="G73" s="14">
        <v>0.34583333333333338</v>
      </c>
      <c r="H73" s="15">
        <v>11.8</v>
      </c>
      <c r="I73" s="19">
        <v>4.2</v>
      </c>
      <c r="J73" s="16">
        <v>0.42</v>
      </c>
      <c r="K73" s="9">
        <v>2.5</v>
      </c>
      <c r="L73" s="9">
        <v>38</v>
      </c>
      <c r="M73" s="9">
        <v>39</v>
      </c>
      <c r="N73" s="9">
        <f t="shared" si="7"/>
        <v>77</v>
      </c>
      <c r="O73" s="8">
        <f t="shared" si="8"/>
        <v>569.59167526232295</v>
      </c>
      <c r="P73" s="8">
        <f>AVERAGE(O$2:$O73)</f>
        <v>1064.5578181062729</v>
      </c>
      <c r="Q73" s="8">
        <f>MEDIAN($O$2:$O73)</f>
        <v>251.7660576099093</v>
      </c>
      <c r="R73" s="8">
        <f t="shared" si="5"/>
        <v>938231407.49209833</v>
      </c>
      <c r="S73" s="8">
        <f>AVERAGE($R$2:$R73)</f>
        <v>1753539637.984652</v>
      </c>
      <c r="T73" s="9">
        <f>24370.4-21595</f>
        <v>2775.4000000000015</v>
      </c>
      <c r="U73" s="9">
        <f t="shared" si="6"/>
        <v>745.8339878339882</v>
      </c>
      <c r="V73" s="9">
        <f t="shared" si="3"/>
        <v>0.46343961085439311</v>
      </c>
      <c r="W73" s="8">
        <f t="shared" si="9"/>
        <v>516.20210704289195</v>
      </c>
      <c r="X73" s="9" t="s">
        <v>18</v>
      </c>
    </row>
    <row r="74" spans="1:24" x14ac:dyDescent="0.55000000000000004">
      <c r="A74" s="17">
        <v>73</v>
      </c>
      <c r="B74" s="11" t="s">
        <v>91</v>
      </c>
      <c r="C74" s="17">
        <v>402</v>
      </c>
      <c r="D74" s="12">
        <f>48+(22.12/60)</f>
        <v>48.36866666666667</v>
      </c>
      <c r="E74" s="12">
        <f>-1*(88+(52.61/60))</f>
        <v>-88.876833333333337</v>
      </c>
      <c r="F74" s="13">
        <v>43637</v>
      </c>
      <c r="G74" s="14">
        <v>0.43055555555555558</v>
      </c>
      <c r="H74" s="15">
        <v>9.6999999999999993</v>
      </c>
      <c r="I74" s="19">
        <v>5.0999999999999996</v>
      </c>
      <c r="J74" s="16">
        <v>0.47</v>
      </c>
      <c r="K74" s="9">
        <v>2.8</v>
      </c>
      <c r="L74" s="9">
        <v>171</v>
      </c>
      <c r="M74" s="9">
        <v>84</v>
      </c>
      <c r="N74" s="9">
        <f t="shared" si="7"/>
        <v>255</v>
      </c>
      <c r="O74" s="8">
        <f t="shared" si="8"/>
        <v>1685.6388068691572</v>
      </c>
      <c r="P74" s="8">
        <f>AVERAGE(O$2:$O74)</f>
        <v>1073.0657768564495</v>
      </c>
      <c r="Q74" s="8">
        <f>MEDIAN($O$2:$O74)</f>
        <v>289.01057518595667</v>
      </c>
      <c r="R74" s="8">
        <f t="shared" si="5"/>
        <v>2776584242.6748757</v>
      </c>
      <c r="S74" s="8">
        <f>AVERAGE($R$2:$R74)</f>
        <v>1767553947.6379428</v>
      </c>
      <c r="T74" s="9">
        <f>27054.5-24370.4</f>
        <v>2684.0999999999985</v>
      </c>
      <c r="U74" s="9">
        <f t="shared" si="6"/>
        <v>721.29891429891404</v>
      </c>
      <c r="V74" s="9">
        <f t="shared" si="3"/>
        <v>0.44819422767683054</v>
      </c>
      <c r="W74" s="8">
        <f t="shared" si="9"/>
        <v>1767.6493589287231</v>
      </c>
      <c r="X74" s="9" t="s">
        <v>18</v>
      </c>
    </row>
    <row r="75" spans="1:24" x14ac:dyDescent="0.55000000000000004">
      <c r="A75" s="17">
        <v>74</v>
      </c>
      <c r="B75" s="11" t="s">
        <v>92</v>
      </c>
      <c r="C75" s="17">
        <v>404</v>
      </c>
      <c r="D75" s="12">
        <f>48+(22.12/60)</f>
        <v>48.36866666666667</v>
      </c>
      <c r="E75" s="12">
        <f>-1*(88+(52.61/60))</f>
        <v>-88.876833333333337</v>
      </c>
      <c r="F75" s="13">
        <v>43637</v>
      </c>
      <c r="G75" s="14">
        <v>0.48888888888888887</v>
      </c>
      <c r="H75" s="15">
        <v>9.1</v>
      </c>
      <c r="I75" s="19">
        <v>5.8</v>
      </c>
      <c r="J75" s="16">
        <v>0.42</v>
      </c>
      <c r="K75" s="9">
        <v>2.5</v>
      </c>
      <c r="L75" s="9">
        <v>108</v>
      </c>
      <c r="M75" s="9">
        <v>68</v>
      </c>
      <c r="N75" s="9">
        <f t="shared" si="7"/>
        <v>176</v>
      </c>
      <c r="O75" s="8">
        <f t="shared" si="8"/>
        <v>1301.923829171024</v>
      </c>
      <c r="P75" s="8">
        <f>AVERAGE(O$2:$O75)</f>
        <v>1076.1584532390789</v>
      </c>
      <c r="Q75" s="8">
        <f>MEDIAN($O$2:$O75)</f>
        <v>292.45117727150375</v>
      </c>
      <c r="R75" s="8">
        <f t="shared" si="5"/>
        <v>2144528931.4105105</v>
      </c>
      <c r="S75" s="8">
        <f>AVERAGE($R$2:$R75)</f>
        <v>1772648204.1754098</v>
      </c>
      <c r="T75" s="9">
        <f>29837.1-27054.5</f>
        <v>2782.5999999999985</v>
      </c>
      <c r="U75" s="9">
        <f t="shared" si="6"/>
        <v>747.76884576884538</v>
      </c>
      <c r="V75" s="9">
        <f t="shared" si="3"/>
        <v>0.46464187546423324</v>
      </c>
      <c r="W75" s="8">
        <f t="shared" si="9"/>
        <v>1176.8375540958352</v>
      </c>
      <c r="X75" s="9" t="s">
        <v>18</v>
      </c>
    </row>
    <row r="76" spans="1:24" x14ac:dyDescent="0.55000000000000004">
      <c r="A76" s="17">
        <v>75</v>
      </c>
      <c r="B76" s="11" t="s">
        <v>93</v>
      </c>
      <c r="C76" s="17">
        <v>403</v>
      </c>
      <c r="D76" s="12">
        <f>48+(15.38/60)</f>
        <v>48.25633333333333</v>
      </c>
      <c r="E76" s="12">
        <f>-1*(89+(9.99/60))</f>
        <v>-89.166499999999999</v>
      </c>
      <c r="F76" s="13">
        <v>43638</v>
      </c>
      <c r="G76" s="14">
        <v>0.33749999999999997</v>
      </c>
      <c r="H76" s="15">
        <v>13.8</v>
      </c>
      <c r="I76" s="9">
        <v>4.2</v>
      </c>
      <c r="J76" s="16">
        <v>0.42</v>
      </c>
      <c r="K76" s="9">
        <v>2.5</v>
      </c>
      <c r="L76" s="9">
        <v>36</v>
      </c>
      <c r="M76" s="9">
        <v>11</v>
      </c>
      <c r="N76" s="9">
        <f t="shared" si="7"/>
        <v>47</v>
      </c>
      <c r="O76" s="8">
        <f t="shared" si="8"/>
        <v>347.67284074453477</v>
      </c>
      <c r="P76" s="8">
        <f>AVERAGE(O$2:$O76)</f>
        <v>1066.4453117391515</v>
      </c>
      <c r="Q76" s="8">
        <f>MEDIAN($O$2:$O76)</f>
        <v>295.89177935705089</v>
      </c>
      <c r="R76" s="8">
        <f t="shared" si="5"/>
        <v>572686703.27439761</v>
      </c>
      <c r="S76" s="8">
        <f>AVERAGE($R$2:$R76)</f>
        <v>1756648717.4967299</v>
      </c>
      <c r="T76" s="9">
        <f>32715.1-29837.3</f>
        <v>2877.7999999999993</v>
      </c>
      <c r="U76" s="9">
        <f t="shared" si="6"/>
        <v>773.35196735196723</v>
      </c>
      <c r="V76" s="9">
        <f t="shared" si="3"/>
        <v>0.48053848530545923</v>
      </c>
      <c r="W76" s="8">
        <f t="shared" si="9"/>
        <v>303.87283761441881</v>
      </c>
      <c r="X76" s="9" t="s">
        <v>18</v>
      </c>
    </row>
    <row r="77" spans="1:24" x14ac:dyDescent="0.55000000000000004">
      <c r="A77" s="17">
        <v>76</v>
      </c>
      <c r="B77" s="11" t="s">
        <v>94</v>
      </c>
      <c r="C77" s="17">
        <v>400</v>
      </c>
      <c r="D77" s="12">
        <f>48+(4.86/60)</f>
        <v>48.081000000000003</v>
      </c>
      <c r="E77" s="12">
        <f>-1*(89+(25.38/60))</f>
        <v>-89.423000000000002</v>
      </c>
      <c r="F77" s="13">
        <v>43638</v>
      </c>
      <c r="G77" s="14">
        <v>0.44930555555555557</v>
      </c>
      <c r="H77" s="15">
        <v>11.2</v>
      </c>
      <c r="I77" s="19">
        <v>3.1</v>
      </c>
      <c r="J77" s="16">
        <v>0.43</v>
      </c>
      <c r="K77" s="9">
        <v>2.6</v>
      </c>
      <c r="L77" s="9">
        <v>5</v>
      </c>
      <c r="M77" s="9">
        <v>8</v>
      </c>
      <c r="N77" s="9">
        <f t="shared" si="7"/>
        <v>13</v>
      </c>
      <c r="O77" s="8">
        <f t="shared" si="8"/>
        <v>93.928436935435911</v>
      </c>
      <c r="P77" s="8">
        <f>AVERAGE(O$2:$O77)</f>
        <v>1053.6490370706817</v>
      </c>
      <c r="Q77" s="8">
        <f>MEDIAN($O$2:$O77)</f>
        <v>292.45117727150375</v>
      </c>
      <c r="R77" s="8">
        <f t="shared" si="5"/>
        <v>154718921.32005003</v>
      </c>
      <c r="S77" s="8">
        <f>AVERAGE($R$2:$R77)</f>
        <v>1735570693.8628261</v>
      </c>
      <c r="T77" s="9">
        <f>35585.3-32715.1</f>
        <v>2870.2000000000044</v>
      </c>
      <c r="U77" s="9">
        <f t="shared" si="6"/>
        <v>771.30961730961849</v>
      </c>
      <c r="V77" s="9">
        <f t="shared" si="3"/>
        <v>0.47926942821729496</v>
      </c>
      <c r="W77" s="8">
        <f t="shared" si="9"/>
        <v>84.2724895524224</v>
      </c>
      <c r="X77" s="9" t="s">
        <v>18</v>
      </c>
    </row>
    <row r="78" spans="1:24" x14ac:dyDescent="0.55000000000000004">
      <c r="A78" s="17">
        <v>77</v>
      </c>
      <c r="B78" s="11" t="s">
        <v>95</v>
      </c>
      <c r="C78" s="17">
        <v>191</v>
      </c>
      <c r="D78" s="12">
        <f>47+(58.74/60)</f>
        <v>47.978999999999999</v>
      </c>
      <c r="E78" s="12">
        <f>-1*(89+(37.74/60))</f>
        <v>-89.629000000000005</v>
      </c>
      <c r="F78" s="13">
        <v>43638</v>
      </c>
      <c r="G78" s="14">
        <v>0.55138888888888882</v>
      </c>
      <c r="H78" s="15">
        <v>8.3000000000000007</v>
      </c>
      <c r="I78" s="19">
        <v>7.9</v>
      </c>
      <c r="J78" s="16">
        <v>0.43</v>
      </c>
      <c r="K78" s="9">
        <v>2.6</v>
      </c>
      <c r="L78" s="9">
        <v>10</v>
      </c>
      <c r="M78" s="9">
        <v>15</v>
      </c>
      <c r="N78" s="9">
        <f t="shared" si="7"/>
        <v>25</v>
      </c>
      <c r="O78" s="8">
        <f t="shared" si="8"/>
        <v>180.63160949122292</v>
      </c>
      <c r="P78" s="8">
        <f>AVERAGE(O$2:$O78)</f>
        <v>1042.3111484008186</v>
      </c>
      <c r="Q78" s="8">
        <f>MEDIAN($O$2:$O78)</f>
        <v>289.01057518595667</v>
      </c>
      <c r="R78" s="8">
        <f t="shared" si="5"/>
        <v>297536387.15394241</v>
      </c>
      <c r="S78" s="8">
        <f>AVERAGE($R$2:$R78)</f>
        <v>1716894923.6458278</v>
      </c>
      <c r="T78" s="9">
        <f>38390.4-35585.3</f>
        <v>2805.0999999999985</v>
      </c>
      <c r="U78" s="9">
        <f t="shared" si="6"/>
        <v>753.81527681527643</v>
      </c>
      <c r="V78" s="9">
        <f t="shared" ref="V78:V115" si="10">$U78*0.000621371</f>
        <v>0.46839895236998513</v>
      </c>
      <c r="W78" s="8">
        <f t="shared" si="9"/>
        <v>165.82358198759076</v>
      </c>
      <c r="X78" s="9" t="s">
        <v>18</v>
      </c>
    </row>
    <row r="79" spans="1:24" x14ac:dyDescent="0.55000000000000004">
      <c r="A79" s="17">
        <v>78</v>
      </c>
      <c r="B79" s="11" t="s">
        <v>96</v>
      </c>
      <c r="C79" s="17">
        <v>207</v>
      </c>
      <c r="D79" s="12">
        <f>47+(50.15/60)</f>
        <v>47.835833333333333</v>
      </c>
      <c r="E79" s="12">
        <f>-1*(89+(56.9/60))</f>
        <v>-89.948333333333338</v>
      </c>
      <c r="F79" s="13">
        <v>43638</v>
      </c>
      <c r="G79" s="14">
        <v>0.64513888888888882</v>
      </c>
      <c r="H79" s="15">
        <v>5.2</v>
      </c>
      <c r="I79" s="19">
        <v>12.5</v>
      </c>
      <c r="J79" s="16">
        <v>0.43</v>
      </c>
      <c r="K79" s="9">
        <v>2.6</v>
      </c>
      <c r="L79" s="9">
        <v>18</v>
      </c>
      <c r="M79" s="9">
        <v>8</v>
      </c>
      <c r="N79" s="9">
        <f t="shared" si="7"/>
        <v>26</v>
      </c>
      <c r="O79" s="8">
        <f t="shared" si="8"/>
        <v>187.85687387087182</v>
      </c>
      <c r="P79" s="8">
        <f>AVERAGE(O$2:$O79)</f>
        <v>1031.3566064196655</v>
      </c>
      <c r="Q79" s="8">
        <f>MEDIAN($O$2:$O79)</f>
        <v>251.7660576099093</v>
      </c>
      <c r="R79" s="8">
        <f t="shared" si="5"/>
        <v>309437842.64010006</v>
      </c>
      <c r="S79" s="8">
        <f>AVERAGE($R$2:$R79)</f>
        <v>1698850602.0944722</v>
      </c>
      <c r="T79" s="9">
        <f>41065.6-38390.4</f>
        <v>2675.1999999999971</v>
      </c>
      <c r="U79" s="9">
        <f t="shared" si="6"/>
        <v>718.90721490721398</v>
      </c>
      <c r="V79" s="9">
        <f t="shared" si="10"/>
        <v>0.44670809503411046</v>
      </c>
      <c r="W79" s="8">
        <f t="shared" si="9"/>
        <v>180.83051698068439</v>
      </c>
      <c r="X79" s="9" t="s">
        <v>18</v>
      </c>
    </row>
    <row r="80" spans="1:24" x14ac:dyDescent="0.55000000000000004">
      <c r="A80" s="17">
        <v>79</v>
      </c>
      <c r="B80" s="11" t="s">
        <v>97</v>
      </c>
      <c r="C80" s="9">
        <v>139</v>
      </c>
      <c r="D80" s="12">
        <f>47+(0.79/60)</f>
        <v>47.013166666666663</v>
      </c>
      <c r="E80" s="12">
        <f>-1*(90+(56.75/60))</f>
        <v>-90.94583333333334</v>
      </c>
      <c r="F80" s="13">
        <v>43655</v>
      </c>
      <c r="G80" s="14">
        <v>0.46249999999999997</v>
      </c>
      <c r="H80" s="15">
        <v>14.4</v>
      </c>
      <c r="I80" s="19">
        <v>5.2</v>
      </c>
      <c r="J80" s="16">
        <v>0.42</v>
      </c>
      <c r="K80" s="9">
        <v>2.5</v>
      </c>
      <c r="L80" s="9">
        <v>0</v>
      </c>
      <c r="M80" s="9">
        <v>0</v>
      </c>
      <c r="N80" s="9">
        <f t="shared" si="7"/>
        <v>0</v>
      </c>
      <c r="O80" s="8">
        <f t="shared" si="8"/>
        <v>0</v>
      </c>
      <c r="P80" s="8">
        <f>AVERAGE(O$2:$O80)</f>
        <v>1018.3014595029607</v>
      </c>
      <c r="Q80" s="8">
        <f>MEDIAN($O$2:$O80)</f>
        <v>214.5215400338619</v>
      </c>
      <c r="R80" s="8">
        <f t="shared" si="5"/>
        <v>0</v>
      </c>
      <c r="S80" s="8">
        <f>AVERAGE($R$2:$R80)</f>
        <v>1677346164.0932765</v>
      </c>
      <c r="T80" s="9">
        <f>43716-41065.6</f>
        <v>2650.4000000000015</v>
      </c>
      <c r="U80" s="9">
        <f t="shared" si="6"/>
        <v>712.24270424270458</v>
      </c>
      <c r="V80" s="9">
        <f t="shared" si="10"/>
        <v>0.44256696137799362</v>
      </c>
      <c r="W80" s="8">
        <f t="shared" si="9"/>
        <v>0</v>
      </c>
      <c r="X80" s="9" t="s">
        <v>40</v>
      </c>
    </row>
    <row r="81" spans="1:24" x14ac:dyDescent="0.55000000000000004">
      <c r="A81" s="17">
        <v>80</v>
      </c>
      <c r="B81" s="11" t="s">
        <v>98</v>
      </c>
      <c r="C81" s="17">
        <v>2161</v>
      </c>
      <c r="D81" s="12">
        <f>46+(59.04/60)</f>
        <v>46.984000000000002</v>
      </c>
      <c r="E81" s="12">
        <f>-1*(91+(14.08/60))</f>
        <v>-91.234666666666669</v>
      </c>
      <c r="F81" s="13">
        <v>43655</v>
      </c>
      <c r="G81" s="14">
        <v>0.48541666666666666</v>
      </c>
      <c r="H81" s="15">
        <v>13.2</v>
      </c>
      <c r="I81" s="19">
        <v>6</v>
      </c>
      <c r="J81" s="16">
        <v>0.44</v>
      </c>
      <c r="K81" s="9">
        <v>2.6</v>
      </c>
      <c r="L81" s="9">
        <v>2</v>
      </c>
      <c r="M81" s="9">
        <v>5</v>
      </c>
      <c r="N81" s="9">
        <f t="shared" si="7"/>
        <v>7</v>
      </c>
      <c r="O81" s="8">
        <f t="shared" si="8"/>
        <v>49.427376778961907</v>
      </c>
      <c r="P81" s="8">
        <f>AVERAGE(O$2:$O81)</f>
        <v>1006.1905334689106</v>
      </c>
      <c r="Q81" s="8">
        <f>MEDIAN($O$2:$O81)</f>
        <v>201.18920695236687</v>
      </c>
      <c r="R81" s="8">
        <f t="shared" si="5"/>
        <v>81416775.030306056</v>
      </c>
      <c r="S81" s="8">
        <f>AVERAGE($R$2:$R81)</f>
        <v>1657397046.7299893</v>
      </c>
      <c r="T81" s="9">
        <f>2700</f>
        <v>2700</v>
      </c>
      <c r="U81" s="9">
        <f t="shared" si="6"/>
        <v>725.57172557172566</v>
      </c>
      <c r="V81" s="9">
        <f t="shared" si="10"/>
        <v>0.45084922869022875</v>
      </c>
      <c r="W81" s="8">
        <f t="shared" si="9"/>
        <v>48.237957167907169</v>
      </c>
      <c r="X81" s="9" t="s">
        <v>40</v>
      </c>
    </row>
    <row r="82" spans="1:24" x14ac:dyDescent="0.55000000000000004">
      <c r="A82" s="17">
        <v>81</v>
      </c>
      <c r="B82" s="11" t="s">
        <v>99</v>
      </c>
      <c r="C82" s="17">
        <v>2133</v>
      </c>
      <c r="D82" s="12">
        <f>47+(31.89/60)</f>
        <v>47.531500000000001</v>
      </c>
      <c r="E82" s="12">
        <f>-1*(90+(32.93/60))</f>
        <v>-90.548833333333334</v>
      </c>
      <c r="F82" s="13">
        <v>43655</v>
      </c>
      <c r="G82" s="14">
        <v>0.70277777777777783</v>
      </c>
      <c r="H82" s="15">
        <v>10.4</v>
      </c>
      <c r="I82" s="19">
        <v>11.8</v>
      </c>
      <c r="J82" s="16">
        <v>0.41</v>
      </c>
      <c r="K82" s="9">
        <v>2.5</v>
      </c>
      <c r="L82" s="9">
        <v>54</v>
      </c>
      <c r="M82" s="9">
        <v>61</v>
      </c>
      <c r="N82" s="9">
        <f t="shared" si="7"/>
        <v>115</v>
      </c>
      <c r="O82" s="8">
        <f t="shared" si="8"/>
        <v>871.43737456985104</v>
      </c>
      <c r="P82" s="8">
        <f>AVERAGE(O$2:$O82)</f>
        <v>1004.5269142232434</v>
      </c>
      <c r="Q82" s="8">
        <f>MEDIAN($O$2:$O82)</f>
        <v>214.5215400338619</v>
      </c>
      <c r="R82" s="8">
        <f t="shared" si="5"/>
        <v>1435431643.3914587</v>
      </c>
      <c r="S82" s="8">
        <f>AVERAGE($R$2:$R82)</f>
        <v>1654656733.108526</v>
      </c>
      <c r="T82" s="9">
        <v>2700</v>
      </c>
      <c r="U82" s="9">
        <f t="shared" si="6"/>
        <v>725.57172557172566</v>
      </c>
      <c r="V82" s="9">
        <f t="shared" si="10"/>
        <v>0.45084922869022875</v>
      </c>
      <c r="W82" s="8">
        <f t="shared" si="9"/>
        <v>792.48072490133211</v>
      </c>
      <c r="X82" s="9" t="s">
        <v>18</v>
      </c>
    </row>
    <row r="83" spans="1:24" x14ac:dyDescent="0.55000000000000004">
      <c r="A83" s="17">
        <v>82</v>
      </c>
      <c r="B83" s="11" t="s">
        <v>100</v>
      </c>
      <c r="C83" s="17">
        <v>2124</v>
      </c>
      <c r="D83" s="12">
        <f>47+(30.3/60)</f>
        <v>47.505000000000003</v>
      </c>
      <c r="E83" s="12">
        <f>-1*(89+(59.33/60))</f>
        <v>-89.988833333333332</v>
      </c>
      <c r="F83" s="13">
        <v>43655</v>
      </c>
      <c r="G83" s="14">
        <v>0.3833333333333333</v>
      </c>
      <c r="H83" s="15">
        <v>8.4</v>
      </c>
      <c r="I83" s="19">
        <v>13</v>
      </c>
      <c r="J83" s="16">
        <v>0.39</v>
      </c>
      <c r="K83" s="9">
        <v>2.2999999999999998</v>
      </c>
      <c r="L83" s="9">
        <v>7</v>
      </c>
      <c r="M83" s="9">
        <v>17</v>
      </c>
      <c r="N83" s="9">
        <f t="shared" si="7"/>
        <v>24</v>
      </c>
      <c r="O83" s="8">
        <f t="shared" si="8"/>
        <v>191.19161127686363</v>
      </c>
      <c r="P83" s="8">
        <f>AVERAGE(O$2:$O83)</f>
        <v>994.60819101658024</v>
      </c>
      <c r="Q83" s="8">
        <f>MEDIAN($O$2:$O83)</f>
        <v>202.85657565536275</v>
      </c>
      <c r="R83" s="8">
        <f t="shared" si="5"/>
        <v>314930822.09524977</v>
      </c>
      <c r="S83" s="8">
        <f>AVERAGE($R$2:$R83)</f>
        <v>1638318612.2425103</v>
      </c>
      <c r="T83" s="9">
        <f>51622.7-48960.8</f>
        <v>2661.8999999999942</v>
      </c>
      <c r="U83" s="9">
        <f t="shared" si="6"/>
        <v>715.33310233310078</v>
      </c>
      <c r="V83" s="9">
        <f t="shared" si="10"/>
        <v>0.44448724512982118</v>
      </c>
      <c r="W83" s="8">
        <f t="shared" si="9"/>
        <v>167.75448387995638</v>
      </c>
      <c r="X83" s="9" t="s">
        <v>18</v>
      </c>
    </row>
    <row r="84" spans="1:24" x14ac:dyDescent="0.55000000000000004">
      <c r="A84" s="17">
        <v>83</v>
      </c>
      <c r="B84" s="11" t="s">
        <v>101</v>
      </c>
      <c r="C84" s="17">
        <v>2147</v>
      </c>
      <c r="D84" s="12">
        <f>47+(9.4/60)</f>
        <v>47.156666666666666</v>
      </c>
      <c r="E84" s="12">
        <f>-1*(89+(58.18/60))</f>
        <v>-89.969666666666669</v>
      </c>
      <c r="F84" s="18">
        <v>43656</v>
      </c>
      <c r="G84" s="14">
        <v>0.53749999999999998</v>
      </c>
      <c r="H84" s="15">
        <v>9.5</v>
      </c>
      <c r="I84" s="19">
        <v>10.5</v>
      </c>
      <c r="J84" s="16">
        <v>0.43</v>
      </c>
      <c r="K84" s="9">
        <v>2.6</v>
      </c>
      <c r="L84" s="9">
        <v>2</v>
      </c>
      <c r="M84" s="9">
        <v>15</v>
      </c>
      <c r="N84" s="9">
        <f t="shared" si="7"/>
        <v>17</v>
      </c>
      <c r="O84" s="8">
        <f t="shared" si="8"/>
        <v>122.82949445403159</v>
      </c>
      <c r="P84" s="8">
        <f>AVERAGE(O$2:$O84)</f>
        <v>984.10483322666994</v>
      </c>
      <c r="Q84" s="8">
        <f>MEDIAN($O$2:$O84)</f>
        <v>191.19161127686363</v>
      </c>
      <c r="R84" s="8">
        <f t="shared" si="5"/>
        <v>202324743.26468083</v>
      </c>
      <c r="S84" s="8">
        <f>AVERAGE($R$2:$R84)</f>
        <v>1621017481.2909703</v>
      </c>
      <c r="T84" s="9">
        <f>54099.5-51622.7</f>
        <v>2476.8000000000029</v>
      </c>
      <c r="U84" s="9">
        <f t="shared" si="6"/>
        <v>665.59112959113031</v>
      </c>
      <c r="V84" s="9">
        <f t="shared" si="10"/>
        <v>0.41357902578517025</v>
      </c>
      <c r="W84" s="8">
        <f t="shared" si="9"/>
        <v>127.70638577467105</v>
      </c>
      <c r="X84" s="9" t="s">
        <v>18</v>
      </c>
    </row>
    <row r="85" spans="1:24" x14ac:dyDescent="0.55000000000000004">
      <c r="A85" s="17">
        <v>84</v>
      </c>
      <c r="B85" s="11" t="s">
        <v>102</v>
      </c>
      <c r="C85" s="17">
        <v>2120</v>
      </c>
      <c r="D85" s="12">
        <f>47+(4.27/60)</f>
        <v>47.07116666666667</v>
      </c>
      <c r="E85" s="12">
        <f>-1*(89+(39.88/60))</f>
        <v>-89.664666666666662</v>
      </c>
      <c r="F85" s="18">
        <v>43656</v>
      </c>
      <c r="G85" s="14">
        <v>0.66805555555555562</v>
      </c>
      <c r="H85" s="15">
        <v>10.9</v>
      </c>
      <c r="I85" s="19">
        <v>12.5</v>
      </c>
      <c r="J85" s="16">
        <v>0.42</v>
      </c>
      <c r="K85" s="9">
        <v>2.6</v>
      </c>
      <c r="L85" s="9">
        <v>23</v>
      </c>
      <c r="M85" s="9">
        <v>15</v>
      </c>
      <c r="N85" s="9">
        <f t="shared" si="7"/>
        <v>38</v>
      </c>
      <c r="O85" s="8">
        <f t="shared" si="8"/>
        <v>281.09719038919837</v>
      </c>
      <c r="P85" s="8">
        <f>AVERAGE(O$2:$O85)</f>
        <v>975.73569462146179</v>
      </c>
      <c r="Q85" s="8">
        <f>MEDIAN($O$2:$O85)</f>
        <v>202.85657565536275</v>
      </c>
      <c r="R85" s="8">
        <f t="shared" si="5"/>
        <v>463023292.00908756</v>
      </c>
      <c r="S85" s="8">
        <f>AVERAGE($R$2:$R85)</f>
        <v>1607231836.1804717</v>
      </c>
      <c r="T85" s="9">
        <f>56734.7-54099.5</f>
        <v>2635.1999999999971</v>
      </c>
      <c r="U85" s="9">
        <f t="shared" si="6"/>
        <v>708.15800415800345</v>
      </c>
      <c r="V85" s="9">
        <f t="shared" si="10"/>
        <v>0.44002884720166274</v>
      </c>
      <c r="W85" s="8">
        <f t="shared" si="9"/>
        <v>268.30245497372283</v>
      </c>
      <c r="X85" s="9" t="s">
        <v>18</v>
      </c>
    </row>
    <row r="86" spans="1:24" x14ac:dyDescent="0.55000000000000004">
      <c r="A86" s="17">
        <v>85</v>
      </c>
      <c r="B86" s="11" t="s">
        <v>103</v>
      </c>
      <c r="C86" s="17">
        <v>2136</v>
      </c>
      <c r="D86" s="12">
        <f>47+(13.17/60)</f>
        <v>47.219499999999996</v>
      </c>
      <c r="E86" s="12">
        <f>-1*(89+(33.36/60))</f>
        <v>-89.555999999999997</v>
      </c>
      <c r="F86" s="18">
        <v>43657</v>
      </c>
      <c r="G86" s="14">
        <v>0.39861111111111108</v>
      </c>
      <c r="H86" s="15">
        <v>5.9</v>
      </c>
      <c r="I86" s="19">
        <v>10.5</v>
      </c>
      <c r="J86" s="16">
        <v>0.44</v>
      </c>
      <c r="K86" s="9">
        <v>2.6</v>
      </c>
      <c r="L86" s="9">
        <v>27</v>
      </c>
      <c r="M86" s="9">
        <v>13</v>
      </c>
      <c r="N86" s="9">
        <f t="shared" si="7"/>
        <v>40</v>
      </c>
      <c r="O86" s="8">
        <f t="shared" si="8"/>
        <v>282.44215302263945</v>
      </c>
      <c r="P86" s="8">
        <f>AVERAGE(O$2:$O86)</f>
        <v>967.57930001441684</v>
      </c>
      <c r="Q86" s="8">
        <f>MEDIAN($O$2:$O86)</f>
        <v>214.5215400338619</v>
      </c>
      <c r="R86" s="8">
        <f t="shared" si="5"/>
        <v>465238714.45889169</v>
      </c>
      <c r="S86" s="8">
        <f>AVERAGE($R$2:$R86)</f>
        <v>1593796622.9837472</v>
      </c>
      <c r="T86" s="9">
        <f>59610.3-56736.8</f>
        <v>2873.5</v>
      </c>
      <c r="U86" s="9">
        <f t="shared" si="6"/>
        <v>772.19642719642718</v>
      </c>
      <c r="V86" s="9">
        <f t="shared" si="10"/>
        <v>0.47982046616347118</v>
      </c>
      <c r="W86" s="8">
        <f t="shared" si="9"/>
        <v>259.0021812192187</v>
      </c>
      <c r="X86" s="9" t="s">
        <v>18</v>
      </c>
    </row>
    <row r="87" spans="1:24" x14ac:dyDescent="0.55000000000000004">
      <c r="A87" s="17">
        <v>86</v>
      </c>
      <c r="B87" s="2" t="s">
        <v>104</v>
      </c>
      <c r="C87" s="17">
        <v>2151</v>
      </c>
      <c r="D87" s="12">
        <f>47+(9.24/60)</f>
        <v>47.154000000000003</v>
      </c>
      <c r="E87" s="12">
        <f>-1*(89+(18/60))</f>
        <v>-89.3</v>
      </c>
      <c r="F87" s="18">
        <v>43657</v>
      </c>
      <c r="G87" s="14">
        <v>0.53680555555555554</v>
      </c>
      <c r="H87" s="15">
        <v>11.9</v>
      </c>
      <c r="I87" s="9">
        <v>9.1999999999999993</v>
      </c>
      <c r="J87" s="16">
        <v>0.44</v>
      </c>
      <c r="K87" s="9">
        <v>2.6</v>
      </c>
      <c r="L87" s="9">
        <v>1</v>
      </c>
      <c r="M87" s="9">
        <v>6</v>
      </c>
      <c r="N87" s="9">
        <f t="shared" si="7"/>
        <v>7</v>
      </c>
      <c r="O87" s="8">
        <f t="shared" si="8"/>
        <v>49.427376778961907</v>
      </c>
      <c r="P87" s="8">
        <f>AVERAGE(O$2:$O87)</f>
        <v>956.9031148605161</v>
      </c>
      <c r="Q87" s="8">
        <f>MEDIAN($O$2:$O87)</f>
        <v>202.85657565536275</v>
      </c>
      <c r="R87" s="8">
        <f t="shared" si="5"/>
        <v>81416775.030306056</v>
      </c>
      <c r="S87" s="8">
        <f>AVERAGE($R$2:$R87)</f>
        <v>1576210810.7982421</v>
      </c>
      <c r="T87" s="9">
        <f>62312.4-59610.3</f>
        <v>2702.0999999999985</v>
      </c>
      <c r="U87" s="9">
        <f t="shared" ref="U87:U103" si="11">((T87*26873)/999999)*10</f>
        <v>726.13605913605875</v>
      </c>
      <c r="V87" s="9">
        <f t="shared" si="10"/>
        <v>0.45119988920143195</v>
      </c>
      <c r="W87" s="8">
        <f t="shared" si="9"/>
        <v>48.200467915084367</v>
      </c>
      <c r="X87" s="9" t="s">
        <v>18</v>
      </c>
    </row>
    <row r="88" spans="1:24" x14ac:dyDescent="0.55000000000000004">
      <c r="A88" s="17">
        <v>87</v>
      </c>
      <c r="B88" s="2" t="s">
        <v>105</v>
      </c>
      <c r="C88" s="17">
        <v>2115</v>
      </c>
      <c r="D88" s="12">
        <f>47+(24.95/60)</f>
        <v>47.415833333333332</v>
      </c>
      <c r="E88" s="12">
        <f>-1*(88+(27.93/60))</f>
        <v>-88.465500000000006</v>
      </c>
      <c r="F88" s="18">
        <v>43658</v>
      </c>
      <c r="G88" s="14">
        <v>0.40486111111111112</v>
      </c>
      <c r="H88" s="15">
        <v>7.8</v>
      </c>
      <c r="I88" s="9">
        <v>4</v>
      </c>
      <c r="J88" s="16">
        <v>0.49</v>
      </c>
      <c r="K88" s="9">
        <v>2.9</v>
      </c>
      <c r="L88" s="9">
        <v>28</v>
      </c>
      <c r="M88" s="9">
        <v>17</v>
      </c>
      <c r="N88" s="9">
        <f t="shared" si="7"/>
        <v>45</v>
      </c>
      <c r="O88" s="8">
        <f t="shared" si="8"/>
        <v>285.32421580858477</v>
      </c>
      <c r="P88" s="8">
        <f>AVERAGE(O$2:$O88)</f>
        <v>949.18381717026398</v>
      </c>
      <c r="Q88" s="8">
        <f>MEDIAN($O$2:$O88)</f>
        <v>214.5215400338619</v>
      </c>
      <c r="R88" s="8">
        <f t="shared" si="5"/>
        <v>469986048.27990085</v>
      </c>
      <c r="S88" s="8">
        <f>AVERAGE($R$2:$R88)</f>
        <v>1563495583.642859</v>
      </c>
      <c r="T88" s="9">
        <f>64276.4-62312.6</f>
        <v>1963.8000000000029</v>
      </c>
      <c r="U88" s="9">
        <f t="shared" si="11"/>
        <v>527.73250173250256</v>
      </c>
      <c r="V88" s="9">
        <f t="shared" si="10"/>
        <v>0.32791767233402686</v>
      </c>
      <c r="W88" s="8">
        <f t="shared" si="9"/>
        <v>426.35355621758919</v>
      </c>
      <c r="X88" s="9" t="s">
        <v>18</v>
      </c>
    </row>
    <row r="89" spans="1:24" x14ac:dyDescent="0.55000000000000004">
      <c r="A89" s="17">
        <v>88</v>
      </c>
      <c r="B89" s="2" t="s">
        <v>106</v>
      </c>
      <c r="C89" s="17">
        <v>2128</v>
      </c>
      <c r="D89" s="12">
        <f>47+(50.29/60)</f>
        <v>47.838166666666666</v>
      </c>
      <c r="E89" s="12">
        <f>-1*(88+(44.68/60))</f>
        <v>-88.74466666666666</v>
      </c>
      <c r="F89" s="18">
        <v>43658</v>
      </c>
      <c r="G89" s="14">
        <v>0.59236111111111112</v>
      </c>
      <c r="H89" s="9">
        <v>4.2</v>
      </c>
      <c r="I89" s="9">
        <v>8</v>
      </c>
      <c r="J89" s="16">
        <v>0.43</v>
      </c>
      <c r="K89" s="9">
        <v>2.6</v>
      </c>
      <c r="L89" s="9">
        <v>1</v>
      </c>
      <c r="M89" s="9">
        <v>0</v>
      </c>
      <c r="N89" s="8">
        <f t="shared" si="7"/>
        <v>1</v>
      </c>
      <c r="O89" s="8">
        <f t="shared" si="8"/>
        <v>7.2252643796489169</v>
      </c>
      <c r="P89" s="8">
        <f>AVERAGE(O$2:$O89)</f>
        <v>938.47974270673433</v>
      </c>
      <c r="Q89" s="8">
        <f>MEDIAN($O$2:$O89)</f>
        <v>202.85657565536275</v>
      </c>
      <c r="R89" s="8">
        <f t="shared" si="5"/>
        <v>11901455.486157697</v>
      </c>
      <c r="S89" s="8">
        <f>AVERAGE($R$2:$R89)</f>
        <v>1545863832.1865327</v>
      </c>
      <c r="T89" s="9">
        <f>66928-64276.4</f>
        <v>2651.5999999999985</v>
      </c>
      <c r="U89" s="9">
        <f t="shared" si="11"/>
        <v>712.56518056518019</v>
      </c>
      <c r="V89" s="9">
        <f t="shared" si="10"/>
        <v>0.44276733881296659</v>
      </c>
      <c r="W89" s="8">
        <f t="shared" si="9"/>
        <v>7.0169215542825603</v>
      </c>
      <c r="X89" s="9" t="s">
        <v>18</v>
      </c>
    </row>
    <row r="90" spans="1:24" x14ac:dyDescent="0.55000000000000004">
      <c r="A90" s="17">
        <v>89</v>
      </c>
      <c r="B90" s="2" t="s">
        <v>107</v>
      </c>
      <c r="C90" s="17">
        <v>2134</v>
      </c>
      <c r="D90" s="12">
        <f>48+(2.83/60)</f>
        <v>48.047166666666669</v>
      </c>
      <c r="E90" s="12">
        <f>-1*(88+(14.79/60))</f>
        <v>-88.246499999999997</v>
      </c>
      <c r="F90" s="18">
        <v>43658</v>
      </c>
      <c r="G90" s="14">
        <v>0.7416666666666667</v>
      </c>
      <c r="H90" s="9">
        <v>7.6</v>
      </c>
      <c r="I90" s="9">
        <v>7.2</v>
      </c>
      <c r="J90" s="16">
        <v>0.4</v>
      </c>
      <c r="K90" s="9">
        <v>2.4</v>
      </c>
      <c r="L90" s="9">
        <v>0</v>
      </c>
      <c r="M90" s="9">
        <v>1</v>
      </c>
      <c r="N90" s="8">
        <f t="shared" si="7"/>
        <v>1</v>
      </c>
      <c r="O90" s="8">
        <f t="shared" si="8"/>
        <v>7.7671592081225844</v>
      </c>
      <c r="P90" s="8">
        <f>AVERAGE(O$2:$O90)</f>
        <v>928.02229794832283</v>
      </c>
      <c r="Q90" s="8">
        <f>MEDIAN($O$2:$O90)</f>
        <v>191.19161127686363</v>
      </c>
      <c r="R90" s="8">
        <f t="shared" si="5"/>
        <v>12794064.647619521</v>
      </c>
      <c r="S90" s="8">
        <f>AVERAGE($R$2:$R90)</f>
        <v>1528638329.1804776</v>
      </c>
      <c r="T90" s="9">
        <f>69130.9-66928</f>
        <v>2202.8999999999942</v>
      </c>
      <c r="U90" s="9">
        <f t="shared" si="11"/>
        <v>591.98590898590749</v>
      </c>
      <c r="V90" s="9">
        <f t="shared" si="10"/>
        <v>0.36784287625248235</v>
      </c>
      <c r="W90" s="8">
        <f t="shared" si="9"/>
        <v>8.4461705902835664</v>
      </c>
      <c r="X90" s="9" t="s">
        <v>18</v>
      </c>
    </row>
    <row r="91" spans="1:24" x14ac:dyDescent="0.55000000000000004">
      <c r="A91" s="17">
        <v>90</v>
      </c>
      <c r="B91" s="2" t="s">
        <v>108</v>
      </c>
      <c r="C91" s="17">
        <v>2118</v>
      </c>
      <c r="D91" s="12">
        <f>47+(52.44/60)</f>
        <v>47.874000000000002</v>
      </c>
      <c r="E91" s="12">
        <f>-1*(88+(3.88/60))</f>
        <v>-88.064666666666668</v>
      </c>
      <c r="F91" s="18">
        <v>43659</v>
      </c>
      <c r="G91" s="14">
        <v>0.41597222222222219</v>
      </c>
      <c r="H91" s="9">
        <v>4.5999999999999996</v>
      </c>
      <c r="I91" s="9">
        <v>12.8</v>
      </c>
      <c r="J91" s="16">
        <v>0.4</v>
      </c>
      <c r="K91" s="9">
        <v>2.4</v>
      </c>
      <c r="L91" s="9">
        <v>11</v>
      </c>
      <c r="M91" s="9">
        <v>9</v>
      </c>
      <c r="N91" s="8">
        <f t="shared" si="7"/>
        <v>20</v>
      </c>
      <c r="O91" s="8">
        <f t="shared" si="8"/>
        <v>155.34318416245168</v>
      </c>
      <c r="P91" s="8">
        <f>AVERAGE(O$2:$O91)</f>
        <v>919.43697446181318</v>
      </c>
      <c r="Q91" s="8">
        <f>MEDIAN($O$2:$O91)</f>
        <v>189.52424257386772</v>
      </c>
      <c r="R91" s="8">
        <f t="shared" si="5"/>
        <v>255881292.9523904</v>
      </c>
      <c r="S91" s="8">
        <f>AVERAGE($R$2:$R91)</f>
        <v>1514496584.3334987</v>
      </c>
      <c r="T91" s="9">
        <f>71557.1-69130.9</f>
        <v>2426.2000000000116</v>
      </c>
      <c r="U91" s="9">
        <f t="shared" si="11"/>
        <v>651.99337799338105</v>
      </c>
      <c r="V91" s="9">
        <f t="shared" si="10"/>
        <v>0.40512977727712518</v>
      </c>
      <c r="W91" s="8">
        <f t="shared" si="9"/>
        <v>153.3762195477334</v>
      </c>
      <c r="X91" s="9" t="s">
        <v>18</v>
      </c>
    </row>
    <row r="92" spans="1:24" x14ac:dyDescent="0.55000000000000004">
      <c r="A92" s="17">
        <v>91</v>
      </c>
      <c r="B92" s="2" t="s">
        <v>109</v>
      </c>
      <c r="C92" s="17">
        <v>2122</v>
      </c>
      <c r="D92" s="12">
        <f>47+(51.22/60)</f>
        <v>47.853666666666669</v>
      </c>
      <c r="E92" s="12">
        <f>-1*(87+(43.44/60))</f>
        <v>-87.724000000000004</v>
      </c>
      <c r="F92" s="18">
        <v>43659</v>
      </c>
      <c r="G92" s="14">
        <v>0.52569444444444446</v>
      </c>
      <c r="H92" s="15">
        <v>4.5</v>
      </c>
      <c r="I92" s="9">
        <v>10</v>
      </c>
      <c r="J92" s="16">
        <v>0.4</v>
      </c>
      <c r="K92" s="9">
        <v>2.4</v>
      </c>
      <c r="L92" s="9">
        <v>1</v>
      </c>
      <c r="M92" s="9">
        <v>1</v>
      </c>
      <c r="N92" s="8">
        <f t="shared" si="7"/>
        <v>2</v>
      </c>
      <c r="O92" s="8">
        <f t="shared" si="8"/>
        <v>15.534318416245169</v>
      </c>
      <c r="P92" s="8">
        <f>AVERAGE(O$2:$O92)</f>
        <v>909.50397824153231</v>
      </c>
      <c r="Q92" s="8">
        <f>MEDIAN($O$2:$O92)</f>
        <v>187.85687387087182</v>
      </c>
      <c r="R92" s="8">
        <f t="shared" si="5"/>
        <v>25588129.295239042</v>
      </c>
      <c r="S92" s="8">
        <f>AVERAGE($R$2:$R92)</f>
        <v>1498134952.9594519</v>
      </c>
      <c r="T92" s="9">
        <f>74108.7-71557.1</f>
        <v>2551.5999999999913</v>
      </c>
      <c r="U92" s="9">
        <f t="shared" si="11"/>
        <v>685.69215369215135</v>
      </c>
      <c r="V92" s="9">
        <f t="shared" si="10"/>
        <v>0.42606921923184576</v>
      </c>
      <c r="W92" s="8">
        <f t="shared" si="9"/>
        <v>14.583844798037067</v>
      </c>
      <c r="X92" s="9" t="s">
        <v>18</v>
      </c>
    </row>
    <row r="93" spans="1:24" x14ac:dyDescent="0.55000000000000004">
      <c r="A93" s="17">
        <v>92</v>
      </c>
      <c r="B93" s="2" t="s">
        <v>110</v>
      </c>
      <c r="C93" s="17">
        <v>2138</v>
      </c>
      <c r="D93" s="12">
        <f>47+(30.59/60)</f>
        <v>47.509833333333333</v>
      </c>
      <c r="E93" s="12">
        <f>-1*(87+(13.46/60))</f>
        <v>-87.224333333333334</v>
      </c>
      <c r="F93" s="18">
        <v>43659</v>
      </c>
      <c r="G93" s="14">
        <v>0.68819444444444444</v>
      </c>
      <c r="H93" s="15">
        <v>5</v>
      </c>
      <c r="I93" s="9">
        <v>8</v>
      </c>
      <c r="J93" s="16">
        <v>0.4</v>
      </c>
      <c r="K93" s="9">
        <v>2.4</v>
      </c>
      <c r="L93" s="9">
        <v>2</v>
      </c>
      <c r="M93" s="9">
        <v>0</v>
      </c>
      <c r="N93" s="8">
        <f t="shared" si="7"/>
        <v>2</v>
      </c>
      <c r="O93" s="8">
        <f t="shared" si="8"/>
        <v>15.534318416245169</v>
      </c>
      <c r="P93" s="8">
        <f>AVERAGE(O$2:$O93)</f>
        <v>899.78691672169225</v>
      </c>
      <c r="Q93" s="8">
        <f>MEDIAN($O$2:$O93)</f>
        <v>184.24424168104736</v>
      </c>
      <c r="R93" s="8">
        <f t="shared" si="5"/>
        <v>25588129.295239042</v>
      </c>
      <c r="S93" s="8">
        <f>AVERAGE($R$2:$R93)</f>
        <v>1482129009.2239716</v>
      </c>
      <c r="T93" s="9">
        <f>76744.4-74108.7</f>
        <v>2635.6999999999971</v>
      </c>
      <c r="U93" s="9">
        <f t="shared" si="11"/>
        <v>708.29236929236845</v>
      </c>
      <c r="V93" s="9">
        <f t="shared" si="10"/>
        <v>0.44011233779956827</v>
      </c>
      <c r="W93" s="8">
        <f t="shared" si="9"/>
        <v>14.118503011219524</v>
      </c>
      <c r="X93" s="9" t="s">
        <v>18</v>
      </c>
    </row>
    <row r="94" spans="1:24" x14ac:dyDescent="0.55000000000000004">
      <c r="A94" s="17">
        <v>93</v>
      </c>
      <c r="B94" s="2" t="s">
        <v>111</v>
      </c>
      <c r="C94" s="17">
        <v>2150</v>
      </c>
      <c r="D94" s="12">
        <f>47+(8.45/60)</f>
        <v>47.140833333333333</v>
      </c>
      <c r="E94" s="12">
        <f>-1*(87+(23.29/60))</f>
        <v>-87.388166666666663</v>
      </c>
      <c r="F94" s="18">
        <v>43660</v>
      </c>
      <c r="G94" s="14">
        <v>0.46319444444444446</v>
      </c>
      <c r="H94" s="15">
        <v>10.5</v>
      </c>
      <c r="I94" s="9">
        <v>14</v>
      </c>
      <c r="J94" s="16">
        <v>0.42</v>
      </c>
      <c r="K94" s="9">
        <v>2.5</v>
      </c>
      <c r="L94" s="9">
        <v>3</v>
      </c>
      <c r="M94" s="9">
        <v>3</v>
      </c>
      <c r="N94" s="8">
        <f t="shared" si="7"/>
        <v>6</v>
      </c>
      <c r="O94" s="8">
        <f t="shared" si="8"/>
        <v>44.383766903557635</v>
      </c>
      <c r="P94" s="8">
        <f>AVERAGE(O$2:$O94)</f>
        <v>890.5890333903144</v>
      </c>
      <c r="Q94" s="8">
        <f>MEDIAN($O$2:$O94)</f>
        <v>180.63160949122292</v>
      </c>
      <c r="R94" s="8">
        <f t="shared" si="5"/>
        <v>73108940.843540132</v>
      </c>
      <c r="S94" s="8">
        <f>AVERAGE($R$2:$R94)</f>
        <v>1466978255.8005259</v>
      </c>
      <c r="T94" s="9">
        <f>79548.7-76744.4</f>
        <v>2804.3000000000029</v>
      </c>
      <c r="U94" s="9">
        <f t="shared" si="11"/>
        <v>753.60029260029341</v>
      </c>
      <c r="V94" s="9">
        <f t="shared" si="10"/>
        <v>0.46826536741333691</v>
      </c>
      <c r="W94" s="8">
        <f t="shared" si="9"/>
        <v>39.809013001466909</v>
      </c>
      <c r="X94" s="9" t="s">
        <v>18</v>
      </c>
    </row>
    <row r="95" spans="1:24" x14ac:dyDescent="0.55000000000000004">
      <c r="A95" s="17">
        <v>94</v>
      </c>
      <c r="B95" s="2" t="s">
        <v>112</v>
      </c>
      <c r="C95" s="17">
        <v>2154</v>
      </c>
      <c r="D95" s="12">
        <f>47+(4.58/60)</f>
        <v>47.076333333333331</v>
      </c>
      <c r="E95" s="12">
        <f>-1*(87+(9.94/60))</f>
        <v>-87.165666666666667</v>
      </c>
      <c r="F95" s="18">
        <v>43660</v>
      </c>
      <c r="G95" s="14">
        <v>0.56527777777777777</v>
      </c>
      <c r="H95" s="15">
        <v>7.5</v>
      </c>
      <c r="I95" s="9">
        <v>14.6</v>
      </c>
      <c r="J95" s="16">
        <v>0.45</v>
      </c>
      <c r="K95" s="9">
        <v>2.7</v>
      </c>
      <c r="L95" s="9">
        <v>1</v>
      </c>
      <c r="M95" s="9">
        <v>1</v>
      </c>
      <c r="N95" s="8">
        <f t="shared" si="7"/>
        <v>2</v>
      </c>
      <c r="O95" s="8">
        <f t="shared" si="8"/>
        <v>13.808283036662372</v>
      </c>
      <c r="P95" s="8">
        <f>AVERAGE(O$2:$O95)</f>
        <v>881.26157859931811</v>
      </c>
      <c r="Q95" s="8">
        <f>MEDIAN($O$2:$O95)</f>
        <v>179.08333855272673</v>
      </c>
      <c r="R95" s="8">
        <f t="shared" si="5"/>
        <v>22745003.817990258</v>
      </c>
      <c r="S95" s="8">
        <f>AVERAGE($R$2:$R95)</f>
        <v>1451614072.2687969</v>
      </c>
      <c r="T95" s="9">
        <f>82664.8-79548.7</f>
        <v>3116.1000000000058</v>
      </c>
      <c r="U95" s="9">
        <f t="shared" si="11"/>
        <v>837.39039039039199</v>
      </c>
      <c r="V95" s="9">
        <f t="shared" si="10"/>
        <v>0.52033010426726822</v>
      </c>
      <c r="W95" s="8">
        <f t="shared" si="9"/>
        <v>11.941894800125535</v>
      </c>
      <c r="X95" s="9" t="s">
        <v>18</v>
      </c>
    </row>
    <row r="96" spans="1:24" x14ac:dyDescent="0.55000000000000004">
      <c r="A96" s="17">
        <v>95</v>
      </c>
      <c r="B96" s="2" t="s">
        <v>113</v>
      </c>
      <c r="C96" s="17">
        <v>2152</v>
      </c>
      <c r="D96" s="12">
        <f>47+(48.81/60)</f>
        <v>47.813499999999998</v>
      </c>
      <c r="E96" s="12">
        <f>-1*(87+(2.03/60))</f>
        <v>-87.033833333333334</v>
      </c>
      <c r="F96" s="18">
        <v>43660</v>
      </c>
      <c r="G96" s="14">
        <v>0.67222222222222217</v>
      </c>
      <c r="H96" s="15">
        <v>10</v>
      </c>
      <c r="I96" s="9">
        <v>13.4</v>
      </c>
      <c r="J96" s="16">
        <v>0.39</v>
      </c>
      <c r="K96" s="9">
        <v>2.2999999999999998</v>
      </c>
      <c r="L96" s="9">
        <v>2</v>
      </c>
      <c r="M96" s="9">
        <v>2</v>
      </c>
      <c r="N96" s="8">
        <f t="shared" si="7"/>
        <v>4</v>
      </c>
      <c r="O96" s="8">
        <f t="shared" si="8"/>
        <v>31.865268546143938</v>
      </c>
      <c r="P96" s="8">
        <f>AVERAGE(O$2:$O96)</f>
        <v>872.32056480928475</v>
      </c>
      <c r="Q96" s="8">
        <f>MEDIAN($O$2:$O96)</f>
        <v>177.53506761423054</v>
      </c>
      <c r="R96" s="8">
        <f t="shared" si="5"/>
        <v>52488470.349208295</v>
      </c>
      <c r="S96" s="8">
        <f>AVERAGE($R$2:$R96)</f>
        <v>1436886434.3538539</v>
      </c>
      <c r="T96" s="9">
        <f>85408.9-82664.8</f>
        <v>2744.0999999999913</v>
      </c>
      <c r="U96" s="9">
        <f t="shared" si="11"/>
        <v>737.42273042272802</v>
      </c>
      <c r="V96" s="9">
        <f t="shared" si="10"/>
        <v>0.45821309942550092</v>
      </c>
      <c r="W96" s="8">
        <f t="shared" si="9"/>
        <v>27.121561449416109</v>
      </c>
      <c r="X96" s="9" t="s">
        <v>18</v>
      </c>
    </row>
    <row r="97" spans="1:24" x14ac:dyDescent="0.55000000000000004">
      <c r="A97" s="17">
        <v>96</v>
      </c>
      <c r="B97" s="2" t="s">
        <v>114</v>
      </c>
      <c r="C97" s="17">
        <v>2116</v>
      </c>
      <c r="D97" s="12">
        <f>46+(44.94/60)</f>
        <v>46.749000000000002</v>
      </c>
      <c r="E97" s="12">
        <f>-1*(86+(32.65/60))</f>
        <v>-86.544166666666669</v>
      </c>
      <c r="F97" s="18">
        <v>43661</v>
      </c>
      <c r="G97" s="14">
        <v>0.38611111111111113</v>
      </c>
      <c r="H97" s="15">
        <v>10.6</v>
      </c>
      <c r="I97" s="9">
        <v>5.3</v>
      </c>
      <c r="J97" s="16">
        <v>0.42</v>
      </c>
      <c r="K97" s="9">
        <v>2.5</v>
      </c>
      <c r="L97" s="9">
        <v>55</v>
      </c>
      <c r="M97" s="9">
        <v>32</v>
      </c>
      <c r="N97" s="8">
        <f t="shared" si="7"/>
        <v>87</v>
      </c>
      <c r="O97" s="8">
        <f t="shared" si="8"/>
        <v>643.56462010158566</v>
      </c>
      <c r="P97" s="8">
        <f>AVERAGE(O$2:$O97)</f>
        <v>869.93769038524624</v>
      </c>
      <c r="Q97" s="8">
        <f>MEDIAN($O$2:$O97)</f>
        <v>179.08333855272673</v>
      </c>
      <c r="R97" s="8">
        <f t="shared" si="5"/>
        <v>1060079642.2313319</v>
      </c>
      <c r="S97" s="8">
        <f>AVERAGE($R$2:$R97)</f>
        <v>1432961363.6025774</v>
      </c>
      <c r="T97" s="9">
        <f>87725-85408.9</f>
        <v>2316.1000000000058</v>
      </c>
      <c r="U97" s="9">
        <f t="shared" si="11"/>
        <v>622.40617540617689</v>
      </c>
      <c r="V97" s="9">
        <f t="shared" si="10"/>
        <v>0.38674514761831152</v>
      </c>
      <c r="W97" s="8">
        <f t="shared" si="9"/>
        <v>698.90247390881041</v>
      </c>
      <c r="X97" s="9" t="s">
        <v>18</v>
      </c>
    </row>
    <row r="98" spans="1:24" x14ac:dyDescent="0.55000000000000004">
      <c r="A98" s="17">
        <v>97</v>
      </c>
      <c r="B98" s="2" t="s">
        <v>115</v>
      </c>
      <c r="C98" s="17">
        <v>2141</v>
      </c>
      <c r="D98" s="12">
        <f>47+(7.91/60)</f>
        <v>47.131833333333333</v>
      </c>
      <c r="E98" s="12">
        <f>-1*(86+(10.29/60))</f>
        <v>-86.171499999999995</v>
      </c>
      <c r="F98" s="18">
        <v>43661</v>
      </c>
      <c r="G98" s="14">
        <v>0.55625000000000002</v>
      </c>
      <c r="H98" s="15">
        <v>5.4</v>
      </c>
      <c r="I98" s="9">
        <v>5</v>
      </c>
      <c r="J98" s="16">
        <v>0.43</v>
      </c>
      <c r="K98" s="9">
        <v>2.6</v>
      </c>
      <c r="L98" s="9">
        <v>7</v>
      </c>
      <c r="M98" s="9">
        <v>1</v>
      </c>
      <c r="N98" s="8">
        <f t="shared" si="7"/>
        <v>8</v>
      </c>
      <c r="O98" s="8">
        <f t="shared" si="8"/>
        <v>57.802115037191335</v>
      </c>
      <c r="P98" s="8">
        <f>AVERAGE(O$2:$O98)</f>
        <v>861.56515868062718</v>
      </c>
      <c r="Q98" s="8">
        <f>MEDIAN($O$2:$O98)</f>
        <v>177.53506761423054</v>
      </c>
      <c r="R98" s="8">
        <f t="shared" si="5"/>
        <v>95211643.889261574</v>
      </c>
      <c r="S98" s="8">
        <f>AVERAGE($R$2:$R98)</f>
        <v>1419170129.3787289</v>
      </c>
      <c r="T98" s="9">
        <f>90460.9-87725</f>
        <v>2735.8999999999942</v>
      </c>
      <c r="U98" s="9">
        <f t="shared" si="11"/>
        <v>735.21914221914062</v>
      </c>
      <c r="V98" s="9">
        <f t="shared" si="10"/>
        <v>0.45684385361984964</v>
      </c>
      <c r="W98" s="8">
        <f t="shared" si="9"/>
        <v>54.405699604037174</v>
      </c>
      <c r="X98" s="9" t="s">
        <v>18</v>
      </c>
    </row>
    <row r="99" spans="1:24" x14ac:dyDescent="0.55000000000000004">
      <c r="A99" s="17">
        <v>98</v>
      </c>
      <c r="B99" s="2" t="s">
        <v>116</v>
      </c>
      <c r="C99" s="17">
        <v>2125</v>
      </c>
      <c r="D99" s="12">
        <f>47+(6.54/60)</f>
        <v>47.109000000000002</v>
      </c>
      <c r="E99" s="12">
        <f>-1*(85+(58.48/60))</f>
        <v>-85.974666666666664</v>
      </c>
      <c r="F99" s="18">
        <v>43661</v>
      </c>
      <c r="G99" s="14">
        <v>0.62916666666666665</v>
      </c>
      <c r="H99" s="15">
        <v>5.7</v>
      </c>
      <c r="I99" s="9">
        <v>5.9</v>
      </c>
      <c r="J99" s="16">
        <v>0.42</v>
      </c>
      <c r="K99" s="9">
        <v>2.5</v>
      </c>
      <c r="L99" s="9">
        <v>1</v>
      </c>
      <c r="M99" s="9">
        <v>1</v>
      </c>
      <c r="N99" s="8">
        <f t="shared" si="7"/>
        <v>2</v>
      </c>
      <c r="O99" s="8">
        <f t="shared" si="8"/>
        <v>14.794588967852544</v>
      </c>
      <c r="P99" s="8">
        <f>AVERAGE(O$2:$O99)</f>
        <v>852.92464266314983</v>
      </c>
      <c r="Q99" s="8">
        <f>MEDIAN($O$2:$O99)</f>
        <v>166.4391258883411</v>
      </c>
      <c r="R99" s="8">
        <f t="shared" si="5"/>
        <v>24369646.947846711</v>
      </c>
      <c r="S99" s="8">
        <f>AVERAGE($R$2:$R99)</f>
        <v>1404937471.3947401</v>
      </c>
      <c r="T99" s="9">
        <f>93201.1-90460.9</f>
        <v>2740.2000000000116</v>
      </c>
      <c r="U99" s="9">
        <f t="shared" si="11"/>
        <v>736.37468237468534</v>
      </c>
      <c r="V99" s="9">
        <f t="shared" si="10"/>
        <v>0.45756187276184063</v>
      </c>
      <c r="W99" s="8">
        <f t="shared" si="9"/>
        <v>13.580081157094774</v>
      </c>
      <c r="X99" s="9" t="s">
        <v>18</v>
      </c>
    </row>
    <row r="100" spans="1:24" x14ac:dyDescent="0.55000000000000004">
      <c r="A100" s="17">
        <v>99</v>
      </c>
      <c r="B100" s="2" t="s">
        <v>117</v>
      </c>
      <c r="C100" s="17">
        <v>2148</v>
      </c>
      <c r="D100" s="12">
        <f>46+(53.49/60)</f>
        <v>46.891500000000001</v>
      </c>
      <c r="E100" s="12">
        <f>-1*(85+(31.92/60))</f>
        <v>-85.531999999999996</v>
      </c>
      <c r="F100" s="18">
        <v>43662</v>
      </c>
      <c r="G100" s="14">
        <v>0.3923611111111111</v>
      </c>
      <c r="H100" s="15">
        <v>6.4</v>
      </c>
      <c r="I100" s="9">
        <v>7</v>
      </c>
      <c r="J100" s="16">
        <v>0.43</v>
      </c>
      <c r="K100" s="9">
        <v>2.6</v>
      </c>
      <c r="L100" s="9">
        <v>1</v>
      </c>
      <c r="M100" s="9">
        <v>1</v>
      </c>
      <c r="N100" s="8">
        <f t="shared" si="7"/>
        <v>2</v>
      </c>
      <c r="O100" s="8">
        <f t="shared" si="8"/>
        <v>14.450528759297834</v>
      </c>
      <c r="P100" s="8">
        <f>AVERAGE(O$2:$O100)</f>
        <v>844.45520716917144</v>
      </c>
      <c r="Q100" s="8">
        <f>MEDIAN($O$2:$O100)</f>
        <v>155.34318416245168</v>
      </c>
      <c r="R100" s="8">
        <f t="shared" si="5"/>
        <v>23802910.972315393</v>
      </c>
      <c r="S100" s="8">
        <f>AVERAGE($R$2:$R100)</f>
        <v>1390986617.2490592</v>
      </c>
      <c r="T100" s="9">
        <f>96013.4-93201.1</f>
        <v>2812.2999999999884</v>
      </c>
      <c r="U100" s="9">
        <f t="shared" si="11"/>
        <v>755.75013475013168</v>
      </c>
      <c r="V100" s="9">
        <f t="shared" si="10"/>
        <v>0.4696012169798241</v>
      </c>
      <c r="W100" s="8">
        <f t="shared" si="9"/>
        <v>13.231923474263557</v>
      </c>
      <c r="X100" s="9" t="s">
        <v>18</v>
      </c>
    </row>
    <row r="101" spans="1:24" x14ac:dyDescent="0.55000000000000004">
      <c r="A101" s="17">
        <v>100</v>
      </c>
      <c r="B101" s="2" t="s">
        <v>118</v>
      </c>
      <c r="C101" s="17">
        <v>2039</v>
      </c>
      <c r="D101" s="12">
        <f>46+(54.83/60)</f>
        <v>46.913833333333336</v>
      </c>
      <c r="E101" s="12">
        <f>-1*(85+(29.44/60))</f>
        <v>-85.490666666666669</v>
      </c>
      <c r="F101" s="18">
        <v>43662</v>
      </c>
      <c r="G101" s="14">
        <v>0.45</v>
      </c>
      <c r="H101" s="15">
        <v>7.6</v>
      </c>
      <c r="I101" s="9">
        <v>8.5</v>
      </c>
      <c r="J101" s="16">
        <v>0.43</v>
      </c>
      <c r="K101" s="9">
        <v>2.6</v>
      </c>
      <c r="L101" s="9">
        <v>3</v>
      </c>
      <c r="M101" s="9">
        <v>1</v>
      </c>
      <c r="N101" s="8">
        <f t="shared" si="7"/>
        <v>4</v>
      </c>
      <c r="O101" s="8">
        <f t="shared" si="8"/>
        <v>28.901057518595668</v>
      </c>
      <c r="P101" s="8">
        <f>AVERAGE(O$2:$O101)</f>
        <v>836.2996656726657</v>
      </c>
      <c r="Q101" s="8">
        <f>MEDIAN($O$2:$O101)</f>
        <v>139.08633930824163</v>
      </c>
      <c r="R101" s="8">
        <f t="shared" si="5"/>
        <v>47605821.944630787</v>
      </c>
      <c r="S101" s="8">
        <f>AVERAGE($R$2:$R101)</f>
        <v>1377552809.296015</v>
      </c>
      <c r="T101" s="9">
        <f>98686.3-96013.4</f>
        <v>2672.9000000000087</v>
      </c>
      <c r="U101" s="9">
        <f t="shared" si="11"/>
        <v>718.28913528913768</v>
      </c>
      <c r="V101" s="9">
        <f t="shared" si="10"/>
        <v>0.44632403828374678</v>
      </c>
      <c r="W101" s="8">
        <f t="shared" si="9"/>
        <v>27.844018397000355</v>
      </c>
      <c r="X101" s="9" t="s">
        <v>18</v>
      </c>
    </row>
    <row r="102" spans="1:24" x14ac:dyDescent="0.55000000000000004">
      <c r="A102" s="17">
        <v>101</v>
      </c>
      <c r="B102" s="2" t="s">
        <v>119</v>
      </c>
      <c r="C102" s="17">
        <v>2137</v>
      </c>
      <c r="D102" s="12">
        <f>47+(12.69/60)</f>
        <v>47.211500000000001</v>
      </c>
      <c r="E102" s="12">
        <f>-1*(85+(6.17/60))</f>
        <v>-85.102833333333336</v>
      </c>
      <c r="F102" s="13">
        <v>43664</v>
      </c>
      <c r="G102" s="14">
        <v>0.56597222222222221</v>
      </c>
      <c r="H102" s="15">
        <v>4.5999999999999996</v>
      </c>
      <c r="I102" s="9">
        <v>4.8</v>
      </c>
      <c r="J102" s="16">
        <v>0.41</v>
      </c>
      <c r="K102" s="9">
        <v>2.5</v>
      </c>
      <c r="L102" s="9">
        <v>19</v>
      </c>
      <c r="M102" s="9">
        <v>8</v>
      </c>
      <c r="N102" s="8">
        <f t="shared" si="7"/>
        <v>27</v>
      </c>
      <c r="O102" s="8">
        <f t="shared" si="8"/>
        <v>204.59834011639981</v>
      </c>
      <c r="P102" s="8">
        <f>AVERAGE(O$2:$O102)</f>
        <v>830.04519710280169</v>
      </c>
      <c r="Q102" s="8">
        <f>MEDIAN($O$2:$O102)</f>
        <v>155.34318416245168</v>
      </c>
      <c r="R102" s="8">
        <f t="shared" si="5"/>
        <v>337014385.83973378</v>
      </c>
      <c r="S102" s="8">
        <f>AVERAGE($R$2:$R102)</f>
        <v>1367250448.6677349</v>
      </c>
      <c r="T102" s="9">
        <f>101430.7-98686.3</f>
        <v>2744.3999999999942</v>
      </c>
      <c r="U102" s="9">
        <f t="shared" si="11"/>
        <v>737.50334950334786</v>
      </c>
      <c r="V102" s="9">
        <f t="shared" si="10"/>
        <v>0.45826319378424479</v>
      </c>
      <c r="W102" s="8">
        <f t="shared" si="9"/>
        <v>183.05052770006668</v>
      </c>
      <c r="X102" s="9" t="s">
        <v>18</v>
      </c>
    </row>
    <row r="103" spans="1:24" x14ac:dyDescent="0.55000000000000004">
      <c r="A103" s="17">
        <v>102</v>
      </c>
      <c r="B103" s="2" t="s">
        <v>120</v>
      </c>
      <c r="C103" s="17">
        <v>2121</v>
      </c>
      <c r="D103" s="12">
        <f>47+(27.32/60)</f>
        <v>47.455333333333336</v>
      </c>
      <c r="E103" s="12">
        <f>-1*(85+(15.97/60))</f>
        <v>-85.266166666666663</v>
      </c>
      <c r="F103" s="13">
        <v>43664</v>
      </c>
      <c r="G103" s="14">
        <v>0.67638888888888893</v>
      </c>
      <c r="H103" s="15">
        <v>4.7</v>
      </c>
      <c r="I103" s="9">
        <v>12.5</v>
      </c>
      <c r="J103" s="16">
        <v>0.42</v>
      </c>
      <c r="K103" s="9">
        <v>2.5</v>
      </c>
      <c r="L103" s="9">
        <v>16</v>
      </c>
      <c r="M103" s="9">
        <v>5</v>
      </c>
      <c r="N103" s="8">
        <f t="shared" si="7"/>
        <v>21</v>
      </c>
      <c r="O103" s="8">
        <f t="shared" si="8"/>
        <v>155.34318416245173</v>
      </c>
      <c r="P103" s="8">
        <f>AVERAGE(O$2:$O103)</f>
        <v>823.43047148573942</v>
      </c>
      <c r="Q103" s="8">
        <f>MEDIAN($O$2:$O103)</f>
        <v>155.34318416245171</v>
      </c>
      <c r="R103" s="8">
        <f t="shared" si="5"/>
        <v>255881292.95239049</v>
      </c>
      <c r="S103" s="8">
        <f>AVERAGE($R$2:$R103)</f>
        <v>1356354672.63131</v>
      </c>
      <c r="T103" s="9">
        <f>104105-101430.7</f>
        <v>2674.3000000000029</v>
      </c>
      <c r="U103" s="9">
        <f t="shared" si="11"/>
        <v>718.66535766535844</v>
      </c>
      <c r="V103" s="9">
        <f t="shared" si="10"/>
        <v>0.44655781195788147</v>
      </c>
      <c r="W103" s="8">
        <f t="shared" si="9"/>
        <v>146.10457056427765</v>
      </c>
      <c r="X103" s="9" t="s">
        <v>18</v>
      </c>
    </row>
    <row r="104" spans="1:24" x14ac:dyDescent="0.55000000000000004">
      <c r="A104" s="17">
        <v>103</v>
      </c>
      <c r="B104" s="2" t="s">
        <v>121</v>
      </c>
      <c r="C104" s="17">
        <v>2059</v>
      </c>
      <c r="D104" s="12">
        <f>47+(42.23/60)</f>
        <v>47.703833333333336</v>
      </c>
      <c r="E104" s="12">
        <f>-1*(85+(58/60))</f>
        <v>-85.966666666666669</v>
      </c>
      <c r="F104" s="13">
        <v>43665</v>
      </c>
      <c r="G104" s="14">
        <v>0.35138888888888892</v>
      </c>
      <c r="H104" s="15">
        <v>8.6999999999999993</v>
      </c>
      <c r="I104" s="9">
        <v>13.3</v>
      </c>
      <c r="J104" s="16">
        <v>0.42</v>
      </c>
      <c r="K104" s="9">
        <v>2.5</v>
      </c>
      <c r="L104" s="9">
        <v>9</v>
      </c>
      <c r="M104" s="9">
        <v>10</v>
      </c>
      <c r="N104" s="8">
        <f t="shared" si="7"/>
        <v>19</v>
      </c>
      <c r="O104" s="8">
        <f t="shared" si="8"/>
        <v>140.54859519459919</v>
      </c>
      <c r="P104" s="8">
        <f>AVERAGE(O$2:$O104)</f>
        <v>816.80055035669932</v>
      </c>
      <c r="Q104" s="8">
        <f>MEDIAN($O$2:$O104)</f>
        <v>155.34318416245168</v>
      </c>
      <c r="R104" s="8">
        <f t="shared" si="5"/>
        <v>231511646.00454378</v>
      </c>
      <c r="S104" s="8">
        <f>AVERAGE($R$2:$R104)</f>
        <v>1345433866.547555</v>
      </c>
      <c r="T104" s="9"/>
      <c r="U104" s="9"/>
      <c r="V104" s="9"/>
      <c r="W104" s="8"/>
      <c r="X104" s="9" t="s">
        <v>18</v>
      </c>
    </row>
    <row r="105" spans="1:24" x14ac:dyDescent="0.55000000000000004">
      <c r="A105" s="17">
        <v>104</v>
      </c>
      <c r="B105" s="2" t="s">
        <v>122</v>
      </c>
      <c r="C105" s="17">
        <v>2153</v>
      </c>
      <c r="D105" s="12">
        <f>47+(25.16/60)</f>
        <v>47.419333333333334</v>
      </c>
      <c r="E105" s="12">
        <f>-1*(85+(40/60))</f>
        <v>-85.666666666666671</v>
      </c>
      <c r="F105" s="13">
        <v>43665</v>
      </c>
      <c r="G105" s="14">
        <v>0.4680555555555555</v>
      </c>
      <c r="H105" s="15">
        <v>9.5</v>
      </c>
      <c r="I105" s="15">
        <v>13.8</v>
      </c>
      <c r="J105" s="16">
        <v>0.42</v>
      </c>
      <c r="K105" s="9">
        <v>2.5</v>
      </c>
      <c r="L105" s="9">
        <v>7</v>
      </c>
      <c r="M105" s="9">
        <v>16</v>
      </c>
      <c r="N105" s="8">
        <f t="shared" si="7"/>
        <v>23</v>
      </c>
      <c r="O105" s="8">
        <f t="shared" si="8"/>
        <v>170.13777313030425</v>
      </c>
      <c r="P105" s="8">
        <f>AVERAGE(O$2:$O105)</f>
        <v>810.58263903721479</v>
      </c>
      <c r="Q105" s="8">
        <f>MEDIAN($O$2:$O105)</f>
        <v>155.34318416245171</v>
      </c>
      <c r="R105" s="8">
        <f t="shared" si="5"/>
        <v>280250939.90023714</v>
      </c>
      <c r="S105" s="8">
        <f>AVERAGE($R$2:$R105)</f>
        <v>1335191723.0221</v>
      </c>
      <c r="T105" s="9">
        <f>106616.2-104109</f>
        <v>2507.1999999999971</v>
      </c>
      <c r="U105" s="9">
        <f t="shared" ref="U105:U115" si="12">((T105*26873)/999999)*10</f>
        <v>673.76052976052893</v>
      </c>
      <c r="V105" s="9">
        <f t="shared" si="10"/>
        <v>0.41865525413782961</v>
      </c>
      <c r="W105" s="8">
        <f t="shared" ref="W105:W115" si="13">$N105/(((1609.34*V105)*2)*0.000001)/100</f>
        <v>170.68426589291639</v>
      </c>
      <c r="X105" s="9" t="s">
        <v>18</v>
      </c>
    </row>
    <row r="106" spans="1:24" x14ac:dyDescent="0.55000000000000004">
      <c r="A106" s="17">
        <v>105</v>
      </c>
      <c r="B106" s="2" t="s">
        <v>123</v>
      </c>
      <c r="C106" s="17">
        <v>2129</v>
      </c>
      <c r="D106" s="12">
        <f>47+(38.78/60)</f>
        <v>47.646333333333331</v>
      </c>
      <c r="E106" s="12">
        <f>-1*(85+(33.68/60))</f>
        <v>-85.561333333333337</v>
      </c>
      <c r="F106" s="13">
        <v>43665</v>
      </c>
      <c r="G106" s="14">
        <v>0.57500000000000007</v>
      </c>
      <c r="H106" s="15">
        <v>5.7</v>
      </c>
      <c r="I106" s="9">
        <v>13.9</v>
      </c>
      <c r="J106" s="16">
        <v>0.42</v>
      </c>
      <c r="K106" s="9">
        <v>2.5</v>
      </c>
      <c r="L106" s="9">
        <v>1</v>
      </c>
      <c r="M106" s="9">
        <v>2</v>
      </c>
      <c r="N106" s="8">
        <f t="shared" si="7"/>
        <v>3</v>
      </c>
      <c r="O106" s="8">
        <f t="shared" si="8"/>
        <v>22.191883451778818</v>
      </c>
      <c r="P106" s="8">
        <f>AVERAGE(O$2:$O106)</f>
        <v>803.07415565068686</v>
      </c>
      <c r="Q106" s="8">
        <f>MEDIAN($O$2:$O106)</f>
        <v>155.34318416245168</v>
      </c>
      <c r="R106" s="8">
        <f t="shared" si="5"/>
        <v>36554470.421770066</v>
      </c>
      <c r="S106" s="8">
        <f>AVERAGE($R$2:$R106)</f>
        <v>1322823749.1878114</v>
      </c>
      <c r="T106" s="9">
        <f>9153.7-6616.2</f>
        <v>2537.5000000000009</v>
      </c>
      <c r="U106" s="9">
        <f t="shared" si="12"/>
        <v>681.90305690305718</v>
      </c>
      <c r="V106" s="9">
        <f t="shared" si="10"/>
        <v>0.42371478437090954</v>
      </c>
      <c r="W106" s="8">
        <f t="shared" si="13"/>
        <v>21.997323184239153</v>
      </c>
      <c r="X106" s="9" t="s">
        <v>18</v>
      </c>
    </row>
    <row r="107" spans="1:24" x14ac:dyDescent="0.55000000000000004">
      <c r="A107" s="17">
        <v>106</v>
      </c>
      <c r="B107" s="2" t="s">
        <v>124</v>
      </c>
      <c r="C107" s="17">
        <v>2145</v>
      </c>
      <c r="D107" s="12">
        <f>47+(38.17/60)</f>
        <v>47.636166666666668</v>
      </c>
      <c r="E107" s="12">
        <f>-1*(86+(6.41/60))</f>
        <v>-86.106833333333327</v>
      </c>
      <c r="F107" s="18">
        <v>43666</v>
      </c>
      <c r="G107" s="14">
        <v>0.36805555555555558</v>
      </c>
      <c r="H107" s="15">
        <v>6.6</v>
      </c>
      <c r="I107" s="9">
        <v>18.5</v>
      </c>
      <c r="J107" s="16">
        <v>0.41</v>
      </c>
      <c r="K107" s="9">
        <v>2.5</v>
      </c>
      <c r="L107" s="9">
        <v>2</v>
      </c>
      <c r="M107" s="9">
        <v>2</v>
      </c>
      <c r="N107" s="8">
        <f t="shared" si="7"/>
        <v>4</v>
      </c>
      <c r="O107" s="8">
        <f t="shared" si="8"/>
        <v>30.3108652024296</v>
      </c>
      <c r="P107" s="8">
        <f>AVERAGE(O$2:$O107)</f>
        <v>795.7839359294768</v>
      </c>
      <c r="Q107" s="8">
        <f>MEDIAN($O$2:$O107)</f>
        <v>147.94588967852542</v>
      </c>
      <c r="R107" s="8">
        <f t="shared" si="5"/>
        <v>49928057.161442034</v>
      </c>
      <c r="S107" s="8">
        <f>AVERAGE($R$2:$R107)</f>
        <v>1310815299.2630341</v>
      </c>
      <c r="T107" s="9">
        <f>11883.4-9153.7</f>
        <v>2729.6999999999989</v>
      </c>
      <c r="U107" s="9">
        <f t="shared" si="12"/>
        <v>733.55301455301412</v>
      </c>
      <c r="V107" s="9">
        <f t="shared" si="10"/>
        <v>0.45580857020582094</v>
      </c>
      <c r="W107" s="8">
        <f t="shared" si="13"/>
        <v>27.264635957556706</v>
      </c>
      <c r="X107" s="9" t="s">
        <v>18</v>
      </c>
    </row>
    <row r="108" spans="1:24" x14ac:dyDescent="0.55000000000000004">
      <c r="A108" s="17">
        <v>107</v>
      </c>
      <c r="B108" s="2" t="s">
        <v>125</v>
      </c>
      <c r="C108" s="17">
        <v>2165</v>
      </c>
      <c r="D108" s="12">
        <f>47+(35.95/60)</f>
        <v>47.599166666666669</v>
      </c>
      <c r="E108" s="12">
        <f>-1*(86+(13.49/60))</f>
        <v>-86.224833333333336</v>
      </c>
      <c r="F108" s="18">
        <v>43666</v>
      </c>
      <c r="G108" s="14">
        <v>0.43611111111111112</v>
      </c>
      <c r="H108" s="15">
        <v>8.8000000000000007</v>
      </c>
      <c r="I108" s="9">
        <v>13.2</v>
      </c>
      <c r="J108" s="16">
        <v>0.42</v>
      </c>
      <c r="K108" s="9">
        <v>2.5</v>
      </c>
      <c r="L108" s="9">
        <v>3</v>
      </c>
      <c r="M108" s="9">
        <v>1</v>
      </c>
      <c r="N108" s="8">
        <f t="shared" si="7"/>
        <v>4</v>
      </c>
      <c r="O108" s="8">
        <f t="shared" si="8"/>
        <v>29.589177935705088</v>
      </c>
      <c r="P108" s="8">
        <f>AVERAGE(O$2:$O108)</f>
        <v>788.62323725663782</v>
      </c>
      <c r="Q108" s="8">
        <f>MEDIAN($O$2:$O108)</f>
        <v>140.54859519459919</v>
      </c>
      <c r="R108" s="8">
        <f t="shared" si="5"/>
        <v>48739293.895693421</v>
      </c>
      <c r="S108" s="8">
        <f>AVERAGE($R$2:$R108)</f>
        <v>1299020196.4091337</v>
      </c>
      <c r="T108" s="9">
        <f>14634.1-11883.4</f>
        <v>2750.7000000000007</v>
      </c>
      <c r="U108" s="9">
        <f t="shared" si="12"/>
        <v>739.19635019635041</v>
      </c>
      <c r="V108" s="9">
        <f t="shared" si="10"/>
        <v>0.45931517531785648</v>
      </c>
      <c r="W108" s="8">
        <f t="shared" si="13"/>
        <v>27.056486266529419</v>
      </c>
      <c r="X108" s="9" t="s">
        <v>18</v>
      </c>
    </row>
    <row r="109" spans="1:24" x14ac:dyDescent="0.55000000000000004">
      <c r="A109" s="17">
        <v>108</v>
      </c>
      <c r="B109" s="2" t="s">
        <v>126</v>
      </c>
      <c r="C109" s="17">
        <v>2126</v>
      </c>
      <c r="D109" s="12">
        <f>47+(23.58/60)</f>
        <v>47.393000000000001</v>
      </c>
      <c r="E109" s="12">
        <f>-1*(86+(28.06/60))</f>
        <v>-86.467666666666673</v>
      </c>
      <c r="F109" s="18">
        <v>43666</v>
      </c>
      <c r="G109" s="14">
        <v>0.55555555555555558</v>
      </c>
      <c r="H109" s="15">
        <v>5.2</v>
      </c>
      <c r="I109" s="9">
        <v>13.8</v>
      </c>
      <c r="J109" s="16">
        <v>0.41</v>
      </c>
      <c r="K109" s="9">
        <v>2.5</v>
      </c>
      <c r="L109" s="9">
        <v>0</v>
      </c>
      <c r="M109" s="9">
        <v>2</v>
      </c>
      <c r="N109" s="8">
        <f t="shared" si="7"/>
        <v>2</v>
      </c>
      <c r="O109" s="8">
        <f t="shared" si="8"/>
        <v>15.1554326012148</v>
      </c>
      <c r="P109" s="8">
        <f>AVERAGE(O$2:$O109)</f>
        <v>781.46149832464312</v>
      </c>
      <c r="Q109" s="8">
        <f>MEDIAN($O$2:$O109)</f>
        <v>131.68904482431537</v>
      </c>
      <c r="R109" s="8">
        <f t="shared" si="5"/>
        <v>24964028.580721017</v>
      </c>
      <c r="S109" s="8">
        <f>AVERAGE($R$2:$R109)</f>
        <v>1287223380.0403521</v>
      </c>
      <c r="T109" s="9">
        <f>17271.1-14634.1</f>
        <v>2636.9999999999982</v>
      </c>
      <c r="U109" s="9">
        <f t="shared" si="12"/>
        <v>708.64171864171817</v>
      </c>
      <c r="V109" s="9">
        <f t="shared" si="10"/>
        <v>0.44032941335412307</v>
      </c>
      <c r="W109" s="8">
        <f t="shared" si="13"/>
        <v>14.111542808749061</v>
      </c>
      <c r="X109" s="9" t="s">
        <v>18</v>
      </c>
    </row>
    <row r="110" spans="1:24" x14ac:dyDescent="0.55000000000000004">
      <c r="A110" s="17">
        <v>109</v>
      </c>
      <c r="B110" s="2" t="s">
        <v>127</v>
      </c>
      <c r="C110" s="17">
        <v>2119</v>
      </c>
      <c r="D110" s="12">
        <f>47+(49.23/60)</f>
        <v>47.820500000000003</v>
      </c>
      <c r="E110" s="12">
        <f>-1*(86+(41.6/60))</f>
        <v>-86.693333333333328</v>
      </c>
      <c r="F110" s="18">
        <v>43667</v>
      </c>
      <c r="G110" s="14">
        <v>0.51597222222222217</v>
      </c>
      <c r="H110" s="15">
        <v>5.9</v>
      </c>
      <c r="I110" s="9">
        <v>15.2</v>
      </c>
      <c r="J110" s="16">
        <v>0.42</v>
      </c>
      <c r="K110" s="9">
        <v>2.5</v>
      </c>
      <c r="L110" s="9">
        <v>3</v>
      </c>
      <c r="M110" s="9">
        <v>1</v>
      </c>
      <c r="N110" s="8">
        <f t="shared" si="7"/>
        <v>4</v>
      </c>
      <c r="O110" s="8">
        <f t="shared" si="8"/>
        <v>29.589177935705088</v>
      </c>
      <c r="P110" s="8">
        <f>AVERAGE(O$2:$O110)</f>
        <v>774.56358712841438</v>
      </c>
      <c r="Q110" s="8">
        <f>MEDIAN($O$2:$O110)</f>
        <v>122.82949445403159</v>
      </c>
      <c r="R110" s="8">
        <f t="shared" si="5"/>
        <v>48739293.895693421</v>
      </c>
      <c r="S110" s="8">
        <f>AVERAGE($R$2:$R110)</f>
        <v>1275861140.7179241</v>
      </c>
      <c r="T110" s="9">
        <f>19899.4-17271.1</f>
        <v>2628.3000000000029</v>
      </c>
      <c r="U110" s="9">
        <f t="shared" si="12"/>
        <v>706.30376530376611</v>
      </c>
      <c r="V110" s="9">
        <f t="shared" si="10"/>
        <v>0.43887667695056648</v>
      </c>
      <c r="W110" s="8">
        <f t="shared" si="13"/>
        <v>28.316507542267779</v>
      </c>
      <c r="X110" s="9" t="s">
        <v>18</v>
      </c>
    </row>
    <row r="111" spans="1:24" x14ac:dyDescent="0.55000000000000004">
      <c r="A111" s="17">
        <v>110</v>
      </c>
      <c r="B111" s="2" t="s">
        <v>128</v>
      </c>
      <c r="C111" s="17">
        <v>2135</v>
      </c>
      <c r="D111" s="12">
        <f>48+(1.38/60)</f>
        <v>48.023000000000003</v>
      </c>
      <c r="E111" s="12">
        <f>-1*(86+(38.65/60))</f>
        <v>-86.644166666666663</v>
      </c>
      <c r="F111" s="18">
        <v>43667</v>
      </c>
      <c r="G111" s="14">
        <v>0.61249999999999993</v>
      </c>
      <c r="H111" s="15">
        <v>6.7</v>
      </c>
      <c r="I111" s="9">
        <v>16.3</v>
      </c>
      <c r="J111" s="16">
        <v>0.43</v>
      </c>
      <c r="K111" s="9">
        <v>2.5</v>
      </c>
      <c r="L111" s="9">
        <v>1</v>
      </c>
      <c r="M111" s="9">
        <v>1</v>
      </c>
      <c r="N111" s="8">
        <f t="shared" si="7"/>
        <v>2</v>
      </c>
      <c r="O111" s="8">
        <f t="shared" si="8"/>
        <v>14.450528759297834</v>
      </c>
      <c r="P111" s="8">
        <f>AVERAGE(O$2:$O111)</f>
        <v>767.65346841596784</v>
      </c>
      <c r="Q111" s="8">
        <f>MEDIAN($O$2:$O111)</f>
        <v>122.82949445403159</v>
      </c>
      <c r="R111" s="8">
        <f t="shared" si="5"/>
        <v>23802910.972315393</v>
      </c>
      <c r="S111" s="8">
        <f>AVERAGE($R$2:$R111)</f>
        <v>1264478793.1747823</v>
      </c>
      <c r="T111" s="9">
        <f>22479.3-19899.4</f>
        <v>2579.8999999999978</v>
      </c>
      <c r="U111" s="9">
        <f t="shared" si="12"/>
        <v>693.29722029721984</v>
      </c>
      <c r="V111" s="9">
        <f t="shared" si="10"/>
        <v>0.43079478707330382</v>
      </c>
      <c r="W111" s="8">
        <f t="shared" si="13"/>
        <v>14.423868516869364</v>
      </c>
      <c r="X111" s="9" t="s">
        <v>18</v>
      </c>
    </row>
    <row r="112" spans="1:24" x14ac:dyDescent="0.55000000000000004">
      <c r="A112" s="17">
        <v>111</v>
      </c>
      <c r="B112" s="2" t="s">
        <v>129</v>
      </c>
      <c r="C112" s="17">
        <v>2139</v>
      </c>
      <c r="D112" s="12">
        <f>48+(21.12/60)</f>
        <v>48.351999999999997</v>
      </c>
      <c r="E112" s="12">
        <f>-1*(86+(59.12/60))</f>
        <v>-86.98533333333333</v>
      </c>
      <c r="F112" s="18">
        <v>43668</v>
      </c>
      <c r="G112" s="14">
        <v>0.3833333333333333</v>
      </c>
      <c r="H112" s="15">
        <v>7.4</v>
      </c>
      <c r="I112" s="9">
        <v>11.9</v>
      </c>
      <c r="J112" s="16">
        <v>0.41</v>
      </c>
      <c r="K112" s="9">
        <v>2.5</v>
      </c>
      <c r="L112" s="9">
        <v>3</v>
      </c>
      <c r="M112" s="9">
        <v>3</v>
      </c>
      <c r="N112" s="8">
        <f t="shared" si="7"/>
        <v>6</v>
      </c>
      <c r="O112" s="8">
        <f t="shared" si="8"/>
        <v>45.466297803644402</v>
      </c>
      <c r="P112" s="8">
        <f>AVERAGE(O$2:$O112)</f>
        <v>761.14727768973069</v>
      </c>
      <c r="Q112" s="8">
        <f>MEDIAN($O$2:$O112)</f>
        <v>122.82949445403159</v>
      </c>
      <c r="R112" s="8">
        <f t="shared" si="5"/>
        <v>74892085.742163062</v>
      </c>
      <c r="S112" s="8">
        <f>AVERAGE($R$2:$R112)</f>
        <v>1253761795.8105242</v>
      </c>
      <c r="T112" s="9">
        <f>25061.8-22479.3</f>
        <v>2582.5</v>
      </c>
      <c r="U112" s="9">
        <f t="shared" si="12"/>
        <v>693.99591899591894</v>
      </c>
      <c r="V112" s="9">
        <f t="shared" si="10"/>
        <v>0.43122893818241315</v>
      </c>
      <c r="W112" s="8">
        <f t="shared" si="13"/>
        <v>43.228040720237658</v>
      </c>
      <c r="X112" s="9" t="s">
        <v>18</v>
      </c>
    </row>
    <row r="113" spans="1:24" x14ac:dyDescent="0.55000000000000004">
      <c r="A113" s="17">
        <v>112</v>
      </c>
      <c r="B113" s="2" t="s">
        <v>130</v>
      </c>
      <c r="C113" s="17">
        <v>753</v>
      </c>
      <c r="D113" s="12">
        <f>48+(42.73/60)</f>
        <v>48.712166666666668</v>
      </c>
      <c r="E113" s="12">
        <f>-1*(87+(17.61/60))</f>
        <v>-87.293499999999995</v>
      </c>
      <c r="F113" s="18">
        <v>43668</v>
      </c>
      <c r="G113" s="14">
        <v>0.52708333333333335</v>
      </c>
      <c r="H113" s="15">
        <v>12.8</v>
      </c>
      <c r="I113" s="9">
        <v>7.2</v>
      </c>
      <c r="J113" s="16">
        <v>0.4</v>
      </c>
      <c r="K113" s="9">
        <v>2.4</v>
      </c>
      <c r="L113" s="9">
        <v>1</v>
      </c>
      <c r="M113" s="9">
        <v>0</v>
      </c>
      <c r="N113" s="8">
        <f t="shared" si="7"/>
        <v>1</v>
      </c>
      <c r="O113" s="8">
        <f t="shared" si="8"/>
        <v>7.7671592081225844</v>
      </c>
      <c r="P113" s="8">
        <f>AVERAGE(O$2:$O113)</f>
        <v>754.42066948900197</v>
      </c>
      <c r="Q113" s="8">
        <f>MEDIAN($O$2:$O113)</f>
        <v>120.09995013283088</v>
      </c>
      <c r="R113" s="8">
        <f t="shared" si="5"/>
        <v>12794064.647619521</v>
      </c>
      <c r="S113" s="8">
        <f>AVERAGE($R$2:$R113)</f>
        <v>1242681726.782284</v>
      </c>
      <c r="T113" s="9">
        <f>27487-25061.8</f>
        <v>2425.2000000000007</v>
      </c>
      <c r="U113" s="9">
        <f t="shared" si="12"/>
        <v>651.72464772464787</v>
      </c>
      <c r="V113" s="9">
        <f t="shared" si="10"/>
        <v>0.40496279608131219</v>
      </c>
      <c r="W113" s="8">
        <f t="shared" si="13"/>
        <v>7.6719731128713589</v>
      </c>
      <c r="X113" s="9" t="s">
        <v>18</v>
      </c>
    </row>
    <row r="114" spans="1:24" x14ac:dyDescent="0.55000000000000004">
      <c r="A114" s="17">
        <v>113</v>
      </c>
      <c r="B114" s="2" t="s">
        <v>131</v>
      </c>
      <c r="C114" s="17">
        <v>2155</v>
      </c>
      <c r="D114" s="12">
        <f>48+(33.77/60)</f>
        <v>48.56283333333333</v>
      </c>
      <c r="E114" s="12">
        <f>-1*(87+(45.54/60))</f>
        <v>-87.759</v>
      </c>
      <c r="F114" s="18">
        <v>43669</v>
      </c>
      <c r="G114" s="14">
        <v>0.37638888888888888</v>
      </c>
      <c r="H114" s="15">
        <v>10.8</v>
      </c>
      <c r="I114" s="9">
        <v>11</v>
      </c>
      <c r="J114" s="16">
        <v>0.4</v>
      </c>
      <c r="K114" s="9">
        <v>2.4</v>
      </c>
      <c r="L114" s="9">
        <v>5</v>
      </c>
      <c r="M114" s="9">
        <v>1</v>
      </c>
      <c r="N114" s="8">
        <f t="shared" si="7"/>
        <v>6</v>
      </c>
      <c r="O114" s="8">
        <f t="shared" si="8"/>
        <v>46.602955248735505</v>
      </c>
      <c r="P114" s="8">
        <f>AVERAGE(O$2:$O114)</f>
        <v>748.15679591165451</v>
      </c>
      <c r="Q114" s="8">
        <f>MEDIAN($O$2:$O114)</f>
        <v>117.37040581163018</v>
      </c>
      <c r="R114" s="8">
        <f t="shared" si="5"/>
        <v>76764387.885717124</v>
      </c>
      <c r="S114" s="8">
        <f>AVERAGE($R$2:$R114)</f>
        <v>1232363874.2256773</v>
      </c>
      <c r="T114" s="9">
        <f>30021.2-27487</f>
        <v>2534.2000000000007</v>
      </c>
      <c r="U114" s="9">
        <f t="shared" si="12"/>
        <v>681.01624701624723</v>
      </c>
      <c r="V114" s="9">
        <f t="shared" si="10"/>
        <v>0.42316374642473259</v>
      </c>
      <c r="W114" s="8">
        <f t="shared" si="13"/>
        <v>44.051935585199956</v>
      </c>
      <c r="X114" s="9" t="s">
        <v>18</v>
      </c>
    </row>
    <row r="115" spans="1:24" x14ac:dyDescent="0.55000000000000004">
      <c r="A115" s="9">
        <v>114</v>
      </c>
      <c r="B115" s="2" t="s">
        <v>132</v>
      </c>
      <c r="C115" s="17">
        <v>2127</v>
      </c>
      <c r="D115" s="12">
        <f>48+(17.8/60)</f>
        <v>48.296666666666667</v>
      </c>
      <c r="E115" s="12">
        <f>-1*(87+(39.53/60))</f>
        <v>-87.658833333333334</v>
      </c>
      <c r="F115" s="18">
        <v>43669</v>
      </c>
      <c r="G115" s="14">
        <v>0.48333333333333334</v>
      </c>
      <c r="H115" s="15">
        <v>8.9</v>
      </c>
      <c r="I115" s="9">
        <v>16.100000000000001</v>
      </c>
      <c r="J115" s="16">
        <v>0.42</v>
      </c>
      <c r="K115" s="9">
        <v>2.5</v>
      </c>
      <c r="L115" s="9">
        <v>7</v>
      </c>
      <c r="M115" s="9">
        <v>5</v>
      </c>
      <c r="N115" s="8">
        <f t="shared" si="7"/>
        <v>12</v>
      </c>
      <c r="O115" s="8">
        <f t="shared" si="8"/>
        <v>88.767533807115271</v>
      </c>
      <c r="P115" s="8">
        <f>AVERAGE(O$2:$O115)</f>
        <v>742.37267957740414</v>
      </c>
      <c r="Q115" s="8">
        <f>MEDIAN($O$2:$O115)</f>
        <v>111.64310659755998</v>
      </c>
      <c r="R115" s="8">
        <f t="shared" si="5"/>
        <v>146217881.68708026</v>
      </c>
      <c r="S115" s="8">
        <f>AVERAGE($R$2:$R115)</f>
        <v>1222836277.7999001</v>
      </c>
      <c r="T115" s="9">
        <f>32948.3-30021.2</f>
        <v>2927.1000000000022</v>
      </c>
      <c r="U115" s="9">
        <f t="shared" si="12"/>
        <v>786.60036960037019</v>
      </c>
      <c r="V115" s="9">
        <f t="shared" si="10"/>
        <v>0.48877065825895161</v>
      </c>
      <c r="W115" s="8">
        <f t="shared" si="13"/>
        <v>76.277827993586612</v>
      </c>
      <c r="X115" s="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F258-9CE7-45CC-86BB-0E904C50AFBC}">
  <dimension ref="A1:D25"/>
  <sheetViews>
    <sheetView workbookViewId="0">
      <pane ySplit="1" topLeftCell="A2" activePane="bottomLeft" state="frozen"/>
      <selection pane="bottomLeft" activeCell="B18" sqref="B18"/>
    </sheetView>
  </sheetViews>
  <sheetFormatPr defaultRowHeight="15.6" x14ac:dyDescent="0.6"/>
  <cols>
    <col min="1" max="1" width="20.83984375" style="21" bestFit="1" customWidth="1"/>
    <col min="2" max="2" width="138.62890625" style="22" bestFit="1" customWidth="1"/>
    <col min="3" max="3" width="13.89453125" style="22" bestFit="1" customWidth="1"/>
    <col min="4" max="4" width="85.3125" style="22" bestFit="1" customWidth="1"/>
    <col min="5" max="16384" width="8.83984375" style="22"/>
  </cols>
  <sheetData>
    <row r="1" spans="1:4" x14ac:dyDescent="0.6">
      <c r="A1" s="21" t="s">
        <v>140</v>
      </c>
      <c r="B1" s="22" t="s">
        <v>141</v>
      </c>
      <c r="C1" s="22" t="s">
        <v>163</v>
      </c>
    </row>
    <row r="2" spans="1:4" x14ac:dyDescent="0.6">
      <c r="A2" s="21" t="s">
        <v>0</v>
      </c>
      <c r="B2" s="22" t="s">
        <v>142</v>
      </c>
      <c r="C2" s="22" t="s">
        <v>164</v>
      </c>
      <c r="D2" s="22" t="s">
        <v>168</v>
      </c>
    </row>
    <row r="3" spans="1:4" x14ac:dyDescent="0.6">
      <c r="A3" s="21" t="s">
        <v>138</v>
      </c>
      <c r="B3" s="22" t="s">
        <v>143</v>
      </c>
      <c r="C3" s="22" t="s">
        <v>165</v>
      </c>
      <c r="D3" s="22" t="s">
        <v>170</v>
      </c>
    </row>
    <row r="4" spans="1:4" x14ac:dyDescent="0.6">
      <c r="A4" s="21" t="s">
        <v>1</v>
      </c>
      <c r="B4" s="22" t="s">
        <v>144</v>
      </c>
      <c r="C4" s="22" t="s">
        <v>166</v>
      </c>
      <c r="D4" s="22" t="s">
        <v>167</v>
      </c>
    </row>
    <row r="5" spans="1:4" x14ac:dyDescent="0.6">
      <c r="A5" s="23" t="s">
        <v>2</v>
      </c>
      <c r="B5" s="22" t="s">
        <v>145</v>
      </c>
      <c r="C5" s="22" t="s">
        <v>169</v>
      </c>
      <c r="D5" s="22" t="s">
        <v>173</v>
      </c>
    </row>
    <row r="6" spans="1:4" x14ac:dyDescent="0.6">
      <c r="A6" s="23" t="s">
        <v>3</v>
      </c>
      <c r="B6" s="22" t="s">
        <v>145</v>
      </c>
      <c r="C6" s="22" t="s">
        <v>171</v>
      </c>
      <c r="D6" s="22" t="s">
        <v>172</v>
      </c>
    </row>
    <row r="7" spans="1:4" x14ac:dyDescent="0.6">
      <c r="A7" s="24" t="s">
        <v>4</v>
      </c>
      <c r="B7" s="22" t="s">
        <v>146</v>
      </c>
    </row>
    <row r="8" spans="1:4" x14ac:dyDescent="0.6">
      <c r="A8" s="25" t="s">
        <v>5</v>
      </c>
      <c r="B8" s="22" t="s">
        <v>159</v>
      </c>
      <c r="C8" s="22" t="s">
        <v>174</v>
      </c>
    </row>
    <row r="9" spans="1:4" x14ac:dyDescent="0.6">
      <c r="A9" s="26" t="s">
        <v>6</v>
      </c>
      <c r="B9" s="22" t="s">
        <v>161</v>
      </c>
      <c r="C9" s="29" t="s">
        <v>175</v>
      </c>
    </row>
    <row r="10" spans="1:4" x14ac:dyDescent="0.6">
      <c r="A10" s="26" t="s">
        <v>133</v>
      </c>
      <c r="B10" s="22" t="s">
        <v>160</v>
      </c>
    </row>
    <row r="11" spans="1:4" x14ac:dyDescent="0.6">
      <c r="A11" s="27" t="s">
        <v>134</v>
      </c>
      <c r="B11" s="22" t="s">
        <v>151</v>
      </c>
    </row>
    <row r="12" spans="1:4" x14ac:dyDescent="0.6">
      <c r="A12" s="21" t="s">
        <v>135</v>
      </c>
      <c r="B12" s="22" t="s">
        <v>162</v>
      </c>
    </row>
    <row r="13" spans="1:4" x14ac:dyDescent="0.6">
      <c r="A13" s="21" t="s">
        <v>136</v>
      </c>
      <c r="B13" s="22" t="s">
        <v>147</v>
      </c>
    </row>
    <row r="14" spans="1:4" x14ac:dyDescent="0.6">
      <c r="A14" s="21" t="s">
        <v>137</v>
      </c>
      <c r="B14" s="22" t="s">
        <v>148</v>
      </c>
    </row>
    <row r="15" spans="1:4" x14ac:dyDescent="0.6">
      <c r="A15" s="21" t="s">
        <v>7</v>
      </c>
      <c r="B15" s="22" t="s">
        <v>149</v>
      </c>
    </row>
    <row r="16" spans="1:4" x14ac:dyDescent="0.6">
      <c r="A16" s="28" t="s">
        <v>8</v>
      </c>
      <c r="B16" s="22" t="s">
        <v>176</v>
      </c>
    </row>
    <row r="17" spans="1:2" x14ac:dyDescent="0.6">
      <c r="A17" s="28" t="s">
        <v>139</v>
      </c>
      <c r="B17" s="22" t="s">
        <v>150</v>
      </c>
    </row>
    <row r="18" spans="1:2" x14ac:dyDescent="0.6">
      <c r="A18" s="21" t="s">
        <v>9</v>
      </c>
      <c r="B18" s="22" t="s">
        <v>152</v>
      </c>
    </row>
    <row r="19" spans="1:2" x14ac:dyDescent="0.6">
      <c r="A19" s="28" t="s">
        <v>10</v>
      </c>
      <c r="B19" s="22" t="s">
        <v>158</v>
      </c>
    </row>
    <row r="20" spans="1:2" x14ac:dyDescent="0.6">
      <c r="A20" s="21" t="s">
        <v>11</v>
      </c>
      <c r="B20" s="22" t="s">
        <v>150</v>
      </c>
    </row>
    <row r="21" spans="1:2" x14ac:dyDescent="0.6">
      <c r="A21" s="21" t="s">
        <v>12</v>
      </c>
      <c r="B21" s="22" t="s">
        <v>153</v>
      </c>
    </row>
    <row r="22" spans="1:2" x14ac:dyDescent="0.6">
      <c r="A22" s="21" t="s">
        <v>13</v>
      </c>
      <c r="B22" s="22" t="s">
        <v>154</v>
      </c>
    </row>
    <row r="23" spans="1:2" x14ac:dyDescent="0.6">
      <c r="A23" s="21" t="s">
        <v>14</v>
      </c>
      <c r="B23" s="22" t="s">
        <v>155</v>
      </c>
    </row>
    <row r="24" spans="1:2" x14ac:dyDescent="0.6">
      <c r="A24" s="21" t="s">
        <v>15</v>
      </c>
      <c r="B24" s="22" t="s">
        <v>157</v>
      </c>
    </row>
    <row r="25" spans="1:2" x14ac:dyDescent="0.6">
      <c r="A25" s="21" t="s">
        <v>16</v>
      </c>
      <c r="B25" s="22" t="s">
        <v>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Vinson</dc:creator>
  <cp:lastModifiedBy>Mark Vinson</cp:lastModifiedBy>
  <dcterms:created xsi:type="dcterms:W3CDTF">2020-01-16T12:46:23Z</dcterms:created>
  <dcterms:modified xsi:type="dcterms:W3CDTF">2020-03-17T18:29:27Z</dcterms:modified>
</cp:coreProperties>
</file>