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90" documentId="13_ncr:1_{A881C2B9-F661-49B0-BE2E-BD07018FC185}" xr6:coauthVersionLast="47" xr6:coauthVersionMax="47" xr10:uidLastSave="{34C41168-C46A-48B6-B39F-5E13373DD624}"/>
  <bookViews>
    <workbookView xWindow="-28920" yWindow="-120" windowWidth="29040" windowHeight="15840" tabRatio="852" firstSheet="3" activeTab="14" xr2:uid="{00000000-000D-0000-FFFF-FFFF00000000}"/>
  </bookViews>
  <sheets>
    <sheet name="Introduction" sheetId="40" r:id="rId1"/>
    <sheet name="Store Data" sheetId="42" r:id="rId2"/>
    <sheet name="StarWars Data" sheetId="54" r:id="rId3"/>
    <sheet name="XLOOKUP" sheetId="39" r:id="rId4"/>
    <sheet name="Spill Functions" sheetId="43" r:id="rId5"/>
    <sheet name="FILTER" sheetId="44" r:id="rId6"/>
    <sheet name="FILTER Tables" sheetId="45" r:id="rId7"/>
    <sheet name="Dynamic Arrays" sheetId="50" r:id="rId8"/>
    <sheet name="VSTACK HSTACK" sheetId="51" r:id="rId9"/>
    <sheet name="XLOOKUP Final" sheetId="16" r:id="rId10"/>
    <sheet name="Spill Functions Final" sheetId="46" r:id="rId11"/>
    <sheet name="FILTER final" sheetId="47" r:id="rId12"/>
    <sheet name="FILTER Tables Final" sheetId="48" r:id="rId13"/>
    <sheet name="Dynamic Arrays Final" sheetId="52" r:id="rId14"/>
    <sheet name="VSTACK HSTACK Final" sheetId="53" r:id="rId15"/>
  </sheets>
  <externalReferences>
    <externalReference r:id="rId16"/>
  </externalReferences>
  <definedNames>
    <definedName name="CurrentDate" localSheetId="5">#REF!</definedName>
    <definedName name="CurrentDate" localSheetId="11">#REF!</definedName>
    <definedName name="CurrentDate" localSheetId="6">#REF!</definedName>
    <definedName name="CurrentDate" localSheetId="12">#REF!</definedName>
    <definedName name="CurrentDate" localSheetId="4">#REF!</definedName>
    <definedName name="CurrentDate" localSheetId="10">#REF!</definedName>
    <definedName name="CurrentDate" localSheetId="1">#REF!</definedName>
    <definedName name="CurrentDate">#REF!</definedName>
    <definedName name="NumberRange">'[1]TOROW TOCOL'!$B$5:$E$7</definedName>
    <definedName name="PhoneKeypadRange">'[1]TAKE DROP EXPAND'!$B$5:$D$8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52" l="1" a="1"/>
  <c r="G109" i="52" s="1"/>
  <c r="C90" i="52" a="1"/>
  <c r="C90" i="52" s="1"/>
  <c r="C91" i="52" a="1"/>
  <c r="C91" i="52" s="1"/>
  <c r="C92" i="52" a="1"/>
  <c r="C92" i="52" s="1"/>
  <c r="C93" i="52" a="1"/>
  <c r="C93" i="52" s="1"/>
  <c r="C94" i="52" a="1"/>
  <c r="C94" i="52" s="1"/>
  <c r="C95" i="52" a="1"/>
  <c r="C95" i="52" s="1"/>
  <c r="C89" i="52" a="1"/>
  <c r="C89" i="52" s="1"/>
  <c r="C79" i="52" a="1"/>
  <c r="C79" i="52" s="1"/>
  <c r="C80" i="52" a="1"/>
  <c r="C80" i="52" s="1"/>
  <c r="C81" i="52" a="1"/>
  <c r="C81" i="52" s="1"/>
  <c r="C82" i="52" a="1"/>
  <c r="C82" i="52" s="1"/>
  <c r="C83" i="52" a="1"/>
  <c r="C83" i="52" s="1"/>
  <c r="C84" i="52" a="1"/>
  <c r="C84" i="52" s="1"/>
  <c r="C78" i="52" a="1"/>
  <c r="C78" i="52" s="1"/>
  <c r="J84" i="52"/>
  <c r="I84" i="52"/>
  <c r="J83" i="52"/>
  <c r="I83" i="52"/>
  <c r="J82" i="52"/>
  <c r="I82" i="52"/>
  <c r="J81" i="52"/>
  <c r="I81" i="52"/>
  <c r="J80" i="52"/>
  <c r="I80" i="52"/>
  <c r="J79" i="52"/>
  <c r="I79" i="52"/>
  <c r="I78" i="52"/>
  <c r="J78" i="52"/>
  <c r="H79" i="52"/>
  <c r="H80" i="52"/>
  <c r="H81" i="52"/>
  <c r="H82" i="52"/>
  <c r="H83" i="52"/>
  <c r="H84" i="52"/>
  <c r="H78" i="52"/>
  <c r="C22" i="46" l="1" a="1"/>
  <c r="C22" i="46" s="1"/>
  <c r="B22" i="46" a="1"/>
  <c r="B22" i="46" s="1"/>
  <c r="F16" i="46" a="1"/>
  <c r="F16" i="46" s="1"/>
  <c r="B12" i="46" a="1"/>
  <c r="B12" i="46" s="1"/>
  <c r="B43" i="53" a="1"/>
  <c r="B43" i="53" s="1"/>
  <c r="B34" i="53" a="1"/>
  <c r="B34" i="53" s="1"/>
  <c r="B25" i="53" a="1"/>
  <c r="B25" i="53" s="1"/>
  <c r="B11" i="53" a="1"/>
  <c r="B11" i="53" s="1"/>
  <c r="N5" i="53" a="1"/>
  <c r="N5" i="53" s="1"/>
  <c r="B109" i="52" a="1"/>
  <c r="B109" i="52" s="1"/>
  <c r="E104" i="52" a="1"/>
  <c r="E104" i="52" s="1"/>
  <c r="I104" i="52" s="1"/>
  <c r="E103" i="52" a="1"/>
  <c r="E103" i="52" s="1"/>
  <c r="I103" i="52" s="1"/>
  <c r="E102" i="52" a="1"/>
  <c r="E102" i="52" s="1"/>
  <c r="I102" i="52" s="1"/>
  <c r="E101" i="52" a="1"/>
  <c r="E101" i="52" s="1"/>
  <c r="I101" i="52" s="1"/>
  <c r="E100" i="52" a="1"/>
  <c r="E100" i="52" s="1"/>
  <c r="I100" i="52" s="1"/>
  <c r="D100" i="52" a="1"/>
  <c r="D100" i="52" s="1"/>
  <c r="C100" i="52" a="1"/>
  <c r="C100" i="52" s="1"/>
  <c r="D71" i="52"/>
  <c r="D70" i="52"/>
  <c r="D69" i="52"/>
  <c r="D68" i="52"/>
  <c r="D67" i="52"/>
  <c r="D66" i="52"/>
  <c r="D65" i="52"/>
  <c r="C65" i="52" a="1"/>
  <c r="C65" i="52" s="1"/>
  <c r="N51" i="52" a="1"/>
  <c r="N51" i="52" s="1"/>
  <c r="K51" i="52" a="1"/>
  <c r="K51" i="52" s="1"/>
  <c r="F46" i="52" a="1"/>
  <c r="F46" i="52" s="1"/>
  <c r="B46" i="52" a="1"/>
  <c r="B46" i="52" s="1"/>
  <c r="H42" i="52"/>
  <c r="G42" i="52"/>
  <c r="H41" i="52"/>
  <c r="G41" i="52"/>
  <c r="C41" i="52" a="1"/>
  <c r="C41" i="52" s="1"/>
  <c r="A31" i="52" a="1"/>
  <c r="A31" i="52" s="1"/>
  <c r="B31" i="52" s="1" a="1"/>
  <c r="B31" i="52" s="1"/>
  <c r="C26" i="52"/>
  <c r="C25" i="52"/>
  <c r="C24" i="52"/>
  <c r="C23" i="52"/>
  <c r="B23" i="52" a="1"/>
  <c r="B23" i="52" s="1"/>
  <c r="D17" i="52"/>
  <c r="D16" i="52"/>
  <c r="D15" i="52"/>
  <c r="D14" i="52"/>
  <c r="C14" i="52" a="1"/>
  <c r="C14" i="52" s="1"/>
  <c r="A31" i="50" a="1"/>
  <c r="A31" i="50" s="1"/>
  <c r="D109" i="52" l="1" a="1"/>
  <c r="D109" i="52" s="1"/>
  <c r="F24" i="48" l="1" a="1"/>
  <c r="F24" i="48" s="1"/>
  <c r="C18" i="48" a="1"/>
  <c r="C18" i="48" s="1"/>
  <c r="B18" i="48" a="1"/>
  <c r="B18" i="48" s="1"/>
  <c r="F13" i="48" a="1"/>
  <c r="F13" i="48" s="1"/>
  <c r="F6" i="48" a="1"/>
  <c r="F6" i="48" s="1"/>
  <c r="B6" i="47"/>
  <c r="B8" i="47" s="1"/>
  <c r="E32" i="46"/>
  <c r="E33" i="46" s="1"/>
  <c r="E34" i="46" s="1"/>
  <c r="E35" i="46" s="1"/>
  <c r="B38" i="46" s="1" a="1"/>
  <c r="B38" i="46" s="1"/>
  <c r="D12" i="46" a="1"/>
  <c r="D12" i="46" s="1"/>
  <c r="F12" i="46" s="1" a="1"/>
  <c r="F12" i="46" s="1"/>
  <c r="B6" i="44"/>
  <c r="B8" i="44" s="1"/>
  <c r="E32" i="43"/>
  <c r="E33" i="43" s="1"/>
  <c r="E34" i="43" s="1"/>
  <c r="E35" i="43" s="1"/>
  <c r="K701" i="42"/>
  <c r="L701" i="42" s="1"/>
  <c r="M701" i="42" s="1"/>
  <c r="L700" i="42"/>
  <c r="M700" i="42" s="1"/>
  <c r="K700" i="42"/>
  <c r="K699" i="42"/>
  <c r="L699" i="42" s="1"/>
  <c r="M699" i="42" s="1"/>
  <c r="K698" i="42"/>
  <c r="L698" i="42" s="1"/>
  <c r="M698" i="42" s="1"/>
  <c r="K697" i="42"/>
  <c r="L697" i="42" s="1"/>
  <c r="M697" i="42" s="1"/>
  <c r="K696" i="42"/>
  <c r="L696" i="42" s="1"/>
  <c r="M696" i="42" s="1"/>
  <c r="K695" i="42"/>
  <c r="L695" i="42" s="1"/>
  <c r="M695" i="42" s="1"/>
  <c r="L694" i="42"/>
  <c r="M694" i="42" s="1"/>
  <c r="K694" i="42"/>
  <c r="K693" i="42"/>
  <c r="L693" i="42" s="1"/>
  <c r="M693" i="42" s="1"/>
  <c r="K692" i="42"/>
  <c r="L692" i="42" s="1"/>
  <c r="M692" i="42" s="1"/>
  <c r="K691" i="42"/>
  <c r="L691" i="42" s="1"/>
  <c r="M691" i="42" s="1"/>
  <c r="K690" i="42"/>
  <c r="L690" i="42" s="1"/>
  <c r="M690" i="42" s="1"/>
  <c r="K689" i="42"/>
  <c r="L689" i="42" s="1"/>
  <c r="M689" i="42" s="1"/>
  <c r="K688" i="42"/>
  <c r="L688" i="42" s="1"/>
  <c r="M688" i="42" s="1"/>
  <c r="K687" i="42"/>
  <c r="L687" i="42" s="1"/>
  <c r="M687" i="42" s="1"/>
  <c r="K686" i="42"/>
  <c r="L686" i="42" s="1"/>
  <c r="M686" i="42" s="1"/>
  <c r="K685" i="42"/>
  <c r="L685" i="42" s="1"/>
  <c r="M685" i="42" s="1"/>
  <c r="K684" i="42"/>
  <c r="L684" i="42" s="1"/>
  <c r="M684" i="42" s="1"/>
  <c r="K683" i="42"/>
  <c r="L683" i="42" s="1"/>
  <c r="M683" i="42" s="1"/>
  <c r="K682" i="42"/>
  <c r="L682" i="42" s="1"/>
  <c r="M682" i="42" s="1"/>
  <c r="K681" i="42"/>
  <c r="L681" i="42" s="1"/>
  <c r="M681" i="42" s="1"/>
  <c r="K680" i="42"/>
  <c r="L680" i="42" s="1"/>
  <c r="M680" i="42" s="1"/>
  <c r="K679" i="42"/>
  <c r="L679" i="42" s="1"/>
  <c r="M679" i="42" s="1"/>
  <c r="K678" i="42"/>
  <c r="L678" i="42" s="1"/>
  <c r="M678" i="42" s="1"/>
  <c r="K677" i="42"/>
  <c r="L677" i="42" s="1"/>
  <c r="M677" i="42" s="1"/>
  <c r="K676" i="42"/>
  <c r="L676" i="42" s="1"/>
  <c r="M676" i="42" s="1"/>
  <c r="K675" i="42"/>
  <c r="L675" i="42" s="1"/>
  <c r="M675" i="42" s="1"/>
  <c r="K674" i="42"/>
  <c r="L674" i="42" s="1"/>
  <c r="M674" i="42" s="1"/>
  <c r="L673" i="42"/>
  <c r="M673" i="42" s="1"/>
  <c r="K673" i="42"/>
  <c r="K672" i="42"/>
  <c r="L672" i="42" s="1"/>
  <c r="M672" i="42" s="1"/>
  <c r="K671" i="42"/>
  <c r="L671" i="42" s="1"/>
  <c r="M671" i="42" s="1"/>
  <c r="L670" i="42"/>
  <c r="M670" i="42" s="1"/>
  <c r="K670" i="42"/>
  <c r="K669" i="42"/>
  <c r="L669" i="42" s="1"/>
  <c r="M669" i="42" s="1"/>
  <c r="K668" i="42"/>
  <c r="L668" i="42" s="1"/>
  <c r="M668" i="42" s="1"/>
  <c r="K667" i="42"/>
  <c r="L667" i="42" s="1"/>
  <c r="M667" i="42" s="1"/>
  <c r="L666" i="42"/>
  <c r="M666" i="42" s="1"/>
  <c r="K666" i="42"/>
  <c r="K665" i="42"/>
  <c r="L665" i="42" s="1"/>
  <c r="M665" i="42" s="1"/>
  <c r="K664" i="42"/>
  <c r="L664" i="42" s="1"/>
  <c r="M664" i="42" s="1"/>
  <c r="K663" i="42"/>
  <c r="L663" i="42" s="1"/>
  <c r="M663" i="42" s="1"/>
  <c r="K662" i="42"/>
  <c r="L662" i="42" s="1"/>
  <c r="M662" i="42" s="1"/>
  <c r="K661" i="42"/>
  <c r="L661" i="42" s="1"/>
  <c r="M661" i="42" s="1"/>
  <c r="L660" i="42"/>
  <c r="M660" i="42" s="1"/>
  <c r="K660" i="42"/>
  <c r="K659" i="42"/>
  <c r="L659" i="42" s="1"/>
  <c r="M659" i="42" s="1"/>
  <c r="K658" i="42"/>
  <c r="L658" i="42" s="1"/>
  <c r="M658" i="42" s="1"/>
  <c r="K657" i="42"/>
  <c r="L657" i="42" s="1"/>
  <c r="M657" i="42" s="1"/>
  <c r="K656" i="42"/>
  <c r="L656" i="42" s="1"/>
  <c r="M656" i="42" s="1"/>
  <c r="K655" i="42"/>
  <c r="L655" i="42" s="1"/>
  <c r="M655" i="42" s="1"/>
  <c r="L654" i="42"/>
  <c r="M654" i="42" s="1"/>
  <c r="K654" i="42"/>
  <c r="K653" i="42"/>
  <c r="L653" i="42" s="1"/>
  <c r="M653" i="42" s="1"/>
  <c r="K652" i="42"/>
  <c r="L652" i="42" s="1"/>
  <c r="M652" i="42" s="1"/>
  <c r="K651" i="42"/>
  <c r="L651" i="42" s="1"/>
  <c r="M651" i="42" s="1"/>
  <c r="K650" i="42"/>
  <c r="L650" i="42" s="1"/>
  <c r="M650" i="42" s="1"/>
  <c r="K649" i="42"/>
  <c r="L649" i="42" s="1"/>
  <c r="M649" i="42" s="1"/>
  <c r="K648" i="42"/>
  <c r="L648" i="42" s="1"/>
  <c r="M648" i="42" s="1"/>
  <c r="K647" i="42"/>
  <c r="L647" i="42" s="1"/>
  <c r="M647" i="42" s="1"/>
  <c r="K646" i="42"/>
  <c r="L646" i="42" s="1"/>
  <c r="M646" i="42" s="1"/>
  <c r="K645" i="42"/>
  <c r="L645" i="42" s="1"/>
  <c r="M645" i="42" s="1"/>
  <c r="K644" i="42"/>
  <c r="L644" i="42" s="1"/>
  <c r="M644" i="42" s="1"/>
  <c r="K643" i="42"/>
  <c r="L643" i="42" s="1"/>
  <c r="M643" i="42" s="1"/>
  <c r="K642" i="42"/>
  <c r="L642" i="42" s="1"/>
  <c r="M642" i="42" s="1"/>
  <c r="K641" i="42"/>
  <c r="L641" i="42" s="1"/>
  <c r="M641" i="42" s="1"/>
  <c r="K640" i="42"/>
  <c r="L640" i="42" s="1"/>
  <c r="M640" i="42" s="1"/>
  <c r="K639" i="42"/>
  <c r="L639" i="42" s="1"/>
  <c r="M639" i="42" s="1"/>
  <c r="K638" i="42"/>
  <c r="L638" i="42" s="1"/>
  <c r="M638" i="42" s="1"/>
  <c r="K637" i="42"/>
  <c r="L637" i="42" s="1"/>
  <c r="M637" i="42" s="1"/>
  <c r="K636" i="42"/>
  <c r="L636" i="42" s="1"/>
  <c r="M636" i="42" s="1"/>
  <c r="K635" i="42"/>
  <c r="L635" i="42" s="1"/>
  <c r="M635" i="42" s="1"/>
  <c r="L634" i="42"/>
  <c r="M634" i="42" s="1"/>
  <c r="K634" i="42"/>
  <c r="K633" i="42"/>
  <c r="L633" i="42" s="1"/>
  <c r="M633" i="42" s="1"/>
  <c r="K632" i="42"/>
  <c r="L632" i="42" s="1"/>
  <c r="M632" i="42" s="1"/>
  <c r="K631" i="42"/>
  <c r="L631" i="42" s="1"/>
  <c r="M631" i="42" s="1"/>
  <c r="K630" i="42"/>
  <c r="L630" i="42" s="1"/>
  <c r="M630" i="42" s="1"/>
  <c r="K629" i="42"/>
  <c r="L629" i="42" s="1"/>
  <c r="M629" i="42" s="1"/>
  <c r="L628" i="42"/>
  <c r="M628" i="42" s="1"/>
  <c r="K628" i="42"/>
  <c r="K627" i="42"/>
  <c r="L627" i="42" s="1"/>
  <c r="M627" i="42" s="1"/>
  <c r="M626" i="42"/>
  <c r="L626" i="42"/>
  <c r="K626" i="42"/>
  <c r="K625" i="42"/>
  <c r="L625" i="42" s="1"/>
  <c r="M625" i="42" s="1"/>
  <c r="K624" i="42"/>
  <c r="L624" i="42" s="1"/>
  <c r="M624" i="42" s="1"/>
  <c r="K623" i="42"/>
  <c r="L623" i="42" s="1"/>
  <c r="M623" i="42" s="1"/>
  <c r="K622" i="42"/>
  <c r="L622" i="42" s="1"/>
  <c r="M622" i="42" s="1"/>
  <c r="K621" i="42"/>
  <c r="L621" i="42" s="1"/>
  <c r="M621" i="42" s="1"/>
  <c r="K620" i="42"/>
  <c r="L620" i="42" s="1"/>
  <c r="M620" i="42" s="1"/>
  <c r="K619" i="42"/>
  <c r="L619" i="42" s="1"/>
  <c r="M619" i="42" s="1"/>
  <c r="K618" i="42"/>
  <c r="L618" i="42" s="1"/>
  <c r="M618" i="42" s="1"/>
  <c r="K617" i="42"/>
  <c r="L617" i="42" s="1"/>
  <c r="M617" i="42" s="1"/>
  <c r="K616" i="42"/>
  <c r="L616" i="42" s="1"/>
  <c r="M616" i="42" s="1"/>
  <c r="K615" i="42"/>
  <c r="L615" i="42" s="1"/>
  <c r="M615" i="42" s="1"/>
  <c r="L614" i="42"/>
  <c r="M614" i="42" s="1"/>
  <c r="K614" i="42"/>
  <c r="K613" i="42"/>
  <c r="L613" i="42" s="1"/>
  <c r="M613" i="42" s="1"/>
  <c r="K612" i="42"/>
  <c r="L612" i="42" s="1"/>
  <c r="M612" i="42" s="1"/>
  <c r="K611" i="42"/>
  <c r="L611" i="42" s="1"/>
  <c r="M611" i="42" s="1"/>
  <c r="K610" i="42"/>
  <c r="L610" i="42" s="1"/>
  <c r="M610" i="42" s="1"/>
  <c r="L609" i="42"/>
  <c r="M609" i="42" s="1"/>
  <c r="K609" i="42"/>
  <c r="K608" i="42"/>
  <c r="L608" i="42" s="1"/>
  <c r="M608" i="42" s="1"/>
  <c r="K607" i="42"/>
  <c r="L607" i="42" s="1"/>
  <c r="M607" i="42" s="1"/>
  <c r="L606" i="42"/>
  <c r="M606" i="42" s="1"/>
  <c r="K606" i="42"/>
  <c r="K605" i="42"/>
  <c r="L605" i="42" s="1"/>
  <c r="M605" i="42" s="1"/>
  <c r="K604" i="42"/>
  <c r="L604" i="42" s="1"/>
  <c r="M604" i="42" s="1"/>
  <c r="K603" i="42"/>
  <c r="L603" i="42" s="1"/>
  <c r="M603" i="42" s="1"/>
  <c r="K602" i="42"/>
  <c r="L602" i="42" s="1"/>
  <c r="M602" i="42" s="1"/>
  <c r="K601" i="42"/>
  <c r="L601" i="42" s="1"/>
  <c r="M601" i="42" s="1"/>
  <c r="K600" i="42"/>
  <c r="L600" i="42" s="1"/>
  <c r="M600" i="42" s="1"/>
  <c r="K599" i="42"/>
  <c r="L599" i="42" s="1"/>
  <c r="M599" i="42" s="1"/>
  <c r="L598" i="42"/>
  <c r="M598" i="42" s="1"/>
  <c r="K598" i="42"/>
  <c r="K597" i="42"/>
  <c r="L597" i="42" s="1"/>
  <c r="M597" i="42" s="1"/>
  <c r="K596" i="42"/>
  <c r="L596" i="42" s="1"/>
  <c r="M596" i="42" s="1"/>
  <c r="K595" i="42"/>
  <c r="L595" i="42" s="1"/>
  <c r="M595" i="42" s="1"/>
  <c r="L594" i="42"/>
  <c r="M594" i="42" s="1"/>
  <c r="K594" i="42"/>
  <c r="K593" i="42"/>
  <c r="L593" i="42" s="1"/>
  <c r="M593" i="42" s="1"/>
  <c r="K592" i="42"/>
  <c r="L592" i="42" s="1"/>
  <c r="M592" i="42" s="1"/>
  <c r="K591" i="42"/>
  <c r="L591" i="42" s="1"/>
  <c r="M591" i="42" s="1"/>
  <c r="K590" i="42"/>
  <c r="L590" i="42" s="1"/>
  <c r="M590" i="42" s="1"/>
  <c r="K589" i="42"/>
  <c r="L589" i="42" s="1"/>
  <c r="M589" i="42" s="1"/>
  <c r="K588" i="42"/>
  <c r="L588" i="42" s="1"/>
  <c r="M588" i="42" s="1"/>
  <c r="K587" i="42"/>
  <c r="L587" i="42" s="1"/>
  <c r="M587" i="42" s="1"/>
  <c r="K586" i="42"/>
  <c r="L586" i="42" s="1"/>
  <c r="M586" i="42" s="1"/>
  <c r="K585" i="42"/>
  <c r="L585" i="42" s="1"/>
  <c r="M585" i="42" s="1"/>
  <c r="K584" i="42"/>
  <c r="L584" i="42" s="1"/>
  <c r="M584" i="42" s="1"/>
  <c r="K583" i="42"/>
  <c r="L583" i="42" s="1"/>
  <c r="M583" i="42" s="1"/>
  <c r="L582" i="42"/>
  <c r="M582" i="42" s="1"/>
  <c r="K582" i="42"/>
  <c r="K581" i="42"/>
  <c r="L581" i="42" s="1"/>
  <c r="M581" i="42" s="1"/>
  <c r="K580" i="42"/>
  <c r="L580" i="42" s="1"/>
  <c r="M580" i="42" s="1"/>
  <c r="K579" i="42"/>
  <c r="L579" i="42" s="1"/>
  <c r="M579" i="42" s="1"/>
  <c r="K578" i="42"/>
  <c r="L578" i="42" s="1"/>
  <c r="M578" i="42" s="1"/>
  <c r="L577" i="42"/>
  <c r="M577" i="42" s="1"/>
  <c r="K577" i="42"/>
  <c r="K576" i="42"/>
  <c r="L576" i="42" s="1"/>
  <c r="M576" i="42" s="1"/>
  <c r="K575" i="42"/>
  <c r="L575" i="42" s="1"/>
  <c r="M575" i="42" s="1"/>
  <c r="L574" i="42"/>
  <c r="M574" i="42" s="1"/>
  <c r="K574" i="42"/>
  <c r="K573" i="42"/>
  <c r="L573" i="42" s="1"/>
  <c r="M573" i="42" s="1"/>
  <c r="K572" i="42"/>
  <c r="L572" i="42" s="1"/>
  <c r="M572" i="42" s="1"/>
  <c r="K571" i="42"/>
  <c r="L571" i="42" s="1"/>
  <c r="M571" i="42" s="1"/>
  <c r="K570" i="42"/>
  <c r="L570" i="42" s="1"/>
  <c r="M570" i="42" s="1"/>
  <c r="K569" i="42"/>
  <c r="L569" i="42" s="1"/>
  <c r="M569" i="42" s="1"/>
  <c r="K568" i="42"/>
  <c r="L568" i="42" s="1"/>
  <c r="M568" i="42" s="1"/>
  <c r="K567" i="42"/>
  <c r="L567" i="42" s="1"/>
  <c r="M567" i="42" s="1"/>
  <c r="K566" i="42"/>
  <c r="L566" i="42" s="1"/>
  <c r="M566" i="42" s="1"/>
  <c r="K565" i="42"/>
  <c r="L565" i="42" s="1"/>
  <c r="M565" i="42" s="1"/>
  <c r="K564" i="42"/>
  <c r="L564" i="42" s="1"/>
  <c r="M564" i="42" s="1"/>
  <c r="K563" i="42"/>
  <c r="L563" i="42" s="1"/>
  <c r="M563" i="42" s="1"/>
  <c r="K562" i="42"/>
  <c r="L562" i="42" s="1"/>
  <c r="M562" i="42" s="1"/>
  <c r="K561" i="42"/>
  <c r="L561" i="42" s="1"/>
  <c r="M561" i="42" s="1"/>
  <c r="K560" i="42"/>
  <c r="L560" i="42" s="1"/>
  <c r="M560" i="42" s="1"/>
  <c r="K559" i="42"/>
  <c r="L559" i="42" s="1"/>
  <c r="M559" i="42" s="1"/>
  <c r="L558" i="42"/>
  <c r="M558" i="42" s="1"/>
  <c r="K558" i="42"/>
  <c r="K557" i="42"/>
  <c r="L557" i="42" s="1"/>
  <c r="M557" i="42" s="1"/>
  <c r="K556" i="42"/>
  <c r="L556" i="42" s="1"/>
  <c r="M556" i="42" s="1"/>
  <c r="K555" i="42"/>
  <c r="L555" i="42" s="1"/>
  <c r="M555" i="42" s="1"/>
  <c r="L554" i="42"/>
  <c r="M554" i="42" s="1"/>
  <c r="K554" i="42"/>
  <c r="L553" i="42"/>
  <c r="M553" i="42" s="1"/>
  <c r="K553" i="42"/>
  <c r="K552" i="42"/>
  <c r="L552" i="42" s="1"/>
  <c r="M552" i="42" s="1"/>
  <c r="K551" i="42"/>
  <c r="L551" i="42" s="1"/>
  <c r="M551" i="42" s="1"/>
  <c r="L550" i="42"/>
  <c r="M550" i="42" s="1"/>
  <c r="K550" i="42"/>
  <c r="K549" i="42"/>
  <c r="L549" i="42" s="1"/>
  <c r="M549" i="42" s="1"/>
  <c r="K548" i="42"/>
  <c r="L548" i="42" s="1"/>
  <c r="M548" i="42" s="1"/>
  <c r="K547" i="42"/>
  <c r="L547" i="42" s="1"/>
  <c r="M547" i="42" s="1"/>
  <c r="L546" i="42"/>
  <c r="M546" i="42" s="1"/>
  <c r="K546" i="42"/>
  <c r="L545" i="42"/>
  <c r="M545" i="42" s="1"/>
  <c r="K545" i="42"/>
  <c r="K544" i="42"/>
  <c r="L544" i="42" s="1"/>
  <c r="M544" i="42" s="1"/>
  <c r="K543" i="42"/>
  <c r="L543" i="42" s="1"/>
  <c r="M543" i="42" s="1"/>
  <c r="L542" i="42"/>
  <c r="M542" i="42" s="1"/>
  <c r="K542" i="42"/>
  <c r="K541" i="42"/>
  <c r="L541" i="42" s="1"/>
  <c r="M541" i="42" s="1"/>
  <c r="K540" i="42"/>
  <c r="L540" i="42" s="1"/>
  <c r="M540" i="42" s="1"/>
  <c r="K539" i="42"/>
  <c r="L539" i="42" s="1"/>
  <c r="M539" i="42" s="1"/>
  <c r="K538" i="42"/>
  <c r="L538" i="42" s="1"/>
  <c r="M538" i="42" s="1"/>
  <c r="K537" i="42"/>
  <c r="L537" i="42" s="1"/>
  <c r="M537" i="42" s="1"/>
  <c r="K536" i="42"/>
  <c r="L536" i="42" s="1"/>
  <c r="M536" i="42" s="1"/>
  <c r="K535" i="42"/>
  <c r="L535" i="42" s="1"/>
  <c r="M535" i="42" s="1"/>
  <c r="L534" i="42"/>
  <c r="M534" i="42" s="1"/>
  <c r="K534" i="42"/>
  <c r="K533" i="42"/>
  <c r="L533" i="42" s="1"/>
  <c r="M533" i="42" s="1"/>
  <c r="K532" i="42"/>
  <c r="L532" i="42" s="1"/>
  <c r="M532" i="42" s="1"/>
  <c r="K531" i="42"/>
  <c r="L531" i="42" s="1"/>
  <c r="M531" i="42" s="1"/>
  <c r="L530" i="42"/>
  <c r="M530" i="42" s="1"/>
  <c r="K530" i="42"/>
  <c r="L529" i="42"/>
  <c r="M529" i="42" s="1"/>
  <c r="K529" i="42"/>
  <c r="K528" i="42"/>
  <c r="L528" i="42" s="1"/>
  <c r="M528" i="42" s="1"/>
  <c r="K527" i="42"/>
  <c r="L527" i="42" s="1"/>
  <c r="M527" i="42" s="1"/>
  <c r="L526" i="42"/>
  <c r="M526" i="42" s="1"/>
  <c r="K526" i="42"/>
  <c r="K525" i="42"/>
  <c r="L525" i="42" s="1"/>
  <c r="M525" i="42" s="1"/>
  <c r="K524" i="42"/>
  <c r="L524" i="42" s="1"/>
  <c r="M524" i="42" s="1"/>
  <c r="K523" i="42"/>
  <c r="L523" i="42" s="1"/>
  <c r="M523" i="42" s="1"/>
  <c r="K522" i="42"/>
  <c r="L522" i="42" s="1"/>
  <c r="M522" i="42" s="1"/>
  <c r="K521" i="42"/>
  <c r="L521" i="42" s="1"/>
  <c r="M521" i="42" s="1"/>
  <c r="K520" i="42"/>
  <c r="L520" i="42" s="1"/>
  <c r="M520" i="42" s="1"/>
  <c r="K519" i="42"/>
  <c r="L519" i="42" s="1"/>
  <c r="M519" i="42" s="1"/>
  <c r="L518" i="42"/>
  <c r="M518" i="42" s="1"/>
  <c r="K518" i="42"/>
  <c r="K517" i="42"/>
  <c r="L517" i="42" s="1"/>
  <c r="M517" i="42" s="1"/>
  <c r="K516" i="42"/>
  <c r="L516" i="42" s="1"/>
  <c r="M516" i="42" s="1"/>
  <c r="K515" i="42"/>
  <c r="L515" i="42" s="1"/>
  <c r="M515" i="42" s="1"/>
  <c r="K514" i="42"/>
  <c r="L514" i="42" s="1"/>
  <c r="M514" i="42" s="1"/>
  <c r="K513" i="42"/>
  <c r="L513" i="42" s="1"/>
  <c r="M513" i="42" s="1"/>
  <c r="K512" i="42"/>
  <c r="L512" i="42" s="1"/>
  <c r="M512" i="42" s="1"/>
  <c r="K511" i="42"/>
  <c r="L511" i="42" s="1"/>
  <c r="M511" i="42" s="1"/>
  <c r="K510" i="42"/>
  <c r="L510" i="42" s="1"/>
  <c r="M510" i="42" s="1"/>
  <c r="K509" i="42"/>
  <c r="L509" i="42" s="1"/>
  <c r="M509" i="42" s="1"/>
  <c r="K508" i="42"/>
  <c r="L508" i="42" s="1"/>
  <c r="M508" i="42" s="1"/>
  <c r="K507" i="42"/>
  <c r="L507" i="42" s="1"/>
  <c r="M507" i="42" s="1"/>
  <c r="K506" i="42"/>
  <c r="L506" i="42" s="1"/>
  <c r="M506" i="42" s="1"/>
  <c r="K505" i="42"/>
  <c r="L505" i="42" s="1"/>
  <c r="M505" i="42" s="1"/>
  <c r="K504" i="42"/>
  <c r="L504" i="42" s="1"/>
  <c r="M504" i="42" s="1"/>
  <c r="K503" i="42"/>
  <c r="L503" i="42" s="1"/>
  <c r="M503" i="42" s="1"/>
  <c r="K502" i="42"/>
  <c r="L502" i="42" s="1"/>
  <c r="M502" i="42" s="1"/>
  <c r="K501" i="42"/>
  <c r="L501" i="42" s="1"/>
  <c r="M501" i="42" s="1"/>
  <c r="K500" i="42"/>
  <c r="L500" i="42" s="1"/>
  <c r="M500" i="42" s="1"/>
  <c r="K499" i="42"/>
  <c r="L499" i="42" s="1"/>
  <c r="M499" i="42" s="1"/>
  <c r="K498" i="42"/>
  <c r="L498" i="42" s="1"/>
  <c r="M498" i="42" s="1"/>
  <c r="K497" i="42"/>
  <c r="L497" i="42" s="1"/>
  <c r="M497" i="42" s="1"/>
  <c r="K496" i="42"/>
  <c r="L496" i="42" s="1"/>
  <c r="M496" i="42" s="1"/>
  <c r="K495" i="42"/>
  <c r="L495" i="42" s="1"/>
  <c r="M495" i="42" s="1"/>
  <c r="K494" i="42"/>
  <c r="L494" i="42" s="1"/>
  <c r="M494" i="42" s="1"/>
  <c r="K493" i="42"/>
  <c r="L493" i="42" s="1"/>
  <c r="M493" i="42" s="1"/>
  <c r="K492" i="42"/>
  <c r="L492" i="42" s="1"/>
  <c r="M492" i="42" s="1"/>
  <c r="K491" i="42"/>
  <c r="L491" i="42" s="1"/>
  <c r="M491" i="42" s="1"/>
  <c r="L490" i="42"/>
  <c r="M490" i="42" s="1"/>
  <c r="K490" i="42"/>
  <c r="K489" i="42"/>
  <c r="L489" i="42" s="1"/>
  <c r="M489" i="42" s="1"/>
  <c r="K488" i="42"/>
  <c r="L488" i="42" s="1"/>
  <c r="M488" i="42" s="1"/>
  <c r="K487" i="42"/>
  <c r="L487" i="42" s="1"/>
  <c r="M487" i="42" s="1"/>
  <c r="L486" i="42"/>
  <c r="M486" i="42" s="1"/>
  <c r="K486" i="42"/>
  <c r="K485" i="42"/>
  <c r="L485" i="42" s="1"/>
  <c r="M485" i="42" s="1"/>
  <c r="L484" i="42"/>
  <c r="M484" i="42" s="1"/>
  <c r="K484" i="42"/>
  <c r="K483" i="42"/>
  <c r="L483" i="42" s="1"/>
  <c r="M483" i="42" s="1"/>
  <c r="K482" i="42"/>
  <c r="L482" i="42" s="1"/>
  <c r="M482" i="42" s="1"/>
  <c r="K481" i="42"/>
  <c r="L481" i="42" s="1"/>
  <c r="M481" i="42" s="1"/>
  <c r="K480" i="42"/>
  <c r="L480" i="42" s="1"/>
  <c r="M480" i="42" s="1"/>
  <c r="K479" i="42"/>
  <c r="L479" i="42" s="1"/>
  <c r="M479" i="42" s="1"/>
  <c r="L478" i="42"/>
  <c r="M478" i="42" s="1"/>
  <c r="K478" i="42"/>
  <c r="K477" i="42"/>
  <c r="L477" i="42" s="1"/>
  <c r="M477" i="42" s="1"/>
  <c r="K476" i="42"/>
  <c r="L476" i="42" s="1"/>
  <c r="M476" i="42" s="1"/>
  <c r="K475" i="42"/>
  <c r="L475" i="42" s="1"/>
  <c r="M475" i="42" s="1"/>
  <c r="L474" i="42"/>
  <c r="M474" i="42" s="1"/>
  <c r="K474" i="42"/>
  <c r="K473" i="42"/>
  <c r="L473" i="42" s="1"/>
  <c r="M473" i="42" s="1"/>
  <c r="K472" i="42"/>
  <c r="L472" i="42" s="1"/>
  <c r="M472" i="42" s="1"/>
  <c r="K471" i="42"/>
  <c r="L471" i="42" s="1"/>
  <c r="M471" i="42" s="1"/>
  <c r="K470" i="42"/>
  <c r="L470" i="42" s="1"/>
  <c r="M470" i="42" s="1"/>
  <c r="K469" i="42"/>
  <c r="L469" i="42" s="1"/>
  <c r="M469" i="42" s="1"/>
  <c r="K468" i="42"/>
  <c r="L468" i="42" s="1"/>
  <c r="M468" i="42" s="1"/>
  <c r="K467" i="42"/>
  <c r="L467" i="42" s="1"/>
  <c r="M467" i="42" s="1"/>
  <c r="K466" i="42"/>
  <c r="L466" i="42" s="1"/>
  <c r="M466" i="42" s="1"/>
  <c r="K465" i="42"/>
  <c r="L465" i="42" s="1"/>
  <c r="M465" i="42" s="1"/>
  <c r="K464" i="42"/>
  <c r="L464" i="42" s="1"/>
  <c r="M464" i="42" s="1"/>
  <c r="K463" i="42"/>
  <c r="L463" i="42" s="1"/>
  <c r="M463" i="42" s="1"/>
  <c r="K462" i="42"/>
  <c r="L462" i="42" s="1"/>
  <c r="M462" i="42" s="1"/>
  <c r="K461" i="42"/>
  <c r="L461" i="42" s="1"/>
  <c r="M461" i="42" s="1"/>
  <c r="K460" i="42"/>
  <c r="L460" i="42" s="1"/>
  <c r="M460" i="42" s="1"/>
  <c r="K459" i="42"/>
  <c r="L459" i="42" s="1"/>
  <c r="M459" i="42" s="1"/>
  <c r="L458" i="42"/>
  <c r="M458" i="42" s="1"/>
  <c r="K458" i="42"/>
  <c r="K457" i="42"/>
  <c r="L457" i="42" s="1"/>
  <c r="M457" i="42" s="1"/>
  <c r="K456" i="42"/>
  <c r="L456" i="42" s="1"/>
  <c r="M456" i="42" s="1"/>
  <c r="K455" i="42"/>
  <c r="L455" i="42" s="1"/>
  <c r="M455" i="42" s="1"/>
  <c r="K454" i="42"/>
  <c r="L454" i="42" s="1"/>
  <c r="M454" i="42" s="1"/>
  <c r="K453" i="42"/>
  <c r="L453" i="42" s="1"/>
  <c r="M453" i="42" s="1"/>
  <c r="K452" i="42"/>
  <c r="L452" i="42" s="1"/>
  <c r="M452" i="42" s="1"/>
  <c r="K451" i="42"/>
  <c r="L451" i="42" s="1"/>
  <c r="M451" i="42" s="1"/>
  <c r="K450" i="42"/>
  <c r="L450" i="42" s="1"/>
  <c r="M450" i="42" s="1"/>
  <c r="K449" i="42"/>
  <c r="L449" i="42" s="1"/>
  <c r="M449" i="42" s="1"/>
  <c r="K448" i="42"/>
  <c r="L448" i="42" s="1"/>
  <c r="M448" i="42" s="1"/>
  <c r="K447" i="42"/>
  <c r="L447" i="42" s="1"/>
  <c r="M447" i="42" s="1"/>
  <c r="K446" i="42"/>
  <c r="L446" i="42" s="1"/>
  <c r="M446" i="42" s="1"/>
  <c r="K445" i="42"/>
  <c r="L445" i="42" s="1"/>
  <c r="M445" i="42" s="1"/>
  <c r="K444" i="42"/>
  <c r="L444" i="42" s="1"/>
  <c r="M444" i="42" s="1"/>
  <c r="K443" i="42"/>
  <c r="L443" i="42" s="1"/>
  <c r="M443" i="42" s="1"/>
  <c r="L442" i="42"/>
  <c r="M442" i="42" s="1"/>
  <c r="K442" i="42"/>
  <c r="K441" i="42"/>
  <c r="L441" i="42" s="1"/>
  <c r="M441" i="42" s="1"/>
  <c r="K440" i="42"/>
  <c r="L440" i="42" s="1"/>
  <c r="M440" i="42" s="1"/>
  <c r="K439" i="42"/>
  <c r="L439" i="42" s="1"/>
  <c r="M439" i="42" s="1"/>
  <c r="K438" i="42"/>
  <c r="L438" i="42" s="1"/>
  <c r="M438" i="42" s="1"/>
  <c r="K437" i="42"/>
  <c r="L437" i="42" s="1"/>
  <c r="M437" i="42" s="1"/>
  <c r="K436" i="42"/>
  <c r="L436" i="42" s="1"/>
  <c r="M436" i="42" s="1"/>
  <c r="K435" i="42"/>
  <c r="L435" i="42" s="1"/>
  <c r="M435" i="42" s="1"/>
  <c r="L434" i="42"/>
  <c r="M434" i="42" s="1"/>
  <c r="K434" i="42"/>
  <c r="K433" i="42"/>
  <c r="L433" i="42" s="1"/>
  <c r="M433" i="42" s="1"/>
  <c r="K432" i="42"/>
  <c r="L432" i="42" s="1"/>
  <c r="M432" i="42" s="1"/>
  <c r="K431" i="42"/>
  <c r="L431" i="42" s="1"/>
  <c r="M431" i="42" s="1"/>
  <c r="K430" i="42"/>
  <c r="L430" i="42" s="1"/>
  <c r="M430" i="42" s="1"/>
  <c r="K429" i="42"/>
  <c r="L429" i="42" s="1"/>
  <c r="M429" i="42" s="1"/>
  <c r="K428" i="42"/>
  <c r="L428" i="42" s="1"/>
  <c r="M428" i="42" s="1"/>
  <c r="K427" i="42"/>
  <c r="L427" i="42" s="1"/>
  <c r="M427" i="42" s="1"/>
  <c r="L426" i="42"/>
  <c r="M426" i="42" s="1"/>
  <c r="K426" i="42"/>
  <c r="K425" i="42"/>
  <c r="L425" i="42" s="1"/>
  <c r="M425" i="42" s="1"/>
  <c r="K424" i="42"/>
  <c r="L424" i="42" s="1"/>
  <c r="M424" i="42" s="1"/>
  <c r="K423" i="42"/>
  <c r="L423" i="42" s="1"/>
  <c r="M423" i="42" s="1"/>
  <c r="K422" i="42"/>
  <c r="L422" i="42" s="1"/>
  <c r="M422" i="42" s="1"/>
  <c r="K421" i="42"/>
  <c r="L421" i="42" s="1"/>
  <c r="M421" i="42" s="1"/>
  <c r="K420" i="42"/>
  <c r="L420" i="42" s="1"/>
  <c r="M420" i="42" s="1"/>
  <c r="K419" i="42"/>
  <c r="L419" i="42" s="1"/>
  <c r="M419" i="42" s="1"/>
  <c r="K418" i="42"/>
  <c r="L418" i="42" s="1"/>
  <c r="M418" i="42" s="1"/>
  <c r="K417" i="42"/>
  <c r="L417" i="42" s="1"/>
  <c r="M417" i="42" s="1"/>
  <c r="K416" i="42"/>
  <c r="L416" i="42" s="1"/>
  <c r="M416" i="42" s="1"/>
  <c r="K415" i="42"/>
  <c r="L415" i="42" s="1"/>
  <c r="M415" i="42" s="1"/>
  <c r="L414" i="42"/>
  <c r="M414" i="42" s="1"/>
  <c r="K414" i="42"/>
  <c r="K413" i="42"/>
  <c r="L413" i="42" s="1"/>
  <c r="M413" i="42" s="1"/>
  <c r="K412" i="42"/>
  <c r="L412" i="42" s="1"/>
  <c r="M412" i="42" s="1"/>
  <c r="K411" i="42"/>
  <c r="L411" i="42" s="1"/>
  <c r="M411" i="42" s="1"/>
  <c r="L410" i="42"/>
  <c r="M410" i="42" s="1"/>
  <c r="K410" i="42"/>
  <c r="K409" i="42"/>
  <c r="L409" i="42" s="1"/>
  <c r="M409" i="42" s="1"/>
  <c r="K408" i="42"/>
  <c r="L408" i="42" s="1"/>
  <c r="M408" i="42" s="1"/>
  <c r="K407" i="42"/>
  <c r="L407" i="42" s="1"/>
  <c r="M407" i="42" s="1"/>
  <c r="K406" i="42"/>
  <c r="L406" i="42" s="1"/>
  <c r="M406" i="42" s="1"/>
  <c r="K405" i="42"/>
  <c r="L405" i="42" s="1"/>
  <c r="M405" i="42" s="1"/>
  <c r="K404" i="42"/>
  <c r="L404" i="42" s="1"/>
  <c r="M404" i="42" s="1"/>
  <c r="K403" i="42"/>
  <c r="L403" i="42" s="1"/>
  <c r="M403" i="42" s="1"/>
  <c r="K402" i="42"/>
  <c r="L402" i="42" s="1"/>
  <c r="M402" i="42" s="1"/>
  <c r="K401" i="42"/>
  <c r="L401" i="42" s="1"/>
  <c r="M401" i="42" s="1"/>
  <c r="K400" i="42"/>
  <c r="L400" i="42" s="1"/>
  <c r="M400" i="42" s="1"/>
  <c r="K399" i="42"/>
  <c r="L399" i="42" s="1"/>
  <c r="M399" i="42" s="1"/>
  <c r="K398" i="42"/>
  <c r="L398" i="42" s="1"/>
  <c r="M398" i="42" s="1"/>
  <c r="K397" i="42"/>
  <c r="L397" i="42" s="1"/>
  <c r="M397" i="42" s="1"/>
  <c r="K396" i="42"/>
  <c r="L396" i="42" s="1"/>
  <c r="M396" i="42" s="1"/>
  <c r="K395" i="42"/>
  <c r="L395" i="42" s="1"/>
  <c r="M395" i="42" s="1"/>
  <c r="L394" i="42"/>
  <c r="M394" i="42" s="1"/>
  <c r="K394" i="42"/>
  <c r="K393" i="42"/>
  <c r="L393" i="42" s="1"/>
  <c r="M393" i="42" s="1"/>
  <c r="K392" i="42"/>
  <c r="L392" i="42" s="1"/>
  <c r="M392" i="42" s="1"/>
  <c r="K391" i="42"/>
  <c r="L391" i="42" s="1"/>
  <c r="M391" i="42" s="1"/>
  <c r="K390" i="42"/>
  <c r="L390" i="42" s="1"/>
  <c r="M390" i="42" s="1"/>
  <c r="K389" i="42"/>
  <c r="L389" i="42" s="1"/>
  <c r="M389" i="42" s="1"/>
  <c r="K388" i="42"/>
  <c r="L388" i="42" s="1"/>
  <c r="M388" i="42" s="1"/>
  <c r="K387" i="42"/>
  <c r="L387" i="42" s="1"/>
  <c r="M387" i="42" s="1"/>
  <c r="K386" i="42"/>
  <c r="L386" i="42" s="1"/>
  <c r="M386" i="42" s="1"/>
  <c r="K385" i="42"/>
  <c r="L385" i="42" s="1"/>
  <c r="M385" i="42" s="1"/>
  <c r="K384" i="42"/>
  <c r="L384" i="42" s="1"/>
  <c r="M384" i="42" s="1"/>
  <c r="K383" i="42"/>
  <c r="L383" i="42" s="1"/>
  <c r="M383" i="42" s="1"/>
  <c r="K382" i="42"/>
  <c r="L382" i="42" s="1"/>
  <c r="M382" i="42" s="1"/>
  <c r="K381" i="42"/>
  <c r="L381" i="42" s="1"/>
  <c r="M381" i="42" s="1"/>
  <c r="K380" i="42"/>
  <c r="L380" i="42" s="1"/>
  <c r="M380" i="42" s="1"/>
  <c r="K379" i="42"/>
  <c r="L379" i="42" s="1"/>
  <c r="M379" i="42" s="1"/>
  <c r="L378" i="42"/>
  <c r="M378" i="42" s="1"/>
  <c r="K378" i="42"/>
  <c r="L377" i="42"/>
  <c r="M377" i="42" s="1"/>
  <c r="K377" i="42"/>
  <c r="K376" i="42"/>
  <c r="L376" i="42" s="1"/>
  <c r="M376" i="42" s="1"/>
  <c r="K375" i="42"/>
  <c r="L375" i="42" s="1"/>
  <c r="M375" i="42" s="1"/>
  <c r="K374" i="42"/>
  <c r="L374" i="42" s="1"/>
  <c r="M374" i="42" s="1"/>
  <c r="K373" i="42"/>
  <c r="L373" i="42" s="1"/>
  <c r="M373" i="42" s="1"/>
  <c r="L372" i="42"/>
  <c r="M372" i="42" s="1"/>
  <c r="K372" i="42"/>
  <c r="K371" i="42"/>
  <c r="L371" i="42" s="1"/>
  <c r="M371" i="42" s="1"/>
  <c r="M370" i="42"/>
  <c r="L370" i="42"/>
  <c r="K370" i="42"/>
  <c r="K369" i="42"/>
  <c r="L369" i="42" s="1"/>
  <c r="M369" i="42" s="1"/>
  <c r="K368" i="42"/>
  <c r="L368" i="42" s="1"/>
  <c r="M368" i="42" s="1"/>
  <c r="K367" i="42"/>
  <c r="L367" i="42" s="1"/>
  <c r="M367" i="42" s="1"/>
  <c r="K366" i="42"/>
  <c r="L366" i="42" s="1"/>
  <c r="M366" i="42" s="1"/>
  <c r="K365" i="42"/>
  <c r="L365" i="42" s="1"/>
  <c r="M365" i="42" s="1"/>
  <c r="K364" i="42"/>
  <c r="L364" i="42" s="1"/>
  <c r="M364" i="42" s="1"/>
  <c r="K363" i="42"/>
  <c r="L363" i="42" s="1"/>
  <c r="M363" i="42" s="1"/>
  <c r="K362" i="42"/>
  <c r="L362" i="42" s="1"/>
  <c r="M362" i="42" s="1"/>
  <c r="L361" i="42"/>
  <c r="M361" i="42" s="1"/>
  <c r="K361" i="42"/>
  <c r="K360" i="42"/>
  <c r="L360" i="42" s="1"/>
  <c r="M360" i="42" s="1"/>
  <c r="K359" i="42"/>
  <c r="L359" i="42" s="1"/>
  <c r="M359" i="42" s="1"/>
  <c r="K358" i="42"/>
  <c r="L358" i="42" s="1"/>
  <c r="M358" i="42" s="1"/>
  <c r="K357" i="42"/>
  <c r="L357" i="42" s="1"/>
  <c r="M357" i="42" s="1"/>
  <c r="L356" i="42"/>
  <c r="M356" i="42" s="1"/>
  <c r="K356" i="42"/>
  <c r="K355" i="42"/>
  <c r="L355" i="42" s="1"/>
  <c r="M355" i="42" s="1"/>
  <c r="L354" i="42"/>
  <c r="M354" i="42" s="1"/>
  <c r="K354" i="42"/>
  <c r="L353" i="42"/>
  <c r="M353" i="42" s="1"/>
  <c r="K353" i="42"/>
  <c r="K352" i="42"/>
  <c r="L352" i="42" s="1"/>
  <c r="M352" i="42" s="1"/>
  <c r="K351" i="42"/>
  <c r="L351" i="42" s="1"/>
  <c r="M351" i="42" s="1"/>
  <c r="L350" i="42"/>
  <c r="M350" i="42" s="1"/>
  <c r="K350" i="42"/>
  <c r="K349" i="42"/>
  <c r="L349" i="42" s="1"/>
  <c r="M349" i="42" s="1"/>
  <c r="K348" i="42"/>
  <c r="L348" i="42" s="1"/>
  <c r="M348" i="42" s="1"/>
  <c r="K347" i="42"/>
  <c r="L347" i="42" s="1"/>
  <c r="M347" i="42" s="1"/>
  <c r="K346" i="42"/>
  <c r="L346" i="42" s="1"/>
  <c r="M346" i="42" s="1"/>
  <c r="L345" i="42"/>
  <c r="M345" i="42" s="1"/>
  <c r="K345" i="42"/>
  <c r="K344" i="42"/>
  <c r="L344" i="42" s="1"/>
  <c r="M344" i="42" s="1"/>
  <c r="K343" i="42"/>
  <c r="L343" i="42" s="1"/>
  <c r="M343" i="42" s="1"/>
  <c r="K342" i="42"/>
  <c r="L342" i="42" s="1"/>
  <c r="M342" i="42" s="1"/>
  <c r="K341" i="42"/>
  <c r="L341" i="42" s="1"/>
  <c r="M341" i="42" s="1"/>
  <c r="L340" i="42"/>
  <c r="M340" i="42" s="1"/>
  <c r="K340" i="42"/>
  <c r="K339" i="42"/>
  <c r="L339" i="42" s="1"/>
  <c r="M339" i="42" s="1"/>
  <c r="L338" i="42"/>
  <c r="M338" i="42" s="1"/>
  <c r="K338" i="42"/>
  <c r="K337" i="42"/>
  <c r="L337" i="42" s="1"/>
  <c r="M337" i="42" s="1"/>
  <c r="K336" i="42"/>
  <c r="L336" i="42" s="1"/>
  <c r="M336" i="42" s="1"/>
  <c r="K335" i="42"/>
  <c r="L335" i="42" s="1"/>
  <c r="M335" i="42" s="1"/>
  <c r="K334" i="42"/>
  <c r="L334" i="42" s="1"/>
  <c r="M334" i="42" s="1"/>
  <c r="K333" i="42"/>
  <c r="L333" i="42" s="1"/>
  <c r="M333" i="42" s="1"/>
  <c r="L332" i="42"/>
  <c r="M332" i="42" s="1"/>
  <c r="K332" i="42"/>
  <c r="K331" i="42"/>
  <c r="L331" i="42" s="1"/>
  <c r="M331" i="42" s="1"/>
  <c r="K330" i="42"/>
  <c r="L330" i="42" s="1"/>
  <c r="M330" i="42" s="1"/>
  <c r="L329" i="42"/>
  <c r="M329" i="42" s="1"/>
  <c r="K329" i="42"/>
  <c r="K328" i="42"/>
  <c r="L328" i="42" s="1"/>
  <c r="M328" i="42" s="1"/>
  <c r="M327" i="42"/>
  <c r="K327" i="42"/>
  <c r="L327" i="42" s="1"/>
  <c r="K326" i="42"/>
  <c r="L326" i="42" s="1"/>
  <c r="M326" i="42" s="1"/>
  <c r="K325" i="42"/>
  <c r="L325" i="42" s="1"/>
  <c r="M325" i="42" s="1"/>
  <c r="L324" i="42"/>
  <c r="M324" i="42" s="1"/>
  <c r="K324" i="42"/>
  <c r="K323" i="42"/>
  <c r="L323" i="42" s="1"/>
  <c r="M323" i="42" s="1"/>
  <c r="L322" i="42"/>
  <c r="M322" i="42" s="1"/>
  <c r="K322" i="42"/>
  <c r="K321" i="42"/>
  <c r="L321" i="42" s="1"/>
  <c r="M321" i="42" s="1"/>
  <c r="K320" i="42"/>
  <c r="L320" i="42" s="1"/>
  <c r="M320" i="42" s="1"/>
  <c r="K319" i="42"/>
  <c r="L319" i="42" s="1"/>
  <c r="M319" i="42" s="1"/>
  <c r="K318" i="42"/>
  <c r="L318" i="42" s="1"/>
  <c r="M318" i="42" s="1"/>
  <c r="K317" i="42"/>
  <c r="L317" i="42" s="1"/>
  <c r="M317" i="42" s="1"/>
  <c r="L316" i="42"/>
  <c r="M316" i="42" s="1"/>
  <c r="K316" i="42"/>
  <c r="L315" i="42"/>
  <c r="M315" i="42" s="1"/>
  <c r="K315" i="42"/>
  <c r="K314" i="42"/>
  <c r="L314" i="42" s="1"/>
  <c r="M314" i="42" s="1"/>
  <c r="K313" i="42"/>
  <c r="L313" i="42" s="1"/>
  <c r="M313" i="42" s="1"/>
  <c r="K312" i="42"/>
  <c r="L312" i="42" s="1"/>
  <c r="M312" i="42" s="1"/>
  <c r="L311" i="42"/>
  <c r="M311" i="42" s="1"/>
  <c r="K311" i="42"/>
  <c r="K310" i="42"/>
  <c r="L310" i="42" s="1"/>
  <c r="M310" i="42" s="1"/>
  <c r="K309" i="42"/>
  <c r="L309" i="42" s="1"/>
  <c r="M309" i="42" s="1"/>
  <c r="M308" i="42"/>
  <c r="L308" i="42"/>
  <c r="K308" i="42"/>
  <c r="K307" i="42"/>
  <c r="L307" i="42" s="1"/>
  <c r="M307" i="42" s="1"/>
  <c r="K306" i="42"/>
  <c r="L306" i="42" s="1"/>
  <c r="M306" i="42" s="1"/>
  <c r="K305" i="42"/>
  <c r="L305" i="42" s="1"/>
  <c r="M305" i="42" s="1"/>
  <c r="L304" i="42"/>
  <c r="M304" i="42" s="1"/>
  <c r="K304" i="42"/>
  <c r="K303" i="42"/>
  <c r="L303" i="42" s="1"/>
  <c r="M303" i="42" s="1"/>
  <c r="K302" i="42"/>
  <c r="L302" i="42" s="1"/>
  <c r="M302" i="42" s="1"/>
  <c r="K301" i="42"/>
  <c r="L301" i="42" s="1"/>
  <c r="M301" i="42" s="1"/>
  <c r="K300" i="42"/>
  <c r="L300" i="42" s="1"/>
  <c r="M300" i="42" s="1"/>
  <c r="L299" i="42"/>
  <c r="M299" i="42" s="1"/>
  <c r="K299" i="42"/>
  <c r="K298" i="42"/>
  <c r="L298" i="42" s="1"/>
  <c r="M298" i="42" s="1"/>
  <c r="K297" i="42"/>
  <c r="L297" i="42" s="1"/>
  <c r="M297" i="42" s="1"/>
  <c r="K296" i="42"/>
  <c r="L296" i="42" s="1"/>
  <c r="M296" i="42" s="1"/>
  <c r="L295" i="42"/>
  <c r="M295" i="42" s="1"/>
  <c r="K295" i="42"/>
  <c r="K294" i="42"/>
  <c r="L294" i="42" s="1"/>
  <c r="M294" i="42" s="1"/>
  <c r="K293" i="42"/>
  <c r="L293" i="42" s="1"/>
  <c r="M293" i="42" s="1"/>
  <c r="M292" i="42"/>
  <c r="L292" i="42"/>
  <c r="K292" i="42"/>
  <c r="L291" i="42"/>
  <c r="M291" i="42" s="1"/>
  <c r="K291" i="42"/>
  <c r="K290" i="42"/>
  <c r="L290" i="42" s="1"/>
  <c r="M290" i="42" s="1"/>
  <c r="K289" i="42"/>
  <c r="L289" i="42" s="1"/>
  <c r="M289" i="42" s="1"/>
  <c r="M288" i="42"/>
  <c r="L288" i="42"/>
  <c r="K288" i="42"/>
  <c r="K287" i="42"/>
  <c r="L287" i="42" s="1"/>
  <c r="M287" i="42" s="1"/>
  <c r="K286" i="42"/>
  <c r="L286" i="42" s="1"/>
  <c r="M286" i="42" s="1"/>
  <c r="K285" i="42"/>
  <c r="L285" i="42" s="1"/>
  <c r="M285" i="42" s="1"/>
  <c r="K284" i="42"/>
  <c r="L284" i="42" s="1"/>
  <c r="M284" i="42" s="1"/>
  <c r="L283" i="42"/>
  <c r="M283" i="42" s="1"/>
  <c r="K283" i="42"/>
  <c r="K282" i="42"/>
  <c r="L282" i="42" s="1"/>
  <c r="M282" i="42" s="1"/>
  <c r="K281" i="42"/>
  <c r="L281" i="42" s="1"/>
  <c r="M281" i="42" s="1"/>
  <c r="M280" i="42"/>
  <c r="K280" i="42"/>
  <c r="L280" i="42" s="1"/>
  <c r="K279" i="42"/>
  <c r="L279" i="42" s="1"/>
  <c r="M279" i="42" s="1"/>
  <c r="K278" i="42"/>
  <c r="L278" i="42" s="1"/>
  <c r="M278" i="42" s="1"/>
  <c r="K277" i="42"/>
  <c r="L277" i="42" s="1"/>
  <c r="M277" i="42" s="1"/>
  <c r="L276" i="42"/>
  <c r="M276" i="42" s="1"/>
  <c r="K276" i="42"/>
  <c r="L275" i="42"/>
  <c r="M275" i="42" s="1"/>
  <c r="K275" i="42"/>
  <c r="K274" i="42"/>
  <c r="L274" i="42" s="1"/>
  <c r="M274" i="42" s="1"/>
  <c r="K273" i="42"/>
  <c r="L273" i="42" s="1"/>
  <c r="M273" i="42" s="1"/>
  <c r="K272" i="42"/>
  <c r="L272" i="42" s="1"/>
  <c r="M272" i="42" s="1"/>
  <c r="K271" i="42"/>
  <c r="L271" i="42" s="1"/>
  <c r="M271" i="42" s="1"/>
  <c r="K270" i="42"/>
  <c r="L270" i="42" s="1"/>
  <c r="M270" i="42" s="1"/>
  <c r="K269" i="42"/>
  <c r="L269" i="42" s="1"/>
  <c r="M269" i="42" s="1"/>
  <c r="K268" i="42"/>
  <c r="L268" i="42" s="1"/>
  <c r="M268" i="42" s="1"/>
  <c r="L267" i="42"/>
  <c r="M267" i="42" s="1"/>
  <c r="K267" i="42"/>
  <c r="K266" i="42"/>
  <c r="L266" i="42" s="1"/>
  <c r="M266" i="42" s="1"/>
  <c r="K265" i="42"/>
  <c r="L265" i="42" s="1"/>
  <c r="M265" i="42" s="1"/>
  <c r="M264" i="42"/>
  <c r="K264" i="42"/>
  <c r="L264" i="42" s="1"/>
  <c r="K263" i="42"/>
  <c r="L263" i="42" s="1"/>
  <c r="M263" i="42" s="1"/>
  <c r="K262" i="42"/>
  <c r="L262" i="42" s="1"/>
  <c r="M262" i="42" s="1"/>
  <c r="K261" i="42"/>
  <c r="L261" i="42" s="1"/>
  <c r="M261" i="42" s="1"/>
  <c r="K260" i="42"/>
  <c r="L260" i="42" s="1"/>
  <c r="M260" i="42" s="1"/>
  <c r="L259" i="42"/>
  <c r="M259" i="42" s="1"/>
  <c r="K259" i="42"/>
  <c r="K258" i="42"/>
  <c r="L258" i="42" s="1"/>
  <c r="M258" i="42" s="1"/>
  <c r="K257" i="42"/>
  <c r="L257" i="42" s="1"/>
  <c r="M257" i="42" s="1"/>
  <c r="M256" i="42"/>
  <c r="K256" i="42"/>
  <c r="L256" i="42" s="1"/>
  <c r="K255" i="42"/>
  <c r="L255" i="42" s="1"/>
  <c r="M255" i="42" s="1"/>
  <c r="K254" i="42"/>
  <c r="L254" i="42" s="1"/>
  <c r="M254" i="42" s="1"/>
  <c r="K253" i="42"/>
  <c r="L253" i="42" s="1"/>
  <c r="M253" i="42" s="1"/>
  <c r="K252" i="42"/>
  <c r="L252" i="42" s="1"/>
  <c r="M252" i="42" s="1"/>
  <c r="K251" i="42"/>
  <c r="L251" i="42" s="1"/>
  <c r="M251" i="42" s="1"/>
  <c r="K250" i="42"/>
  <c r="L250" i="42" s="1"/>
  <c r="M250" i="42" s="1"/>
  <c r="K249" i="42"/>
  <c r="L249" i="42" s="1"/>
  <c r="M249" i="42" s="1"/>
  <c r="K248" i="42"/>
  <c r="L248" i="42" s="1"/>
  <c r="M248" i="42" s="1"/>
  <c r="L247" i="42"/>
  <c r="M247" i="42" s="1"/>
  <c r="K247" i="42"/>
  <c r="K246" i="42"/>
  <c r="L246" i="42" s="1"/>
  <c r="M246" i="42" s="1"/>
  <c r="K245" i="42"/>
  <c r="L245" i="42" s="1"/>
  <c r="M245" i="42" s="1"/>
  <c r="K244" i="42"/>
  <c r="L244" i="42" s="1"/>
  <c r="M244" i="42" s="1"/>
  <c r="K243" i="42"/>
  <c r="L243" i="42" s="1"/>
  <c r="M243" i="42" s="1"/>
  <c r="K242" i="42"/>
  <c r="L242" i="42" s="1"/>
  <c r="M242" i="42" s="1"/>
  <c r="K241" i="42"/>
  <c r="L241" i="42" s="1"/>
  <c r="M241" i="42" s="1"/>
  <c r="K240" i="42"/>
  <c r="L240" i="42" s="1"/>
  <c r="M240" i="42" s="1"/>
  <c r="L239" i="42"/>
  <c r="M239" i="42" s="1"/>
  <c r="K239" i="42"/>
  <c r="K238" i="42"/>
  <c r="L238" i="42" s="1"/>
  <c r="M238" i="42" s="1"/>
  <c r="K237" i="42"/>
  <c r="L237" i="42" s="1"/>
  <c r="M237" i="42" s="1"/>
  <c r="K236" i="42"/>
  <c r="L236" i="42" s="1"/>
  <c r="M236" i="42" s="1"/>
  <c r="L235" i="42"/>
  <c r="M235" i="42" s="1"/>
  <c r="K235" i="42"/>
  <c r="K234" i="42"/>
  <c r="L234" i="42" s="1"/>
  <c r="M234" i="42" s="1"/>
  <c r="K233" i="42"/>
  <c r="L233" i="42" s="1"/>
  <c r="M233" i="42" s="1"/>
  <c r="M232" i="42"/>
  <c r="K232" i="42"/>
  <c r="L232" i="42" s="1"/>
  <c r="L231" i="42"/>
  <c r="M231" i="42" s="1"/>
  <c r="K231" i="42"/>
  <c r="K230" i="42"/>
  <c r="L230" i="42" s="1"/>
  <c r="M230" i="42" s="1"/>
  <c r="K229" i="42"/>
  <c r="L229" i="42" s="1"/>
  <c r="M229" i="42" s="1"/>
  <c r="K228" i="42"/>
  <c r="L228" i="42" s="1"/>
  <c r="M228" i="42" s="1"/>
  <c r="L227" i="42"/>
  <c r="M227" i="42" s="1"/>
  <c r="K227" i="42"/>
  <c r="K226" i="42"/>
  <c r="L226" i="42" s="1"/>
  <c r="M226" i="42" s="1"/>
  <c r="K225" i="42"/>
  <c r="L225" i="42" s="1"/>
  <c r="M225" i="42" s="1"/>
  <c r="M224" i="42"/>
  <c r="K224" i="42"/>
  <c r="L224" i="42" s="1"/>
  <c r="K223" i="42"/>
  <c r="L223" i="42" s="1"/>
  <c r="M223" i="42" s="1"/>
  <c r="K222" i="42"/>
  <c r="L222" i="42" s="1"/>
  <c r="M222" i="42" s="1"/>
  <c r="K221" i="42"/>
  <c r="L221" i="42" s="1"/>
  <c r="M221" i="42" s="1"/>
  <c r="K220" i="42"/>
  <c r="L220" i="42" s="1"/>
  <c r="M220" i="42" s="1"/>
  <c r="K219" i="42"/>
  <c r="L219" i="42" s="1"/>
  <c r="M219" i="42" s="1"/>
  <c r="K218" i="42"/>
  <c r="L218" i="42" s="1"/>
  <c r="M218" i="42" s="1"/>
  <c r="K217" i="42"/>
  <c r="L217" i="42" s="1"/>
  <c r="M217" i="42" s="1"/>
  <c r="K216" i="42"/>
  <c r="L216" i="42" s="1"/>
  <c r="M216" i="42" s="1"/>
  <c r="L215" i="42"/>
  <c r="M215" i="42" s="1"/>
  <c r="K215" i="42"/>
  <c r="K214" i="42"/>
  <c r="L214" i="42" s="1"/>
  <c r="M214" i="42" s="1"/>
  <c r="K213" i="42"/>
  <c r="L213" i="42" s="1"/>
  <c r="M213" i="42" s="1"/>
  <c r="K212" i="42"/>
  <c r="L212" i="42" s="1"/>
  <c r="M212" i="42" s="1"/>
  <c r="K211" i="42"/>
  <c r="L211" i="42" s="1"/>
  <c r="M211" i="42" s="1"/>
  <c r="K210" i="42"/>
  <c r="L210" i="42" s="1"/>
  <c r="M210" i="42" s="1"/>
  <c r="K209" i="42"/>
  <c r="L209" i="42" s="1"/>
  <c r="M209" i="42" s="1"/>
  <c r="K208" i="42"/>
  <c r="L208" i="42" s="1"/>
  <c r="M208" i="42" s="1"/>
  <c r="K207" i="42"/>
  <c r="L207" i="42" s="1"/>
  <c r="M207" i="42" s="1"/>
  <c r="K206" i="42"/>
  <c r="L206" i="42" s="1"/>
  <c r="M206" i="42" s="1"/>
  <c r="K205" i="42"/>
  <c r="L205" i="42" s="1"/>
  <c r="M205" i="42" s="1"/>
  <c r="K204" i="42"/>
  <c r="L204" i="42" s="1"/>
  <c r="M204" i="42" s="1"/>
  <c r="L203" i="42"/>
  <c r="M203" i="42" s="1"/>
  <c r="K203" i="42"/>
  <c r="K202" i="42"/>
  <c r="L202" i="42" s="1"/>
  <c r="M202" i="42" s="1"/>
  <c r="K201" i="42"/>
  <c r="L201" i="42" s="1"/>
  <c r="M201" i="42" s="1"/>
  <c r="K200" i="42"/>
  <c r="L200" i="42" s="1"/>
  <c r="M200" i="42" s="1"/>
  <c r="L199" i="42"/>
  <c r="M199" i="42" s="1"/>
  <c r="K199" i="42"/>
  <c r="K198" i="42"/>
  <c r="L198" i="42" s="1"/>
  <c r="M198" i="42" s="1"/>
  <c r="K197" i="42"/>
  <c r="L197" i="42" s="1"/>
  <c r="M197" i="42" s="1"/>
  <c r="M196" i="42"/>
  <c r="L196" i="42"/>
  <c r="K196" i="42"/>
  <c r="L195" i="42"/>
  <c r="M195" i="42" s="1"/>
  <c r="K195" i="42"/>
  <c r="K194" i="42"/>
  <c r="L194" i="42" s="1"/>
  <c r="M194" i="42" s="1"/>
  <c r="K193" i="42"/>
  <c r="L193" i="42" s="1"/>
  <c r="M193" i="42" s="1"/>
  <c r="M192" i="42"/>
  <c r="L192" i="42"/>
  <c r="K192" i="42"/>
  <c r="K191" i="42"/>
  <c r="L191" i="42" s="1"/>
  <c r="M191" i="42" s="1"/>
  <c r="K190" i="42"/>
  <c r="L190" i="42" s="1"/>
  <c r="M190" i="42" s="1"/>
  <c r="K189" i="42"/>
  <c r="L189" i="42" s="1"/>
  <c r="M189" i="42" s="1"/>
  <c r="K188" i="42"/>
  <c r="L188" i="42" s="1"/>
  <c r="M188" i="42" s="1"/>
  <c r="L187" i="42"/>
  <c r="M187" i="42" s="1"/>
  <c r="K187" i="42"/>
  <c r="K186" i="42"/>
  <c r="L186" i="42" s="1"/>
  <c r="M186" i="42" s="1"/>
  <c r="K185" i="42"/>
  <c r="L185" i="42" s="1"/>
  <c r="M185" i="42" s="1"/>
  <c r="M184" i="42"/>
  <c r="K184" i="42"/>
  <c r="L184" i="42" s="1"/>
  <c r="K183" i="42"/>
  <c r="L183" i="42" s="1"/>
  <c r="M183" i="42" s="1"/>
  <c r="K182" i="42"/>
  <c r="L182" i="42" s="1"/>
  <c r="M182" i="42" s="1"/>
  <c r="K181" i="42"/>
  <c r="L181" i="42" s="1"/>
  <c r="M181" i="42" s="1"/>
  <c r="L180" i="42"/>
  <c r="M180" i="42" s="1"/>
  <c r="K180" i="42"/>
  <c r="L179" i="42"/>
  <c r="M179" i="42" s="1"/>
  <c r="K179" i="42"/>
  <c r="K178" i="42"/>
  <c r="L178" i="42" s="1"/>
  <c r="M178" i="42" s="1"/>
  <c r="K177" i="42"/>
  <c r="L177" i="42" s="1"/>
  <c r="M177" i="42" s="1"/>
  <c r="K176" i="42"/>
  <c r="L176" i="42" s="1"/>
  <c r="M176" i="42" s="1"/>
  <c r="K175" i="42"/>
  <c r="L175" i="42" s="1"/>
  <c r="M175" i="42" s="1"/>
  <c r="K174" i="42"/>
  <c r="L174" i="42" s="1"/>
  <c r="M174" i="42" s="1"/>
  <c r="K173" i="42"/>
  <c r="L173" i="42" s="1"/>
  <c r="M173" i="42" s="1"/>
  <c r="K172" i="42"/>
  <c r="L172" i="42" s="1"/>
  <c r="M172" i="42" s="1"/>
  <c r="L171" i="42"/>
  <c r="M171" i="42" s="1"/>
  <c r="K171" i="42"/>
  <c r="K170" i="42"/>
  <c r="L170" i="42" s="1"/>
  <c r="M170" i="42" s="1"/>
  <c r="K169" i="42"/>
  <c r="L169" i="42" s="1"/>
  <c r="M169" i="42" s="1"/>
  <c r="M168" i="42"/>
  <c r="K168" i="42"/>
  <c r="L168" i="42" s="1"/>
  <c r="K167" i="42"/>
  <c r="L167" i="42" s="1"/>
  <c r="M167" i="42" s="1"/>
  <c r="K166" i="42"/>
  <c r="L166" i="42" s="1"/>
  <c r="M166" i="42" s="1"/>
  <c r="K165" i="42"/>
  <c r="L165" i="42" s="1"/>
  <c r="M165" i="42" s="1"/>
  <c r="L164" i="42"/>
  <c r="M164" i="42" s="1"/>
  <c r="K164" i="42"/>
  <c r="K163" i="42"/>
  <c r="L163" i="42" s="1"/>
  <c r="M163" i="42" s="1"/>
  <c r="K162" i="42"/>
  <c r="L162" i="42" s="1"/>
  <c r="M162" i="42" s="1"/>
  <c r="K161" i="42"/>
  <c r="L161" i="42" s="1"/>
  <c r="M161" i="42" s="1"/>
  <c r="K160" i="42"/>
  <c r="L160" i="42" s="1"/>
  <c r="M160" i="42" s="1"/>
  <c r="K159" i="42"/>
  <c r="L159" i="42" s="1"/>
  <c r="M159" i="42" s="1"/>
  <c r="K158" i="42"/>
  <c r="L158" i="42" s="1"/>
  <c r="M158" i="42" s="1"/>
  <c r="K157" i="42"/>
  <c r="L157" i="42" s="1"/>
  <c r="M157" i="42" s="1"/>
  <c r="L156" i="42"/>
  <c r="M156" i="42" s="1"/>
  <c r="K156" i="42"/>
  <c r="L155" i="42"/>
  <c r="M155" i="42" s="1"/>
  <c r="K155" i="42"/>
  <c r="K154" i="42"/>
  <c r="L154" i="42" s="1"/>
  <c r="M154" i="42" s="1"/>
  <c r="K153" i="42"/>
  <c r="L153" i="42" s="1"/>
  <c r="M153" i="42" s="1"/>
  <c r="K152" i="42"/>
  <c r="L152" i="42" s="1"/>
  <c r="M152" i="42" s="1"/>
  <c r="M151" i="42"/>
  <c r="L151" i="42"/>
  <c r="K151" i="42"/>
  <c r="K150" i="42"/>
  <c r="L150" i="42" s="1"/>
  <c r="M150" i="42" s="1"/>
  <c r="K149" i="42"/>
  <c r="L149" i="42" s="1"/>
  <c r="M149" i="42" s="1"/>
  <c r="M148" i="42"/>
  <c r="K148" i="42"/>
  <c r="L148" i="42" s="1"/>
  <c r="K147" i="42"/>
  <c r="L147" i="42" s="1"/>
  <c r="M147" i="42" s="1"/>
  <c r="K146" i="42"/>
  <c r="L146" i="42" s="1"/>
  <c r="M146" i="42" s="1"/>
  <c r="K145" i="42"/>
  <c r="L145" i="42" s="1"/>
  <c r="M145" i="42" s="1"/>
  <c r="K144" i="42"/>
  <c r="L144" i="42" s="1"/>
  <c r="M144" i="42" s="1"/>
  <c r="L143" i="42"/>
  <c r="M143" i="42" s="1"/>
  <c r="K143" i="42"/>
  <c r="K142" i="42"/>
  <c r="L142" i="42" s="1"/>
  <c r="M142" i="42" s="1"/>
  <c r="K141" i="42"/>
  <c r="L141" i="42" s="1"/>
  <c r="M141" i="42" s="1"/>
  <c r="M140" i="42"/>
  <c r="L140" i="42"/>
  <c r="K140" i="42"/>
  <c r="L139" i="42"/>
  <c r="M139" i="42" s="1"/>
  <c r="K139" i="42"/>
  <c r="K138" i="42"/>
  <c r="L138" i="42" s="1"/>
  <c r="M138" i="42" s="1"/>
  <c r="K137" i="42"/>
  <c r="L137" i="42" s="1"/>
  <c r="M137" i="42" s="1"/>
  <c r="M136" i="42"/>
  <c r="L136" i="42"/>
  <c r="K136" i="42"/>
  <c r="K135" i="42"/>
  <c r="L135" i="42" s="1"/>
  <c r="M135" i="42" s="1"/>
  <c r="K134" i="42"/>
  <c r="L134" i="42" s="1"/>
  <c r="M134" i="42" s="1"/>
  <c r="K133" i="42"/>
  <c r="L133" i="42" s="1"/>
  <c r="M133" i="42" s="1"/>
  <c r="L132" i="42"/>
  <c r="M132" i="42" s="1"/>
  <c r="K132" i="42"/>
  <c r="K131" i="42"/>
  <c r="L131" i="42" s="1"/>
  <c r="M131" i="42" s="1"/>
  <c r="K130" i="42"/>
  <c r="L130" i="42" s="1"/>
  <c r="M130" i="42" s="1"/>
  <c r="K129" i="42"/>
  <c r="L129" i="42" s="1"/>
  <c r="M129" i="42" s="1"/>
  <c r="K128" i="42"/>
  <c r="L128" i="42" s="1"/>
  <c r="M128" i="42" s="1"/>
  <c r="K127" i="42"/>
  <c r="L127" i="42" s="1"/>
  <c r="M127" i="42" s="1"/>
  <c r="K126" i="42"/>
  <c r="L126" i="42" s="1"/>
  <c r="M126" i="42" s="1"/>
  <c r="K125" i="42"/>
  <c r="L125" i="42" s="1"/>
  <c r="M125" i="42" s="1"/>
  <c r="L124" i="42"/>
  <c r="M124" i="42" s="1"/>
  <c r="K124" i="42"/>
  <c r="L123" i="42"/>
  <c r="M123" i="42" s="1"/>
  <c r="K123" i="42"/>
  <c r="K122" i="42"/>
  <c r="L122" i="42" s="1"/>
  <c r="M122" i="42" s="1"/>
  <c r="K121" i="42"/>
  <c r="L121" i="42" s="1"/>
  <c r="M121" i="42" s="1"/>
  <c r="M120" i="42"/>
  <c r="K120" i="42"/>
  <c r="L120" i="42" s="1"/>
  <c r="M119" i="42"/>
  <c r="L119" i="42"/>
  <c r="K119" i="42"/>
  <c r="K118" i="42"/>
  <c r="L118" i="42" s="1"/>
  <c r="M118" i="42" s="1"/>
  <c r="K117" i="42"/>
  <c r="L117" i="42" s="1"/>
  <c r="M117" i="42" s="1"/>
  <c r="M116" i="42"/>
  <c r="K116" i="42"/>
  <c r="L116" i="42" s="1"/>
  <c r="K115" i="42"/>
  <c r="L115" i="42" s="1"/>
  <c r="M115" i="42" s="1"/>
  <c r="K114" i="42"/>
  <c r="L114" i="42" s="1"/>
  <c r="M114" i="42" s="1"/>
  <c r="K113" i="42"/>
  <c r="L113" i="42" s="1"/>
  <c r="M113" i="42" s="1"/>
  <c r="K112" i="42"/>
  <c r="L112" i="42" s="1"/>
  <c r="M112" i="42" s="1"/>
  <c r="L111" i="42"/>
  <c r="M111" i="42" s="1"/>
  <c r="K111" i="42"/>
  <c r="K110" i="42"/>
  <c r="L110" i="42" s="1"/>
  <c r="M110" i="42" s="1"/>
  <c r="K109" i="42"/>
  <c r="L109" i="42" s="1"/>
  <c r="M109" i="42" s="1"/>
  <c r="M108" i="42"/>
  <c r="L108" i="42"/>
  <c r="K108" i="42"/>
  <c r="L107" i="42"/>
  <c r="M107" i="42" s="1"/>
  <c r="K107" i="42"/>
  <c r="K106" i="42"/>
  <c r="L106" i="42" s="1"/>
  <c r="M106" i="42" s="1"/>
  <c r="K105" i="42"/>
  <c r="L105" i="42" s="1"/>
  <c r="M105" i="42" s="1"/>
  <c r="M104" i="42"/>
  <c r="L104" i="42"/>
  <c r="K104" i="42"/>
  <c r="K103" i="42"/>
  <c r="L103" i="42" s="1"/>
  <c r="M103" i="42" s="1"/>
  <c r="K102" i="42"/>
  <c r="L102" i="42" s="1"/>
  <c r="M102" i="42" s="1"/>
  <c r="K101" i="42"/>
  <c r="L101" i="42" s="1"/>
  <c r="M101" i="42" s="1"/>
  <c r="L100" i="42"/>
  <c r="M100" i="42" s="1"/>
  <c r="K100" i="42"/>
  <c r="K99" i="42"/>
  <c r="L99" i="42" s="1"/>
  <c r="M99" i="42" s="1"/>
  <c r="K98" i="42"/>
  <c r="L98" i="42" s="1"/>
  <c r="M98" i="42" s="1"/>
  <c r="K97" i="42"/>
  <c r="L97" i="42" s="1"/>
  <c r="M97" i="42" s="1"/>
  <c r="K96" i="42"/>
  <c r="L96" i="42" s="1"/>
  <c r="M96" i="42" s="1"/>
  <c r="K95" i="42"/>
  <c r="L95" i="42" s="1"/>
  <c r="M95" i="42" s="1"/>
  <c r="K94" i="42"/>
  <c r="L94" i="42" s="1"/>
  <c r="M94" i="42" s="1"/>
  <c r="K93" i="42"/>
  <c r="L93" i="42" s="1"/>
  <c r="M93" i="42" s="1"/>
  <c r="L92" i="42"/>
  <c r="M92" i="42" s="1"/>
  <c r="K92" i="42"/>
  <c r="L91" i="42"/>
  <c r="M91" i="42" s="1"/>
  <c r="K91" i="42"/>
  <c r="K90" i="42"/>
  <c r="L90" i="42" s="1"/>
  <c r="M90" i="42" s="1"/>
  <c r="K89" i="42"/>
  <c r="L89" i="42" s="1"/>
  <c r="M89" i="42" s="1"/>
  <c r="M88" i="42"/>
  <c r="K88" i="42"/>
  <c r="L88" i="42" s="1"/>
  <c r="M87" i="42"/>
  <c r="L87" i="42"/>
  <c r="K87" i="42"/>
  <c r="K86" i="42"/>
  <c r="L86" i="42" s="1"/>
  <c r="M86" i="42" s="1"/>
  <c r="K85" i="42"/>
  <c r="L85" i="42" s="1"/>
  <c r="M85" i="42" s="1"/>
  <c r="M84" i="42"/>
  <c r="K84" i="42"/>
  <c r="L84" i="42" s="1"/>
  <c r="K83" i="42"/>
  <c r="L83" i="42" s="1"/>
  <c r="M83" i="42" s="1"/>
  <c r="K82" i="42"/>
  <c r="L82" i="42" s="1"/>
  <c r="M82" i="42" s="1"/>
  <c r="K81" i="42"/>
  <c r="L81" i="42" s="1"/>
  <c r="M81" i="42" s="1"/>
  <c r="K80" i="42"/>
  <c r="L80" i="42" s="1"/>
  <c r="M80" i="42" s="1"/>
  <c r="L79" i="42"/>
  <c r="M79" i="42" s="1"/>
  <c r="K79" i="42"/>
  <c r="K78" i="42"/>
  <c r="L78" i="42" s="1"/>
  <c r="M78" i="42" s="1"/>
  <c r="K77" i="42"/>
  <c r="L77" i="42" s="1"/>
  <c r="M77" i="42" s="1"/>
  <c r="M76" i="42"/>
  <c r="L76" i="42"/>
  <c r="K76" i="42"/>
  <c r="L75" i="42"/>
  <c r="M75" i="42" s="1"/>
  <c r="K75" i="42"/>
  <c r="K74" i="42"/>
  <c r="L74" i="42" s="1"/>
  <c r="M74" i="42" s="1"/>
  <c r="K73" i="42"/>
  <c r="L73" i="42" s="1"/>
  <c r="M73" i="42" s="1"/>
  <c r="M72" i="42"/>
  <c r="L72" i="42"/>
  <c r="K72" i="42"/>
  <c r="K71" i="42"/>
  <c r="L71" i="42" s="1"/>
  <c r="M71" i="42" s="1"/>
  <c r="K70" i="42"/>
  <c r="L70" i="42" s="1"/>
  <c r="M70" i="42" s="1"/>
  <c r="K69" i="42"/>
  <c r="L69" i="42" s="1"/>
  <c r="M69" i="42" s="1"/>
  <c r="L68" i="42"/>
  <c r="M68" i="42" s="1"/>
  <c r="K68" i="42"/>
  <c r="K67" i="42"/>
  <c r="L67" i="42" s="1"/>
  <c r="M67" i="42" s="1"/>
  <c r="K66" i="42"/>
  <c r="L66" i="42" s="1"/>
  <c r="M66" i="42" s="1"/>
  <c r="K65" i="42"/>
  <c r="L65" i="42" s="1"/>
  <c r="M65" i="42" s="1"/>
  <c r="K64" i="42"/>
  <c r="L64" i="42" s="1"/>
  <c r="M64" i="42" s="1"/>
  <c r="K63" i="42"/>
  <c r="L63" i="42" s="1"/>
  <c r="M63" i="42" s="1"/>
  <c r="K62" i="42"/>
  <c r="L62" i="42" s="1"/>
  <c r="M62" i="42" s="1"/>
  <c r="K61" i="42"/>
  <c r="L61" i="42" s="1"/>
  <c r="M61" i="42" s="1"/>
  <c r="L60" i="42"/>
  <c r="M60" i="42" s="1"/>
  <c r="K60" i="42"/>
  <c r="K59" i="42"/>
  <c r="L59" i="42" s="1"/>
  <c r="M59" i="42" s="1"/>
  <c r="K58" i="42"/>
  <c r="L58" i="42" s="1"/>
  <c r="M58" i="42" s="1"/>
  <c r="K57" i="42"/>
  <c r="L57" i="42" s="1"/>
  <c r="M57" i="42" s="1"/>
  <c r="K56" i="42"/>
  <c r="L56" i="42" s="1"/>
  <c r="M56" i="42" s="1"/>
  <c r="K55" i="42"/>
  <c r="L55" i="42" s="1"/>
  <c r="M55" i="42" s="1"/>
  <c r="K54" i="42"/>
  <c r="L54" i="42" s="1"/>
  <c r="M54" i="42" s="1"/>
  <c r="K53" i="42"/>
  <c r="L53" i="42" s="1"/>
  <c r="M53" i="42" s="1"/>
  <c r="L52" i="42"/>
  <c r="M52" i="42" s="1"/>
  <c r="K52" i="42"/>
  <c r="K51" i="42"/>
  <c r="L51" i="42" s="1"/>
  <c r="M51" i="42" s="1"/>
  <c r="K50" i="42"/>
  <c r="L50" i="42" s="1"/>
  <c r="M50" i="42" s="1"/>
  <c r="K49" i="42"/>
  <c r="L49" i="42" s="1"/>
  <c r="M49" i="42" s="1"/>
  <c r="L48" i="42"/>
  <c r="M48" i="42" s="1"/>
  <c r="K48" i="42"/>
  <c r="K47" i="42"/>
  <c r="L47" i="42" s="1"/>
  <c r="M47" i="42" s="1"/>
  <c r="K46" i="42"/>
  <c r="L46" i="42" s="1"/>
  <c r="M46" i="42" s="1"/>
  <c r="K45" i="42"/>
  <c r="L45" i="42" s="1"/>
  <c r="M45" i="42" s="1"/>
  <c r="K44" i="42"/>
  <c r="L44" i="42" s="1"/>
  <c r="M44" i="42" s="1"/>
  <c r="K43" i="42"/>
  <c r="L43" i="42" s="1"/>
  <c r="M43" i="42" s="1"/>
  <c r="K42" i="42"/>
  <c r="L42" i="42" s="1"/>
  <c r="M42" i="42" s="1"/>
  <c r="K41" i="42"/>
  <c r="L41" i="42" s="1"/>
  <c r="M41" i="42" s="1"/>
  <c r="L40" i="42"/>
  <c r="M40" i="42" s="1"/>
  <c r="K40" i="42"/>
  <c r="K39" i="42"/>
  <c r="L39" i="42" s="1"/>
  <c r="M39" i="42" s="1"/>
  <c r="K38" i="42"/>
  <c r="L38" i="42" s="1"/>
  <c r="M38" i="42" s="1"/>
  <c r="K37" i="42"/>
  <c r="L37" i="42" s="1"/>
  <c r="M37" i="42" s="1"/>
  <c r="L36" i="42"/>
  <c r="M36" i="42" s="1"/>
  <c r="K36" i="42"/>
  <c r="K35" i="42"/>
  <c r="L35" i="42" s="1"/>
  <c r="M35" i="42" s="1"/>
  <c r="K34" i="42"/>
  <c r="L34" i="42" s="1"/>
  <c r="M34" i="42" s="1"/>
  <c r="K33" i="42"/>
  <c r="L33" i="42" s="1"/>
  <c r="M33" i="42" s="1"/>
  <c r="L32" i="42"/>
  <c r="M32" i="42" s="1"/>
  <c r="K32" i="42"/>
  <c r="K31" i="42"/>
  <c r="L31" i="42" s="1"/>
  <c r="M31" i="42" s="1"/>
  <c r="K30" i="42"/>
  <c r="L30" i="42" s="1"/>
  <c r="M30" i="42" s="1"/>
  <c r="K29" i="42"/>
  <c r="L29" i="42" s="1"/>
  <c r="M29" i="42" s="1"/>
  <c r="K28" i="42"/>
  <c r="L28" i="42" s="1"/>
  <c r="M28" i="42" s="1"/>
  <c r="K27" i="42"/>
  <c r="L27" i="42" s="1"/>
  <c r="M27" i="42" s="1"/>
  <c r="K26" i="42"/>
  <c r="L26" i="42" s="1"/>
  <c r="M26" i="42" s="1"/>
  <c r="K25" i="42"/>
  <c r="L25" i="42" s="1"/>
  <c r="M25" i="42" s="1"/>
  <c r="L24" i="42"/>
  <c r="M24" i="42" s="1"/>
  <c r="K24" i="42"/>
  <c r="K23" i="42"/>
  <c r="L23" i="42" s="1"/>
  <c r="M23" i="42" s="1"/>
  <c r="K22" i="42"/>
  <c r="L22" i="42" s="1"/>
  <c r="M22" i="42" s="1"/>
  <c r="K21" i="42"/>
  <c r="L21" i="42" s="1"/>
  <c r="M21" i="42" s="1"/>
  <c r="L20" i="42"/>
  <c r="M20" i="42" s="1"/>
  <c r="K20" i="42"/>
  <c r="K19" i="42"/>
  <c r="L19" i="42" s="1"/>
  <c r="M19" i="42" s="1"/>
  <c r="K18" i="42"/>
  <c r="L18" i="42" s="1"/>
  <c r="M18" i="42" s="1"/>
  <c r="K17" i="42"/>
  <c r="L17" i="42" s="1"/>
  <c r="M17" i="42" s="1"/>
  <c r="L16" i="42"/>
  <c r="M16" i="42" s="1"/>
  <c r="K16" i="42"/>
  <c r="K15" i="42"/>
  <c r="L15" i="42" s="1"/>
  <c r="M15" i="42" s="1"/>
  <c r="K14" i="42"/>
  <c r="L14" i="42" s="1"/>
  <c r="M14" i="42" s="1"/>
  <c r="K13" i="42"/>
  <c r="L13" i="42" s="1"/>
  <c r="M13" i="42" s="1"/>
  <c r="K12" i="42"/>
  <c r="L12" i="42" s="1"/>
  <c r="M12" i="42" s="1"/>
  <c r="K11" i="42"/>
  <c r="L11" i="42" s="1"/>
  <c r="M11" i="42" s="1"/>
  <c r="K10" i="42"/>
  <c r="L10" i="42" s="1"/>
  <c r="M10" i="42" s="1"/>
  <c r="K9" i="42"/>
  <c r="L9" i="42" s="1"/>
  <c r="M9" i="42" s="1"/>
  <c r="L8" i="42"/>
  <c r="M8" i="42" s="1"/>
  <c r="K8" i="42"/>
  <c r="K7" i="42"/>
  <c r="L7" i="42" s="1"/>
  <c r="M7" i="42" s="1"/>
  <c r="K6" i="42"/>
  <c r="L6" i="42" s="1"/>
  <c r="M6" i="42" s="1"/>
  <c r="K5" i="42"/>
  <c r="L5" i="42" s="1"/>
  <c r="M5" i="42" s="1"/>
  <c r="L4" i="42"/>
  <c r="M4" i="42" s="1"/>
  <c r="K4" i="42"/>
  <c r="K3" i="42"/>
  <c r="L3" i="42" s="1"/>
  <c r="M3" i="42" s="1"/>
  <c r="K2" i="42"/>
  <c r="L2" i="42" s="1"/>
  <c r="M2" i="42" s="1"/>
  <c r="H26" i="16"/>
  <c r="H43" i="16"/>
  <c r="H42" i="16"/>
  <c r="I35" i="16"/>
  <c r="H35" i="16"/>
  <c r="I34" i="16"/>
  <c r="H34" i="16"/>
  <c r="I11" i="47" l="1" a="1"/>
  <c r="I11" i="47" s="1"/>
  <c r="B7" i="47"/>
  <c r="B11" i="47" s="1" a="1"/>
  <c r="B11" i="47" s="1"/>
  <c r="K11" i="47" a="1"/>
  <c r="K11" i="47" s="1"/>
  <c r="E22" i="46" a="1"/>
  <c r="E22" i="46" s="1"/>
  <c r="E38" i="46" a="1"/>
  <c r="E38" i="46" s="1"/>
  <c r="B7" i="44"/>
  <c r="M14" i="39"/>
  <c r="L14" i="39"/>
  <c r="M13" i="39"/>
  <c r="L13" i="39"/>
  <c r="M8" i="39"/>
  <c r="L8" i="39"/>
  <c r="M7" i="39"/>
  <c r="L7" i="39"/>
  <c r="I27" i="16"/>
  <c r="I26" i="16"/>
  <c r="H27" i="16"/>
  <c r="I14" i="16"/>
  <c r="I13" i="16"/>
  <c r="H14" i="16"/>
  <c r="H13" i="16"/>
  <c r="I8" i="16"/>
  <c r="I7" i="16"/>
  <c r="H8" i="16"/>
  <c r="H7" i="16"/>
  <c r="M14" i="16"/>
  <c r="M13" i="16"/>
  <c r="L14" i="16"/>
  <c r="L13" i="16"/>
  <c r="M8" i="16"/>
  <c r="M7" i="16"/>
  <c r="L8" i="16"/>
  <c r="L7" i="16"/>
  <c r="H19" i="16"/>
  <c r="H18" i="16"/>
  <c r="C11" i="47" l="1" a="1"/>
  <c r="C11" i="47" s="1"/>
  <c r="E11" i="47" s="1" a="1"/>
  <c r="E11" i="47" s="1"/>
  <c r="H22" i="46" a="1"/>
  <c r="H22" i="46" s="1"/>
  <c r="G11" i="47" l="1" a="1"/>
  <c r="G11" i="4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<sst xmlns="http://schemas.openxmlformats.org/spreadsheetml/2006/main" count="4013" uniqueCount="450">
  <si>
    <t>Quantity</t>
  </si>
  <si>
    <r>
      <rPr>
        <b/>
        <sz val="12"/>
        <color theme="1"/>
        <rFont val="Calibri"/>
        <family val="2"/>
        <scheme val="minor"/>
      </rPr>
      <t>XLOOKUP()</t>
    </r>
    <r>
      <rPr>
        <sz val="12"/>
        <color theme="1"/>
        <rFont val="Calibri"/>
        <family val="2"/>
        <scheme val="minor"/>
      </rPr>
      <t xml:space="preserve"> is simpler than VLOOKUP() AND HLOOKUP() and does not break when you insert other columns and rows.</t>
    </r>
  </si>
  <si>
    <t>It works equally well with row-oriented and column-oriented data.</t>
  </si>
  <si>
    <t>Fruit</t>
  </si>
  <si>
    <t>Price</t>
  </si>
  <si>
    <t>"Vertical" XLOOKUP()</t>
  </si>
  <si>
    <t>VLOOKUP (for comparison)</t>
  </si>
  <si>
    <t>Apple</t>
  </si>
  <si>
    <t>Peach</t>
  </si>
  <si>
    <t>Orange</t>
  </si>
  <si>
    <t>Banana</t>
  </si>
  <si>
    <t>"Horizontal" XLOOKUP()</t>
  </si>
  <si>
    <t>HLOOKUP (for comparison)</t>
  </si>
  <si>
    <t>VLOOKUP cannot do this</t>
  </si>
  <si>
    <t>XLOOKUP() on a table</t>
  </si>
  <si>
    <t>XLOOKUP is more flexible  than VLOOKUP.  In the example below, the lookup array is to the left of the return array</t>
  </si>
  <si>
    <t>XLOOKUP works well with tables.  We can use  column references as the lookup and return arrays.</t>
  </si>
  <si>
    <t xml:space="preserve"> XLOOKUP() with if_not_found argument supplied</t>
  </si>
  <si>
    <t>BadBanana</t>
  </si>
  <si>
    <t>The if_not_found argument is useful in case our lookup value  may not be in the lookup list</t>
  </si>
  <si>
    <t>Use "lookup_value not found" as the if_not_found argument to handle this case</t>
  </si>
  <si>
    <t xml:space="preserve">If the corresponding value in the return_array is blank (an empty cell)  then XLOOKUP will return 0. </t>
  </si>
  <si>
    <t xml:space="preserve"> Later we will see how LET() simplifies this.</t>
  </si>
  <si>
    <t xml:space="preserve">Write a formula using the  IF() and ISBLANK() functions to check this and return "blank_value In result_array" if necessary. </t>
  </si>
  <si>
    <t>Use XLOOKUP() to retrieve the prices and quantities of peach and banana where the source data is organised both as a row and a column</t>
  </si>
  <si>
    <t>Modern Excel</t>
  </si>
  <si>
    <t>Author</t>
  </si>
  <si>
    <t>Mark Wilcock, mark.wilcock@zomalex.co.uk</t>
  </si>
  <si>
    <t>This spreadsheet accompanies the talk on Modern Excel at the London Business Analytics Group on the 16th Feb 2023</t>
  </si>
  <si>
    <t>Segment</t>
  </si>
  <si>
    <t>Country</t>
  </si>
  <si>
    <t>Product</t>
  </si>
  <si>
    <t>Date</t>
  </si>
  <si>
    <t>Unit Cost</t>
  </si>
  <si>
    <t>Sale Price</t>
  </si>
  <si>
    <t>COGS</t>
  </si>
  <si>
    <t>Discount</t>
  </si>
  <si>
    <t>Discount Band</t>
  </si>
  <si>
    <t>Gross Sales</t>
  </si>
  <si>
    <t>Sales</t>
  </si>
  <si>
    <t>Profit</t>
  </si>
  <si>
    <t>Enterprise</t>
  </si>
  <si>
    <t>Canada</t>
  </si>
  <si>
    <t>Montana</t>
  </si>
  <si>
    <t>None</t>
  </si>
  <si>
    <t>Midmarket</t>
  </si>
  <si>
    <t>Paseo</t>
  </si>
  <si>
    <t>Small Business</t>
  </si>
  <si>
    <t>Spain</t>
  </si>
  <si>
    <t>Government</t>
  </si>
  <si>
    <t>Channel Partners</t>
  </si>
  <si>
    <t>UK</t>
  </si>
  <si>
    <t>Velo</t>
  </si>
  <si>
    <t>VTT</t>
  </si>
  <si>
    <t>Carretera</t>
  </si>
  <si>
    <t>Low</t>
  </si>
  <si>
    <t>Germany</t>
  </si>
  <si>
    <t>Amarilla</t>
  </si>
  <si>
    <t>France</t>
  </si>
  <si>
    <t>Medium</t>
  </si>
  <si>
    <t>High</t>
  </si>
  <si>
    <r>
      <rPr>
        <b/>
        <sz val="12"/>
        <color theme="1"/>
        <rFont val="Calibri"/>
        <family val="2"/>
        <scheme val="minor"/>
      </rPr>
      <t>Functions that spill</t>
    </r>
    <r>
      <rPr>
        <sz val="12"/>
        <color theme="1"/>
        <rFont val="Calibri"/>
        <family val="2"/>
        <scheme val="minor"/>
      </rPr>
      <t xml:space="preserve"> their results into the surrounding cells</t>
    </r>
  </si>
  <si>
    <t>Excel functions that spill include: SORT(), UNIQUE(), TRANSPOSE(), RANDARRAY(), FILTER()</t>
  </si>
  <si>
    <t>A #SPILL! error occurs when the function is blocked by other content already in cells in the spill area</t>
  </si>
  <si>
    <t>Only the top left cell of a spill range can be edited - other cells are disabled and formula greyed out</t>
  </si>
  <si>
    <t>A spilled range shows a blue border when active cell is in the spill range</t>
  </si>
  <si>
    <t>Reference the spilled range with the hash reference, #</t>
  </si>
  <si>
    <t>Best practice  - use a table rather than direct references to a cell range for the source data</t>
  </si>
  <si>
    <r>
      <t xml:space="preserve">Use </t>
    </r>
    <r>
      <rPr>
        <b/>
        <sz val="12"/>
        <color theme="1"/>
        <rFont val="Calibri"/>
        <family val="2"/>
        <scheme val="minor"/>
      </rPr>
      <t>UNIQUE()</t>
    </r>
    <r>
      <rPr>
        <sz val="12"/>
        <color theme="1"/>
        <rFont val="Calibri"/>
        <family val="2"/>
        <scheme val="minor"/>
      </rPr>
      <t xml:space="preserve"> to get a column of the distinct values of the Product  column of theFinanceData table.  Then </t>
    </r>
    <r>
      <rPr>
        <b/>
        <sz val="12"/>
        <color theme="1"/>
        <rFont val="Calibri"/>
        <family val="2"/>
        <scheme val="minor"/>
      </rPr>
      <t>SORT()</t>
    </r>
    <r>
      <rPr>
        <sz val="12"/>
        <color theme="1"/>
        <rFont val="Calibri"/>
        <family val="2"/>
        <scheme val="minor"/>
      </rPr>
      <t xml:space="preserve"> the result.  Then </t>
    </r>
    <r>
      <rPr>
        <b/>
        <sz val="12"/>
        <color theme="1"/>
        <rFont val="Calibri"/>
        <family val="2"/>
        <scheme val="minor"/>
      </rPr>
      <t>TRANSPOSE()</t>
    </r>
    <r>
      <rPr>
        <sz val="12"/>
        <color theme="1"/>
        <rFont val="Calibri"/>
        <family val="2"/>
        <scheme val="minor"/>
      </rPr>
      <t xml:space="preserve">  that result.</t>
    </r>
  </si>
  <si>
    <t>UNIQUE()</t>
  </si>
  <si>
    <t>SORT()</t>
  </si>
  <si>
    <t>TRANSPOSE()</t>
  </si>
  <si>
    <t>UNIQUE, SORT(), TRANSPOSE() together</t>
  </si>
  <si>
    <t>Sort by Sales (high to low) rather than alphabetical .  Use SUMIFS() to get the Sales</t>
  </si>
  <si>
    <t>SUMIFS() Sales</t>
  </si>
  <si>
    <t xml:space="preserve">SORT() </t>
  </si>
  <si>
    <t>SORTBY()</t>
  </si>
  <si>
    <r>
      <t xml:space="preserve">Use </t>
    </r>
    <r>
      <rPr>
        <b/>
        <sz val="12"/>
        <color theme="1"/>
        <rFont val="Calibri"/>
        <family val="2"/>
        <scheme val="minor"/>
      </rPr>
      <t>SEQUENCE()</t>
    </r>
    <r>
      <rPr>
        <sz val="12"/>
        <color theme="1"/>
        <rFont val="Calibri"/>
        <family val="2"/>
        <scheme val="minor"/>
      </rPr>
      <t xml:space="preserve"> to create a column of  dates in the current month</t>
    </r>
  </si>
  <si>
    <t>Use the formulas  in the blue cells in the arguments to your SEQUENCE() FUNCTION</t>
  </si>
  <si>
    <t>Current date:</t>
  </si>
  <si>
    <t>First day of current month:</t>
  </si>
  <si>
    <t>Last day of current month:</t>
  </si>
  <si>
    <t>Number of days in current month:</t>
  </si>
  <si>
    <t>SEQUENCE()</t>
  </si>
  <si>
    <t>Use LET() to build a functon that provides a sequence of dates in the current month</t>
  </si>
  <si>
    <r>
      <rPr>
        <b/>
        <sz val="12"/>
        <color theme="1"/>
        <rFont val="Calibri"/>
        <family val="2"/>
        <scheme val="minor"/>
      </rPr>
      <t>FILTER()</t>
    </r>
    <r>
      <rPr>
        <sz val="12"/>
        <color theme="1"/>
        <rFont val="Calibri"/>
        <family val="2"/>
        <scheme val="minor"/>
      </rPr>
      <t xml:space="preserve"> filters a range of data based on a criteria</t>
    </r>
  </si>
  <si>
    <t>Use SEQUENCE to get a column of dates in this month</t>
  </si>
  <si>
    <t>Use FILTER to get the Fridays in the current month then the working dates in the month</t>
  </si>
  <si>
    <t>Current Date:</t>
  </si>
  <si>
    <t>First Day of Current Month:</t>
  </si>
  <si>
    <t># Days In Current Month</t>
  </si>
  <si>
    <t>Advanced - use the LET() function to build the sequence in a single step</t>
  </si>
  <si>
    <t>All dates in  the current month</t>
  </si>
  <si>
    <t>Day of week</t>
  </si>
  <si>
    <t>Fridays in current month</t>
  </si>
  <si>
    <t>Working days in the current month</t>
  </si>
  <si>
    <t>All dates in  the current month (using LET() function)</t>
  </si>
  <si>
    <t>Working days in the current month using LET function</t>
  </si>
  <si>
    <t>FILTER() data in a table</t>
  </si>
  <si>
    <t>Filter rows for a selected region</t>
  </si>
  <si>
    <t>Region</t>
  </si>
  <si>
    <t>Category</t>
  </si>
  <si>
    <t>Central</t>
  </si>
  <si>
    <t>Furniture</t>
  </si>
  <si>
    <t>Office Supplies</t>
  </si>
  <si>
    <t>Write FILTER() function here.</t>
  </si>
  <si>
    <t>Technology</t>
  </si>
  <si>
    <t>East</t>
  </si>
  <si>
    <t>Filter rows where the profit is greater than or equal to a given amount</t>
  </si>
  <si>
    <t>South</t>
  </si>
  <si>
    <t>Profit Above:</t>
  </si>
  <si>
    <t>West</t>
  </si>
  <si>
    <t xml:space="preserve">Optional &amp; Advanced.  Filter rows for a selected region and above a certain profit. </t>
  </si>
  <si>
    <t>The FILTER boolean logic uses () to surround each logical test and * to AND several logical tests</t>
  </si>
  <si>
    <t>Link to event</t>
  </si>
  <si>
    <t>Modern Excel, Mon, Feb 13, 2023, 1:00 PM | Meetup</t>
  </si>
  <si>
    <t>Name</t>
  </si>
  <si>
    <t>height</t>
  </si>
  <si>
    <t>Luke Skywalker</t>
  </si>
  <si>
    <t>C-3PO</t>
  </si>
  <si>
    <t>R2-D2</t>
  </si>
  <si>
    <t>Darth Vader</t>
  </si>
  <si>
    <t>Leia Organa</t>
  </si>
  <si>
    <t>Owen Lars</t>
  </si>
  <si>
    <t>Beru Whitesun lars</t>
  </si>
  <si>
    <t>R5-D4</t>
  </si>
  <si>
    <t>Biggs Darklighter</t>
  </si>
  <si>
    <t>Obi-Wan Kenobi</t>
  </si>
  <si>
    <t>Anakin Skywalker</t>
  </si>
  <si>
    <t>Wilhuff Tarkin</t>
  </si>
  <si>
    <t>Chewbacca</t>
  </si>
  <si>
    <t>Han Solo</t>
  </si>
  <si>
    <t>Dynamic Arrays</t>
  </si>
  <si>
    <t>Dynamic Array Formulas works with several values in a single formula</t>
  </si>
  <si>
    <t>Array operations are maths on an array</t>
  </si>
  <si>
    <t>They reduce the need for mixed references.  (Mixed reference are part relative, part absolute addresses like C$5 or $C5)</t>
  </si>
  <si>
    <t>You can chain (wrap) functions e.g. SORT(UNIQUE())</t>
  </si>
  <si>
    <t>{} is the array operator</t>
  </si>
  <si>
    <t>Ordinary functions like LEN() and even VLOOKUP() are now dynamic.  They return an array (multiple results) when an arument is an array / range.</t>
  </si>
  <si>
    <t>Array operations and functions return a spilled range.  The # after a cell reference references the whole spilled results, not just the top left cell.</t>
  </si>
  <si>
    <t>Array operations</t>
  </si>
  <si>
    <t>Array Formula</t>
  </si>
  <si>
    <t>Copy Down</t>
  </si>
  <si>
    <t>First</t>
  </si>
  <si>
    <t>Second</t>
  </si>
  <si>
    <t>Total</t>
  </si>
  <si>
    <t>Convert array from Centrigrade to Farenheit.  Use formula: Farenheit = (Centrigrade  * 9 / 5) + 32</t>
  </si>
  <si>
    <t>New Style</t>
  </si>
  <si>
    <t>Old Style</t>
  </si>
  <si>
    <t>Centrigrade</t>
  </si>
  <si>
    <t>Farenheit</t>
  </si>
  <si>
    <t>When using a sequence of values, which returns a spilled result, the array formula can use the  spill range operator #.  This makes the formula even easier.</t>
  </si>
  <si>
    <t>Array operations avoids relative addressing</t>
  </si>
  <si>
    <t>Old style relative addressing</t>
  </si>
  <si>
    <t>{} is the array operator. An example of an array constant is {1,2,3}</t>
  </si>
  <si>
    <t>Create a row with comma separators e.g. {"North","South","East"}</t>
  </si>
  <si>
    <t>Create a column with semi-colon separators e.g. {"North"; "South"; "East"}</t>
  </si>
  <si>
    <t>VSTACK() and HSTACK() combine arrays</t>
  </si>
  <si>
    <t>VSTACK Names</t>
  </si>
  <si>
    <t>HSTACK Names and Heights</t>
  </si>
  <si>
    <t>Names</t>
  </si>
  <si>
    <t>More Names</t>
  </si>
  <si>
    <t>Other Names</t>
  </si>
  <si>
    <t>Heights</t>
  </si>
  <si>
    <t>Ordinary functions  now work with arrays and produce multiple results</t>
  </si>
  <si>
    <t>Example: LEN() function</t>
  </si>
  <si>
    <t>Length</t>
  </si>
  <si>
    <t>Example: VLOOKUP() function</t>
  </si>
  <si>
    <t>Details of 3 columns</t>
  </si>
  <si>
    <t>With XLOOKUP, we can use VSTACK to combine the table columns into a single return array</t>
  </si>
  <si>
    <t>Text functions split, extract and rejoin strings</t>
  </si>
  <si>
    <t>First name</t>
  </si>
  <si>
    <t>Last Name</t>
  </si>
  <si>
    <t>Split Names</t>
  </si>
  <si>
    <t>Full Name Joined Up Again</t>
  </si>
  <si>
    <t>WRAPROWS() and WRAPCOLS() wrap an array (either single column or single row) either by rows or columns</t>
  </si>
  <si>
    <t>It was a dark and stormy night.</t>
  </si>
  <si>
    <t>Split quote into a column of words</t>
  </si>
  <si>
    <t>Wrap as rows of 2 elements</t>
  </si>
  <si>
    <t>Wrap as columns; each column has  2 elements</t>
  </si>
  <si>
    <t>Combine two arrays</t>
  </si>
  <si>
    <t>VSTACK() and HSTACK() examples</t>
  </si>
  <si>
    <t>HSTACK</t>
  </si>
  <si>
    <t>Jan Results</t>
  </si>
  <si>
    <t>Feb Results</t>
  </si>
  <si>
    <t>Mar Results</t>
  </si>
  <si>
    <t>Stack Jan and Feb data horizontally</t>
  </si>
  <si>
    <t>Data in ranges</t>
  </si>
  <si>
    <t>Amount</t>
  </si>
  <si>
    <t>Alpha</t>
  </si>
  <si>
    <t>Beta</t>
  </si>
  <si>
    <t>VSTACK</t>
  </si>
  <si>
    <t>Stack combined data from Jan and Feb</t>
  </si>
  <si>
    <t>Data in tables</t>
  </si>
  <si>
    <t>JanTable</t>
  </si>
  <si>
    <t>FebTable</t>
  </si>
  <si>
    <t>Mar Table</t>
  </si>
  <si>
    <t>Stack combined data from Jan and Feb tables</t>
  </si>
  <si>
    <t>Stack Combined data from Jan and Feb -with column headers from Jan table</t>
  </si>
  <si>
    <t>Stack Combined data from Jan and Feb - with hardcoded array of column headers</t>
  </si>
  <si>
    <t>Human</t>
  </si>
  <si>
    <t>Naboo</t>
  </si>
  <si>
    <t>female</t>
  </si>
  <si>
    <t>46BBY</t>
  </si>
  <si>
    <t>brown</t>
  </si>
  <si>
    <t>light</t>
  </si>
  <si>
    <t>PadmÃ© Amidala</t>
  </si>
  <si>
    <t>Captain Phasma</t>
  </si>
  <si>
    <t>Droid</t>
  </si>
  <si>
    <t>none</t>
  </si>
  <si>
    <t>black</t>
  </si>
  <si>
    <t>BB8</t>
  </si>
  <si>
    <t>male</t>
  </si>
  <si>
    <t>Poe Dameron</t>
  </si>
  <si>
    <t>hazel</t>
  </si>
  <si>
    <t>Rey</t>
  </si>
  <si>
    <t>dark</t>
  </si>
  <si>
    <t>Finn</t>
  </si>
  <si>
    <t>Pau'an</t>
  </si>
  <si>
    <t>Utapau</t>
  </si>
  <si>
    <t>grey</t>
  </si>
  <si>
    <t>Tion Medon</t>
  </si>
  <si>
    <t>Umbara</t>
  </si>
  <si>
    <t>white</t>
  </si>
  <si>
    <t>pale</t>
  </si>
  <si>
    <t>Sly Moore</t>
  </si>
  <si>
    <t>Alderaan</t>
  </si>
  <si>
    <t>Raymus Antilles</t>
  </si>
  <si>
    <t>Wookiee</t>
  </si>
  <si>
    <t>Kashyyyk</t>
  </si>
  <si>
    <t>blue</t>
  </si>
  <si>
    <t>Tarfful</t>
  </si>
  <si>
    <t>Kaleesh</t>
  </si>
  <si>
    <t>Kalee</t>
  </si>
  <si>
    <t>green, yellow</t>
  </si>
  <si>
    <t>brown, white</t>
  </si>
  <si>
    <t>Grievous</t>
  </si>
  <si>
    <t>Togruta</t>
  </si>
  <si>
    <t>Shili</t>
  </si>
  <si>
    <t>red, blue, white</t>
  </si>
  <si>
    <t>Shaak Ti</t>
  </si>
  <si>
    <t>Muun</t>
  </si>
  <si>
    <t>Muunilinst</t>
  </si>
  <si>
    <t>gold</t>
  </si>
  <si>
    <t>San Hill</t>
  </si>
  <si>
    <t>Skakoan</t>
  </si>
  <si>
    <t>Skako</t>
  </si>
  <si>
    <t>green, grey</t>
  </si>
  <si>
    <t>Wat Tambor</t>
  </si>
  <si>
    <t>red, blue</t>
  </si>
  <si>
    <t>silver, red</t>
  </si>
  <si>
    <t>R4-P17</t>
  </si>
  <si>
    <t>Aleena</t>
  </si>
  <si>
    <t>Aleen Minor</t>
  </si>
  <si>
    <t>grey, blue</t>
  </si>
  <si>
    <t>Ratts Tyerell</t>
  </si>
  <si>
    <t>Coruscant</t>
  </si>
  <si>
    <t>fair</t>
  </si>
  <si>
    <t>Jocasta Nu</t>
  </si>
  <si>
    <t>Kaminoan</t>
  </si>
  <si>
    <t>Kamino</t>
  </si>
  <si>
    <t>Taun We</t>
  </si>
  <si>
    <t>Lama Su</t>
  </si>
  <si>
    <t>Besalisk</t>
  </si>
  <si>
    <t>Ojom</t>
  </si>
  <si>
    <t>yellow</t>
  </si>
  <si>
    <t>Dexter Jettster</t>
  </si>
  <si>
    <t>Clawdite</t>
  </si>
  <si>
    <t>Zolan</t>
  </si>
  <si>
    <t>fair, green, yellow</t>
  </si>
  <si>
    <t>blonde</t>
  </si>
  <si>
    <t>Zam Wesell</t>
  </si>
  <si>
    <t>Concord Dawn</t>
  </si>
  <si>
    <t>66BBY</t>
  </si>
  <si>
    <t>tan</t>
  </si>
  <si>
    <t>Jango Fett</t>
  </si>
  <si>
    <t>67BBY</t>
  </si>
  <si>
    <t>Bail Prestor Organa</t>
  </si>
  <si>
    <t>Serenno</t>
  </si>
  <si>
    <t>102BBY</t>
  </si>
  <si>
    <t>Dooku</t>
  </si>
  <si>
    <t>DormÃ©</t>
  </si>
  <si>
    <t>Mirialan</t>
  </si>
  <si>
    <t>Mirial</t>
  </si>
  <si>
    <t>40BBY</t>
  </si>
  <si>
    <t>Barriss Offee</t>
  </si>
  <si>
    <t>58BBY</t>
  </si>
  <si>
    <t>Luminara Unduli</t>
  </si>
  <si>
    <t>Geonosian</t>
  </si>
  <si>
    <t>Geonosis</t>
  </si>
  <si>
    <t>green</t>
  </si>
  <si>
    <t>Poggle the Lesser</t>
  </si>
  <si>
    <t>Tatooine</t>
  </si>
  <si>
    <t>82BBY</t>
  </si>
  <si>
    <t>Cliegg Lars</t>
  </si>
  <si>
    <t>CordÃ©</t>
  </si>
  <si>
    <t>Gregar Typho</t>
  </si>
  <si>
    <t>Chagrian</t>
  </si>
  <si>
    <t>Champala</t>
  </si>
  <si>
    <t>Mas Amedda</t>
  </si>
  <si>
    <t>Kel Dor</t>
  </si>
  <si>
    <t>Dorin</t>
  </si>
  <si>
    <t>22BBY</t>
  </si>
  <si>
    <t>orange</t>
  </si>
  <si>
    <t>Plo Koon</t>
  </si>
  <si>
    <t>Quermian</t>
  </si>
  <si>
    <t>Quermia</t>
  </si>
  <si>
    <t>Yarael Poof</t>
  </si>
  <si>
    <t>Iktotchi</t>
  </si>
  <si>
    <t>Iktotch</t>
  </si>
  <si>
    <t>Saesee Tiin</t>
  </si>
  <si>
    <t>Tholothian</t>
  </si>
  <si>
    <t>Adi Gallia</t>
  </si>
  <si>
    <t>Zabrak</t>
  </si>
  <si>
    <t>Iridonia</t>
  </si>
  <si>
    <t>Eeth Koth</t>
  </si>
  <si>
    <t>Nautolan</t>
  </si>
  <si>
    <t>Glee Anselm</t>
  </si>
  <si>
    <t>Kit Fisto</t>
  </si>
  <si>
    <t>Cerean</t>
  </si>
  <si>
    <t>Cerea</t>
  </si>
  <si>
    <t>92BBY</t>
  </si>
  <si>
    <t>Ki-Adi-Mundi</t>
  </si>
  <si>
    <t>Haruun Kal</t>
  </si>
  <si>
    <t>72BBY</t>
  </si>
  <si>
    <t>Mace Windu</t>
  </si>
  <si>
    <t>Toong</t>
  </si>
  <si>
    <t>Tund</t>
  </si>
  <si>
    <t>grey, green, yellow</t>
  </si>
  <si>
    <t>Ben Quadinaros</t>
  </si>
  <si>
    <t>Xexto</t>
  </si>
  <si>
    <t>Troiken</t>
  </si>
  <si>
    <t>white, blue</t>
  </si>
  <si>
    <t>Gasgano</t>
  </si>
  <si>
    <t>Vulptereen</t>
  </si>
  <si>
    <t>Vulpter</t>
  </si>
  <si>
    <t>blue, grey</t>
  </si>
  <si>
    <t>Dud Bolt</t>
  </si>
  <si>
    <t>Twi'lek</t>
  </si>
  <si>
    <t>Ryloth</t>
  </si>
  <si>
    <t>48BBY</t>
  </si>
  <si>
    <t>Ayla Secura</t>
  </si>
  <si>
    <t>pink</t>
  </si>
  <si>
    <t>Bib Fortuna</t>
  </si>
  <si>
    <t>Dathomir</t>
  </si>
  <si>
    <t>54BBY</t>
  </si>
  <si>
    <t>red</t>
  </si>
  <si>
    <t>Darth Maul</t>
  </si>
  <si>
    <t>Shmi Skywalker</t>
  </si>
  <si>
    <t>62BBY</t>
  </si>
  <si>
    <t>Quarsh Panaka</t>
  </si>
  <si>
    <t>Dug</t>
  </si>
  <si>
    <t>Malastare</t>
  </si>
  <si>
    <t>grey, red</t>
  </si>
  <si>
    <t>Sebulba</t>
  </si>
  <si>
    <t>Toydarian</t>
  </si>
  <si>
    <t>Toydaria</t>
  </si>
  <si>
    <t>Watto</t>
  </si>
  <si>
    <t>Ric OliÃ©</t>
  </si>
  <si>
    <t>Gungan</t>
  </si>
  <si>
    <t>Rugor Nass</t>
  </si>
  <si>
    <t>Roos Tarpals</t>
  </si>
  <si>
    <t>52BBY</t>
  </si>
  <si>
    <t>Jar Jar Binks</t>
  </si>
  <si>
    <t>91BBY</t>
  </si>
  <si>
    <t>blond</t>
  </si>
  <si>
    <t>Finis Valorum</t>
  </si>
  <si>
    <t>Neimodian</t>
  </si>
  <si>
    <t>Cato Neimoidia</t>
  </si>
  <si>
    <t>mottled green</t>
  </si>
  <si>
    <t>Nute Gunray</t>
  </si>
  <si>
    <t>Qui-Gon Jinn</t>
  </si>
  <si>
    <t>Sullustan</t>
  </si>
  <si>
    <t>Sullust</t>
  </si>
  <si>
    <t>Nien Nunb</t>
  </si>
  <si>
    <t>Ewok</t>
  </si>
  <si>
    <t>Endor</t>
  </si>
  <si>
    <t>8BBY</t>
  </si>
  <si>
    <t>Wicket Systri Warrick</t>
  </si>
  <si>
    <t>Arvel Crynyd</t>
  </si>
  <si>
    <t>Chandrila</t>
  </si>
  <si>
    <t>auburn</t>
  </si>
  <si>
    <t>Mon Mothma</t>
  </si>
  <si>
    <t>Mon Calamari</t>
  </si>
  <si>
    <t>Mon Cala</t>
  </si>
  <si>
    <t>41BBY</t>
  </si>
  <si>
    <t>brown mottle</t>
  </si>
  <si>
    <t>Ackbar</t>
  </si>
  <si>
    <t>Bespin</t>
  </si>
  <si>
    <t>37BBY</t>
  </si>
  <si>
    <t>Lobot</t>
  </si>
  <si>
    <t>Socorro</t>
  </si>
  <si>
    <t>31BBY</t>
  </si>
  <si>
    <t>Lando Calrissian</t>
  </si>
  <si>
    <t>Trandoshan</t>
  </si>
  <si>
    <t>Trandosha</t>
  </si>
  <si>
    <t>53BBY</t>
  </si>
  <si>
    <t>Bossk</t>
  </si>
  <si>
    <t>15BBY</t>
  </si>
  <si>
    <t>metal</t>
  </si>
  <si>
    <t>IG-88</t>
  </si>
  <si>
    <t>31.5BBY</t>
  </si>
  <si>
    <t>Boba Fett</t>
  </si>
  <si>
    <t>Palpatine</t>
  </si>
  <si>
    <t>Yoda's species</t>
  </si>
  <si>
    <t>896BBY</t>
  </si>
  <si>
    <t>Yoda</t>
  </si>
  <si>
    <t>Bestine IV</t>
  </si>
  <si>
    <t>Jek Tono Porkins</t>
  </si>
  <si>
    <t>Corellia</t>
  </si>
  <si>
    <t>21BBY</t>
  </si>
  <si>
    <t>Wedge Antilles</t>
  </si>
  <si>
    <t>Hutt</t>
  </si>
  <si>
    <t>Nal Hutta</t>
  </si>
  <si>
    <t>hermaphrodite</t>
  </si>
  <si>
    <t>600BBY</t>
  </si>
  <si>
    <t>green-tan, brown</t>
  </si>
  <si>
    <t>Jabba Desilijic Tiure</t>
  </si>
  <si>
    <t>Rodian</t>
  </si>
  <si>
    <t>Rodia</t>
  </si>
  <si>
    <t>44BBY</t>
  </si>
  <si>
    <t>Greedo</t>
  </si>
  <si>
    <t>29BBY</t>
  </si>
  <si>
    <t>200BBY</t>
  </si>
  <si>
    <t>Eriadu</t>
  </si>
  <si>
    <t>64BBY</t>
  </si>
  <si>
    <t>auburn, grey</t>
  </si>
  <si>
    <t>41.9BBY</t>
  </si>
  <si>
    <t>Stewjon</t>
  </si>
  <si>
    <t>57BBY</t>
  </si>
  <si>
    <t>blue-gray</t>
  </si>
  <si>
    <t>auburn, white</t>
  </si>
  <si>
    <t>24BBY</t>
  </si>
  <si>
    <t>white, red</t>
  </si>
  <si>
    <t>47BBY</t>
  </si>
  <si>
    <t>brown, grey</t>
  </si>
  <si>
    <t>19BBY</t>
  </si>
  <si>
    <t>33BBY</t>
  </si>
  <si>
    <t>112BBY</t>
  </si>
  <si>
    <t>species</t>
  </si>
  <si>
    <t>homeworld</t>
  </si>
  <si>
    <t>gender</t>
  </si>
  <si>
    <t>birth_year</t>
  </si>
  <si>
    <t>eye_color</t>
  </si>
  <si>
    <t>skin_color</t>
  </si>
  <si>
    <t>hair_color</t>
  </si>
  <si>
    <t>mass</t>
  </si>
  <si>
    <t>name</t>
  </si>
  <si>
    <t>Star War Characters</t>
  </si>
  <si>
    <t>Data used in the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</si>
</sst>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yyyy\-mm\-dd"/>
    <numFmt numFmtId="166" formatCode="m/d/yy\ h:mm;@"/>
    <numFmt numFmtId="167" formatCode="[$-F800]dddd\,\ mmmm\ dd\,\ yyyy"/>
    <numFmt numFmtId="168" formatCode="ddd\ dd\-mmm\-yy"/>
    <numFmt numFmtId="169" formatCode="ddd\ dd\-mm\-yyyy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0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0" fillId="3" borderId="1" applyNumberFormat="0" applyAlignment="0" applyProtection="0"/>
    <xf numFmtId="0" fontId="11" fillId="4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73">
    <xf numFmtId="0" fontId="0" fillId="0" borderId="0" xfId="0"/>
    <xf numFmtId="3" fontId="0" fillId="0" borderId="0" xfId="0" applyNumberFormat="1"/>
    <xf numFmtId="0" fontId="5" fillId="0" borderId="0" xfId="0" applyFont="1"/>
    <xf numFmtId="1" fontId="0" fillId="2" borderId="0" xfId="0" applyNumberFormat="1" applyFill="1"/>
    <xf numFmtId="0" fontId="0" fillId="2" borderId="0" xfId="0" applyFill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1" fontId="5" fillId="0" borderId="0" xfId="0" applyNumberFormat="1" applyFont="1"/>
    <xf numFmtId="1" fontId="9" fillId="0" borderId="0" xfId="0" applyNumberFormat="1" applyFont="1"/>
    <xf numFmtId="0" fontId="9" fillId="0" borderId="0" xfId="0" applyFont="1"/>
    <xf numFmtId="1" fontId="0" fillId="0" borderId="0" xfId="0" applyNumberFormat="1"/>
    <xf numFmtId="0" fontId="4" fillId="0" borderId="0" xfId="0" applyFont="1"/>
    <xf numFmtId="0" fontId="1" fillId="0" borderId="0" xfId="7"/>
    <xf numFmtId="164" fontId="14" fillId="0" borderId="0" xfId="8" applyFont="1"/>
    <xf numFmtId="14" fontId="0" fillId="0" borderId="0" xfId="8" applyNumberFormat="1" applyFont="1"/>
    <xf numFmtId="4" fontId="0" fillId="0" borderId="0" xfId="8" applyNumberFormat="1" applyFont="1"/>
    <xf numFmtId="164" fontId="0" fillId="0" borderId="0" xfId="8" applyFont="1"/>
    <xf numFmtId="2" fontId="15" fillId="0" borderId="0" xfId="8" applyNumberFormat="1" applyFont="1"/>
    <xf numFmtId="165" fontId="15" fillId="0" borderId="0" xfId="8" applyNumberFormat="1" applyFont="1"/>
    <xf numFmtId="4" fontId="16" fillId="0" borderId="0" xfId="8" applyNumberFormat="1" applyFont="1"/>
    <xf numFmtId="166" fontId="1" fillId="0" borderId="0" xfId="7" applyNumberFormat="1"/>
    <xf numFmtId="2" fontId="0" fillId="0" borderId="0" xfId="8" applyNumberFormat="1" applyFont="1"/>
    <xf numFmtId="2" fontId="1" fillId="0" borderId="0" xfId="7" applyNumberFormat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centerContinuous"/>
    </xf>
    <xf numFmtId="0" fontId="0" fillId="6" borderId="0" xfId="0" applyFill="1"/>
    <xf numFmtId="0" fontId="0" fillId="5" borderId="0" xfId="0" applyFill="1"/>
    <xf numFmtId="3" fontId="0" fillId="2" borderId="0" xfId="0" applyNumberFormat="1" applyFill="1"/>
    <xf numFmtId="14" fontId="11" fillId="4" borderId="1" xfId="6" applyNumberFormat="1"/>
    <xf numFmtId="0" fontId="11" fillId="4" borderId="1" xfId="6"/>
    <xf numFmtId="167" fontId="0" fillId="2" borderId="0" xfId="0" applyNumberFormat="1" applyFill="1"/>
    <xf numFmtId="167" fontId="0" fillId="0" borderId="0" xfId="0" applyNumberFormat="1"/>
    <xf numFmtId="0" fontId="17" fillId="0" borderId="0" xfId="0" applyFont="1"/>
    <xf numFmtId="0" fontId="18" fillId="0" borderId="0" xfId="0" applyFont="1"/>
    <xf numFmtId="14" fontId="0" fillId="7" borderId="0" xfId="0" applyNumberFormat="1" applyFill="1"/>
    <xf numFmtId="14" fontId="0" fillId="0" borderId="0" xfId="0" applyNumberFormat="1"/>
    <xf numFmtId="0" fontId="0" fillId="7" borderId="0" xfId="0" applyFill="1"/>
    <xf numFmtId="0" fontId="19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8" fontId="0" fillId="2" borderId="0" xfId="0" applyNumberFormat="1" applyFill="1"/>
    <xf numFmtId="169" fontId="0" fillId="2" borderId="0" xfId="0" applyNumberFormat="1" applyFill="1"/>
    <xf numFmtId="168" fontId="0" fillId="0" borderId="0" xfId="0" applyNumberFormat="1"/>
    <xf numFmtId="169" fontId="0" fillId="0" borderId="0" xfId="0" applyNumberFormat="1"/>
    <xf numFmtId="0" fontId="0" fillId="8" borderId="0" xfId="0" applyFill="1"/>
    <xf numFmtId="167" fontId="0" fillId="6" borderId="0" xfId="0" applyNumberFormat="1" applyFill="1"/>
    <xf numFmtId="0" fontId="20" fillId="0" borderId="0" xfId="9"/>
    <xf numFmtId="0" fontId="21" fillId="0" borderId="0" xfId="7" applyFont="1"/>
    <xf numFmtId="0" fontId="13" fillId="0" borderId="0" xfId="7" applyFont="1"/>
    <xf numFmtId="0" fontId="22" fillId="0" borderId="0" xfId="7" applyFont="1"/>
    <xf numFmtId="0" fontId="23" fillId="0" borderId="0" xfId="7" applyFont="1"/>
    <xf numFmtId="0" fontId="24" fillId="0" borderId="0" xfId="7" applyFont="1"/>
    <xf numFmtId="0" fontId="10" fillId="3" borderId="1" xfId="5"/>
    <xf numFmtId="0" fontId="1" fillId="2" borderId="0" xfId="7" applyFill="1"/>
    <xf numFmtId="0" fontId="22" fillId="2" borderId="0" xfId="7" applyFont="1" applyFill="1"/>
    <xf numFmtId="0" fontId="22" fillId="3" borderId="1" xfId="5" applyFont="1"/>
    <xf numFmtId="0" fontId="25" fillId="0" borderId="0" xfId="7" applyFont="1"/>
    <xf numFmtId="14" fontId="10" fillId="3" borderId="1" xfId="5" applyNumberFormat="1"/>
    <xf numFmtId="14" fontId="1" fillId="0" borderId="0" xfId="7" applyNumberFormat="1"/>
    <xf numFmtId="14" fontId="1" fillId="2" borderId="0" xfId="7" applyNumberFormat="1" applyFill="1"/>
    <xf numFmtId="0" fontId="10" fillId="3" borderId="2" xfId="5" applyBorder="1"/>
    <xf numFmtId="0" fontId="10" fillId="3" borderId="3" xfId="5" applyBorder="1"/>
    <xf numFmtId="0" fontId="10" fillId="3" borderId="4" xfId="5" applyBorder="1"/>
    <xf numFmtId="0" fontId="10" fillId="3" borderId="0" xfId="5" applyBorder="1"/>
    <xf numFmtId="0" fontId="10" fillId="3" borderId="5" xfId="5" applyBorder="1"/>
    <xf numFmtId="0" fontId="10" fillId="3" borderId="6" xfId="5" applyBorder="1"/>
    <xf numFmtId="14" fontId="10" fillId="3" borderId="7" xfId="5" applyNumberFormat="1" applyBorder="1"/>
    <xf numFmtId="0" fontId="10" fillId="3" borderId="8" xfId="5" applyBorder="1"/>
    <xf numFmtId="0" fontId="10" fillId="3" borderId="9" xfId="5" applyBorder="1"/>
    <xf numFmtId="0" fontId="12" fillId="0" borderId="0" xfId="7" applyFont="1"/>
    <xf numFmtId="0" fontId="26" fillId="0" borderId="0" xfId="7" applyFont="1"/>
  </cellXfs>
  <cellStyles count="10">
    <cellStyle name="Calculation" xfId="6" builtinId="22"/>
    <cellStyle name="Currency 2" xfId="4" xr:uid="{8A32B481-43E2-4862-91CA-72C69D76DFA4}"/>
    <cellStyle name="Currency 2 2" xfId="8" xr:uid="{089A0F75-356F-420A-9D80-48C83BF87F42}"/>
    <cellStyle name="Hyperlink" xfId="9" builtinId="8"/>
    <cellStyle name="Hyperlink 2" xfId="2" xr:uid="{57623440-F636-49B9-B103-360ED2E2DE20}"/>
    <cellStyle name="Input" xfId="5" builtinId="20"/>
    <cellStyle name="Normal" xfId="0" builtinId="0"/>
    <cellStyle name="Normal 2" xfId="1" xr:uid="{65E33134-1AC9-4392-A05A-1519F4A9CBAF}"/>
    <cellStyle name="Normal 3" xfId="3" xr:uid="{8E1A880F-7A26-43DB-B4B9-11B0130F9CA5}"/>
    <cellStyle name="Normal 3 2" xfId="7" xr:uid="{194927B7-DCCF-49A3-861D-50BF7308F4C2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9" formatCode="dd/mm/yyyy"/>
      <fill>
        <patternFill patternType="solid">
          <fgColor indexed="64"/>
          <bgColor rgb="FFFFCC99"/>
        </patternFill>
      </fill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numFmt numFmtId="3" formatCode="#,##0"/>
    </dxf>
    <dxf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9" formatCode="dd/mm/yyyy"/>
      <fill>
        <patternFill patternType="solid">
          <fgColor indexed="64"/>
          <bgColor rgb="FFFFCC99"/>
        </patternFill>
      </fill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numFmt numFmtId="19" formatCode="dd/mm/yyyy"/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numFmt numFmtId="3" formatCode="#,##0"/>
    </dxf>
    <dxf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omalex-my.sharepoint.com/personal/mark_wilcock_zomalex_co_uk/Documents/Courses/Course%20-%20Excel%20Advanced/Dynamic%20Arrays%20&amp;%20Functions.xlsx" TargetMode="External"/><Relationship Id="rId1" Type="http://schemas.openxmlformats.org/officeDocument/2006/relationships/externalLinkPath" Target="/personal/mark_wilcock_zomalex_co_uk/Documents/Courses/Course%20-%20Excel%20Advanced/Dynamic%20Arrays%20&amp;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 Start"/>
      <sheetName val="Text functions Start"/>
      <sheetName val="VSTACK HSTACK Start"/>
      <sheetName val="BYROW BYCOL Start"/>
      <sheetName val="BYROW BYCOL Adv"/>
      <sheetName val="WRAPROWS WRAPCOLS Start"/>
      <sheetName val="TAKE DROP EXPAND"/>
      <sheetName val="TOROW TOCOL"/>
      <sheetName val="CHOOSEROWS CHOOSECOLS"/>
      <sheetName val="Overview Final"/>
      <sheetName val="Text functions Final"/>
      <sheetName val="VSTACK HSTACK Final"/>
      <sheetName val="BYROW BYCOL Fina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>
            <v>1</v>
          </cell>
          <cell r="C5">
            <v>2</v>
          </cell>
          <cell r="D5">
            <v>3</v>
          </cell>
        </row>
        <row r="6">
          <cell r="B6">
            <v>4</v>
          </cell>
          <cell r="C6">
            <v>5</v>
          </cell>
          <cell r="D6">
            <v>6</v>
          </cell>
        </row>
        <row r="7">
          <cell r="B7">
            <v>7</v>
          </cell>
          <cell r="C7">
            <v>8</v>
          </cell>
          <cell r="D7">
            <v>9</v>
          </cell>
        </row>
        <row r="8">
          <cell r="B8" t="str">
            <v>*</v>
          </cell>
          <cell r="C8">
            <v>0</v>
          </cell>
          <cell r="D8" t="str">
            <v>#</v>
          </cell>
        </row>
      </sheetData>
      <sheetData sheetId="7"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</row>
        <row r="6">
          <cell r="B6">
            <v>5</v>
          </cell>
          <cell r="C6">
            <v>6</v>
          </cell>
          <cell r="D6">
            <v>7</v>
          </cell>
          <cell r="E6">
            <v>8</v>
          </cell>
        </row>
        <row r="7">
          <cell r="B7">
            <v>9</v>
          </cell>
          <cell r="C7">
            <v>10</v>
          </cell>
          <cell r="D7">
            <v>11</v>
          </cell>
          <cell r="E7">
            <v>12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038FC-7918-4D22-9AF7-60ECCB5687AC}" name="Store" displayName="Store" ref="A1:M701" totalsRowShown="0" headerRowDxfId="61" dataDxfId="60" dataCellStyle="Currency 2">
  <autoFilter ref="A1:M701" xr:uid="{00000000-0009-0000-0100-000001000000}"/>
  <tableColumns count="13">
    <tableColumn id="1" xr3:uid="{CC7B0E44-E910-4007-B765-07875AD285E9}" name="Segment"/>
    <tableColumn id="2" xr3:uid="{811C6E7A-A25A-4EA2-BF1C-4B4E06EBF3D9}" name="Country"/>
    <tableColumn id="16" xr3:uid="{5EC2AC56-159E-4AB0-A54A-A45545D71019}" name="Product" dataDxfId="59" dataCellStyle="Currency 2"/>
    <tableColumn id="3" xr3:uid="{1F480B53-9B9E-49F0-A3FE-CD568A972597}" name="Date" dataDxfId="58" dataCellStyle="Currency 2"/>
    <tableColumn id="6" xr3:uid="{604C0644-A22D-4664-B4B7-D6DAEB4B8778}" name="Quantity"/>
    <tableColumn id="7" xr3:uid="{D46AEEBC-6EC9-4229-9189-1FA0EA3134B8}" name="Unit Cost" dataDxfId="57" dataCellStyle="Currency 2"/>
    <tableColumn id="8" xr3:uid="{671CD9B2-17E2-4AB9-B986-3C3C049C629F}" name="Sale Price" dataDxfId="56" dataCellStyle="Currency 2"/>
    <tableColumn id="12" xr3:uid="{4DA283F6-7769-4732-8224-43B27F547A08}" name="COGS" dataDxfId="55" dataCellStyle="Currency 2"/>
    <tableColumn id="10" xr3:uid="{F4BD9F15-563E-4F50-8EB0-868FAAA2A145}" name="Discount" dataDxfId="54" dataCellStyle="Currency 2"/>
    <tableColumn id="19" xr3:uid="{1025A597-C263-484E-AFED-C2BBBD5A3A65}" name="Discount Band" dataDxfId="53" dataCellStyle="Currency 2"/>
    <tableColumn id="4" xr3:uid="{98A2EBAE-196E-4C37-9CA3-6C63138FE2C4}" name="Gross Sales" dataDxfId="52" dataCellStyle="Currency 2">
      <calculatedColumnFormula>Store[[#This Row],[Quantity]]*Store[[#This Row],[Sale Price]]</calculatedColumnFormula>
    </tableColumn>
    <tableColumn id="5" xr3:uid="{5731E7CF-E88B-4610-8AB5-C0037F12FB43}" name="Sales" dataDxfId="51" dataCellStyle="Currency 2">
      <calculatedColumnFormula>Store[[#This Row],[Gross Sales]]-Store[[#This Row],[Discount]]</calculatedColumnFormula>
    </tableColumn>
    <tableColumn id="9" xr3:uid="{C86DCC9F-7AED-44E5-93AB-7FA76FA6618A}" name="Profit" dataDxfId="50" dataCellStyle="Currency 2">
      <calculatedColumnFormula>Store[[#This Row],[Sales]]-Store[[#This Row],[COGS]]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AEE73C-7CCF-4FD3-828D-9D79BB3A1CF7}" name="StarWars" displayName="StarWars" ref="B4:K91" totalsRowShown="0" headerRowDxfId="11" dataDxfId="10">
  <autoFilter ref="B4:K91" xr:uid="{53A793F1-C862-4062-8F70-4641C98BAD00}"/>
  <tableColumns count="10">
    <tableColumn id="1" xr3:uid="{88CC5274-CAB0-478C-9230-D68D2B8923A8}" name="name" dataDxfId="9"/>
    <tableColumn id="2" xr3:uid="{4C7920B0-BB0F-475B-9EAE-882FF7483476}" name="height" dataDxfId="8"/>
    <tableColumn id="3" xr3:uid="{D3A1BEB0-7958-4A65-907D-4B78D2B47D9F}" name="mass" dataDxfId="7"/>
    <tableColumn id="4" xr3:uid="{82BC9D79-F653-44D2-93C6-230B111E047E}" name="hair_color" dataDxfId="6"/>
    <tableColumn id="5" xr3:uid="{5CA68648-2BB7-435B-A319-FECDB16FC003}" name="skin_color" dataDxfId="5"/>
    <tableColumn id="6" xr3:uid="{F7D75899-6931-4462-AEDA-951E94F087E2}" name="eye_color" dataDxfId="4"/>
    <tableColumn id="7" xr3:uid="{F96E6354-D05B-487F-8ECF-517CDDF9DF92}" name="birth_year" dataDxfId="3"/>
    <tableColumn id="8" xr3:uid="{70328DCD-B605-4E61-9D5D-08C03CF385AE}" name="gender" dataDxfId="2"/>
    <tableColumn id="9" xr3:uid="{7F0424D9-F5A3-4845-A7E5-B931F32D84F2}" name="homeworld" dataDxfId="1"/>
    <tableColumn id="10" xr3:uid="{F95D8541-4D9C-4918-B1B6-E472CF162013}" name="specie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3F911E-3DF2-4750-9068-73FA87972E3C}" name="FruitTable" displayName="FruitTable" ref="B24:D28" totalsRowShown="0" headerRowDxfId="49">
  <autoFilter ref="B24:D28" xr:uid="{381345F5-E462-4CF6-BD7C-E35A15FC50C9}"/>
  <tableColumns count="3">
    <tableColumn id="1" xr3:uid="{A0AF2D7D-0F97-4837-AEBE-2259FDFD7E60}" name="Fruit" dataDxfId="48"/>
    <tableColumn id="2" xr3:uid="{6BBBE354-8C1E-458A-90BB-3828A09B2C1E}" name="Price" dataDxfId="47"/>
    <tableColumn id="3" xr3:uid="{F93ECBBA-444D-4872-9CAA-9B8B9ED2303C}" name="Quantity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18A3B-8978-4C40-9BDD-5587EBFDE65A}" name="StoreSummary" displayName="StoreSummary" ref="B4:D16" totalsRowShown="0">
  <autoFilter ref="B4:D16" xr:uid="{060E6643-98D1-4E31-AFC1-7EEB343EE3C7}"/>
  <tableColumns count="3">
    <tableColumn id="1" xr3:uid="{47661B4D-11D5-4D30-881E-2FE33D24CFD4}" name="Region"/>
    <tableColumn id="2" xr3:uid="{BE93ABE2-8A07-44B0-9195-C4AEC4258957}" name="Category"/>
    <tableColumn id="3" xr3:uid="{008311A4-0CB5-497F-85B3-B524BA160EE6}" name="Profit" dataDxfId="4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BCC05-5800-401A-825F-94C7AD1417D1}" name="JanTable" displayName="JanTable" ref="B21:D23" totalsRowShown="0" headerRowBorderDxfId="45" tableBorderDxfId="44" totalsRowBorderDxfId="43">
  <autoFilter ref="B21:D23" xr:uid="{690E36D7-C41A-46FA-A733-B8FD0B6F7AE0}"/>
  <tableColumns count="3">
    <tableColumn id="1" xr3:uid="{EE4BB252-65EF-42D6-BD0D-3BF9188909C0}" name="Date" dataDxfId="42" dataCellStyle="Input"/>
    <tableColumn id="2" xr3:uid="{5A2CEF99-6D3E-4E40-81B2-68FD3234A1B8}" name="Category"/>
    <tableColumn id="3" xr3:uid="{FA7FAAA1-E566-4067-8E54-0F40B9B8256A}" name="Amount" dataDxfId="41" dataCellStyle="Inpu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FF14A-46C5-4395-9C23-F38611CEAB37}" name="FebTable" displayName="FebTable" ref="F21:H23" totalsRowShown="0" headerRowBorderDxfId="40" tableBorderDxfId="39" totalsRowBorderDxfId="38">
  <autoFilter ref="F21:H23" xr:uid="{F59A4769-39B3-4094-A779-7207569CF49F}"/>
  <tableColumns count="3">
    <tableColumn id="1" xr3:uid="{AF9A3B67-25B4-430E-8D69-18FAB19C9022}" name="Date" dataDxfId="37" dataCellStyle="Input"/>
    <tableColumn id="2" xr3:uid="{642002E5-1F36-444A-8064-D6F16AF52117}" name="Category"/>
    <tableColumn id="3" xr3:uid="{8777C522-BC60-46B1-92E2-38A0E813004D}" name="Amount" dataDxfId="36" dataCellStyle="Inpu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8EB3CC-B1A9-415E-87B1-CF1876E048EC}" name="MarTable" displayName="MarTable" ref="J21:L23" totalsRowShown="0" headerRowDxfId="35" tableBorderDxfId="34" headerRowCellStyle="Input">
  <autoFilter ref="J21:L23" xr:uid="{4389A2E5-9D01-4909-AEA3-0168F32B0F19}"/>
  <tableColumns count="3">
    <tableColumn id="1" xr3:uid="{B304378A-F1F3-41B0-B322-67C1910F6308}" name="Date" dataDxfId="33" dataCellStyle="Input"/>
    <tableColumn id="2" xr3:uid="{745B3ADC-5010-4CFD-A3E9-89978E3ACB16}" name="Category" dataDxfId="32" dataCellStyle="Input"/>
    <tableColumn id="3" xr3:uid="{DC033885-B6DD-463D-BDFF-2EF29A26461C}" name="Amount" dataDxfId="31" dataCellStyle="Inpu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1345F5-E462-4CF6-BD7C-E35A15FC50C9}" name="FruitTableFinal" displayName="FruitTableFinal" ref="B24:D28" totalsRowShown="0" headerRowDxfId="30">
  <autoFilter ref="B24:D28" xr:uid="{381345F5-E462-4CF6-BD7C-E35A15FC50C9}"/>
  <tableColumns count="3">
    <tableColumn id="1" xr3:uid="{62CCE332-2139-43B0-8C8E-D86201C65CA8}" name="Fruit" dataDxfId="29"/>
    <tableColumn id="2" xr3:uid="{9873C2F1-ACD4-418D-ACDE-AC48BAC791E5}" name="Price" dataDxfId="28"/>
    <tableColumn id="3" xr3:uid="{2B41A489-AA38-4935-AB23-DDE086A1FDE1}" name="Quantity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7C238-3818-4DE7-8706-870550FB1188}" name="StoreSummaryFinal" displayName="StoreSummaryFinal" ref="B4:D16" totalsRowShown="0">
  <autoFilter ref="B4:D16" xr:uid="{060E6643-98D1-4E31-AFC1-7EEB343EE3C7}"/>
  <tableColumns count="3">
    <tableColumn id="1" xr3:uid="{7379C9CB-7AD6-4EFA-BE63-04E2B27CD1B9}" name="Region"/>
    <tableColumn id="2" xr3:uid="{5E6E05CA-30BC-4E4F-BB7B-A5BA810FF01A}" name="Category"/>
    <tableColumn id="3" xr3:uid="{0008432C-7E35-40C4-B1E4-52A0D0279F32}" name="Profit" dataDxfId="2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B0E9D6-DEFF-4B0F-A013-29F0C671A170}" name="JanTableFinal" displayName="JanTableFinal" ref="B19:D21" totalsRowShown="0" headerRowBorderDxfId="26" tableBorderDxfId="25" totalsRowBorderDxfId="24">
  <autoFilter ref="B19:D21" xr:uid="{690E36D7-C41A-46FA-A733-B8FD0B6F7AE0}"/>
  <tableColumns count="3">
    <tableColumn id="1" xr3:uid="{CAAD961D-CEBC-404F-89B4-BC498DE55A75}" name="Date" dataDxfId="23" dataCellStyle="Input"/>
    <tableColumn id="2" xr3:uid="{689FDDFF-31D8-484B-892A-287F5E8CAE1A}" name="Category"/>
    <tableColumn id="3" xr3:uid="{59A3EDA7-1412-40E2-A747-9A0ED357EFD1}" name="Amount" dataDxfId="22" dataCellStyle="Inpu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19D893-499D-428F-879C-0AD7EDF63BC1}" name="FebTableFinal" displayName="FebTableFinal" ref="F19:H21" totalsRowShown="0" headerRowBorderDxfId="21" tableBorderDxfId="20" totalsRowBorderDxfId="19">
  <autoFilter ref="F19:H21" xr:uid="{F59A4769-39B3-4094-A779-7207569CF49F}"/>
  <tableColumns count="3">
    <tableColumn id="1" xr3:uid="{C81730EE-D058-4FA0-B8D0-FBAC27CD6300}" name="Date" dataDxfId="18" dataCellStyle="Input"/>
    <tableColumn id="2" xr3:uid="{91F99B65-E9C9-4264-8D84-97D27BAD6E4A}" name="Category"/>
    <tableColumn id="3" xr3:uid="{A049D72F-DC2F-443D-801C-8EFD5636FE45}" name="Amount" dataDxfId="17" dataCellStyle="Inpu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C67246-A61A-4983-8866-AD06F1D1FF5D}" name="MarTableFinal" displayName="MarTableFinal" ref="J19:L21" totalsRowShown="0" headerRowDxfId="16" tableBorderDxfId="15" headerRowCellStyle="Input">
  <autoFilter ref="J19:L21" xr:uid="{4389A2E5-9D01-4909-AEA3-0168F32B0F19}"/>
  <tableColumns count="3">
    <tableColumn id="1" xr3:uid="{60B7285F-AADD-4F3E-821E-E01FC8203F58}" name="Date" dataDxfId="14" dataCellStyle="Input"/>
    <tableColumn id="2" xr3:uid="{BDBC19CD-415C-4A6D-AED2-FB3BB1A5CB6E}" name="Category" dataDxfId="13" dataCellStyle="Input"/>
    <tableColumn id="3" xr3:uid="{79B8780F-1614-4753-A982-C06711EE511A}" name="Amount" dataDxfId="12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etup.com/london-business-analytics-group/events/29104329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4DD1-C71D-4C39-AC5E-C327FEB191DE}">
  <sheetPr>
    <tabColor theme="9" tint="0.79998168889431442"/>
  </sheetPr>
  <dimension ref="A1:B5"/>
  <sheetViews>
    <sheetView workbookViewId="0">
      <selection activeCell="A5" sqref="A5"/>
    </sheetView>
  </sheetViews>
  <sheetFormatPr defaultRowHeight="15.75" x14ac:dyDescent="0.25"/>
  <cols>
    <col min="1" max="1" width="18.125" customWidth="1"/>
  </cols>
  <sheetData>
    <row r="1" spans="1:2" x14ac:dyDescent="0.25">
      <c r="A1" s="12" t="s">
        <v>25</v>
      </c>
    </row>
    <row r="3" spans="1:2" x14ac:dyDescent="0.25">
      <c r="A3" t="s">
        <v>28</v>
      </c>
    </row>
    <row r="4" spans="1:2" x14ac:dyDescent="0.25">
      <c r="A4" t="s">
        <v>114</v>
      </c>
      <c r="B4" s="48" t="s">
        <v>115</v>
      </c>
    </row>
    <row r="5" spans="1:2" x14ac:dyDescent="0.25">
      <c r="A5" t="s">
        <v>26</v>
      </c>
      <c r="B5" t="s">
        <v>27</v>
      </c>
    </row>
  </sheetData>
  <hyperlinks>
    <hyperlink ref="B4" r:id="rId1" display="https://www.meetup.com/london-business-analytics-group/events/291043293/" xr:uid="{10E5187E-C63E-491F-B462-079F25BA96E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215-4D04-4B51-A4CA-426971860615}">
  <sheetPr>
    <tabColor theme="8" tint="0.79998168889431442"/>
  </sheetPr>
  <dimension ref="A1:M701"/>
  <sheetViews>
    <sheetView zoomScale="85" zoomScaleNormal="85" workbookViewId="0">
      <selection activeCell="D31" sqref="D31"/>
    </sheetView>
  </sheetViews>
  <sheetFormatPr defaultRowHeight="15.75" x14ac:dyDescent="0.25"/>
  <cols>
    <col min="1" max="1" width="15.875" style="13" customWidth="1"/>
    <col min="2" max="2" width="23.25" style="13" customWidth="1"/>
    <col min="3" max="3" width="12.375" style="21" bestFit="1" customWidth="1"/>
    <col min="4" max="4" width="15.25" style="13" bestFit="1" customWidth="1"/>
    <col min="5" max="5" width="10.125" style="13" bestFit="1" customWidth="1"/>
    <col min="6" max="6" width="12.5" style="17" customWidth="1"/>
    <col min="7" max="7" width="12.5" style="17" bestFit="1" customWidth="1"/>
    <col min="8" max="9" width="11" style="22" bestFit="1" customWidth="1"/>
    <col min="10" max="10" width="15.5" style="22" customWidth="1"/>
    <col min="11" max="11" width="11" style="23" bestFit="1" customWidth="1"/>
    <col min="12" max="12" width="16.125" style="23" bestFit="1" customWidth="1"/>
    <col min="13" max="13" width="14" style="13" customWidth="1"/>
    <col min="14" max="16384" width="9" style="13"/>
  </cols>
  <sheetData>
    <row r="1" spans="1:13" x14ac:dyDescent="0.25">
      <c r="A1" s="13" t="s">
        <v>29</v>
      </c>
      <c r="B1" s="13" t="s">
        <v>30</v>
      </c>
      <c r="C1" s="14" t="s">
        <v>31</v>
      </c>
      <c r="D1" s="15" t="s">
        <v>32</v>
      </c>
      <c r="E1" s="13" t="s">
        <v>0</v>
      </c>
      <c r="F1" s="16" t="s">
        <v>33</v>
      </c>
      <c r="G1" s="16" t="s">
        <v>34</v>
      </c>
      <c r="H1" s="16" t="s">
        <v>35</v>
      </c>
      <c r="I1" s="16" t="s">
        <v>36</v>
      </c>
      <c r="J1" s="14" t="s">
        <v>37</v>
      </c>
      <c r="K1" s="16" t="s">
        <v>38</v>
      </c>
      <c r="L1" s="17" t="s">
        <v>39</v>
      </c>
      <c r="M1" s="17" t="s">
        <v>40</v>
      </c>
    </row>
    <row r="2" spans="1:13" x14ac:dyDescent="0.25">
      <c r="A2" t="s">
        <v>41</v>
      </c>
      <c r="B2" t="s">
        <v>42</v>
      </c>
      <c r="C2" s="18" t="s">
        <v>43</v>
      </c>
      <c r="D2" s="19">
        <v>44128</v>
      </c>
      <c r="E2">
        <v>345</v>
      </c>
      <c r="F2" s="16">
        <v>5</v>
      </c>
      <c r="G2" s="16">
        <v>125</v>
      </c>
      <c r="H2" s="16">
        <v>41400</v>
      </c>
      <c r="I2" s="16">
        <v>0</v>
      </c>
      <c r="J2" s="14" t="s">
        <v>44</v>
      </c>
      <c r="K2" s="20">
        <f>Store[[#This Row],[Quantity]]*Store[[#This Row],[Sale Price]]</f>
        <v>43125</v>
      </c>
      <c r="L2" s="20">
        <f>Store[[#This Row],[Gross Sales]]-Store[[#This Row],[Discount]]</f>
        <v>43125</v>
      </c>
      <c r="M2" s="20">
        <f>Store[[#This Row],[Sales]]-Store[[#This Row],[COGS]]</f>
        <v>1725</v>
      </c>
    </row>
    <row r="3" spans="1:13" x14ac:dyDescent="0.25">
      <c r="A3" t="s">
        <v>45</v>
      </c>
      <c r="B3" t="s">
        <v>42</v>
      </c>
      <c r="C3" s="18" t="s">
        <v>46</v>
      </c>
      <c r="D3" s="19">
        <v>44094</v>
      </c>
      <c r="E3">
        <v>549</v>
      </c>
      <c r="F3" s="16">
        <v>10</v>
      </c>
      <c r="G3" s="16">
        <v>15</v>
      </c>
      <c r="H3" s="16">
        <v>5490</v>
      </c>
      <c r="I3" s="16">
        <v>0</v>
      </c>
      <c r="J3" s="14" t="s">
        <v>44</v>
      </c>
      <c r="K3" s="20">
        <f>Store[[#This Row],[Quantity]]*Store[[#This Row],[Sale Price]]</f>
        <v>8235</v>
      </c>
      <c r="L3" s="20">
        <f>Store[[#This Row],[Gross Sales]]-Store[[#This Row],[Discount]]</f>
        <v>8235</v>
      </c>
      <c r="M3" s="20">
        <f>Store[[#This Row],[Sales]]-Store[[#This Row],[COGS]]</f>
        <v>2745</v>
      </c>
    </row>
    <row r="4" spans="1:13" x14ac:dyDescent="0.25">
      <c r="A4" t="s">
        <v>47</v>
      </c>
      <c r="B4" t="s">
        <v>48</v>
      </c>
      <c r="C4" s="18" t="s">
        <v>46</v>
      </c>
      <c r="D4" s="19">
        <v>44079</v>
      </c>
      <c r="E4">
        <v>788</v>
      </c>
      <c r="F4" s="16">
        <v>10</v>
      </c>
      <c r="G4" s="16">
        <v>300</v>
      </c>
      <c r="H4" s="16">
        <v>197000</v>
      </c>
      <c r="I4" s="16">
        <v>0</v>
      </c>
      <c r="J4" s="14" t="s">
        <v>44</v>
      </c>
      <c r="K4" s="20">
        <f>Store[[#This Row],[Quantity]]*Store[[#This Row],[Sale Price]]</f>
        <v>236400</v>
      </c>
      <c r="L4" s="20">
        <f>Store[[#This Row],[Gross Sales]]-Store[[#This Row],[Discount]]</f>
        <v>236400</v>
      </c>
      <c r="M4" s="20">
        <f>Store[[#This Row],[Sales]]-Store[[#This Row],[COGS]]</f>
        <v>39400</v>
      </c>
    </row>
    <row r="5" spans="1:13" x14ac:dyDescent="0.25">
      <c r="A5" t="s">
        <v>49</v>
      </c>
      <c r="B5" t="s">
        <v>42</v>
      </c>
      <c r="C5" s="18" t="s">
        <v>46</v>
      </c>
      <c r="D5" s="19">
        <v>44141</v>
      </c>
      <c r="E5">
        <v>1725</v>
      </c>
      <c r="F5" s="16">
        <v>10</v>
      </c>
      <c r="G5" s="16">
        <v>350</v>
      </c>
      <c r="H5" s="16">
        <v>448500</v>
      </c>
      <c r="I5" s="16">
        <v>0</v>
      </c>
      <c r="J5" s="14" t="s">
        <v>44</v>
      </c>
      <c r="K5" s="20">
        <f>Store[[#This Row],[Quantity]]*Store[[#This Row],[Sale Price]]</f>
        <v>603750</v>
      </c>
      <c r="L5" s="20">
        <f>Store[[#This Row],[Gross Sales]]-Store[[#This Row],[Discount]]</f>
        <v>603750</v>
      </c>
      <c r="M5" s="20">
        <f>Store[[#This Row],[Sales]]-Store[[#This Row],[COGS]]</f>
        <v>155250</v>
      </c>
    </row>
    <row r="6" spans="1:13" x14ac:dyDescent="0.25">
      <c r="A6" t="s">
        <v>50</v>
      </c>
      <c r="B6" t="s">
        <v>51</v>
      </c>
      <c r="C6" s="18" t="s">
        <v>46</v>
      </c>
      <c r="D6" s="19">
        <v>44138</v>
      </c>
      <c r="E6">
        <v>912</v>
      </c>
      <c r="F6" s="16">
        <v>10</v>
      </c>
      <c r="G6" s="16">
        <v>12</v>
      </c>
      <c r="H6" s="16">
        <v>2736</v>
      </c>
      <c r="I6" s="16">
        <v>0</v>
      </c>
      <c r="J6" s="14" t="s">
        <v>44</v>
      </c>
      <c r="K6" s="20">
        <f>Store[[#This Row],[Quantity]]*Store[[#This Row],[Sale Price]]</f>
        <v>10944</v>
      </c>
      <c r="L6" s="20">
        <f>Store[[#This Row],[Gross Sales]]-Store[[#This Row],[Discount]]</f>
        <v>10944</v>
      </c>
      <c r="M6" s="20">
        <f>Store[[#This Row],[Sales]]-Store[[#This Row],[COGS]]</f>
        <v>8208</v>
      </c>
    </row>
    <row r="7" spans="1:13" x14ac:dyDescent="0.25">
      <c r="A7" t="s">
        <v>45</v>
      </c>
      <c r="B7" t="s">
        <v>42</v>
      </c>
      <c r="C7" s="18" t="s">
        <v>46</v>
      </c>
      <c r="D7" s="19">
        <v>44185</v>
      </c>
      <c r="E7">
        <v>2152</v>
      </c>
      <c r="F7" s="16">
        <v>10</v>
      </c>
      <c r="G7" s="16">
        <v>15</v>
      </c>
      <c r="H7" s="16">
        <v>21520</v>
      </c>
      <c r="I7" s="16">
        <v>0</v>
      </c>
      <c r="J7" s="14" t="s">
        <v>44</v>
      </c>
      <c r="K7" s="20">
        <f>Store[[#This Row],[Quantity]]*Store[[#This Row],[Sale Price]]</f>
        <v>32280</v>
      </c>
      <c r="L7" s="20">
        <f>Store[[#This Row],[Gross Sales]]-Store[[#This Row],[Discount]]</f>
        <v>32280</v>
      </c>
      <c r="M7" s="20">
        <f>Store[[#This Row],[Sales]]-Store[[#This Row],[COGS]]</f>
        <v>10760</v>
      </c>
    </row>
    <row r="8" spans="1:13" x14ac:dyDescent="0.25">
      <c r="A8" t="s">
        <v>41</v>
      </c>
      <c r="B8" t="s">
        <v>42</v>
      </c>
      <c r="C8" s="18" t="s">
        <v>52</v>
      </c>
      <c r="D8" s="19">
        <v>44113</v>
      </c>
      <c r="E8">
        <v>345</v>
      </c>
      <c r="F8" s="16">
        <v>120</v>
      </c>
      <c r="G8" s="16">
        <v>125</v>
      </c>
      <c r="H8" s="16">
        <v>41400</v>
      </c>
      <c r="I8" s="16">
        <v>0</v>
      </c>
      <c r="J8" s="14" t="s">
        <v>44</v>
      </c>
      <c r="K8" s="20">
        <f>Store[[#This Row],[Quantity]]*Store[[#This Row],[Sale Price]]</f>
        <v>43125</v>
      </c>
      <c r="L8" s="20">
        <f>Store[[#This Row],[Gross Sales]]-Store[[#This Row],[Discount]]</f>
        <v>43125</v>
      </c>
      <c r="M8" s="20">
        <f>Store[[#This Row],[Sales]]-Store[[#This Row],[COGS]]</f>
        <v>1725</v>
      </c>
    </row>
    <row r="9" spans="1:13" x14ac:dyDescent="0.25">
      <c r="A9" t="s">
        <v>49</v>
      </c>
      <c r="B9" t="s">
        <v>51</v>
      </c>
      <c r="C9" s="18" t="s">
        <v>53</v>
      </c>
      <c r="D9" s="19">
        <v>44095</v>
      </c>
      <c r="E9">
        <v>1527</v>
      </c>
      <c r="F9" s="16">
        <v>250</v>
      </c>
      <c r="G9" s="16">
        <v>350</v>
      </c>
      <c r="H9" s="16">
        <v>397020</v>
      </c>
      <c r="I9" s="16">
        <v>0</v>
      </c>
      <c r="J9" s="14" t="s">
        <v>44</v>
      </c>
      <c r="K9" s="20">
        <f>Store[[#This Row],[Quantity]]*Store[[#This Row],[Sale Price]]</f>
        <v>534450</v>
      </c>
      <c r="L9" s="20">
        <f>Store[[#This Row],[Gross Sales]]-Store[[#This Row],[Discount]]</f>
        <v>534450</v>
      </c>
      <c r="M9" s="20">
        <f>Store[[#This Row],[Sales]]-Store[[#This Row],[COGS]]</f>
        <v>137430</v>
      </c>
    </row>
    <row r="10" spans="1:13" x14ac:dyDescent="0.25">
      <c r="A10" t="s">
        <v>41</v>
      </c>
      <c r="B10" t="s">
        <v>51</v>
      </c>
      <c r="C10" s="18" t="s">
        <v>54</v>
      </c>
      <c r="D10" s="19">
        <v>44099</v>
      </c>
      <c r="E10">
        <v>330</v>
      </c>
      <c r="F10" s="16">
        <v>3</v>
      </c>
      <c r="G10" s="16">
        <v>125</v>
      </c>
      <c r="H10" s="16">
        <v>39600</v>
      </c>
      <c r="I10" s="16">
        <v>412.5</v>
      </c>
      <c r="J10" s="14" t="s">
        <v>55</v>
      </c>
      <c r="K10" s="20">
        <f>Store[[#This Row],[Quantity]]*Store[[#This Row],[Sale Price]]</f>
        <v>41250</v>
      </c>
      <c r="L10" s="20">
        <f>Store[[#This Row],[Gross Sales]]-Store[[#This Row],[Discount]]</f>
        <v>40837.5</v>
      </c>
      <c r="M10" s="20">
        <f>Store[[#This Row],[Sales]]-Store[[#This Row],[COGS]]</f>
        <v>1237.5</v>
      </c>
    </row>
    <row r="11" spans="1:13" x14ac:dyDescent="0.25">
      <c r="A11" t="s">
        <v>50</v>
      </c>
      <c r="B11" t="s">
        <v>56</v>
      </c>
      <c r="C11" s="18" t="s">
        <v>54</v>
      </c>
      <c r="D11" s="19">
        <v>44119</v>
      </c>
      <c r="E11">
        <v>766</v>
      </c>
      <c r="F11" s="16">
        <v>3</v>
      </c>
      <c r="G11" s="16">
        <v>12</v>
      </c>
      <c r="H11" s="16">
        <v>2298</v>
      </c>
      <c r="I11" s="16">
        <v>91.92</v>
      </c>
      <c r="J11" s="14" t="s">
        <v>55</v>
      </c>
      <c r="K11" s="20">
        <f>Store[[#This Row],[Quantity]]*Store[[#This Row],[Sale Price]]</f>
        <v>9192</v>
      </c>
      <c r="L11" s="20">
        <f>Store[[#This Row],[Gross Sales]]-Store[[#This Row],[Discount]]</f>
        <v>9100.08</v>
      </c>
      <c r="M11" s="20">
        <f>Store[[#This Row],[Sales]]-Store[[#This Row],[COGS]]</f>
        <v>6802.08</v>
      </c>
    </row>
    <row r="12" spans="1:13" x14ac:dyDescent="0.25">
      <c r="A12" t="s">
        <v>47</v>
      </c>
      <c r="B12" t="s">
        <v>48</v>
      </c>
      <c r="C12" s="18" t="s">
        <v>54</v>
      </c>
      <c r="D12" s="19">
        <v>44132</v>
      </c>
      <c r="E12">
        <v>494</v>
      </c>
      <c r="F12" s="16">
        <v>3</v>
      </c>
      <c r="G12" s="16">
        <v>300</v>
      </c>
      <c r="H12" s="16">
        <v>123500</v>
      </c>
      <c r="I12" s="16">
        <v>1482</v>
      </c>
      <c r="J12" s="14" t="s">
        <v>55</v>
      </c>
      <c r="K12" s="20">
        <f>Store[[#This Row],[Quantity]]*Store[[#This Row],[Sale Price]]</f>
        <v>148200</v>
      </c>
      <c r="L12" s="20">
        <f>Store[[#This Row],[Gross Sales]]-Store[[#This Row],[Discount]]</f>
        <v>146718</v>
      </c>
      <c r="M12" s="20">
        <f>Store[[#This Row],[Sales]]-Store[[#This Row],[COGS]]</f>
        <v>23218</v>
      </c>
    </row>
    <row r="13" spans="1:13" x14ac:dyDescent="0.25">
      <c r="A13" t="s">
        <v>47</v>
      </c>
      <c r="B13" t="s">
        <v>51</v>
      </c>
      <c r="C13" s="18" t="s">
        <v>43</v>
      </c>
      <c r="D13" s="19">
        <v>44083</v>
      </c>
      <c r="E13">
        <v>2498</v>
      </c>
      <c r="F13" s="16">
        <v>5</v>
      </c>
      <c r="G13" s="16">
        <v>300</v>
      </c>
      <c r="H13" s="16">
        <v>624500</v>
      </c>
      <c r="I13" s="16">
        <v>7494</v>
      </c>
      <c r="J13" s="14" t="s">
        <v>55</v>
      </c>
      <c r="K13" s="20">
        <f>Store[[#This Row],[Quantity]]*Store[[#This Row],[Sale Price]]</f>
        <v>749400</v>
      </c>
      <c r="L13" s="20">
        <f>Store[[#This Row],[Gross Sales]]-Store[[#This Row],[Discount]]</f>
        <v>741906</v>
      </c>
      <c r="M13" s="20">
        <f>Store[[#This Row],[Sales]]-Store[[#This Row],[COGS]]</f>
        <v>117406</v>
      </c>
    </row>
    <row r="14" spans="1:13" x14ac:dyDescent="0.25">
      <c r="A14" t="s">
        <v>41</v>
      </c>
      <c r="B14" t="s">
        <v>51</v>
      </c>
      <c r="C14" s="18" t="s">
        <v>43</v>
      </c>
      <c r="D14" s="19">
        <v>44113</v>
      </c>
      <c r="E14">
        <v>663</v>
      </c>
      <c r="F14" s="16">
        <v>5</v>
      </c>
      <c r="G14" s="16">
        <v>125</v>
      </c>
      <c r="H14" s="16">
        <v>79560</v>
      </c>
      <c r="I14" s="16">
        <v>828.75</v>
      </c>
      <c r="J14" s="14" t="s">
        <v>55</v>
      </c>
      <c r="K14" s="20">
        <f>Store[[#This Row],[Quantity]]*Store[[#This Row],[Sale Price]]</f>
        <v>82875</v>
      </c>
      <c r="L14" s="20">
        <f>Store[[#This Row],[Gross Sales]]-Store[[#This Row],[Discount]]</f>
        <v>82046.25</v>
      </c>
      <c r="M14" s="20">
        <f>Store[[#This Row],[Sales]]-Store[[#This Row],[COGS]]</f>
        <v>2486.25</v>
      </c>
    </row>
    <row r="15" spans="1:13" x14ac:dyDescent="0.25">
      <c r="A15" t="s">
        <v>50</v>
      </c>
      <c r="B15" t="s">
        <v>56</v>
      </c>
      <c r="C15" s="18" t="s">
        <v>46</v>
      </c>
      <c r="D15" s="19">
        <v>44118</v>
      </c>
      <c r="E15">
        <v>766</v>
      </c>
      <c r="F15" s="16">
        <v>10</v>
      </c>
      <c r="G15" s="16">
        <v>12</v>
      </c>
      <c r="H15" s="16">
        <v>2298</v>
      </c>
      <c r="I15" s="16">
        <v>91.92</v>
      </c>
      <c r="J15" s="14" t="s">
        <v>55</v>
      </c>
      <c r="K15" s="20">
        <f>Store[[#This Row],[Quantity]]*Store[[#This Row],[Sale Price]]</f>
        <v>9192</v>
      </c>
      <c r="L15" s="20">
        <f>Store[[#This Row],[Gross Sales]]-Store[[#This Row],[Discount]]</f>
        <v>9100.08</v>
      </c>
      <c r="M15" s="20">
        <f>Store[[#This Row],[Sales]]-Store[[#This Row],[COGS]]</f>
        <v>6802.08</v>
      </c>
    </row>
    <row r="16" spans="1:13" x14ac:dyDescent="0.25">
      <c r="A16" t="s">
        <v>41</v>
      </c>
      <c r="B16" t="s">
        <v>51</v>
      </c>
      <c r="C16" s="18" t="s">
        <v>52</v>
      </c>
      <c r="D16" s="19">
        <v>44117</v>
      </c>
      <c r="E16">
        <v>663</v>
      </c>
      <c r="F16" s="16">
        <v>120</v>
      </c>
      <c r="G16" s="16">
        <v>125</v>
      </c>
      <c r="H16" s="16">
        <v>79560</v>
      </c>
      <c r="I16" s="16">
        <v>828.75</v>
      </c>
      <c r="J16" s="14" t="s">
        <v>55</v>
      </c>
      <c r="K16" s="20">
        <f>Store[[#This Row],[Quantity]]*Store[[#This Row],[Sale Price]]</f>
        <v>82875</v>
      </c>
      <c r="L16" s="20">
        <f>Store[[#This Row],[Gross Sales]]-Store[[#This Row],[Discount]]</f>
        <v>82046.25</v>
      </c>
      <c r="M16" s="20">
        <f>Store[[#This Row],[Sales]]-Store[[#This Row],[COGS]]</f>
        <v>2486.25</v>
      </c>
    </row>
    <row r="17" spans="1:13" x14ac:dyDescent="0.25">
      <c r="A17" t="s">
        <v>49</v>
      </c>
      <c r="B17" t="s">
        <v>42</v>
      </c>
      <c r="C17" s="18" t="s">
        <v>52</v>
      </c>
      <c r="D17" s="19">
        <v>44137</v>
      </c>
      <c r="E17">
        <v>2092</v>
      </c>
      <c r="F17" s="16">
        <v>120</v>
      </c>
      <c r="G17" s="16">
        <v>7</v>
      </c>
      <c r="H17" s="16">
        <v>10460</v>
      </c>
      <c r="I17" s="16">
        <v>146.44</v>
      </c>
      <c r="J17" s="14" t="s">
        <v>55</v>
      </c>
      <c r="K17" s="20">
        <f>Store[[#This Row],[Quantity]]*Store[[#This Row],[Sale Price]]</f>
        <v>14644</v>
      </c>
      <c r="L17" s="20">
        <f>Store[[#This Row],[Gross Sales]]-Store[[#This Row],[Discount]]</f>
        <v>14497.56</v>
      </c>
      <c r="M17" s="20">
        <f>Store[[#This Row],[Sales]]-Store[[#This Row],[COGS]]</f>
        <v>4037.5599999999995</v>
      </c>
    </row>
    <row r="18" spans="1:13" x14ac:dyDescent="0.25">
      <c r="A18" t="s">
        <v>47</v>
      </c>
      <c r="B18" t="s">
        <v>48</v>
      </c>
      <c r="C18" s="18" t="s">
        <v>53</v>
      </c>
      <c r="D18" s="19">
        <v>44126</v>
      </c>
      <c r="E18">
        <v>494</v>
      </c>
      <c r="F18" s="16">
        <v>250</v>
      </c>
      <c r="G18" s="16">
        <v>300</v>
      </c>
      <c r="H18" s="16">
        <v>123500</v>
      </c>
      <c r="I18" s="16">
        <v>1482</v>
      </c>
      <c r="J18" s="14" t="s">
        <v>55</v>
      </c>
      <c r="K18" s="20">
        <f>Store[[#This Row],[Quantity]]*Store[[#This Row],[Sale Price]]</f>
        <v>148200</v>
      </c>
      <c r="L18" s="20">
        <f>Store[[#This Row],[Gross Sales]]-Store[[#This Row],[Discount]]</f>
        <v>146718</v>
      </c>
      <c r="M18" s="20">
        <f>Store[[#This Row],[Sales]]-Store[[#This Row],[COGS]]</f>
        <v>23218</v>
      </c>
    </row>
    <row r="19" spans="1:13" x14ac:dyDescent="0.25">
      <c r="A19" t="s">
        <v>50</v>
      </c>
      <c r="B19" t="s">
        <v>51</v>
      </c>
      <c r="C19" s="18" t="s">
        <v>57</v>
      </c>
      <c r="D19" s="19">
        <v>44087</v>
      </c>
      <c r="E19">
        <v>1989</v>
      </c>
      <c r="F19" s="16">
        <v>260</v>
      </c>
      <c r="G19" s="16">
        <v>12</v>
      </c>
      <c r="H19" s="16">
        <v>5967</v>
      </c>
      <c r="I19" s="16">
        <v>238.68</v>
      </c>
      <c r="J19" s="14" t="s">
        <v>55</v>
      </c>
      <c r="K19" s="20">
        <f>Store[[#This Row],[Quantity]]*Store[[#This Row],[Sale Price]]</f>
        <v>23868</v>
      </c>
      <c r="L19" s="20">
        <f>Store[[#This Row],[Gross Sales]]-Store[[#This Row],[Discount]]</f>
        <v>23629.32</v>
      </c>
      <c r="M19" s="20">
        <f>Store[[#This Row],[Sales]]-Store[[#This Row],[COGS]]</f>
        <v>17662.32</v>
      </c>
    </row>
    <row r="20" spans="1:13" x14ac:dyDescent="0.25">
      <c r="A20" t="s">
        <v>45</v>
      </c>
      <c r="B20" t="s">
        <v>56</v>
      </c>
      <c r="C20" s="18" t="s">
        <v>57</v>
      </c>
      <c r="D20" s="19">
        <v>44157</v>
      </c>
      <c r="E20">
        <v>321</v>
      </c>
      <c r="F20" s="16">
        <v>260</v>
      </c>
      <c r="G20" s="16">
        <v>15</v>
      </c>
      <c r="H20" s="16">
        <v>3210</v>
      </c>
      <c r="I20" s="16">
        <v>48.15</v>
      </c>
      <c r="J20" s="14" t="s">
        <v>55</v>
      </c>
      <c r="K20" s="20">
        <f>Store[[#This Row],[Quantity]]*Store[[#This Row],[Sale Price]]</f>
        <v>4815</v>
      </c>
      <c r="L20" s="20">
        <f>Store[[#This Row],[Gross Sales]]-Store[[#This Row],[Discount]]</f>
        <v>4766.8500000000004</v>
      </c>
      <c r="M20" s="20">
        <f>Store[[#This Row],[Sales]]-Store[[#This Row],[COGS]]</f>
        <v>1556.8500000000004</v>
      </c>
    </row>
    <row r="21" spans="1:13" x14ac:dyDescent="0.25">
      <c r="A21" t="s">
        <v>47</v>
      </c>
      <c r="B21" t="s">
        <v>56</v>
      </c>
      <c r="C21" s="18" t="s">
        <v>54</v>
      </c>
      <c r="D21" s="19">
        <v>44133</v>
      </c>
      <c r="E21">
        <v>214</v>
      </c>
      <c r="F21" s="16">
        <v>3</v>
      </c>
      <c r="G21" s="16">
        <v>300</v>
      </c>
      <c r="H21" s="16">
        <v>53500</v>
      </c>
      <c r="I21" s="16">
        <v>1284</v>
      </c>
      <c r="J21" s="14" t="s">
        <v>55</v>
      </c>
      <c r="K21" s="20">
        <f>Store[[#This Row],[Quantity]]*Store[[#This Row],[Sale Price]]</f>
        <v>64200</v>
      </c>
      <c r="L21" s="20">
        <f>Store[[#This Row],[Gross Sales]]-Store[[#This Row],[Discount]]</f>
        <v>62916</v>
      </c>
      <c r="M21" s="20">
        <f>Store[[#This Row],[Sales]]-Store[[#This Row],[COGS]]</f>
        <v>9416</v>
      </c>
    </row>
    <row r="22" spans="1:13" x14ac:dyDescent="0.25">
      <c r="A22" t="s">
        <v>49</v>
      </c>
      <c r="B22" t="s">
        <v>58</v>
      </c>
      <c r="C22" s="18" t="s">
        <v>54</v>
      </c>
      <c r="D22" s="19">
        <v>44142</v>
      </c>
      <c r="E22">
        <v>2145</v>
      </c>
      <c r="F22" s="16">
        <v>3</v>
      </c>
      <c r="G22" s="16">
        <v>7</v>
      </c>
      <c r="H22" s="16">
        <v>10725</v>
      </c>
      <c r="I22" s="16">
        <v>300.3</v>
      </c>
      <c r="J22" s="14" t="s">
        <v>55</v>
      </c>
      <c r="K22" s="20">
        <f>Store[[#This Row],[Quantity]]*Store[[#This Row],[Sale Price]]</f>
        <v>15015</v>
      </c>
      <c r="L22" s="20">
        <f>Store[[#This Row],[Gross Sales]]-Store[[#This Row],[Discount]]</f>
        <v>14714.7</v>
      </c>
      <c r="M22" s="20">
        <f>Store[[#This Row],[Sales]]-Store[[#This Row],[COGS]]</f>
        <v>3989.7000000000007</v>
      </c>
    </row>
    <row r="23" spans="1:13" x14ac:dyDescent="0.25">
      <c r="A23" t="s">
        <v>41</v>
      </c>
      <c r="B23" t="s">
        <v>48</v>
      </c>
      <c r="C23" s="18" t="s">
        <v>43</v>
      </c>
      <c r="D23" s="19">
        <v>44164</v>
      </c>
      <c r="E23">
        <v>1660</v>
      </c>
      <c r="F23" s="16">
        <v>5</v>
      </c>
      <c r="G23" s="16">
        <v>125</v>
      </c>
      <c r="H23" s="16">
        <v>199200</v>
      </c>
      <c r="I23" s="16">
        <v>4150</v>
      </c>
      <c r="J23" s="14" t="s">
        <v>55</v>
      </c>
      <c r="K23" s="20">
        <f>Store[[#This Row],[Quantity]]*Store[[#This Row],[Sale Price]]</f>
        <v>207500</v>
      </c>
      <c r="L23" s="20">
        <f>Store[[#This Row],[Gross Sales]]-Store[[#This Row],[Discount]]</f>
        <v>203350</v>
      </c>
      <c r="M23" s="20">
        <f>Store[[#This Row],[Sales]]-Store[[#This Row],[COGS]]</f>
        <v>4150</v>
      </c>
    </row>
    <row r="24" spans="1:13" x14ac:dyDescent="0.25">
      <c r="A24" t="s">
        <v>41</v>
      </c>
      <c r="B24" t="s">
        <v>56</v>
      </c>
      <c r="C24" s="18" t="s">
        <v>46</v>
      </c>
      <c r="D24" s="19">
        <v>44134</v>
      </c>
      <c r="E24">
        <v>809</v>
      </c>
      <c r="F24" s="16">
        <v>10</v>
      </c>
      <c r="G24" s="16">
        <v>125</v>
      </c>
      <c r="H24" s="16">
        <v>97080</v>
      </c>
      <c r="I24" s="16">
        <v>2022.5</v>
      </c>
      <c r="J24" s="14" t="s">
        <v>55</v>
      </c>
      <c r="K24" s="20">
        <f>Store[[#This Row],[Quantity]]*Store[[#This Row],[Sale Price]]</f>
        <v>101125</v>
      </c>
      <c r="L24" s="20">
        <f>Store[[#This Row],[Gross Sales]]-Store[[#This Row],[Discount]]</f>
        <v>99102.5</v>
      </c>
      <c r="M24" s="20">
        <f>Store[[#This Row],[Sales]]-Store[[#This Row],[COGS]]</f>
        <v>2022.5</v>
      </c>
    </row>
    <row r="25" spans="1:13" x14ac:dyDescent="0.25">
      <c r="A25" t="s">
        <v>41</v>
      </c>
      <c r="B25" t="s">
        <v>51</v>
      </c>
      <c r="C25" s="18" t="s">
        <v>46</v>
      </c>
      <c r="D25" s="19">
        <v>44110</v>
      </c>
      <c r="E25">
        <v>2145</v>
      </c>
      <c r="F25" s="16">
        <v>10</v>
      </c>
      <c r="G25" s="16">
        <v>125</v>
      </c>
      <c r="H25" s="16">
        <v>257400</v>
      </c>
      <c r="I25" s="16">
        <v>5362.5</v>
      </c>
      <c r="J25" s="14" t="s">
        <v>55</v>
      </c>
      <c r="K25" s="20">
        <f>Store[[#This Row],[Quantity]]*Store[[#This Row],[Sale Price]]</f>
        <v>268125</v>
      </c>
      <c r="L25" s="20">
        <f>Store[[#This Row],[Gross Sales]]-Store[[#This Row],[Discount]]</f>
        <v>262762.5</v>
      </c>
      <c r="M25" s="20">
        <f>Store[[#This Row],[Sales]]-Store[[#This Row],[COGS]]</f>
        <v>5362.5</v>
      </c>
    </row>
    <row r="26" spans="1:13" x14ac:dyDescent="0.25">
      <c r="A26" t="s">
        <v>50</v>
      </c>
      <c r="B26" t="s">
        <v>58</v>
      </c>
      <c r="C26" s="18" t="s">
        <v>46</v>
      </c>
      <c r="D26" s="19">
        <v>44156</v>
      </c>
      <c r="E26">
        <v>1785</v>
      </c>
      <c r="F26" s="16">
        <v>10</v>
      </c>
      <c r="G26" s="16">
        <v>12</v>
      </c>
      <c r="H26" s="16">
        <v>5355</v>
      </c>
      <c r="I26" s="16">
        <v>428.4</v>
      </c>
      <c r="J26" s="14" t="s">
        <v>55</v>
      </c>
      <c r="K26" s="20">
        <f>Store[[#This Row],[Quantity]]*Store[[#This Row],[Sale Price]]</f>
        <v>21420</v>
      </c>
      <c r="L26" s="20">
        <f>Store[[#This Row],[Gross Sales]]-Store[[#This Row],[Discount]]</f>
        <v>20991.599999999999</v>
      </c>
      <c r="M26" s="20">
        <f>Store[[#This Row],[Sales]]-Store[[#This Row],[COGS]]</f>
        <v>15636.599999999999</v>
      </c>
    </row>
    <row r="27" spans="1:13" x14ac:dyDescent="0.25">
      <c r="A27" t="s">
        <v>45</v>
      </c>
      <c r="B27" t="s">
        <v>51</v>
      </c>
      <c r="C27" s="18" t="s">
        <v>46</v>
      </c>
      <c r="D27" s="19">
        <v>44168</v>
      </c>
      <c r="E27">
        <v>1925</v>
      </c>
      <c r="F27" s="16">
        <v>10</v>
      </c>
      <c r="G27" s="16">
        <v>15</v>
      </c>
      <c r="H27" s="16">
        <v>19250</v>
      </c>
      <c r="I27" s="16">
        <v>577.5</v>
      </c>
      <c r="J27" s="14" t="s">
        <v>55</v>
      </c>
      <c r="K27" s="20">
        <f>Store[[#This Row],[Quantity]]*Store[[#This Row],[Sale Price]]</f>
        <v>28875</v>
      </c>
      <c r="L27" s="20">
        <f>Store[[#This Row],[Gross Sales]]-Store[[#This Row],[Discount]]</f>
        <v>28297.5</v>
      </c>
      <c r="M27" s="20">
        <f>Store[[#This Row],[Sales]]-Store[[#This Row],[COGS]]</f>
        <v>9047.5</v>
      </c>
    </row>
    <row r="28" spans="1:13" x14ac:dyDescent="0.25">
      <c r="A28" t="s">
        <v>49</v>
      </c>
      <c r="B28" t="s">
        <v>51</v>
      </c>
      <c r="C28" s="18" t="s">
        <v>46</v>
      </c>
      <c r="D28" s="19">
        <v>44181</v>
      </c>
      <c r="E28">
        <v>2013</v>
      </c>
      <c r="F28" s="16">
        <v>10</v>
      </c>
      <c r="G28" s="16">
        <v>7</v>
      </c>
      <c r="H28" s="16">
        <v>10065</v>
      </c>
      <c r="I28" s="16">
        <v>281.82</v>
      </c>
      <c r="J28" s="14" t="s">
        <v>55</v>
      </c>
      <c r="K28" s="20">
        <f>Store[[#This Row],[Quantity]]*Store[[#This Row],[Sale Price]]</f>
        <v>14091</v>
      </c>
      <c r="L28" s="20">
        <f>Store[[#This Row],[Gross Sales]]-Store[[#This Row],[Discount]]</f>
        <v>13809.18</v>
      </c>
      <c r="M28" s="20">
        <f>Store[[#This Row],[Sales]]-Store[[#This Row],[COGS]]</f>
        <v>3744.1800000000003</v>
      </c>
    </row>
    <row r="29" spans="1:13" x14ac:dyDescent="0.25">
      <c r="A29" t="s">
        <v>49</v>
      </c>
      <c r="B29" t="s">
        <v>56</v>
      </c>
      <c r="C29" s="18" t="s">
        <v>52</v>
      </c>
      <c r="D29" s="19">
        <v>44111</v>
      </c>
      <c r="E29">
        <v>2966</v>
      </c>
      <c r="F29" s="16">
        <v>120</v>
      </c>
      <c r="G29" s="16">
        <v>350</v>
      </c>
      <c r="H29" s="16">
        <v>771160</v>
      </c>
      <c r="I29" s="16">
        <v>20762</v>
      </c>
      <c r="J29" s="14" t="s">
        <v>55</v>
      </c>
      <c r="K29" s="20">
        <f>Store[[#This Row],[Quantity]]*Store[[#This Row],[Sale Price]]</f>
        <v>1038100</v>
      </c>
      <c r="L29" s="20">
        <f>Store[[#This Row],[Gross Sales]]-Store[[#This Row],[Discount]]</f>
        <v>1017338</v>
      </c>
      <c r="M29" s="20">
        <f>Store[[#This Row],[Sales]]-Store[[#This Row],[COGS]]</f>
        <v>246178</v>
      </c>
    </row>
    <row r="30" spans="1:13" x14ac:dyDescent="0.25">
      <c r="A30" t="s">
        <v>41</v>
      </c>
      <c r="B30" t="s">
        <v>56</v>
      </c>
      <c r="C30" s="18" t="s">
        <v>52</v>
      </c>
      <c r="D30" s="19">
        <v>44133</v>
      </c>
      <c r="E30">
        <v>809</v>
      </c>
      <c r="F30" s="16">
        <v>120</v>
      </c>
      <c r="G30" s="16">
        <v>125</v>
      </c>
      <c r="H30" s="16">
        <v>97080</v>
      </c>
      <c r="I30" s="16">
        <v>2022.5</v>
      </c>
      <c r="J30" s="14" t="s">
        <v>55</v>
      </c>
      <c r="K30" s="20">
        <f>Store[[#This Row],[Quantity]]*Store[[#This Row],[Sale Price]]</f>
        <v>101125</v>
      </c>
      <c r="L30" s="20">
        <f>Store[[#This Row],[Gross Sales]]-Store[[#This Row],[Discount]]</f>
        <v>99102.5</v>
      </c>
      <c r="M30" s="20">
        <f>Store[[#This Row],[Sales]]-Store[[#This Row],[COGS]]</f>
        <v>2022.5</v>
      </c>
    </row>
    <row r="31" spans="1:13" x14ac:dyDescent="0.25">
      <c r="A31" t="s">
        <v>41</v>
      </c>
      <c r="B31" t="s">
        <v>56</v>
      </c>
      <c r="C31" s="18" t="s">
        <v>52</v>
      </c>
      <c r="D31" s="19">
        <v>44131</v>
      </c>
      <c r="E31">
        <v>2145</v>
      </c>
      <c r="F31" s="16">
        <v>120</v>
      </c>
      <c r="G31" s="16">
        <v>125</v>
      </c>
      <c r="H31" s="16">
        <v>257400</v>
      </c>
      <c r="I31" s="16">
        <v>5362.5</v>
      </c>
      <c r="J31" s="14" t="s">
        <v>55</v>
      </c>
      <c r="K31" s="20">
        <f>Store[[#This Row],[Quantity]]*Store[[#This Row],[Sale Price]]</f>
        <v>268125</v>
      </c>
      <c r="L31" s="20">
        <f>Store[[#This Row],[Gross Sales]]-Store[[#This Row],[Discount]]</f>
        <v>262762.5</v>
      </c>
      <c r="M31" s="20">
        <f>Store[[#This Row],[Sales]]-Store[[#This Row],[COGS]]</f>
        <v>5362.5</v>
      </c>
    </row>
    <row r="32" spans="1:13" x14ac:dyDescent="0.25">
      <c r="A32" t="s">
        <v>49</v>
      </c>
      <c r="B32" t="s">
        <v>56</v>
      </c>
      <c r="C32" s="18" t="s">
        <v>52</v>
      </c>
      <c r="D32" s="19">
        <v>44178</v>
      </c>
      <c r="E32">
        <v>544</v>
      </c>
      <c r="F32" s="16">
        <v>120</v>
      </c>
      <c r="G32" s="16">
        <v>20</v>
      </c>
      <c r="H32" s="16">
        <v>5440</v>
      </c>
      <c r="I32" s="16">
        <v>217.6</v>
      </c>
      <c r="J32" s="14" t="s">
        <v>55</v>
      </c>
      <c r="K32" s="20">
        <f>Store[[#This Row],[Quantity]]*Store[[#This Row],[Sale Price]]</f>
        <v>10880</v>
      </c>
      <c r="L32" s="20">
        <f>Store[[#This Row],[Gross Sales]]-Store[[#This Row],[Discount]]</f>
        <v>10662.4</v>
      </c>
      <c r="M32" s="20">
        <f>Store[[#This Row],[Sales]]-Store[[#This Row],[COGS]]</f>
        <v>5222.3999999999996</v>
      </c>
    </row>
    <row r="33" spans="1:13" x14ac:dyDescent="0.25">
      <c r="A33" t="s">
        <v>47</v>
      </c>
      <c r="B33" t="s">
        <v>56</v>
      </c>
      <c r="C33" s="18" t="s">
        <v>53</v>
      </c>
      <c r="D33" s="19">
        <v>44126</v>
      </c>
      <c r="E33">
        <v>214</v>
      </c>
      <c r="F33" s="16">
        <v>250</v>
      </c>
      <c r="G33" s="16">
        <v>300</v>
      </c>
      <c r="H33" s="16">
        <v>53500</v>
      </c>
      <c r="I33" s="16">
        <v>1284</v>
      </c>
      <c r="J33" s="14" t="s">
        <v>55</v>
      </c>
      <c r="K33" s="20">
        <f>Store[[#This Row],[Quantity]]*Store[[#This Row],[Sale Price]]</f>
        <v>64200</v>
      </c>
      <c r="L33" s="20">
        <f>Store[[#This Row],[Gross Sales]]-Store[[#This Row],[Discount]]</f>
        <v>62916</v>
      </c>
      <c r="M33" s="20">
        <f>Store[[#This Row],[Sales]]-Store[[#This Row],[COGS]]</f>
        <v>9416</v>
      </c>
    </row>
    <row r="34" spans="1:13" x14ac:dyDescent="0.25">
      <c r="A34" t="s">
        <v>49</v>
      </c>
      <c r="B34" t="s">
        <v>51</v>
      </c>
      <c r="C34" s="18" t="s">
        <v>53</v>
      </c>
      <c r="D34" s="19">
        <v>44177</v>
      </c>
      <c r="E34">
        <v>266</v>
      </c>
      <c r="F34" s="16">
        <v>250</v>
      </c>
      <c r="G34" s="16">
        <v>350</v>
      </c>
      <c r="H34" s="16">
        <v>69160</v>
      </c>
      <c r="I34" s="16">
        <v>1862</v>
      </c>
      <c r="J34" s="14" t="s">
        <v>55</v>
      </c>
      <c r="K34" s="20">
        <f>Store[[#This Row],[Quantity]]*Store[[#This Row],[Sale Price]]</f>
        <v>93100</v>
      </c>
      <c r="L34" s="20">
        <f>Store[[#This Row],[Gross Sales]]-Store[[#This Row],[Discount]]</f>
        <v>91238</v>
      </c>
      <c r="M34" s="20">
        <f>Store[[#This Row],[Sales]]-Store[[#This Row],[COGS]]</f>
        <v>22078</v>
      </c>
    </row>
    <row r="35" spans="1:13" x14ac:dyDescent="0.25">
      <c r="A35" t="s">
        <v>49</v>
      </c>
      <c r="B35" t="s">
        <v>48</v>
      </c>
      <c r="C35" s="18" t="s">
        <v>53</v>
      </c>
      <c r="D35" s="19">
        <v>44167</v>
      </c>
      <c r="E35">
        <v>1940</v>
      </c>
      <c r="F35" s="16">
        <v>250</v>
      </c>
      <c r="G35" s="16">
        <v>350</v>
      </c>
      <c r="H35" s="16">
        <v>504400</v>
      </c>
      <c r="I35" s="16">
        <v>13580</v>
      </c>
      <c r="J35" s="14" t="s">
        <v>55</v>
      </c>
      <c r="K35" s="20">
        <f>Store[[#This Row],[Quantity]]*Store[[#This Row],[Sale Price]]</f>
        <v>679000</v>
      </c>
      <c r="L35" s="20">
        <f>Store[[#This Row],[Gross Sales]]-Store[[#This Row],[Discount]]</f>
        <v>665420</v>
      </c>
      <c r="M35" s="20">
        <f>Store[[#This Row],[Sales]]-Store[[#This Row],[COGS]]</f>
        <v>161020</v>
      </c>
    </row>
    <row r="36" spans="1:13" x14ac:dyDescent="0.25">
      <c r="A36" t="s">
        <v>49</v>
      </c>
      <c r="B36" t="s">
        <v>56</v>
      </c>
      <c r="C36" s="18" t="s">
        <v>57</v>
      </c>
      <c r="D36" s="19">
        <v>44113</v>
      </c>
      <c r="E36">
        <v>2966</v>
      </c>
      <c r="F36" s="16">
        <v>260</v>
      </c>
      <c r="G36" s="16">
        <v>350</v>
      </c>
      <c r="H36" s="16">
        <v>771160</v>
      </c>
      <c r="I36" s="16">
        <v>20762</v>
      </c>
      <c r="J36" s="14" t="s">
        <v>55</v>
      </c>
      <c r="K36" s="20">
        <f>Store[[#This Row],[Quantity]]*Store[[#This Row],[Sale Price]]</f>
        <v>1038100</v>
      </c>
      <c r="L36" s="20">
        <f>Store[[#This Row],[Gross Sales]]-Store[[#This Row],[Discount]]</f>
        <v>1017338</v>
      </c>
      <c r="M36" s="20">
        <f>Store[[#This Row],[Sales]]-Store[[#This Row],[COGS]]</f>
        <v>246178</v>
      </c>
    </row>
    <row r="37" spans="1:13" x14ac:dyDescent="0.25">
      <c r="A37" t="s">
        <v>50</v>
      </c>
      <c r="B37" t="s">
        <v>42</v>
      </c>
      <c r="C37" s="18" t="s">
        <v>54</v>
      </c>
      <c r="D37" s="19">
        <v>44170</v>
      </c>
      <c r="E37">
        <v>908</v>
      </c>
      <c r="F37" s="16">
        <v>3</v>
      </c>
      <c r="G37" s="16">
        <v>12</v>
      </c>
      <c r="H37" s="16">
        <v>2724</v>
      </c>
      <c r="I37" s="16">
        <v>326.88</v>
      </c>
      <c r="J37" s="14" t="s">
        <v>55</v>
      </c>
      <c r="K37" s="20">
        <f>Store[[#This Row],[Quantity]]*Store[[#This Row],[Sale Price]]</f>
        <v>10896</v>
      </c>
      <c r="L37" s="20">
        <f>Store[[#This Row],[Gross Sales]]-Store[[#This Row],[Discount]]</f>
        <v>10569.12</v>
      </c>
      <c r="M37" s="20">
        <f>Store[[#This Row],[Sales]]-Store[[#This Row],[COGS]]</f>
        <v>7845.1200000000008</v>
      </c>
    </row>
    <row r="38" spans="1:13" x14ac:dyDescent="0.25">
      <c r="A38" t="s">
        <v>49</v>
      </c>
      <c r="B38" t="s">
        <v>56</v>
      </c>
      <c r="C38" s="18" t="s">
        <v>43</v>
      </c>
      <c r="D38" s="19">
        <v>44085</v>
      </c>
      <c r="E38">
        <v>1797</v>
      </c>
      <c r="F38" s="16">
        <v>5</v>
      </c>
      <c r="G38" s="16">
        <v>350</v>
      </c>
      <c r="H38" s="16">
        <v>467220</v>
      </c>
      <c r="I38" s="16">
        <v>18868.5</v>
      </c>
      <c r="J38" s="14" t="s">
        <v>55</v>
      </c>
      <c r="K38" s="20">
        <f>Store[[#This Row],[Quantity]]*Store[[#This Row],[Sale Price]]</f>
        <v>628950</v>
      </c>
      <c r="L38" s="20">
        <f>Store[[#This Row],[Gross Sales]]-Store[[#This Row],[Discount]]</f>
        <v>610081.5</v>
      </c>
      <c r="M38" s="20">
        <f>Store[[#This Row],[Sales]]-Store[[#This Row],[COGS]]</f>
        <v>142861.5</v>
      </c>
    </row>
    <row r="39" spans="1:13" x14ac:dyDescent="0.25">
      <c r="A39" t="s">
        <v>45</v>
      </c>
      <c r="B39" t="s">
        <v>56</v>
      </c>
      <c r="C39" s="18" t="s">
        <v>46</v>
      </c>
      <c r="D39" s="19">
        <v>44125</v>
      </c>
      <c r="E39">
        <v>1945</v>
      </c>
      <c r="F39" s="16">
        <v>10</v>
      </c>
      <c r="G39" s="16">
        <v>15</v>
      </c>
      <c r="H39" s="16">
        <v>19450</v>
      </c>
      <c r="I39" s="16">
        <v>875.25</v>
      </c>
      <c r="J39" s="14" t="s">
        <v>55</v>
      </c>
      <c r="K39" s="20">
        <f>Store[[#This Row],[Quantity]]*Store[[#This Row],[Sale Price]]</f>
        <v>29175</v>
      </c>
      <c r="L39" s="20">
        <f>Store[[#This Row],[Gross Sales]]-Store[[#This Row],[Discount]]</f>
        <v>28299.75</v>
      </c>
      <c r="M39" s="20">
        <f>Store[[#This Row],[Sales]]-Store[[#This Row],[COGS]]</f>
        <v>8849.75</v>
      </c>
    </row>
    <row r="40" spans="1:13" x14ac:dyDescent="0.25">
      <c r="A40" t="s">
        <v>45</v>
      </c>
      <c r="B40" t="s">
        <v>56</v>
      </c>
      <c r="C40" s="18" t="s">
        <v>53</v>
      </c>
      <c r="D40" s="19">
        <v>44125</v>
      </c>
      <c r="E40">
        <v>1945</v>
      </c>
      <c r="F40" s="16">
        <v>250</v>
      </c>
      <c r="G40" s="16">
        <v>15</v>
      </c>
      <c r="H40" s="16">
        <v>19450</v>
      </c>
      <c r="I40" s="16">
        <v>875.25</v>
      </c>
      <c r="J40" s="14" t="s">
        <v>55</v>
      </c>
      <c r="K40" s="20">
        <f>Store[[#This Row],[Quantity]]*Store[[#This Row],[Sale Price]]</f>
        <v>29175</v>
      </c>
      <c r="L40" s="20">
        <f>Store[[#This Row],[Gross Sales]]-Store[[#This Row],[Discount]]</f>
        <v>28299.75</v>
      </c>
      <c r="M40" s="20">
        <f>Store[[#This Row],[Sales]]-Store[[#This Row],[COGS]]</f>
        <v>8849.75</v>
      </c>
    </row>
    <row r="41" spans="1:13" x14ac:dyDescent="0.25">
      <c r="A41" t="s">
        <v>49</v>
      </c>
      <c r="B41" t="s">
        <v>48</v>
      </c>
      <c r="C41" s="18" t="s">
        <v>46</v>
      </c>
      <c r="D41" s="19">
        <v>44092</v>
      </c>
      <c r="E41">
        <v>1760</v>
      </c>
      <c r="F41" s="16">
        <v>10</v>
      </c>
      <c r="G41" s="16">
        <v>7</v>
      </c>
      <c r="H41" s="16">
        <v>8800</v>
      </c>
      <c r="I41" s="16">
        <v>369.6</v>
      </c>
      <c r="J41" s="14" t="s">
        <v>55</v>
      </c>
      <c r="K41" s="20">
        <f>Store[[#This Row],[Quantity]]*Store[[#This Row],[Sale Price]]</f>
        <v>12320</v>
      </c>
      <c r="L41" s="20">
        <f>Store[[#This Row],[Gross Sales]]-Store[[#This Row],[Discount]]</f>
        <v>11950.4</v>
      </c>
      <c r="M41" s="20">
        <f>Store[[#This Row],[Sales]]-Store[[#This Row],[COGS]]</f>
        <v>3150.3999999999996</v>
      </c>
    </row>
    <row r="42" spans="1:13" x14ac:dyDescent="0.25">
      <c r="A42" t="s">
        <v>45</v>
      </c>
      <c r="B42" t="s">
        <v>58</v>
      </c>
      <c r="C42" s="18" t="s">
        <v>46</v>
      </c>
      <c r="D42" s="19">
        <v>44195</v>
      </c>
      <c r="E42">
        <v>2261</v>
      </c>
      <c r="F42" s="16">
        <v>10</v>
      </c>
      <c r="G42" s="16">
        <v>15</v>
      </c>
      <c r="H42" s="16">
        <v>22610</v>
      </c>
      <c r="I42" s="16">
        <v>1356.6</v>
      </c>
      <c r="J42" s="14" t="s">
        <v>55</v>
      </c>
      <c r="K42" s="20">
        <f>Store[[#This Row],[Quantity]]*Store[[#This Row],[Sale Price]]</f>
        <v>33915</v>
      </c>
      <c r="L42" s="20">
        <f>Store[[#This Row],[Gross Sales]]-Store[[#This Row],[Discount]]</f>
        <v>32558.400000000001</v>
      </c>
      <c r="M42" s="20">
        <f>Store[[#This Row],[Sales]]-Store[[#This Row],[COGS]]</f>
        <v>9948.4000000000015</v>
      </c>
    </row>
    <row r="43" spans="1:13" x14ac:dyDescent="0.25">
      <c r="A43" t="s">
        <v>49</v>
      </c>
      <c r="B43" t="s">
        <v>51</v>
      </c>
      <c r="C43" s="18" t="s">
        <v>52</v>
      </c>
      <c r="D43" s="19">
        <v>44089</v>
      </c>
      <c r="E43">
        <v>736</v>
      </c>
      <c r="F43" s="16">
        <v>120</v>
      </c>
      <c r="G43" s="16">
        <v>20</v>
      </c>
      <c r="H43" s="16">
        <v>7360</v>
      </c>
      <c r="I43" s="16">
        <v>588.79999999999995</v>
      </c>
      <c r="J43" s="14" t="s">
        <v>55</v>
      </c>
      <c r="K43" s="20">
        <f>Store[[#This Row],[Quantity]]*Store[[#This Row],[Sale Price]]</f>
        <v>14720</v>
      </c>
      <c r="L43" s="20">
        <f>Store[[#This Row],[Gross Sales]]-Store[[#This Row],[Discount]]</f>
        <v>14131.2</v>
      </c>
      <c r="M43" s="20">
        <f>Store[[#This Row],[Sales]]-Store[[#This Row],[COGS]]</f>
        <v>6771.2000000000007</v>
      </c>
    </row>
    <row r="44" spans="1:13" x14ac:dyDescent="0.25">
      <c r="A44" t="s">
        <v>49</v>
      </c>
      <c r="B44" t="s">
        <v>42</v>
      </c>
      <c r="C44" s="18" t="s">
        <v>54</v>
      </c>
      <c r="D44" s="19">
        <v>44123</v>
      </c>
      <c r="E44">
        <v>2851</v>
      </c>
      <c r="F44" s="16">
        <v>3</v>
      </c>
      <c r="G44" s="16">
        <v>7</v>
      </c>
      <c r="H44" s="16">
        <v>14255</v>
      </c>
      <c r="I44" s="16">
        <v>798.28</v>
      </c>
      <c r="J44" s="14" t="s">
        <v>55</v>
      </c>
      <c r="K44" s="20">
        <f>Store[[#This Row],[Quantity]]*Store[[#This Row],[Sale Price]]</f>
        <v>19957</v>
      </c>
      <c r="L44" s="20">
        <f>Store[[#This Row],[Gross Sales]]-Store[[#This Row],[Discount]]</f>
        <v>19158.72</v>
      </c>
      <c r="M44" s="20">
        <f>Store[[#This Row],[Sales]]-Store[[#This Row],[COGS]]</f>
        <v>4903.7200000000012</v>
      </c>
    </row>
    <row r="45" spans="1:13" x14ac:dyDescent="0.25">
      <c r="A45" t="s">
        <v>49</v>
      </c>
      <c r="B45" t="s">
        <v>42</v>
      </c>
      <c r="C45" s="18" t="s">
        <v>43</v>
      </c>
      <c r="D45" s="19">
        <v>44131</v>
      </c>
      <c r="E45">
        <v>2851</v>
      </c>
      <c r="F45" s="16">
        <v>5</v>
      </c>
      <c r="G45" s="16">
        <v>7</v>
      </c>
      <c r="H45" s="16">
        <v>14255</v>
      </c>
      <c r="I45" s="16">
        <v>798.28</v>
      </c>
      <c r="J45" s="14" t="s">
        <v>55</v>
      </c>
      <c r="K45" s="20">
        <f>Store[[#This Row],[Quantity]]*Store[[#This Row],[Sale Price]]</f>
        <v>19957</v>
      </c>
      <c r="L45" s="20">
        <f>Store[[#This Row],[Gross Sales]]-Store[[#This Row],[Discount]]</f>
        <v>19158.72</v>
      </c>
      <c r="M45" s="20">
        <f>Store[[#This Row],[Sales]]-Store[[#This Row],[COGS]]</f>
        <v>4903.7200000000012</v>
      </c>
    </row>
    <row r="46" spans="1:13" x14ac:dyDescent="0.25">
      <c r="A46" t="s">
        <v>45</v>
      </c>
      <c r="B46" t="s">
        <v>51</v>
      </c>
      <c r="C46" s="18" t="s">
        <v>46</v>
      </c>
      <c r="D46" s="19">
        <v>44124</v>
      </c>
      <c r="E46">
        <v>671</v>
      </c>
      <c r="F46" s="16">
        <v>10</v>
      </c>
      <c r="G46" s="16">
        <v>15</v>
      </c>
      <c r="H46" s="16">
        <v>6710</v>
      </c>
      <c r="I46" s="16">
        <v>402.6</v>
      </c>
      <c r="J46" s="14" t="s">
        <v>55</v>
      </c>
      <c r="K46" s="20">
        <f>Store[[#This Row],[Quantity]]*Store[[#This Row],[Sale Price]]</f>
        <v>10065</v>
      </c>
      <c r="L46" s="20">
        <f>Store[[#This Row],[Gross Sales]]-Store[[#This Row],[Discount]]</f>
        <v>9662.4</v>
      </c>
      <c r="M46" s="20">
        <f>Store[[#This Row],[Sales]]-Store[[#This Row],[COGS]]</f>
        <v>2952.3999999999996</v>
      </c>
    </row>
    <row r="47" spans="1:13" x14ac:dyDescent="0.25">
      <c r="A47" t="s">
        <v>45</v>
      </c>
      <c r="B47" t="s">
        <v>48</v>
      </c>
      <c r="C47" s="18" t="s">
        <v>46</v>
      </c>
      <c r="D47" s="19">
        <v>44122</v>
      </c>
      <c r="E47">
        <v>1514</v>
      </c>
      <c r="F47" s="16">
        <v>10</v>
      </c>
      <c r="G47" s="16">
        <v>15</v>
      </c>
      <c r="H47" s="16">
        <v>15140</v>
      </c>
      <c r="I47" s="16">
        <v>908.4</v>
      </c>
      <c r="J47" s="14" t="s">
        <v>55</v>
      </c>
      <c r="K47" s="20">
        <f>Store[[#This Row],[Quantity]]*Store[[#This Row],[Sale Price]]</f>
        <v>22710</v>
      </c>
      <c r="L47" s="20">
        <f>Store[[#This Row],[Gross Sales]]-Store[[#This Row],[Discount]]</f>
        <v>21801.599999999999</v>
      </c>
      <c r="M47" s="20">
        <f>Store[[#This Row],[Sales]]-Store[[#This Row],[COGS]]</f>
        <v>6661.5999999999985</v>
      </c>
    </row>
    <row r="48" spans="1:13" x14ac:dyDescent="0.25">
      <c r="A48" t="s">
        <v>49</v>
      </c>
      <c r="B48" t="s">
        <v>42</v>
      </c>
      <c r="C48" s="18" t="s">
        <v>52</v>
      </c>
      <c r="D48" s="19">
        <v>44099</v>
      </c>
      <c r="E48">
        <v>2646</v>
      </c>
      <c r="F48" s="16">
        <v>120</v>
      </c>
      <c r="G48" s="16">
        <v>20</v>
      </c>
      <c r="H48" s="16">
        <v>26460</v>
      </c>
      <c r="I48" s="16">
        <v>2116.8000000000002</v>
      </c>
      <c r="J48" s="14" t="s">
        <v>55</v>
      </c>
      <c r="K48" s="20">
        <f>Store[[#This Row],[Quantity]]*Store[[#This Row],[Sale Price]]</f>
        <v>52920</v>
      </c>
      <c r="L48" s="20">
        <f>Store[[#This Row],[Gross Sales]]-Store[[#This Row],[Discount]]</f>
        <v>50803.199999999997</v>
      </c>
      <c r="M48" s="20">
        <f>Store[[#This Row],[Sales]]-Store[[#This Row],[COGS]]</f>
        <v>24343.199999999997</v>
      </c>
    </row>
    <row r="49" spans="1:13" x14ac:dyDescent="0.25">
      <c r="A49" t="s">
        <v>49</v>
      </c>
      <c r="B49" t="s">
        <v>51</v>
      </c>
      <c r="C49" s="18" t="s">
        <v>53</v>
      </c>
      <c r="D49" s="19">
        <v>44097</v>
      </c>
      <c r="E49">
        <v>349</v>
      </c>
      <c r="F49" s="16">
        <v>250</v>
      </c>
      <c r="G49" s="16">
        <v>350</v>
      </c>
      <c r="H49" s="16">
        <v>90740</v>
      </c>
      <c r="I49" s="16">
        <v>4886</v>
      </c>
      <c r="J49" s="14" t="s">
        <v>55</v>
      </c>
      <c r="K49" s="20">
        <f>Store[[#This Row],[Quantity]]*Store[[#This Row],[Sale Price]]</f>
        <v>122150</v>
      </c>
      <c r="L49" s="20">
        <f>Store[[#This Row],[Gross Sales]]-Store[[#This Row],[Discount]]</f>
        <v>117264</v>
      </c>
      <c r="M49" s="20">
        <f>Store[[#This Row],[Sales]]-Store[[#This Row],[COGS]]</f>
        <v>26524</v>
      </c>
    </row>
    <row r="50" spans="1:13" x14ac:dyDescent="0.25">
      <c r="A50" t="s">
        <v>45</v>
      </c>
      <c r="B50" t="s">
        <v>48</v>
      </c>
      <c r="C50" s="18" t="s">
        <v>53</v>
      </c>
      <c r="D50" s="19">
        <v>44113</v>
      </c>
      <c r="E50">
        <v>1514</v>
      </c>
      <c r="F50" s="16">
        <v>250</v>
      </c>
      <c r="G50" s="16">
        <v>15</v>
      </c>
      <c r="H50" s="16">
        <v>15140</v>
      </c>
      <c r="I50" s="16">
        <v>908.4</v>
      </c>
      <c r="J50" s="14" t="s">
        <v>55</v>
      </c>
      <c r="K50" s="20">
        <f>Store[[#This Row],[Quantity]]*Store[[#This Row],[Sale Price]]</f>
        <v>22710</v>
      </c>
      <c r="L50" s="20">
        <f>Store[[#This Row],[Gross Sales]]-Store[[#This Row],[Discount]]</f>
        <v>21801.599999999999</v>
      </c>
      <c r="M50" s="20">
        <f>Store[[#This Row],[Sales]]-Store[[#This Row],[COGS]]</f>
        <v>6661.5999999999985</v>
      </c>
    </row>
    <row r="51" spans="1:13" x14ac:dyDescent="0.25">
      <c r="A51" t="s">
        <v>45</v>
      </c>
      <c r="B51" t="s">
        <v>51</v>
      </c>
      <c r="C51" s="18" t="s">
        <v>57</v>
      </c>
      <c r="D51" s="19">
        <v>44128</v>
      </c>
      <c r="E51">
        <v>671</v>
      </c>
      <c r="F51" s="16">
        <v>260</v>
      </c>
      <c r="G51" s="16">
        <v>15</v>
      </c>
      <c r="H51" s="16">
        <v>6710</v>
      </c>
      <c r="I51" s="16">
        <v>402.6</v>
      </c>
      <c r="J51" s="14" t="s">
        <v>55</v>
      </c>
      <c r="K51" s="20">
        <f>Store[[#This Row],[Quantity]]*Store[[#This Row],[Sale Price]]</f>
        <v>10065</v>
      </c>
      <c r="L51" s="20">
        <f>Store[[#This Row],[Gross Sales]]-Store[[#This Row],[Discount]]</f>
        <v>9662.4</v>
      </c>
      <c r="M51" s="20">
        <f>Store[[#This Row],[Sales]]-Store[[#This Row],[COGS]]</f>
        <v>2952.3999999999996</v>
      </c>
    </row>
    <row r="52" spans="1:13" x14ac:dyDescent="0.25">
      <c r="A52" t="s">
        <v>49</v>
      </c>
      <c r="B52" t="s">
        <v>42</v>
      </c>
      <c r="C52" s="18" t="s">
        <v>57</v>
      </c>
      <c r="D52" s="19">
        <v>44190</v>
      </c>
      <c r="E52">
        <v>1778</v>
      </c>
      <c r="F52" s="16">
        <v>260</v>
      </c>
      <c r="G52" s="16">
        <v>350</v>
      </c>
      <c r="H52" s="16">
        <v>462280</v>
      </c>
      <c r="I52" s="16">
        <v>24892</v>
      </c>
      <c r="J52" s="14" t="s">
        <v>55</v>
      </c>
      <c r="K52" s="20">
        <f>Store[[#This Row],[Quantity]]*Store[[#This Row],[Sale Price]]</f>
        <v>622300</v>
      </c>
      <c r="L52" s="20">
        <f>Store[[#This Row],[Gross Sales]]-Store[[#This Row],[Discount]]</f>
        <v>597408</v>
      </c>
      <c r="M52" s="20">
        <f>Store[[#This Row],[Sales]]-Store[[#This Row],[COGS]]</f>
        <v>135128</v>
      </c>
    </row>
    <row r="53" spans="1:13" x14ac:dyDescent="0.25">
      <c r="A53" t="s">
        <v>49</v>
      </c>
      <c r="B53" t="s">
        <v>56</v>
      </c>
      <c r="C53" s="18" t="s">
        <v>43</v>
      </c>
      <c r="D53" s="19">
        <v>44114</v>
      </c>
      <c r="E53">
        <v>1159</v>
      </c>
      <c r="F53" s="16">
        <v>5</v>
      </c>
      <c r="G53" s="16">
        <v>7</v>
      </c>
      <c r="H53" s="16">
        <v>5795</v>
      </c>
      <c r="I53" s="16">
        <v>405.65</v>
      </c>
      <c r="J53" s="14" t="s">
        <v>59</v>
      </c>
      <c r="K53" s="20">
        <f>Store[[#This Row],[Quantity]]*Store[[#This Row],[Sale Price]]</f>
        <v>8113</v>
      </c>
      <c r="L53" s="20">
        <f>Store[[#This Row],[Gross Sales]]-Store[[#This Row],[Discount]]</f>
        <v>7707.35</v>
      </c>
      <c r="M53" s="20">
        <f>Store[[#This Row],[Sales]]-Store[[#This Row],[COGS]]</f>
        <v>1912.3500000000004</v>
      </c>
    </row>
    <row r="54" spans="1:13" x14ac:dyDescent="0.25">
      <c r="A54" t="s">
        <v>49</v>
      </c>
      <c r="B54" t="s">
        <v>42</v>
      </c>
      <c r="C54" s="18" t="s">
        <v>46</v>
      </c>
      <c r="D54" s="19">
        <v>44093</v>
      </c>
      <c r="E54">
        <v>2349</v>
      </c>
      <c r="F54" s="16">
        <v>10</v>
      </c>
      <c r="G54" s="16">
        <v>7</v>
      </c>
      <c r="H54" s="16">
        <v>11745</v>
      </c>
      <c r="I54" s="16">
        <v>822.15</v>
      </c>
      <c r="J54" s="14" t="s">
        <v>59</v>
      </c>
      <c r="K54" s="20">
        <f>Store[[#This Row],[Quantity]]*Store[[#This Row],[Sale Price]]</f>
        <v>16443</v>
      </c>
      <c r="L54" s="20">
        <f>Store[[#This Row],[Gross Sales]]-Store[[#This Row],[Discount]]</f>
        <v>15620.85</v>
      </c>
      <c r="M54" s="20">
        <f>Store[[#This Row],[Sales]]-Store[[#This Row],[COGS]]</f>
        <v>3875.8500000000004</v>
      </c>
    </row>
    <row r="55" spans="1:13" x14ac:dyDescent="0.25">
      <c r="A55" t="s">
        <v>49</v>
      </c>
      <c r="B55" t="s">
        <v>56</v>
      </c>
      <c r="C55" s="18" t="s">
        <v>57</v>
      </c>
      <c r="D55" s="19">
        <v>44109</v>
      </c>
      <c r="E55">
        <v>1159</v>
      </c>
      <c r="F55" s="16">
        <v>260</v>
      </c>
      <c r="G55" s="16">
        <v>7</v>
      </c>
      <c r="H55" s="16">
        <v>5795</v>
      </c>
      <c r="I55" s="16">
        <v>405.65</v>
      </c>
      <c r="J55" s="14" t="s">
        <v>59</v>
      </c>
      <c r="K55" s="20">
        <f>Store[[#This Row],[Quantity]]*Store[[#This Row],[Sale Price]]</f>
        <v>8113</v>
      </c>
      <c r="L55" s="20">
        <f>Store[[#This Row],[Gross Sales]]-Store[[#This Row],[Discount]]</f>
        <v>7707.35</v>
      </c>
      <c r="M55" s="20">
        <f>Store[[#This Row],[Sales]]-Store[[#This Row],[COGS]]</f>
        <v>1912.3500000000004</v>
      </c>
    </row>
    <row r="56" spans="1:13" x14ac:dyDescent="0.25">
      <c r="A56" t="s">
        <v>49</v>
      </c>
      <c r="B56" t="s">
        <v>56</v>
      </c>
      <c r="C56" s="18" t="s">
        <v>54</v>
      </c>
      <c r="D56" s="19">
        <v>44140</v>
      </c>
      <c r="E56">
        <v>1016</v>
      </c>
      <c r="F56" s="16">
        <v>3</v>
      </c>
      <c r="G56" s="16">
        <v>7</v>
      </c>
      <c r="H56" s="16">
        <v>5080</v>
      </c>
      <c r="I56" s="16">
        <v>355.6</v>
      </c>
      <c r="J56" s="14" t="s">
        <v>59</v>
      </c>
      <c r="K56" s="20">
        <f>Store[[#This Row],[Quantity]]*Store[[#This Row],[Sale Price]]</f>
        <v>7112</v>
      </c>
      <c r="L56" s="20">
        <f>Store[[#This Row],[Gross Sales]]-Store[[#This Row],[Discount]]</f>
        <v>6756.4</v>
      </c>
      <c r="M56" s="20">
        <f>Store[[#This Row],[Sales]]-Store[[#This Row],[COGS]]</f>
        <v>1676.3999999999996</v>
      </c>
    </row>
    <row r="57" spans="1:13" x14ac:dyDescent="0.25">
      <c r="A57" t="s">
        <v>49</v>
      </c>
      <c r="B57" t="s">
        <v>48</v>
      </c>
      <c r="C57" s="18" t="s">
        <v>43</v>
      </c>
      <c r="D57" s="19">
        <v>44090</v>
      </c>
      <c r="E57">
        <v>720</v>
      </c>
      <c r="F57" s="16">
        <v>5</v>
      </c>
      <c r="G57" s="16">
        <v>350</v>
      </c>
      <c r="H57" s="16">
        <v>187200</v>
      </c>
      <c r="I57" s="16">
        <v>12600</v>
      </c>
      <c r="J57" s="14" t="s">
        <v>59</v>
      </c>
      <c r="K57" s="20">
        <f>Store[[#This Row],[Quantity]]*Store[[#This Row],[Sale Price]]</f>
        <v>252000</v>
      </c>
      <c r="L57" s="20">
        <f>Store[[#This Row],[Gross Sales]]-Store[[#This Row],[Discount]]</f>
        <v>239400</v>
      </c>
      <c r="M57" s="20">
        <f>Store[[#This Row],[Sales]]-Store[[#This Row],[COGS]]</f>
        <v>52200</v>
      </c>
    </row>
    <row r="58" spans="1:13" x14ac:dyDescent="0.25">
      <c r="A58" t="s">
        <v>47</v>
      </c>
      <c r="B58" t="s">
        <v>48</v>
      </c>
      <c r="C58" s="18" t="s">
        <v>43</v>
      </c>
      <c r="D58" s="19">
        <v>44186</v>
      </c>
      <c r="E58">
        <v>1100</v>
      </c>
      <c r="F58" s="16">
        <v>5</v>
      </c>
      <c r="G58" s="16">
        <v>300</v>
      </c>
      <c r="H58" s="16">
        <v>275000</v>
      </c>
      <c r="I58" s="16">
        <v>16500</v>
      </c>
      <c r="J58" s="14" t="s">
        <v>59</v>
      </c>
      <c r="K58" s="20">
        <f>Store[[#This Row],[Quantity]]*Store[[#This Row],[Sale Price]]</f>
        <v>330000</v>
      </c>
      <c r="L58" s="20">
        <f>Store[[#This Row],[Gross Sales]]-Store[[#This Row],[Discount]]</f>
        <v>313500</v>
      </c>
      <c r="M58" s="20">
        <f>Store[[#This Row],[Sales]]-Store[[#This Row],[COGS]]</f>
        <v>38500</v>
      </c>
    </row>
    <row r="59" spans="1:13" x14ac:dyDescent="0.25">
      <c r="A59" t="s">
        <v>49</v>
      </c>
      <c r="B59" t="s">
        <v>42</v>
      </c>
      <c r="C59" s="18" t="s">
        <v>46</v>
      </c>
      <c r="D59" s="19">
        <v>44119</v>
      </c>
      <c r="E59">
        <v>1228</v>
      </c>
      <c r="F59" s="16">
        <v>10</v>
      </c>
      <c r="G59" s="16">
        <v>350</v>
      </c>
      <c r="H59" s="16">
        <v>319280</v>
      </c>
      <c r="I59" s="16">
        <v>21490</v>
      </c>
      <c r="J59" s="14" t="s">
        <v>59</v>
      </c>
      <c r="K59" s="20">
        <f>Store[[#This Row],[Quantity]]*Store[[#This Row],[Sale Price]]</f>
        <v>429800</v>
      </c>
      <c r="L59" s="20">
        <f>Store[[#This Row],[Gross Sales]]-Store[[#This Row],[Discount]]</f>
        <v>408310</v>
      </c>
      <c r="M59" s="20">
        <f>Store[[#This Row],[Sales]]-Store[[#This Row],[COGS]]</f>
        <v>89030</v>
      </c>
    </row>
    <row r="60" spans="1:13" x14ac:dyDescent="0.25">
      <c r="A60" t="s">
        <v>49</v>
      </c>
      <c r="B60" t="s">
        <v>42</v>
      </c>
      <c r="C60" s="18" t="s">
        <v>46</v>
      </c>
      <c r="D60" s="19">
        <v>44107</v>
      </c>
      <c r="E60">
        <v>1389</v>
      </c>
      <c r="F60" s="16">
        <v>10</v>
      </c>
      <c r="G60" s="16">
        <v>20</v>
      </c>
      <c r="H60" s="16">
        <v>13890</v>
      </c>
      <c r="I60" s="16">
        <v>1389</v>
      </c>
      <c r="J60" s="14" t="s">
        <v>59</v>
      </c>
      <c r="K60" s="20">
        <f>Store[[#This Row],[Quantity]]*Store[[#This Row],[Sale Price]]</f>
        <v>27780</v>
      </c>
      <c r="L60" s="20">
        <f>Store[[#This Row],[Gross Sales]]-Store[[#This Row],[Discount]]</f>
        <v>26391</v>
      </c>
      <c r="M60" s="20">
        <f>Store[[#This Row],[Sales]]-Store[[#This Row],[COGS]]</f>
        <v>12501</v>
      </c>
    </row>
    <row r="61" spans="1:13" x14ac:dyDescent="0.25">
      <c r="A61" t="s">
        <v>41</v>
      </c>
      <c r="B61" t="s">
        <v>58</v>
      </c>
      <c r="C61" s="18" t="s">
        <v>46</v>
      </c>
      <c r="D61" s="19">
        <v>44126</v>
      </c>
      <c r="E61">
        <v>704</v>
      </c>
      <c r="F61" s="16">
        <v>10</v>
      </c>
      <c r="G61" s="16">
        <v>125</v>
      </c>
      <c r="H61" s="16">
        <v>84480</v>
      </c>
      <c r="I61" s="16">
        <v>4400</v>
      </c>
      <c r="J61" s="14" t="s">
        <v>59</v>
      </c>
      <c r="K61" s="20">
        <f>Store[[#This Row],[Quantity]]*Store[[#This Row],[Sale Price]]</f>
        <v>88000</v>
      </c>
      <c r="L61" s="20">
        <f>Store[[#This Row],[Gross Sales]]-Store[[#This Row],[Discount]]</f>
        <v>83600</v>
      </c>
      <c r="M61" s="20">
        <f>Store[[#This Row],[Sales]]-Store[[#This Row],[COGS]]</f>
        <v>-880</v>
      </c>
    </row>
    <row r="62" spans="1:13" x14ac:dyDescent="0.25">
      <c r="A62" t="s">
        <v>49</v>
      </c>
      <c r="B62" t="s">
        <v>42</v>
      </c>
      <c r="C62" s="18" t="s">
        <v>46</v>
      </c>
      <c r="D62" s="19">
        <v>44192</v>
      </c>
      <c r="E62">
        <v>1802</v>
      </c>
      <c r="F62" s="16">
        <v>10</v>
      </c>
      <c r="G62" s="16">
        <v>20</v>
      </c>
      <c r="H62" s="16">
        <v>18020</v>
      </c>
      <c r="I62" s="16">
        <v>1802</v>
      </c>
      <c r="J62" s="14" t="s">
        <v>59</v>
      </c>
      <c r="K62" s="20">
        <f>Store[[#This Row],[Quantity]]*Store[[#This Row],[Sale Price]]</f>
        <v>36040</v>
      </c>
      <c r="L62" s="20">
        <f>Store[[#This Row],[Gross Sales]]-Store[[#This Row],[Discount]]</f>
        <v>34238</v>
      </c>
      <c r="M62" s="20">
        <f>Store[[#This Row],[Sales]]-Store[[#This Row],[COGS]]</f>
        <v>16218</v>
      </c>
    </row>
    <row r="63" spans="1:13" x14ac:dyDescent="0.25">
      <c r="A63" t="s">
        <v>49</v>
      </c>
      <c r="B63" t="s">
        <v>58</v>
      </c>
      <c r="C63" s="18" t="s">
        <v>46</v>
      </c>
      <c r="D63" s="19">
        <v>44187</v>
      </c>
      <c r="E63">
        <v>2136</v>
      </c>
      <c r="F63" s="16">
        <v>10</v>
      </c>
      <c r="G63" s="16">
        <v>7</v>
      </c>
      <c r="H63" s="16">
        <v>10680</v>
      </c>
      <c r="I63" s="16">
        <v>747.6</v>
      </c>
      <c r="J63" s="14" t="s">
        <v>59</v>
      </c>
      <c r="K63" s="20">
        <f>Store[[#This Row],[Quantity]]*Store[[#This Row],[Sale Price]]</f>
        <v>14952</v>
      </c>
      <c r="L63" s="20">
        <f>Store[[#This Row],[Gross Sales]]-Store[[#This Row],[Discount]]</f>
        <v>14204.4</v>
      </c>
      <c r="M63" s="20">
        <f>Store[[#This Row],[Sales]]-Store[[#This Row],[COGS]]</f>
        <v>3524.3999999999996</v>
      </c>
    </row>
    <row r="64" spans="1:13" x14ac:dyDescent="0.25">
      <c r="A64" t="s">
        <v>45</v>
      </c>
      <c r="B64" t="s">
        <v>56</v>
      </c>
      <c r="C64" s="18" t="s">
        <v>46</v>
      </c>
      <c r="D64" s="19">
        <v>44196</v>
      </c>
      <c r="E64">
        <v>2116</v>
      </c>
      <c r="F64" s="16">
        <v>10</v>
      </c>
      <c r="G64" s="16">
        <v>15</v>
      </c>
      <c r="H64" s="16">
        <v>21160</v>
      </c>
      <c r="I64" s="16">
        <v>1587</v>
      </c>
      <c r="J64" s="14" t="s">
        <v>59</v>
      </c>
      <c r="K64" s="20">
        <f>Store[[#This Row],[Quantity]]*Store[[#This Row],[Sale Price]]</f>
        <v>31740</v>
      </c>
      <c r="L64" s="20">
        <f>Store[[#This Row],[Gross Sales]]-Store[[#This Row],[Discount]]</f>
        <v>30153</v>
      </c>
      <c r="M64" s="20">
        <f>Store[[#This Row],[Sales]]-Store[[#This Row],[COGS]]</f>
        <v>8993</v>
      </c>
    </row>
    <row r="65" spans="1:13" x14ac:dyDescent="0.25">
      <c r="A65" t="s">
        <v>41</v>
      </c>
      <c r="B65" t="s">
        <v>58</v>
      </c>
      <c r="C65" s="18" t="s">
        <v>52</v>
      </c>
      <c r="D65" s="19">
        <v>44117</v>
      </c>
      <c r="E65">
        <v>704</v>
      </c>
      <c r="F65" s="16">
        <v>120</v>
      </c>
      <c r="G65" s="16">
        <v>125</v>
      </c>
      <c r="H65" s="16">
        <v>84480</v>
      </c>
      <c r="I65" s="16">
        <v>4400</v>
      </c>
      <c r="J65" s="14" t="s">
        <v>59</v>
      </c>
      <c r="K65" s="20">
        <f>Store[[#This Row],[Quantity]]*Store[[#This Row],[Sale Price]]</f>
        <v>88000</v>
      </c>
      <c r="L65" s="20">
        <f>Store[[#This Row],[Gross Sales]]-Store[[#This Row],[Discount]]</f>
        <v>83600</v>
      </c>
      <c r="M65" s="20">
        <f>Store[[#This Row],[Sales]]-Store[[#This Row],[COGS]]</f>
        <v>-880</v>
      </c>
    </row>
    <row r="66" spans="1:13" x14ac:dyDescent="0.25">
      <c r="A66" t="s">
        <v>49</v>
      </c>
      <c r="B66" t="s">
        <v>58</v>
      </c>
      <c r="C66" s="18" t="s">
        <v>52</v>
      </c>
      <c r="D66" s="19">
        <v>44196</v>
      </c>
      <c r="E66">
        <v>1033</v>
      </c>
      <c r="F66" s="16">
        <v>120</v>
      </c>
      <c r="G66" s="16">
        <v>20</v>
      </c>
      <c r="H66" s="16">
        <v>10330</v>
      </c>
      <c r="I66" s="16">
        <v>1033</v>
      </c>
      <c r="J66" s="14" t="s">
        <v>59</v>
      </c>
      <c r="K66" s="20">
        <f>Store[[#This Row],[Quantity]]*Store[[#This Row],[Sale Price]]</f>
        <v>20660</v>
      </c>
      <c r="L66" s="20">
        <f>Store[[#This Row],[Gross Sales]]-Store[[#This Row],[Discount]]</f>
        <v>19627</v>
      </c>
      <c r="M66" s="20">
        <f>Store[[#This Row],[Sales]]-Store[[#This Row],[COGS]]</f>
        <v>9297</v>
      </c>
    </row>
    <row r="67" spans="1:13" x14ac:dyDescent="0.25">
      <c r="A67" t="s">
        <v>49</v>
      </c>
      <c r="B67" t="s">
        <v>42</v>
      </c>
      <c r="C67" s="18" t="s">
        <v>53</v>
      </c>
      <c r="D67" s="19">
        <v>44115</v>
      </c>
      <c r="E67">
        <v>1389</v>
      </c>
      <c r="F67" s="16">
        <v>250</v>
      </c>
      <c r="G67" s="16">
        <v>20</v>
      </c>
      <c r="H67" s="16">
        <v>13890</v>
      </c>
      <c r="I67" s="16">
        <v>1389</v>
      </c>
      <c r="J67" s="14" t="s">
        <v>59</v>
      </c>
      <c r="K67" s="20">
        <f>Store[[#This Row],[Quantity]]*Store[[#This Row],[Sale Price]]</f>
        <v>27780</v>
      </c>
      <c r="L67" s="20">
        <f>Store[[#This Row],[Gross Sales]]-Store[[#This Row],[Discount]]</f>
        <v>26391</v>
      </c>
      <c r="M67" s="20">
        <f>Store[[#This Row],[Sales]]-Store[[#This Row],[COGS]]</f>
        <v>12501</v>
      </c>
    </row>
    <row r="68" spans="1:13" x14ac:dyDescent="0.25">
      <c r="A68" t="s">
        <v>49</v>
      </c>
      <c r="B68" t="s">
        <v>51</v>
      </c>
      <c r="C68" s="18" t="s">
        <v>53</v>
      </c>
      <c r="D68" s="19">
        <v>44162</v>
      </c>
      <c r="E68">
        <v>1265</v>
      </c>
      <c r="F68" s="16">
        <v>250</v>
      </c>
      <c r="G68" s="16">
        <v>20</v>
      </c>
      <c r="H68" s="16">
        <v>12650</v>
      </c>
      <c r="I68" s="16">
        <v>1265</v>
      </c>
      <c r="J68" s="14" t="s">
        <v>59</v>
      </c>
      <c r="K68" s="20">
        <f>Store[[#This Row],[Quantity]]*Store[[#This Row],[Sale Price]]</f>
        <v>25300</v>
      </c>
      <c r="L68" s="20">
        <f>Store[[#This Row],[Gross Sales]]-Store[[#This Row],[Discount]]</f>
        <v>24035</v>
      </c>
      <c r="M68" s="20">
        <f>Store[[#This Row],[Sales]]-Store[[#This Row],[COGS]]</f>
        <v>11385</v>
      </c>
    </row>
    <row r="69" spans="1:13" x14ac:dyDescent="0.25">
      <c r="A69" t="s">
        <v>49</v>
      </c>
      <c r="B69" t="s">
        <v>56</v>
      </c>
      <c r="C69" s="18" t="s">
        <v>53</v>
      </c>
      <c r="D69" s="19">
        <v>44143</v>
      </c>
      <c r="E69">
        <v>2297</v>
      </c>
      <c r="F69" s="16">
        <v>250</v>
      </c>
      <c r="G69" s="16">
        <v>20</v>
      </c>
      <c r="H69" s="16">
        <v>22970</v>
      </c>
      <c r="I69" s="16">
        <v>2297</v>
      </c>
      <c r="J69" s="14" t="s">
        <v>59</v>
      </c>
      <c r="K69" s="20">
        <f>Store[[#This Row],[Quantity]]*Store[[#This Row],[Sale Price]]</f>
        <v>45940</v>
      </c>
      <c r="L69" s="20">
        <f>Store[[#This Row],[Gross Sales]]-Store[[#This Row],[Discount]]</f>
        <v>43643</v>
      </c>
      <c r="M69" s="20">
        <f>Store[[#This Row],[Sales]]-Store[[#This Row],[COGS]]</f>
        <v>20673</v>
      </c>
    </row>
    <row r="70" spans="1:13" x14ac:dyDescent="0.25">
      <c r="A70" t="s">
        <v>49</v>
      </c>
      <c r="B70" t="s">
        <v>42</v>
      </c>
      <c r="C70" s="18" t="s">
        <v>57</v>
      </c>
      <c r="D70" s="19">
        <v>44122</v>
      </c>
      <c r="E70">
        <v>1228</v>
      </c>
      <c r="F70" s="16">
        <v>260</v>
      </c>
      <c r="G70" s="16">
        <v>350</v>
      </c>
      <c r="H70" s="16">
        <v>319280</v>
      </c>
      <c r="I70" s="16">
        <v>21490</v>
      </c>
      <c r="J70" s="14" t="s">
        <v>59</v>
      </c>
      <c r="K70" s="20">
        <f>Store[[#This Row],[Quantity]]*Store[[#This Row],[Sale Price]]</f>
        <v>429800</v>
      </c>
      <c r="L70" s="20">
        <f>Store[[#This Row],[Gross Sales]]-Store[[#This Row],[Discount]]</f>
        <v>408310</v>
      </c>
      <c r="M70" s="20">
        <f>Store[[#This Row],[Sales]]-Store[[#This Row],[COGS]]</f>
        <v>89030</v>
      </c>
    </row>
    <row r="71" spans="1:13" x14ac:dyDescent="0.25">
      <c r="A71" t="s">
        <v>50</v>
      </c>
      <c r="B71" t="s">
        <v>42</v>
      </c>
      <c r="C71" s="18" t="s">
        <v>54</v>
      </c>
      <c r="D71" s="19">
        <v>44118</v>
      </c>
      <c r="E71">
        <v>2299</v>
      </c>
      <c r="F71" s="16">
        <v>3</v>
      </c>
      <c r="G71" s="16">
        <v>12</v>
      </c>
      <c r="H71" s="16">
        <v>6897</v>
      </c>
      <c r="I71" s="16">
        <v>1655.28</v>
      </c>
      <c r="J71" s="14" t="s">
        <v>59</v>
      </c>
      <c r="K71" s="20">
        <f>Store[[#This Row],[Quantity]]*Store[[#This Row],[Sale Price]]</f>
        <v>27588</v>
      </c>
      <c r="L71" s="20">
        <f>Store[[#This Row],[Gross Sales]]-Store[[#This Row],[Discount]]</f>
        <v>25932.720000000001</v>
      </c>
      <c r="M71" s="20">
        <f>Store[[#This Row],[Sales]]-Store[[#This Row],[COGS]]</f>
        <v>19035.72</v>
      </c>
    </row>
    <row r="72" spans="1:13" x14ac:dyDescent="0.25">
      <c r="A72" t="s">
        <v>49</v>
      </c>
      <c r="B72" t="s">
        <v>51</v>
      </c>
      <c r="C72" s="18" t="s">
        <v>54</v>
      </c>
      <c r="D72" s="19">
        <v>44154</v>
      </c>
      <c r="E72">
        <v>263</v>
      </c>
      <c r="F72" s="16">
        <v>3</v>
      </c>
      <c r="G72" s="16">
        <v>7</v>
      </c>
      <c r="H72" s="16">
        <v>1315</v>
      </c>
      <c r="I72" s="16">
        <v>110.46</v>
      </c>
      <c r="J72" s="14" t="s">
        <v>59</v>
      </c>
      <c r="K72" s="20">
        <f>Store[[#This Row],[Quantity]]*Store[[#This Row],[Sale Price]]</f>
        <v>1841</v>
      </c>
      <c r="L72" s="20">
        <f>Store[[#This Row],[Gross Sales]]-Store[[#This Row],[Discount]]</f>
        <v>1730.54</v>
      </c>
      <c r="M72" s="20">
        <f>Store[[#This Row],[Sales]]-Store[[#This Row],[COGS]]</f>
        <v>415.53999999999996</v>
      </c>
    </row>
    <row r="73" spans="1:13" x14ac:dyDescent="0.25">
      <c r="A73" t="s">
        <v>41</v>
      </c>
      <c r="B73" t="s">
        <v>56</v>
      </c>
      <c r="C73" s="18" t="s">
        <v>54</v>
      </c>
      <c r="D73" s="19">
        <v>44194</v>
      </c>
      <c r="E73">
        <v>887</v>
      </c>
      <c r="F73" s="16">
        <v>3</v>
      </c>
      <c r="G73" s="16">
        <v>125</v>
      </c>
      <c r="H73" s="16">
        <v>106440</v>
      </c>
      <c r="I73" s="16">
        <v>6652.5</v>
      </c>
      <c r="J73" s="14" t="s">
        <v>59</v>
      </c>
      <c r="K73" s="20">
        <f>Store[[#This Row],[Quantity]]*Store[[#This Row],[Sale Price]]</f>
        <v>110875</v>
      </c>
      <c r="L73" s="20">
        <f>Store[[#This Row],[Gross Sales]]-Store[[#This Row],[Discount]]</f>
        <v>104222.5</v>
      </c>
      <c r="M73" s="20">
        <f>Store[[#This Row],[Sales]]-Store[[#This Row],[COGS]]</f>
        <v>-2217.5</v>
      </c>
    </row>
    <row r="74" spans="1:13" x14ac:dyDescent="0.25">
      <c r="A74" t="s">
        <v>49</v>
      </c>
      <c r="B74" t="s">
        <v>58</v>
      </c>
      <c r="C74" s="18" t="s">
        <v>43</v>
      </c>
      <c r="D74" s="19">
        <v>44127</v>
      </c>
      <c r="E74">
        <v>1403</v>
      </c>
      <c r="F74" s="16">
        <v>5</v>
      </c>
      <c r="G74" s="16">
        <v>7</v>
      </c>
      <c r="H74" s="16">
        <v>7015</v>
      </c>
      <c r="I74" s="16">
        <v>589.26</v>
      </c>
      <c r="J74" s="14" t="s">
        <v>59</v>
      </c>
      <c r="K74" s="20">
        <f>Store[[#This Row],[Quantity]]*Store[[#This Row],[Sale Price]]</f>
        <v>9821</v>
      </c>
      <c r="L74" s="20">
        <f>Store[[#This Row],[Gross Sales]]-Store[[#This Row],[Discount]]</f>
        <v>9231.74</v>
      </c>
      <c r="M74" s="20">
        <f>Store[[#This Row],[Sales]]-Store[[#This Row],[COGS]]</f>
        <v>2216.7399999999998</v>
      </c>
    </row>
    <row r="75" spans="1:13" x14ac:dyDescent="0.25">
      <c r="A75" t="s">
        <v>50</v>
      </c>
      <c r="B75" t="s">
        <v>42</v>
      </c>
      <c r="C75" s="18" t="s">
        <v>46</v>
      </c>
      <c r="D75" s="19">
        <v>44113</v>
      </c>
      <c r="E75">
        <v>2299</v>
      </c>
      <c r="F75" s="16">
        <v>10</v>
      </c>
      <c r="G75" s="16">
        <v>12</v>
      </c>
      <c r="H75" s="16">
        <v>6897</v>
      </c>
      <c r="I75" s="16">
        <v>1655.28</v>
      </c>
      <c r="J75" s="14" t="s">
        <v>59</v>
      </c>
      <c r="K75" s="20">
        <f>Store[[#This Row],[Quantity]]*Store[[#This Row],[Sale Price]]</f>
        <v>27588</v>
      </c>
      <c r="L75" s="20">
        <f>Store[[#This Row],[Gross Sales]]-Store[[#This Row],[Discount]]</f>
        <v>25932.720000000001</v>
      </c>
      <c r="M75" s="20">
        <f>Store[[#This Row],[Sales]]-Store[[#This Row],[COGS]]</f>
        <v>19035.72</v>
      </c>
    </row>
    <row r="76" spans="1:13" x14ac:dyDescent="0.25">
      <c r="A76" t="s">
        <v>49</v>
      </c>
      <c r="B76" t="s">
        <v>51</v>
      </c>
      <c r="C76" s="18" t="s">
        <v>46</v>
      </c>
      <c r="D76" s="19">
        <v>44131</v>
      </c>
      <c r="E76">
        <v>727</v>
      </c>
      <c r="F76" s="16">
        <v>10</v>
      </c>
      <c r="G76" s="16">
        <v>350</v>
      </c>
      <c r="H76" s="16">
        <v>189020</v>
      </c>
      <c r="I76" s="16">
        <v>15267</v>
      </c>
      <c r="J76" s="14" t="s">
        <v>59</v>
      </c>
      <c r="K76" s="20">
        <f>Store[[#This Row],[Quantity]]*Store[[#This Row],[Sale Price]]</f>
        <v>254450</v>
      </c>
      <c r="L76" s="20">
        <f>Store[[#This Row],[Gross Sales]]-Store[[#This Row],[Discount]]</f>
        <v>239183</v>
      </c>
      <c r="M76" s="20">
        <f>Store[[#This Row],[Sales]]-Store[[#This Row],[COGS]]</f>
        <v>50163</v>
      </c>
    </row>
    <row r="77" spans="1:13" x14ac:dyDescent="0.25">
      <c r="A77" t="s">
        <v>47</v>
      </c>
      <c r="B77" t="s">
        <v>58</v>
      </c>
      <c r="C77" s="18" t="s">
        <v>52</v>
      </c>
      <c r="D77" s="19">
        <v>44114</v>
      </c>
      <c r="E77">
        <v>1221</v>
      </c>
      <c r="F77" s="16">
        <v>120</v>
      </c>
      <c r="G77" s="16">
        <v>300</v>
      </c>
      <c r="H77" s="16">
        <v>305250</v>
      </c>
      <c r="I77" s="16">
        <v>21978</v>
      </c>
      <c r="J77" s="14" t="s">
        <v>59</v>
      </c>
      <c r="K77" s="20">
        <f>Store[[#This Row],[Quantity]]*Store[[#This Row],[Sale Price]]</f>
        <v>366300</v>
      </c>
      <c r="L77" s="20">
        <f>Store[[#This Row],[Gross Sales]]-Store[[#This Row],[Discount]]</f>
        <v>344322</v>
      </c>
      <c r="M77" s="20">
        <f>Store[[#This Row],[Sales]]-Store[[#This Row],[COGS]]</f>
        <v>39072</v>
      </c>
    </row>
    <row r="78" spans="1:13" x14ac:dyDescent="0.25">
      <c r="A78" t="s">
        <v>49</v>
      </c>
      <c r="B78" t="s">
        <v>58</v>
      </c>
      <c r="C78" s="18" t="s">
        <v>52</v>
      </c>
      <c r="D78" s="19">
        <v>44117</v>
      </c>
      <c r="E78">
        <v>2076</v>
      </c>
      <c r="F78" s="16">
        <v>120</v>
      </c>
      <c r="G78" s="16">
        <v>350</v>
      </c>
      <c r="H78" s="16">
        <v>539760</v>
      </c>
      <c r="I78" s="16">
        <v>43596</v>
      </c>
      <c r="J78" s="14" t="s">
        <v>59</v>
      </c>
      <c r="K78" s="20">
        <f>Store[[#This Row],[Quantity]]*Store[[#This Row],[Sale Price]]</f>
        <v>726600</v>
      </c>
      <c r="L78" s="20">
        <f>Store[[#This Row],[Gross Sales]]-Store[[#This Row],[Discount]]</f>
        <v>683004</v>
      </c>
      <c r="M78" s="20">
        <f>Store[[#This Row],[Sales]]-Store[[#This Row],[COGS]]</f>
        <v>143244</v>
      </c>
    </row>
    <row r="79" spans="1:13" x14ac:dyDescent="0.25">
      <c r="A79" t="s">
        <v>47</v>
      </c>
      <c r="B79" t="s">
        <v>58</v>
      </c>
      <c r="C79" s="18" t="s">
        <v>53</v>
      </c>
      <c r="D79" s="19">
        <v>44128</v>
      </c>
      <c r="E79">
        <v>1221</v>
      </c>
      <c r="F79" s="16">
        <v>250</v>
      </c>
      <c r="G79" s="16">
        <v>300</v>
      </c>
      <c r="H79" s="16">
        <v>305250</v>
      </c>
      <c r="I79" s="16">
        <v>21978</v>
      </c>
      <c r="J79" s="14" t="s">
        <v>59</v>
      </c>
      <c r="K79" s="20">
        <f>Store[[#This Row],[Quantity]]*Store[[#This Row],[Sale Price]]</f>
        <v>366300</v>
      </c>
      <c r="L79" s="20">
        <f>Store[[#This Row],[Gross Sales]]-Store[[#This Row],[Discount]]</f>
        <v>344322</v>
      </c>
      <c r="M79" s="20">
        <f>Store[[#This Row],[Sales]]-Store[[#This Row],[COGS]]</f>
        <v>39072</v>
      </c>
    </row>
    <row r="80" spans="1:13" x14ac:dyDescent="0.25">
      <c r="A80" t="s">
        <v>49</v>
      </c>
      <c r="B80" t="s">
        <v>48</v>
      </c>
      <c r="C80" s="18" t="s">
        <v>53</v>
      </c>
      <c r="D80" s="19">
        <v>44148</v>
      </c>
      <c r="E80">
        <v>1123</v>
      </c>
      <c r="F80" s="16">
        <v>250</v>
      </c>
      <c r="G80" s="16">
        <v>20</v>
      </c>
      <c r="H80" s="16">
        <v>11230</v>
      </c>
      <c r="I80" s="16">
        <v>1347.6</v>
      </c>
      <c r="J80" s="14" t="s">
        <v>59</v>
      </c>
      <c r="K80" s="20">
        <f>Store[[#This Row],[Quantity]]*Store[[#This Row],[Sale Price]]</f>
        <v>22460</v>
      </c>
      <c r="L80" s="20">
        <f>Store[[#This Row],[Gross Sales]]-Store[[#This Row],[Discount]]</f>
        <v>21112.400000000001</v>
      </c>
      <c r="M80" s="20">
        <f>Store[[#This Row],[Sales]]-Store[[#This Row],[COGS]]</f>
        <v>9882.4000000000015</v>
      </c>
    </row>
    <row r="81" spans="1:13" x14ac:dyDescent="0.25">
      <c r="A81" t="s">
        <v>47</v>
      </c>
      <c r="B81" t="s">
        <v>42</v>
      </c>
      <c r="C81" s="18" t="s">
        <v>53</v>
      </c>
      <c r="D81" s="19">
        <v>44177</v>
      </c>
      <c r="E81">
        <v>2436</v>
      </c>
      <c r="F81" s="16">
        <v>250</v>
      </c>
      <c r="G81" s="16">
        <v>300</v>
      </c>
      <c r="H81" s="16">
        <v>609000</v>
      </c>
      <c r="I81" s="16">
        <v>43848</v>
      </c>
      <c r="J81" s="14" t="s">
        <v>59</v>
      </c>
      <c r="K81" s="20">
        <f>Store[[#This Row],[Quantity]]*Store[[#This Row],[Sale Price]]</f>
        <v>730800</v>
      </c>
      <c r="L81" s="20">
        <f>Store[[#This Row],[Gross Sales]]-Store[[#This Row],[Discount]]</f>
        <v>686952</v>
      </c>
      <c r="M81" s="20">
        <f>Store[[#This Row],[Sales]]-Store[[#This Row],[COGS]]</f>
        <v>77952</v>
      </c>
    </row>
    <row r="82" spans="1:13" x14ac:dyDescent="0.25">
      <c r="A82" t="s">
        <v>49</v>
      </c>
      <c r="B82" t="s">
        <v>51</v>
      </c>
      <c r="C82" s="18" t="s">
        <v>57</v>
      </c>
      <c r="D82" s="19">
        <v>44114</v>
      </c>
      <c r="E82">
        <v>727</v>
      </c>
      <c r="F82" s="16">
        <v>260</v>
      </c>
      <c r="G82" s="16">
        <v>350</v>
      </c>
      <c r="H82" s="16">
        <v>189020</v>
      </c>
      <c r="I82" s="16">
        <v>15267</v>
      </c>
      <c r="J82" s="14" t="s">
        <v>59</v>
      </c>
      <c r="K82" s="20">
        <f>Store[[#This Row],[Quantity]]*Store[[#This Row],[Sale Price]]</f>
        <v>254450</v>
      </c>
      <c r="L82" s="20">
        <f>Store[[#This Row],[Gross Sales]]-Store[[#This Row],[Discount]]</f>
        <v>239183</v>
      </c>
      <c r="M82" s="20">
        <f>Store[[#This Row],[Sales]]-Store[[#This Row],[COGS]]</f>
        <v>50163</v>
      </c>
    </row>
    <row r="83" spans="1:13" x14ac:dyDescent="0.25">
      <c r="A83" t="s">
        <v>49</v>
      </c>
      <c r="B83" t="s">
        <v>58</v>
      </c>
      <c r="C83" s="18" t="s">
        <v>57</v>
      </c>
      <c r="D83" s="19">
        <v>44125</v>
      </c>
      <c r="E83">
        <v>1403</v>
      </c>
      <c r="F83" s="16">
        <v>260</v>
      </c>
      <c r="G83" s="16">
        <v>7</v>
      </c>
      <c r="H83" s="16">
        <v>7015</v>
      </c>
      <c r="I83" s="16">
        <v>589.26</v>
      </c>
      <c r="J83" s="14" t="s">
        <v>59</v>
      </c>
      <c r="K83" s="20">
        <f>Store[[#This Row],[Quantity]]*Store[[#This Row],[Sale Price]]</f>
        <v>9821</v>
      </c>
      <c r="L83" s="20">
        <f>Store[[#This Row],[Gross Sales]]-Store[[#This Row],[Discount]]</f>
        <v>9231.74</v>
      </c>
      <c r="M83" s="20">
        <f>Store[[#This Row],[Sales]]-Store[[#This Row],[COGS]]</f>
        <v>2216.7399999999998</v>
      </c>
    </row>
    <row r="84" spans="1:13" x14ac:dyDescent="0.25">
      <c r="A84" t="s">
        <v>49</v>
      </c>
      <c r="B84" t="s">
        <v>58</v>
      </c>
      <c r="C84" s="18" t="s">
        <v>57</v>
      </c>
      <c r="D84" s="19">
        <v>44127</v>
      </c>
      <c r="E84">
        <v>2076</v>
      </c>
      <c r="F84" s="16">
        <v>260</v>
      </c>
      <c r="G84" s="16">
        <v>350</v>
      </c>
      <c r="H84" s="16">
        <v>539760</v>
      </c>
      <c r="I84" s="16">
        <v>43596</v>
      </c>
      <c r="J84" s="14" t="s">
        <v>59</v>
      </c>
      <c r="K84" s="20">
        <f>Store[[#This Row],[Quantity]]*Store[[#This Row],[Sale Price]]</f>
        <v>726600</v>
      </c>
      <c r="L84" s="20">
        <f>Store[[#This Row],[Gross Sales]]-Store[[#This Row],[Discount]]</f>
        <v>683004</v>
      </c>
      <c r="M84" s="20">
        <f>Store[[#This Row],[Sales]]-Store[[#This Row],[COGS]]</f>
        <v>143244</v>
      </c>
    </row>
    <row r="85" spans="1:13" x14ac:dyDescent="0.25">
      <c r="A85" t="s">
        <v>49</v>
      </c>
      <c r="B85" t="s">
        <v>58</v>
      </c>
      <c r="C85" s="18" t="s">
        <v>43</v>
      </c>
      <c r="D85" s="19">
        <v>44119</v>
      </c>
      <c r="E85">
        <v>1757</v>
      </c>
      <c r="F85" s="16">
        <v>5</v>
      </c>
      <c r="G85" s="16">
        <v>20</v>
      </c>
      <c r="H85" s="16">
        <v>17570</v>
      </c>
      <c r="I85" s="16">
        <v>2108.4</v>
      </c>
      <c r="J85" s="14" t="s">
        <v>59</v>
      </c>
      <c r="K85" s="20">
        <f>Store[[#This Row],[Quantity]]*Store[[#This Row],[Sale Price]]</f>
        <v>35140</v>
      </c>
      <c r="L85" s="20">
        <f>Store[[#This Row],[Gross Sales]]-Store[[#This Row],[Discount]]</f>
        <v>33031.599999999999</v>
      </c>
      <c r="M85" s="20">
        <f>Store[[#This Row],[Sales]]-Store[[#This Row],[COGS]]</f>
        <v>15461.599999999999</v>
      </c>
    </row>
    <row r="86" spans="1:13" x14ac:dyDescent="0.25">
      <c r="A86" t="s">
        <v>49</v>
      </c>
      <c r="B86" t="s">
        <v>58</v>
      </c>
      <c r="C86" s="18" t="s">
        <v>46</v>
      </c>
      <c r="D86" s="19">
        <v>44118</v>
      </c>
      <c r="E86">
        <v>1757</v>
      </c>
      <c r="F86" s="16">
        <v>10</v>
      </c>
      <c r="G86" s="16">
        <v>20</v>
      </c>
      <c r="H86" s="16">
        <v>17570</v>
      </c>
      <c r="I86" s="16">
        <v>2108.4</v>
      </c>
      <c r="J86" s="14" t="s">
        <v>59</v>
      </c>
      <c r="K86" s="20">
        <f>Store[[#This Row],[Quantity]]*Store[[#This Row],[Sale Price]]</f>
        <v>35140</v>
      </c>
      <c r="L86" s="20">
        <f>Store[[#This Row],[Gross Sales]]-Store[[#This Row],[Discount]]</f>
        <v>33031.599999999999</v>
      </c>
      <c r="M86" s="20">
        <f>Store[[#This Row],[Sales]]-Store[[#This Row],[COGS]]</f>
        <v>15461.599999999999</v>
      </c>
    </row>
    <row r="87" spans="1:13" x14ac:dyDescent="0.25">
      <c r="A87" t="s">
        <v>49</v>
      </c>
      <c r="B87" t="s">
        <v>48</v>
      </c>
      <c r="C87" s="18" t="s">
        <v>54</v>
      </c>
      <c r="D87" s="19">
        <v>44076</v>
      </c>
      <c r="E87">
        <v>1834</v>
      </c>
      <c r="F87" s="16">
        <v>3</v>
      </c>
      <c r="G87" s="16">
        <v>20</v>
      </c>
      <c r="H87" s="16">
        <v>18340</v>
      </c>
      <c r="I87" s="16">
        <v>2567.6</v>
      </c>
      <c r="J87" s="14" t="s">
        <v>59</v>
      </c>
      <c r="K87" s="20">
        <f>Store[[#This Row],[Quantity]]*Store[[#This Row],[Sale Price]]</f>
        <v>36680</v>
      </c>
      <c r="L87" s="20">
        <f>Store[[#This Row],[Gross Sales]]-Store[[#This Row],[Discount]]</f>
        <v>34112.400000000001</v>
      </c>
      <c r="M87" s="20">
        <f>Store[[#This Row],[Sales]]-Store[[#This Row],[COGS]]</f>
        <v>15772.400000000001</v>
      </c>
    </row>
    <row r="88" spans="1:13" x14ac:dyDescent="0.25">
      <c r="A88" t="s">
        <v>49</v>
      </c>
      <c r="B88" t="s">
        <v>58</v>
      </c>
      <c r="C88" s="18" t="s">
        <v>46</v>
      </c>
      <c r="D88" s="19">
        <v>44085</v>
      </c>
      <c r="E88">
        <v>1031</v>
      </c>
      <c r="F88" s="16">
        <v>10</v>
      </c>
      <c r="G88" s="16">
        <v>7</v>
      </c>
      <c r="H88" s="16">
        <v>5155</v>
      </c>
      <c r="I88" s="16">
        <v>505.19</v>
      </c>
      <c r="J88" s="14" t="s">
        <v>59</v>
      </c>
      <c r="K88" s="20">
        <f>Store[[#This Row],[Quantity]]*Store[[#This Row],[Sale Price]]</f>
        <v>7217</v>
      </c>
      <c r="L88" s="20">
        <f>Store[[#This Row],[Gross Sales]]-Store[[#This Row],[Discount]]</f>
        <v>6711.81</v>
      </c>
      <c r="M88" s="20">
        <f>Store[[#This Row],[Sales]]-Store[[#This Row],[COGS]]</f>
        <v>1556.8100000000004</v>
      </c>
    </row>
    <row r="89" spans="1:13" x14ac:dyDescent="0.25">
      <c r="A89" t="s">
        <v>50</v>
      </c>
      <c r="B89" t="s">
        <v>56</v>
      </c>
      <c r="C89" s="18" t="s">
        <v>53</v>
      </c>
      <c r="D89" s="19">
        <v>44097</v>
      </c>
      <c r="E89">
        <v>2215</v>
      </c>
      <c r="F89" s="16">
        <v>250</v>
      </c>
      <c r="G89" s="16">
        <v>12</v>
      </c>
      <c r="H89" s="16">
        <v>6645</v>
      </c>
      <c r="I89" s="16">
        <v>1860.6</v>
      </c>
      <c r="J89" s="14" t="s">
        <v>59</v>
      </c>
      <c r="K89" s="20">
        <f>Store[[#This Row],[Quantity]]*Store[[#This Row],[Sale Price]]</f>
        <v>26580</v>
      </c>
      <c r="L89" s="20">
        <f>Store[[#This Row],[Gross Sales]]-Store[[#This Row],[Discount]]</f>
        <v>24719.4</v>
      </c>
      <c r="M89" s="20">
        <f>Store[[#This Row],[Sales]]-Store[[#This Row],[COGS]]</f>
        <v>18074.400000000001</v>
      </c>
    </row>
    <row r="90" spans="1:13" x14ac:dyDescent="0.25">
      <c r="A90" t="s">
        <v>41</v>
      </c>
      <c r="B90" t="s">
        <v>56</v>
      </c>
      <c r="C90" s="18" t="s">
        <v>43</v>
      </c>
      <c r="D90" s="19">
        <v>44145</v>
      </c>
      <c r="E90">
        <v>2500</v>
      </c>
      <c r="F90" s="16">
        <v>5</v>
      </c>
      <c r="G90" s="16">
        <v>125</v>
      </c>
      <c r="H90" s="16">
        <v>300000</v>
      </c>
      <c r="I90" s="16">
        <v>21875</v>
      </c>
      <c r="J90" s="14" t="s">
        <v>59</v>
      </c>
      <c r="K90" s="20">
        <f>Store[[#This Row],[Quantity]]*Store[[#This Row],[Sale Price]]</f>
        <v>312500</v>
      </c>
      <c r="L90" s="20">
        <f>Store[[#This Row],[Gross Sales]]-Store[[#This Row],[Discount]]</f>
        <v>290625</v>
      </c>
      <c r="M90" s="20">
        <f>Store[[#This Row],[Sales]]-Store[[#This Row],[COGS]]</f>
        <v>-9375</v>
      </c>
    </row>
    <row r="91" spans="1:13" x14ac:dyDescent="0.25">
      <c r="A91" t="s">
        <v>45</v>
      </c>
      <c r="B91" t="s">
        <v>51</v>
      </c>
      <c r="C91" s="18" t="s">
        <v>46</v>
      </c>
      <c r="D91" s="19">
        <v>44084</v>
      </c>
      <c r="E91">
        <v>2931</v>
      </c>
      <c r="F91" s="16">
        <v>10</v>
      </c>
      <c r="G91" s="16">
        <v>15</v>
      </c>
      <c r="H91" s="16">
        <v>29310</v>
      </c>
      <c r="I91" s="16">
        <v>3077.55</v>
      </c>
      <c r="J91" s="14" t="s">
        <v>59</v>
      </c>
      <c r="K91" s="20">
        <f>Store[[#This Row],[Quantity]]*Store[[#This Row],[Sale Price]]</f>
        <v>43965</v>
      </c>
      <c r="L91" s="20">
        <f>Store[[#This Row],[Gross Sales]]-Store[[#This Row],[Discount]]</f>
        <v>40887.449999999997</v>
      </c>
      <c r="M91" s="20">
        <f>Store[[#This Row],[Sales]]-Store[[#This Row],[COGS]]</f>
        <v>11577.449999999997</v>
      </c>
    </row>
    <row r="92" spans="1:13" x14ac:dyDescent="0.25">
      <c r="A92" t="s">
        <v>47</v>
      </c>
      <c r="B92" t="s">
        <v>56</v>
      </c>
      <c r="C92" s="18" t="s">
        <v>46</v>
      </c>
      <c r="D92" s="19">
        <v>44101</v>
      </c>
      <c r="E92">
        <v>1123</v>
      </c>
      <c r="F92" s="16">
        <v>10</v>
      </c>
      <c r="G92" s="16">
        <v>300</v>
      </c>
      <c r="H92" s="16">
        <v>280750</v>
      </c>
      <c r="I92" s="16">
        <v>23583</v>
      </c>
      <c r="J92" s="14" t="s">
        <v>59</v>
      </c>
      <c r="K92" s="20">
        <f>Store[[#This Row],[Quantity]]*Store[[#This Row],[Sale Price]]</f>
        <v>336900</v>
      </c>
      <c r="L92" s="20">
        <f>Store[[#This Row],[Gross Sales]]-Store[[#This Row],[Discount]]</f>
        <v>313317</v>
      </c>
      <c r="M92" s="20">
        <f>Store[[#This Row],[Sales]]-Store[[#This Row],[COGS]]</f>
        <v>32567</v>
      </c>
    </row>
    <row r="93" spans="1:13" x14ac:dyDescent="0.25">
      <c r="A93" t="s">
        <v>47</v>
      </c>
      <c r="B93" t="s">
        <v>42</v>
      </c>
      <c r="C93" s="18" t="s">
        <v>46</v>
      </c>
      <c r="D93" s="19">
        <v>44147</v>
      </c>
      <c r="E93">
        <v>1404</v>
      </c>
      <c r="F93" s="16">
        <v>10</v>
      </c>
      <c r="G93" s="16">
        <v>300</v>
      </c>
      <c r="H93" s="16">
        <v>351000</v>
      </c>
      <c r="I93" s="16">
        <v>29484</v>
      </c>
      <c r="J93" s="14" t="s">
        <v>59</v>
      </c>
      <c r="K93" s="20">
        <f>Store[[#This Row],[Quantity]]*Store[[#This Row],[Sale Price]]</f>
        <v>421200</v>
      </c>
      <c r="L93" s="20">
        <f>Store[[#This Row],[Gross Sales]]-Store[[#This Row],[Discount]]</f>
        <v>391716</v>
      </c>
      <c r="M93" s="20">
        <f>Store[[#This Row],[Sales]]-Store[[#This Row],[COGS]]</f>
        <v>40716</v>
      </c>
    </row>
    <row r="94" spans="1:13" x14ac:dyDescent="0.25">
      <c r="A94" t="s">
        <v>50</v>
      </c>
      <c r="B94" t="s">
        <v>48</v>
      </c>
      <c r="C94" s="18" t="s">
        <v>46</v>
      </c>
      <c r="D94" s="19">
        <v>44147</v>
      </c>
      <c r="E94">
        <v>2763</v>
      </c>
      <c r="F94" s="16">
        <v>10</v>
      </c>
      <c r="G94" s="16">
        <v>12</v>
      </c>
      <c r="H94" s="16">
        <v>8289</v>
      </c>
      <c r="I94" s="16">
        <v>2320.92</v>
      </c>
      <c r="J94" s="14" t="s">
        <v>59</v>
      </c>
      <c r="K94" s="20">
        <f>Store[[#This Row],[Quantity]]*Store[[#This Row],[Sale Price]]</f>
        <v>33156</v>
      </c>
      <c r="L94" s="20">
        <f>Store[[#This Row],[Gross Sales]]-Store[[#This Row],[Discount]]</f>
        <v>30835.08</v>
      </c>
      <c r="M94" s="20">
        <f>Store[[#This Row],[Sales]]-Store[[#This Row],[COGS]]</f>
        <v>22546.080000000002</v>
      </c>
    </row>
    <row r="95" spans="1:13" x14ac:dyDescent="0.25">
      <c r="A95" t="s">
        <v>49</v>
      </c>
      <c r="B95" t="s">
        <v>56</v>
      </c>
      <c r="C95" s="18" t="s">
        <v>46</v>
      </c>
      <c r="D95" s="19">
        <v>44189</v>
      </c>
      <c r="E95">
        <v>2125</v>
      </c>
      <c r="F95" s="16">
        <v>10</v>
      </c>
      <c r="G95" s="16">
        <v>7</v>
      </c>
      <c r="H95" s="16">
        <v>10625</v>
      </c>
      <c r="I95" s="16">
        <v>1041.25</v>
      </c>
      <c r="J95" s="14" t="s">
        <v>59</v>
      </c>
      <c r="K95" s="20">
        <f>Store[[#This Row],[Quantity]]*Store[[#This Row],[Sale Price]]</f>
        <v>14875</v>
      </c>
      <c r="L95" s="20">
        <f>Store[[#This Row],[Gross Sales]]-Store[[#This Row],[Discount]]</f>
        <v>13833.75</v>
      </c>
      <c r="M95" s="20">
        <f>Store[[#This Row],[Sales]]-Store[[#This Row],[COGS]]</f>
        <v>3208.75</v>
      </c>
    </row>
    <row r="96" spans="1:13" x14ac:dyDescent="0.25">
      <c r="A96" t="s">
        <v>49</v>
      </c>
      <c r="B96" t="s">
        <v>51</v>
      </c>
      <c r="C96" s="18" t="s">
        <v>52</v>
      </c>
      <c r="D96" s="19">
        <v>44168</v>
      </c>
      <c r="E96">
        <v>1421</v>
      </c>
      <c r="F96" s="16">
        <v>120</v>
      </c>
      <c r="G96" s="16">
        <v>20</v>
      </c>
      <c r="H96" s="16">
        <v>14210</v>
      </c>
      <c r="I96" s="16">
        <v>1989.4</v>
      </c>
      <c r="J96" s="14" t="s">
        <v>59</v>
      </c>
      <c r="K96" s="20">
        <f>Store[[#This Row],[Quantity]]*Store[[#This Row],[Sale Price]]</f>
        <v>28420</v>
      </c>
      <c r="L96" s="20">
        <f>Store[[#This Row],[Gross Sales]]-Store[[#This Row],[Discount]]</f>
        <v>26430.6</v>
      </c>
      <c r="M96" s="20">
        <f>Store[[#This Row],[Sales]]-Store[[#This Row],[COGS]]</f>
        <v>12220.599999999999</v>
      </c>
    </row>
    <row r="97" spans="1:13" x14ac:dyDescent="0.25">
      <c r="A97" t="s">
        <v>49</v>
      </c>
      <c r="B97" t="s">
        <v>56</v>
      </c>
      <c r="C97" s="18" t="s">
        <v>52</v>
      </c>
      <c r="D97" s="19">
        <v>44191</v>
      </c>
      <c r="E97">
        <v>588</v>
      </c>
      <c r="F97" s="16">
        <v>120</v>
      </c>
      <c r="G97" s="16">
        <v>20</v>
      </c>
      <c r="H97" s="16">
        <v>5880</v>
      </c>
      <c r="I97" s="16">
        <v>823.2</v>
      </c>
      <c r="J97" s="14" t="s">
        <v>59</v>
      </c>
      <c r="K97" s="20">
        <f>Store[[#This Row],[Quantity]]*Store[[#This Row],[Sale Price]]</f>
        <v>11760</v>
      </c>
      <c r="L97" s="20">
        <f>Store[[#This Row],[Gross Sales]]-Store[[#This Row],[Discount]]</f>
        <v>10936.8</v>
      </c>
      <c r="M97" s="20">
        <f>Store[[#This Row],[Sales]]-Store[[#This Row],[COGS]]</f>
        <v>5056.7999999999993</v>
      </c>
    </row>
    <row r="98" spans="1:13" x14ac:dyDescent="0.25">
      <c r="A98" t="s">
        <v>41</v>
      </c>
      <c r="B98" t="s">
        <v>56</v>
      </c>
      <c r="C98" s="18" t="s">
        <v>57</v>
      </c>
      <c r="D98" s="19">
        <v>44089</v>
      </c>
      <c r="E98">
        <v>994</v>
      </c>
      <c r="F98" s="16">
        <v>260</v>
      </c>
      <c r="G98" s="16">
        <v>125</v>
      </c>
      <c r="H98" s="16">
        <v>119280</v>
      </c>
      <c r="I98" s="16">
        <v>8697.5</v>
      </c>
      <c r="J98" s="14" t="s">
        <v>59</v>
      </c>
      <c r="K98" s="20">
        <f>Store[[#This Row],[Quantity]]*Store[[#This Row],[Sale Price]]</f>
        <v>124250</v>
      </c>
      <c r="L98" s="20">
        <f>Store[[#This Row],[Gross Sales]]-Store[[#This Row],[Discount]]</f>
        <v>115552.5</v>
      </c>
      <c r="M98" s="20">
        <f>Store[[#This Row],[Sales]]-Store[[#This Row],[COGS]]</f>
        <v>-3727.5</v>
      </c>
    </row>
    <row r="99" spans="1:13" x14ac:dyDescent="0.25">
      <c r="A99" t="s">
        <v>47</v>
      </c>
      <c r="B99" t="s">
        <v>42</v>
      </c>
      <c r="C99" s="18" t="s">
        <v>43</v>
      </c>
      <c r="D99" s="19">
        <v>44086</v>
      </c>
      <c r="E99">
        <v>1283</v>
      </c>
      <c r="F99" s="16">
        <v>5</v>
      </c>
      <c r="G99" s="16">
        <v>300</v>
      </c>
      <c r="H99" s="16">
        <v>320750</v>
      </c>
      <c r="I99" s="16">
        <v>30792</v>
      </c>
      <c r="J99" s="14" t="s">
        <v>59</v>
      </c>
      <c r="K99" s="20">
        <f>Store[[#This Row],[Quantity]]*Store[[#This Row],[Sale Price]]</f>
        <v>384900</v>
      </c>
      <c r="L99" s="20">
        <f>Store[[#This Row],[Gross Sales]]-Store[[#This Row],[Discount]]</f>
        <v>354108</v>
      </c>
      <c r="M99" s="20">
        <f>Store[[#This Row],[Sales]]-Store[[#This Row],[COGS]]</f>
        <v>33358</v>
      </c>
    </row>
    <row r="100" spans="1:13" x14ac:dyDescent="0.25">
      <c r="A100" t="s">
        <v>49</v>
      </c>
      <c r="B100" t="s">
        <v>56</v>
      </c>
      <c r="C100" s="18" t="s">
        <v>46</v>
      </c>
      <c r="D100" s="19">
        <v>44080</v>
      </c>
      <c r="E100">
        <v>2409</v>
      </c>
      <c r="F100" s="16">
        <v>10</v>
      </c>
      <c r="G100" s="16">
        <v>7</v>
      </c>
      <c r="H100" s="16">
        <v>12045</v>
      </c>
      <c r="I100" s="16">
        <v>1349.04</v>
      </c>
      <c r="J100" s="14" t="s">
        <v>59</v>
      </c>
      <c r="K100" s="20">
        <f>Store[[#This Row],[Quantity]]*Store[[#This Row],[Sale Price]]</f>
        <v>16863</v>
      </c>
      <c r="L100" s="20">
        <f>Store[[#This Row],[Gross Sales]]-Store[[#This Row],[Discount]]</f>
        <v>15513.96</v>
      </c>
      <c r="M100" s="20">
        <f>Store[[#This Row],[Sales]]-Store[[#This Row],[COGS]]</f>
        <v>3468.9599999999991</v>
      </c>
    </row>
    <row r="101" spans="1:13" x14ac:dyDescent="0.25">
      <c r="A101" t="s">
        <v>49</v>
      </c>
      <c r="B101" t="s">
        <v>56</v>
      </c>
      <c r="C101" s="18" t="s">
        <v>46</v>
      </c>
      <c r="D101" s="19">
        <v>44142</v>
      </c>
      <c r="E101">
        <v>2146</v>
      </c>
      <c r="F101" s="16">
        <v>10</v>
      </c>
      <c r="G101" s="16">
        <v>350</v>
      </c>
      <c r="H101" s="16">
        <v>557960</v>
      </c>
      <c r="I101" s="16">
        <v>60088</v>
      </c>
      <c r="J101" s="14" t="s">
        <v>59</v>
      </c>
      <c r="K101" s="20">
        <f>Store[[#This Row],[Quantity]]*Store[[#This Row],[Sale Price]]</f>
        <v>751100</v>
      </c>
      <c r="L101" s="20">
        <f>Store[[#This Row],[Gross Sales]]-Store[[#This Row],[Discount]]</f>
        <v>691012</v>
      </c>
      <c r="M101" s="20">
        <f>Store[[#This Row],[Sales]]-Store[[#This Row],[COGS]]</f>
        <v>133052</v>
      </c>
    </row>
    <row r="102" spans="1:13" x14ac:dyDescent="0.25">
      <c r="A102" t="s">
        <v>49</v>
      </c>
      <c r="B102" t="s">
        <v>48</v>
      </c>
      <c r="C102" s="18" t="s">
        <v>46</v>
      </c>
      <c r="D102" s="19">
        <v>44196</v>
      </c>
      <c r="E102">
        <v>1946</v>
      </c>
      <c r="F102" s="16">
        <v>10</v>
      </c>
      <c r="G102" s="16">
        <v>7</v>
      </c>
      <c r="H102" s="16">
        <v>9730</v>
      </c>
      <c r="I102" s="16">
        <v>1089.76</v>
      </c>
      <c r="J102" s="14" t="s">
        <v>59</v>
      </c>
      <c r="K102" s="20">
        <f>Store[[#This Row],[Quantity]]*Store[[#This Row],[Sale Price]]</f>
        <v>13622</v>
      </c>
      <c r="L102" s="20">
        <f>Store[[#This Row],[Gross Sales]]-Store[[#This Row],[Discount]]</f>
        <v>12532.24</v>
      </c>
      <c r="M102" s="20">
        <f>Store[[#This Row],[Sales]]-Store[[#This Row],[COGS]]</f>
        <v>2802.24</v>
      </c>
    </row>
    <row r="103" spans="1:13" x14ac:dyDescent="0.25">
      <c r="A103" t="s">
        <v>47</v>
      </c>
      <c r="B103" t="s">
        <v>58</v>
      </c>
      <c r="C103" s="18" t="s">
        <v>52</v>
      </c>
      <c r="D103" s="19">
        <v>44143</v>
      </c>
      <c r="E103">
        <v>386</v>
      </c>
      <c r="F103" s="16">
        <v>120</v>
      </c>
      <c r="G103" s="16">
        <v>300</v>
      </c>
      <c r="H103" s="16">
        <v>96500</v>
      </c>
      <c r="I103" s="16">
        <v>9264</v>
      </c>
      <c r="J103" s="14" t="s">
        <v>59</v>
      </c>
      <c r="K103" s="20">
        <f>Store[[#This Row],[Quantity]]*Store[[#This Row],[Sale Price]]</f>
        <v>115800</v>
      </c>
      <c r="L103" s="20">
        <f>Store[[#This Row],[Gross Sales]]-Store[[#This Row],[Discount]]</f>
        <v>106536</v>
      </c>
      <c r="M103" s="20">
        <f>Store[[#This Row],[Sales]]-Store[[#This Row],[COGS]]</f>
        <v>10036</v>
      </c>
    </row>
    <row r="104" spans="1:13" x14ac:dyDescent="0.25">
      <c r="A104" t="s">
        <v>47</v>
      </c>
      <c r="B104" t="s">
        <v>51</v>
      </c>
      <c r="C104" s="18" t="s">
        <v>53</v>
      </c>
      <c r="D104" s="19">
        <v>44178</v>
      </c>
      <c r="E104">
        <v>808</v>
      </c>
      <c r="F104" s="16">
        <v>250</v>
      </c>
      <c r="G104" s="16">
        <v>300</v>
      </c>
      <c r="H104" s="16">
        <v>202000</v>
      </c>
      <c r="I104" s="16">
        <v>19392</v>
      </c>
      <c r="J104" s="14" t="s">
        <v>59</v>
      </c>
      <c r="K104" s="20">
        <f>Store[[#This Row],[Quantity]]*Store[[#This Row],[Sale Price]]</f>
        <v>242400</v>
      </c>
      <c r="L104" s="20">
        <f>Store[[#This Row],[Gross Sales]]-Store[[#This Row],[Discount]]</f>
        <v>223008</v>
      </c>
      <c r="M104" s="20">
        <f>Store[[#This Row],[Sales]]-Store[[#This Row],[COGS]]</f>
        <v>21008</v>
      </c>
    </row>
    <row r="105" spans="1:13" x14ac:dyDescent="0.25">
      <c r="A105" t="s">
        <v>50</v>
      </c>
      <c r="B105" t="s">
        <v>48</v>
      </c>
      <c r="C105" s="18" t="s">
        <v>57</v>
      </c>
      <c r="D105" s="19">
        <v>44168</v>
      </c>
      <c r="E105">
        <v>1375</v>
      </c>
      <c r="F105" s="16">
        <v>260</v>
      </c>
      <c r="G105" s="16">
        <v>12</v>
      </c>
      <c r="H105" s="16">
        <v>4125</v>
      </c>
      <c r="I105" s="16">
        <v>1320</v>
      </c>
      <c r="J105" s="14" t="s">
        <v>59</v>
      </c>
      <c r="K105" s="20">
        <f>Store[[#This Row],[Quantity]]*Store[[#This Row],[Sale Price]]</f>
        <v>16500</v>
      </c>
      <c r="L105" s="20">
        <f>Store[[#This Row],[Gross Sales]]-Store[[#This Row],[Discount]]</f>
        <v>15180</v>
      </c>
      <c r="M105" s="20">
        <f>Store[[#This Row],[Sales]]-Store[[#This Row],[COGS]]</f>
        <v>11055</v>
      </c>
    </row>
    <row r="106" spans="1:13" x14ac:dyDescent="0.25">
      <c r="A106" t="s">
        <v>50</v>
      </c>
      <c r="B106" t="s">
        <v>48</v>
      </c>
      <c r="C106" s="18" t="s">
        <v>54</v>
      </c>
      <c r="D106" s="19">
        <v>44110</v>
      </c>
      <c r="E106">
        <v>367</v>
      </c>
      <c r="F106" s="16">
        <v>3</v>
      </c>
      <c r="G106" s="16">
        <v>12</v>
      </c>
      <c r="H106" s="16">
        <v>1101</v>
      </c>
      <c r="I106" s="16">
        <v>396.36</v>
      </c>
      <c r="J106" s="14" t="s">
        <v>59</v>
      </c>
      <c r="K106" s="20">
        <f>Store[[#This Row],[Quantity]]*Store[[#This Row],[Sale Price]]</f>
        <v>4404</v>
      </c>
      <c r="L106" s="20">
        <f>Store[[#This Row],[Gross Sales]]-Store[[#This Row],[Discount]]</f>
        <v>4007.64</v>
      </c>
      <c r="M106" s="20">
        <f>Store[[#This Row],[Sales]]-Store[[#This Row],[COGS]]</f>
        <v>2906.64</v>
      </c>
    </row>
    <row r="107" spans="1:13" x14ac:dyDescent="0.25">
      <c r="A107" t="s">
        <v>47</v>
      </c>
      <c r="B107" t="s">
        <v>58</v>
      </c>
      <c r="C107" s="18" t="s">
        <v>43</v>
      </c>
      <c r="D107" s="19">
        <v>44098</v>
      </c>
      <c r="E107">
        <v>322</v>
      </c>
      <c r="F107" s="16">
        <v>5</v>
      </c>
      <c r="G107" s="16">
        <v>300</v>
      </c>
      <c r="H107" s="16">
        <v>80500</v>
      </c>
      <c r="I107" s="16">
        <v>8694</v>
      </c>
      <c r="J107" s="14" t="s">
        <v>59</v>
      </c>
      <c r="K107" s="20">
        <f>Store[[#This Row],[Quantity]]*Store[[#This Row],[Sale Price]]</f>
        <v>96600</v>
      </c>
      <c r="L107" s="20">
        <f>Store[[#This Row],[Gross Sales]]-Store[[#This Row],[Discount]]</f>
        <v>87906</v>
      </c>
      <c r="M107" s="20">
        <f>Store[[#This Row],[Sales]]-Store[[#This Row],[COGS]]</f>
        <v>7406</v>
      </c>
    </row>
    <row r="108" spans="1:13" x14ac:dyDescent="0.25">
      <c r="A108" t="s">
        <v>41</v>
      </c>
      <c r="B108" t="s">
        <v>58</v>
      </c>
      <c r="C108" s="18" t="s">
        <v>43</v>
      </c>
      <c r="D108" s="19">
        <v>44165</v>
      </c>
      <c r="E108">
        <v>1857</v>
      </c>
      <c r="F108" s="16">
        <v>5</v>
      </c>
      <c r="G108" s="16">
        <v>125</v>
      </c>
      <c r="H108" s="16">
        <v>222840</v>
      </c>
      <c r="I108" s="16">
        <v>20891.25</v>
      </c>
      <c r="J108" s="14" t="s">
        <v>59</v>
      </c>
      <c r="K108" s="20">
        <f>Store[[#This Row],[Quantity]]*Store[[#This Row],[Sale Price]]</f>
        <v>232125</v>
      </c>
      <c r="L108" s="20">
        <f>Store[[#This Row],[Gross Sales]]-Store[[#This Row],[Discount]]</f>
        <v>211233.75</v>
      </c>
      <c r="M108" s="20">
        <f>Store[[#This Row],[Sales]]-Store[[#This Row],[COGS]]</f>
        <v>-11606.25</v>
      </c>
    </row>
    <row r="109" spans="1:13" x14ac:dyDescent="0.25">
      <c r="A109" t="s">
        <v>49</v>
      </c>
      <c r="B109" t="s">
        <v>42</v>
      </c>
      <c r="C109" s="18" t="s">
        <v>43</v>
      </c>
      <c r="D109" s="19">
        <v>44179</v>
      </c>
      <c r="E109">
        <v>1611</v>
      </c>
      <c r="F109" s="16">
        <v>5</v>
      </c>
      <c r="G109" s="16">
        <v>7</v>
      </c>
      <c r="H109" s="16">
        <v>8055</v>
      </c>
      <c r="I109" s="16">
        <v>1014.93</v>
      </c>
      <c r="J109" s="14" t="s">
        <v>59</v>
      </c>
      <c r="K109" s="20">
        <f>Store[[#This Row],[Quantity]]*Store[[#This Row],[Sale Price]]</f>
        <v>11277</v>
      </c>
      <c r="L109" s="20">
        <f>Store[[#This Row],[Gross Sales]]-Store[[#This Row],[Discount]]</f>
        <v>10262.07</v>
      </c>
      <c r="M109" s="20">
        <f>Store[[#This Row],[Sales]]-Store[[#This Row],[COGS]]</f>
        <v>2207.0699999999997</v>
      </c>
    </row>
    <row r="110" spans="1:13" x14ac:dyDescent="0.25">
      <c r="A110" t="s">
        <v>47</v>
      </c>
      <c r="B110" t="s">
        <v>56</v>
      </c>
      <c r="C110" s="18" t="s">
        <v>43</v>
      </c>
      <c r="D110" s="19">
        <v>44180</v>
      </c>
      <c r="E110">
        <v>334</v>
      </c>
      <c r="F110" s="16">
        <v>5</v>
      </c>
      <c r="G110" s="16">
        <v>300</v>
      </c>
      <c r="H110" s="16">
        <v>83500</v>
      </c>
      <c r="I110" s="16">
        <v>9018</v>
      </c>
      <c r="J110" s="14" t="s">
        <v>59</v>
      </c>
      <c r="K110" s="20">
        <f>Store[[#This Row],[Quantity]]*Store[[#This Row],[Sale Price]]</f>
        <v>100200</v>
      </c>
      <c r="L110" s="20">
        <f>Store[[#This Row],[Gross Sales]]-Store[[#This Row],[Discount]]</f>
        <v>91182</v>
      </c>
      <c r="M110" s="20">
        <f>Store[[#This Row],[Sales]]-Store[[#This Row],[COGS]]</f>
        <v>7682</v>
      </c>
    </row>
    <row r="111" spans="1:13" x14ac:dyDescent="0.25">
      <c r="A111" t="s">
        <v>50</v>
      </c>
      <c r="B111" t="s">
        <v>48</v>
      </c>
      <c r="C111" s="18" t="s">
        <v>46</v>
      </c>
      <c r="D111" s="19">
        <v>44106</v>
      </c>
      <c r="E111">
        <v>367</v>
      </c>
      <c r="F111" s="16">
        <v>10</v>
      </c>
      <c r="G111" s="16">
        <v>12</v>
      </c>
      <c r="H111" s="16">
        <v>1101</v>
      </c>
      <c r="I111" s="16">
        <v>396.36</v>
      </c>
      <c r="J111" s="14" t="s">
        <v>59</v>
      </c>
      <c r="K111" s="20">
        <f>Store[[#This Row],[Quantity]]*Store[[#This Row],[Sale Price]]</f>
        <v>4404</v>
      </c>
      <c r="L111" s="20">
        <f>Store[[#This Row],[Gross Sales]]-Store[[#This Row],[Discount]]</f>
        <v>4007.64</v>
      </c>
      <c r="M111" s="20">
        <f>Store[[#This Row],[Sales]]-Store[[#This Row],[COGS]]</f>
        <v>2906.64</v>
      </c>
    </row>
    <row r="112" spans="1:13" x14ac:dyDescent="0.25">
      <c r="A112" t="s">
        <v>50</v>
      </c>
      <c r="B112" t="s">
        <v>56</v>
      </c>
      <c r="C112" s="18" t="s">
        <v>46</v>
      </c>
      <c r="D112" s="19">
        <v>44154</v>
      </c>
      <c r="E112">
        <v>1775</v>
      </c>
      <c r="F112" s="16">
        <v>10</v>
      </c>
      <c r="G112" s="16">
        <v>12</v>
      </c>
      <c r="H112" s="16">
        <v>5325</v>
      </c>
      <c r="I112" s="16">
        <v>1917</v>
      </c>
      <c r="J112" s="14" t="s">
        <v>59</v>
      </c>
      <c r="K112" s="20">
        <f>Store[[#This Row],[Quantity]]*Store[[#This Row],[Sale Price]]</f>
        <v>21300</v>
      </c>
      <c r="L112" s="20">
        <f>Store[[#This Row],[Gross Sales]]-Store[[#This Row],[Discount]]</f>
        <v>19383</v>
      </c>
      <c r="M112" s="20">
        <f>Store[[#This Row],[Sales]]-Store[[#This Row],[COGS]]</f>
        <v>14058</v>
      </c>
    </row>
    <row r="113" spans="1:13" x14ac:dyDescent="0.25">
      <c r="A113" t="s">
        <v>50</v>
      </c>
      <c r="B113" t="s">
        <v>58</v>
      </c>
      <c r="C113" s="18" t="s">
        <v>53</v>
      </c>
      <c r="D113" s="19">
        <v>44103</v>
      </c>
      <c r="E113">
        <v>2234</v>
      </c>
      <c r="F113" s="16">
        <v>250</v>
      </c>
      <c r="G113" s="16">
        <v>12</v>
      </c>
      <c r="H113" s="16">
        <v>6702</v>
      </c>
      <c r="I113" s="16">
        <v>2412.7199999999998</v>
      </c>
      <c r="J113" s="14" t="s">
        <v>59</v>
      </c>
      <c r="K113" s="20">
        <f>Store[[#This Row],[Quantity]]*Store[[#This Row],[Sale Price]]</f>
        <v>26808</v>
      </c>
      <c r="L113" s="20">
        <f>Store[[#This Row],[Gross Sales]]-Store[[#This Row],[Discount]]</f>
        <v>24395.279999999999</v>
      </c>
      <c r="M113" s="20">
        <f>Store[[#This Row],[Sales]]-Store[[#This Row],[COGS]]</f>
        <v>17693.28</v>
      </c>
    </row>
    <row r="114" spans="1:13" x14ac:dyDescent="0.25">
      <c r="A114" t="s">
        <v>45</v>
      </c>
      <c r="B114" t="s">
        <v>56</v>
      </c>
      <c r="C114" s="18" t="s">
        <v>57</v>
      </c>
      <c r="D114" s="19">
        <v>44159</v>
      </c>
      <c r="E114">
        <v>970</v>
      </c>
      <c r="F114" s="16">
        <v>260</v>
      </c>
      <c r="G114" s="16">
        <v>15</v>
      </c>
      <c r="H114" s="16">
        <v>9700</v>
      </c>
      <c r="I114" s="16">
        <v>1309.5</v>
      </c>
      <c r="J114" s="14" t="s">
        <v>59</v>
      </c>
      <c r="K114" s="20">
        <f>Store[[#This Row],[Quantity]]*Store[[#This Row],[Sale Price]]</f>
        <v>14550</v>
      </c>
      <c r="L114" s="20">
        <f>Store[[#This Row],[Gross Sales]]-Store[[#This Row],[Discount]]</f>
        <v>13240.5</v>
      </c>
      <c r="M114" s="20">
        <f>Store[[#This Row],[Sales]]-Store[[#This Row],[COGS]]</f>
        <v>3540.5</v>
      </c>
    </row>
    <row r="115" spans="1:13" x14ac:dyDescent="0.25">
      <c r="A115" t="s">
        <v>49</v>
      </c>
      <c r="B115" t="s">
        <v>58</v>
      </c>
      <c r="C115" s="18" t="s">
        <v>53</v>
      </c>
      <c r="D115" s="19">
        <v>44162</v>
      </c>
      <c r="E115">
        <v>2682</v>
      </c>
      <c r="F115" s="16">
        <v>250</v>
      </c>
      <c r="G115" s="16">
        <v>20</v>
      </c>
      <c r="H115" s="16">
        <v>26820</v>
      </c>
      <c r="I115" s="16">
        <v>4827.6000000000004</v>
      </c>
      <c r="J115" s="14" t="s">
        <v>59</v>
      </c>
      <c r="K115" s="20">
        <f>Store[[#This Row],[Quantity]]*Store[[#This Row],[Sale Price]]</f>
        <v>53640</v>
      </c>
      <c r="L115" s="20">
        <f>Store[[#This Row],[Gross Sales]]-Store[[#This Row],[Discount]]</f>
        <v>48812.4</v>
      </c>
      <c r="M115" s="20">
        <f>Store[[#This Row],[Sales]]-Store[[#This Row],[COGS]]</f>
        <v>21992.400000000001</v>
      </c>
    </row>
    <row r="116" spans="1:13" x14ac:dyDescent="0.25">
      <c r="A116" t="s">
        <v>50</v>
      </c>
      <c r="B116" t="s">
        <v>58</v>
      </c>
      <c r="C116" s="18" t="s">
        <v>57</v>
      </c>
      <c r="D116" s="19">
        <v>44187</v>
      </c>
      <c r="E116">
        <v>306</v>
      </c>
      <c r="F116" s="16">
        <v>260</v>
      </c>
      <c r="G116" s="16">
        <v>12</v>
      </c>
      <c r="H116" s="16">
        <v>918</v>
      </c>
      <c r="I116" s="16">
        <v>330.48</v>
      </c>
      <c r="J116" s="14" t="s">
        <v>59</v>
      </c>
      <c r="K116" s="20">
        <f>Store[[#This Row],[Quantity]]*Store[[#This Row],[Sale Price]]</f>
        <v>3672</v>
      </c>
      <c r="L116" s="20">
        <f>Store[[#This Row],[Gross Sales]]-Store[[#This Row],[Discount]]</f>
        <v>3341.52</v>
      </c>
      <c r="M116" s="20">
        <f>Store[[#This Row],[Sales]]-Store[[#This Row],[COGS]]</f>
        <v>2423.52</v>
      </c>
    </row>
    <row r="117" spans="1:13" x14ac:dyDescent="0.25">
      <c r="A117" t="s">
        <v>50</v>
      </c>
      <c r="B117" t="s">
        <v>51</v>
      </c>
      <c r="C117" s="18" t="s">
        <v>54</v>
      </c>
      <c r="D117" s="19">
        <v>44132</v>
      </c>
      <c r="E117">
        <v>386</v>
      </c>
      <c r="F117" s="16">
        <v>3</v>
      </c>
      <c r="G117" s="16">
        <v>12</v>
      </c>
      <c r="H117" s="16">
        <v>1158</v>
      </c>
      <c r="I117" s="16">
        <v>463.2</v>
      </c>
      <c r="J117" s="14" t="s">
        <v>60</v>
      </c>
      <c r="K117" s="20">
        <f>Store[[#This Row],[Quantity]]*Store[[#This Row],[Sale Price]]</f>
        <v>4632</v>
      </c>
      <c r="L117" s="20">
        <f>Store[[#This Row],[Gross Sales]]-Store[[#This Row],[Discount]]</f>
        <v>4168.8</v>
      </c>
      <c r="M117" s="20">
        <f>Store[[#This Row],[Sales]]-Store[[#This Row],[COGS]]</f>
        <v>3010.8</v>
      </c>
    </row>
    <row r="118" spans="1:13" x14ac:dyDescent="0.25">
      <c r="A118" t="s">
        <v>50</v>
      </c>
      <c r="B118" t="s">
        <v>51</v>
      </c>
      <c r="C118" s="18" t="s">
        <v>46</v>
      </c>
      <c r="D118" s="19">
        <v>44132</v>
      </c>
      <c r="E118">
        <v>386</v>
      </c>
      <c r="F118" s="16">
        <v>10</v>
      </c>
      <c r="G118" s="16">
        <v>12</v>
      </c>
      <c r="H118" s="16">
        <v>1158</v>
      </c>
      <c r="I118" s="16">
        <v>463.2</v>
      </c>
      <c r="J118" s="14" t="s">
        <v>60</v>
      </c>
      <c r="K118" s="20">
        <f>Store[[#This Row],[Quantity]]*Store[[#This Row],[Sale Price]]</f>
        <v>4632</v>
      </c>
      <c r="L118" s="20">
        <f>Store[[#This Row],[Gross Sales]]-Store[[#This Row],[Discount]]</f>
        <v>4168.8</v>
      </c>
      <c r="M118" s="20">
        <f>Store[[#This Row],[Sales]]-Store[[#This Row],[COGS]]</f>
        <v>3010.8</v>
      </c>
    </row>
    <row r="119" spans="1:13" x14ac:dyDescent="0.25">
      <c r="A119" t="s">
        <v>41</v>
      </c>
      <c r="B119" t="s">
        <v>58</v>
      </c>
      <c r="C119" s="18" t="s">
        <v>54</v>
      </c>
      <c r="D119" s="19">
        <v>44181</v>
      </c>
      <c r="E119">
        <v>1482</v>
      </c>
      <c r="F119" s="16">
        <v>3</v>
      </c>
      <c r="G119" s="16">
        <v>125</v>
      </c>
      <c r="H119" s="16">
        <v>177840</v>
      </c>
      <c r="I119" s="16">
        <v>18525</v>
      </c>
      <c r="J119" s="14" t="s">
        <v>60</v>
      </c>
      <c r="K119" s="20">
        <f>Store[[#This Row],[Quantity]]*Store[[#This Row],[Sale Price]]</f>
        <v>185250</v>
      </c>
      <c r="L119" s="20">
        <f>Store[[#This Row],[Gross Sales]]-Store[[#This Row],[Discount]]</f>
        <v>166725</v>
      </c>
      <c r="M119" s="20">
        <f>Store[[#This Row],[Sales]]-Store[[#This Row],[COGS]]</f>
        <v>-11115</v>
      </c>
    </row>
    <row r="120" spans="1:13" x14ac:dyDescent="0.25">
      <c r="A120" t="s">
        <v>41</v>
      </c>
      <c r="B120" t="s">
        <v>51</v>
      </c>
      <c r="C120" s="18" t="s">
        <v>43</v>
      </c>
      <c r="D120" s="19">
        <v>44158</v>
      </c>
      <c r="E120">
        <v>1804</v>
      </c>
      <c r="F120" s="16">
        <v>5</v>
      </c>
      <c r="G120" s="16">
        <v>125</v>
      </c>
      <c r="H120" s="16">
        <v>216480</v>
      </c>
      <c r="I120" s="16">
        <v>22550</v>
      </c>
      <c r="J120" s="14" t="s">
        <v>60</v>
      </c>
      <c r="K120" s="20">
        <f>Store[[#This Row],[Quantity]]*Store[[#This Row],[Sale Price]]</f>
        <v>225500</v>
      </c>
      <c r="L120" s="20">
        <f>Store[[#This Row],[Gross Sales]]-Store[[#This Row],[Discount]]</f>
        <v>202950</v>
      </c>
      <c r="M120" s="20">
        <f>Store[[#This Row],[Sales]]-Store[[#This Row],[COGS]]</f>
        <v>-13530</v>
      </c>
    </row>
    <row r="121" spans="1:13" x14ac:dyDescent="0.25">
      <c r="A121" t="s">
        <v>45</v>
      </c>
      <c r="B121" t="s">
        <v>58</v>
      </c>
      <c r="C121" s="18" t="s">
        <v>46</v>
      </c>
      <c r="D121" s="19">
        <v>44126</v>
      </c>
      <c r="E121">
        <v>2167</v>
      </c>
      <c r="F121" s="16">
        <v>10</v>
      </c>
      <c r="G121" s="16">
        <v>15</v>
      </c>
      <c r="H121" s="16">
        <v>21670</v>
      </c>
      <c r="I121" s="16">
        <v>3250.5</v>
      </c>
      <c r="J121" s="14" t="s">
        <v>60</v>
      </c>
      <c r="K121" s="20">
        <f>Store[[#This Row],[Quantity]]*Store[[#This Row],[Sale Price]]</f>
        <v>32505</v>
      </c>
      <c r="L121" s="20">
        <f>Store[[#This Row],[Gross Sales]]-Store[[#This Row],[Discount]]</f>
        <v>29254.5</v>
      </c>
      <c r="M121" s="20">
        <f>Store[[#This Row],[Sales]]-Store[[#This Row],[COGS]]</f>
        <v>7584.5</v>
      </c>
    </row>
    <row r="122" spans="1:13" x14ac:dyDescent="0.25">
      <c r="A122" t="s">
        <v>47</v>
      </c>
      <c r="B122" t="s">
        <v>51</v>
      </c>
      <c r="C122" s="18" t="s">
        <v>52</v>
      </c>
      <c r="D122" s="19">
        <v>44114</v>
      </c>
      <c r="E122">
        <v>2294</v>
      </c>
      <c r="F122" s="16">
        <v>120</v>
      </c>
      <c r="G122" s="16">
        <v>300</v>
      </c>
      <c r="H122" s="16">
        <v>573500</v>
      </c>
      <c r="I122" s="16">
        <v>68820</v>
      </c>
      <c r="J122" s="14" t="s">
        <v>60</v>
      </c>
      <c r="K122" s="20">
        <f>Store[[#This Row],[Quantity]]*Store[[#This Row],[Sale Price]]</f>
        <v>688200</v>
      </c>
      <c r="L122" s="20">
        <f>Store[[#This Row],[Gross Sales]]-Store[[#This Row],[Discount]]</f>
        <v>619380</v>
      </c>
      <c r="M122" s="20">
        <f>Store[[#This Row],[Sales]]-Store[[#This Row],[COGS]]</f>
        <v>45880</v>
      </c>
    </row>
    <row r="123" spans="1:13" x14ac:dyDescent="0.25">
      <c r="A123" t="s">
        <v>41</v>
      </c>
      <c r="B123" t="s">
        <v>42</v>
      </c>
      <c r="C123" s="18" t="s">
        <v>52</v>
      </c>
      <c r="D123" s="19">
        <v>44175</v>
      </c>
      <c r="E123">
        <v>1916</v>
      </c>
      <c r="F123" s="16">
        <v>120</v>
      </c>
      <c r="G123" s="16">
        <v>125</v>
      </c>
      <c r="H123" s="16">
        <v>229920</v>
      </c>
      <c r="I123" s="16">
        <v>23950</v>
      </c>
      <c r="J123" s="14" t="s">
        <v>60</v>
      </c>
      <c r="K123" s="20">
        <f>Store[[#This Row],[Quantity]]*Store[[#This Row],[Sale Price]]</f>
        <v>239500</v>
      </c>
      <c r="L123" s="20">
        <f>Store[[#This Row],[Gross Sales]]-Store[[#This Row],[Discount]]</f>
        <v>215550</v>
      </c>
      <c r="M123" s="20">
        <f>Store[[#This Row],[Sales]]-Store[[#This Row],[COGS]]</f>
        <v>-14370</v>
      </c>
    </row>
    <row r="124" spans="1:13" x14ac:dyDescent="0.25">
      <c r="A124" t="s">
        <v>47</v>
      </c>
      <c r="B124" t="s">
        <v>51</v>
      </c>
      <c r="C124" s="18" t="s">
        <v>53</v>
      </c>
      <c r="D124" s="19">
        <v>44118</v>
      </c>
      <c r="E124">
        <v>2294</v>
      </c>
      <c r="F124" s="16">
        <v>250</v>
      </c>
      <c r="G124" s="16">
        <v>300</v>
      </c>
      <c r="H124" s="16">
        <v>573500</v>
      </c>
      <c r="I124" s="16">
        <v>68820</v>
      </c>
      <c r="J124" s="14" t="s">
        <v>60</v>
      </c>
      <c r="K124" s="20">
        <f>Store[[#This Row],[Quantity]]*Store[[#This Row],[Sale Price]]</f>
        <v>688200</v>
      </c>
      <c r="L124" s="20">
        <f>Store[[#This Row],[Gross Sales]]-Store[[#This Row],[Discount]]</f>
        <v>619380</v>
      </c>
      <c r="M124" s="20">
        <f>Store[[#This Row],[Sales]]-Store[[#This Row],[COGS]]</f>
        <v>45880</v>
      </c>
    </row>
    <row r="125" spans="1:13" x14ac:dyDescent="0.25">
      <c r="A125" t="s">
        <v>45</v>
      </c>
      <c r="B125" t="s">
        <v>58</v>
      </c>
      <c r="C125" s="18" t="s">
        <v>53</v>
      </c>
      <c r="D125" s="19">
        <v>44118</v>
      </c>
      <c r="E125">
        <v>2167</v>
      </c>
      <c r="F125" s="16">
        <v>250</v>
      </c>
      <c r="G125" s="16">
        <v>15</v>
      </c>
      <c r="H125" s="16">
        <v>21670</v>
      </c>
      <c r="I125" s="16">
        <v>3250.5</v>
      </c>
      <c r="J125" s="14" t="s">
        <v>60</v>
      </c>
      <c r="K125" s="20">
        <f>Store[[#This Row],[Quantity]]*Store[[#This Row],[Sale Price]]</f>
        <v>32505</v>
      </c>
      <c r="L125" s="20">
        <f>Store[[#This Row],[Gross Sales]]-Store[[#This Row],[Discount]]</f>
        <v>29254.5</v>
      </c>
      <c r="M125" s="20">
        <f>Store[[#This Row],[Sales]]-Store[[#This Row],[COGS]]</f>
        <v>7584.5</v>
      </c>
    </row>
    <row r="126" spans="1:13" x14ac:dyDescent="0.25">
      <c r="A126" t="s">
        <v>49</v>
      </c>
      <c r="B126" t="s">
        <v>56</v>
      </c>
      <c r="C126" s="18" t="s">
        <v>53</v>
      </c>
      <c r="D126" s="19">
        <v>44192</v>
      </c>
      <c r="E126">
        <v>1870</v>
      </c>
      <c r="F126" s="16">
        <v>250</v>
      </c>
      <c r="G126" s="16">
        <v>350</v>
      </c>
      <c r="H126" s="16">
        <v>486200</v>
      </c>
      <c r="I126" s="16">
        <v>65450</v>
      </c>
      <c r="J126" s="14" t="s">
        <v>60</v>
      </c>
      <c r="K126" s="20">
        <f>Store[[#This Row],[Quantity]]*Store[[#This Row],[Sale Price]]</f>
        <v>654500</v>
      </c>
      <c r="L126" s="20">
        <f>Store[[#This Row],[Gross Sales]]-Store[[#This Row],[Discount]]</f>
        <v>589050</v>
      </c>
      <c r="M126" s="20">
        <f>Store[[#This Row],[Sales]]-Store[[#This Row],[COGS]]</f>
        <v>102850</v>
      </c>
    </row>
    <row r="127" spans="1:13" x14ac:dyDescent="0.25">
      <c r="A127" t="s">
        <v>50</v>
      </c>
      <c r="B127" t="s">
        <v>58</v>
      </c>
      <c r="C127" s="18" t="s">
        <v>54</v>
      </c>
      <c r="D127" s="19">
        <v>44114</v>
      </c>
      <c r="E127">
        <v>1198</v>
      </c>
      <c r="F127" s="16">
        <v>3</v>
      </c>
      <c r="G127" s="16">
        <v>12</v>
      </c>
      <c r="H127" s="16">
        <v>3594</v>
      </c>
      <c r="I127" s="16">
        <v>1581.36</v>
      </c>
      <c r="J127" s="14" t="s">
        <v>60</v>
      </c>
      <c r="K127" s="20">
        <f>Store[[#This Row],[Quantity]]*Store[[#This Row],[Sale Price]]</f>
        <v>14376</v>
      </c>
      <c r="L127" s="20">
        <f>Store[[#This Row],[Gross Sales]]-Store[[#This Row],[Discount]]</f>
        <v>12794.64</v>
      </c>
      <c r="M127" s="20">
        <f>Store[[#This Row],[Sales]]-Store[[#This Row],[COGS]]</f>
        <v>9200.64</v>
      </c>
    </row>
    <row r="128" spans="1:13" x14ac:dyDescent="0.25">
      <c r="A128" t="s">
        <v>50</v>
      </c>
      <c r="B128" t="s">
        <v>58</v>
      </c>
      <c r="C128" s="18" t="s">
        <v>46</v>
      </c>
      <c r="D128" s="19">
        <v>44109</v>
      </c>
      <c r="E128">
        <v>1198</v>
      </c>
      <c r="F128" s="16">
        <v>10</v>
      </c>
      <c r="G128" s="16">
        <v>12</v>
      </c>
      <c r="H128" s="16">
        <v>3594</v>
      </c>
      <c r="I128" s="16">
        <v>1581.36</v>
      </c>
      <c r="J128" s="14" t="s">
        <v>60</v>
      </c>
      <c r="K128" s="20">
        <f>Store[[#This Row],[Quantity]]*Store[[#This Row],[Sale Price]]</f>
        <v>14376</v>
      </c>
      <c r="L128" s="20">
        <f>Store[[#This Row],[Gross Sales]]-Store[[#This Row],[Discount]]</f>
        <v>12794.64</v>
      </c>
      <c r="M128" s="20">
        <f>Store[[#This Row],[Sales]]-Store[[#This Row],[COGS]]</f>
        <v>9200.64</v>
      </c>
    </row>
    <row r="129" spans="1:13" x14ac:dyDescent="0.25">
      <c r="A129" t="s">
        <v>50</v>
      </c>
      <c r="B129" t="s">
        <v>48</v>
      </c>
      <c r="C129" s="18" t="s">
        <v>53</v>
      </c>
      <c r="D129" s="19">
        <v>44083</v>
      </c>
      <c r="E129">
        <v>1005</v>
      </c>
      <c r="F129" s="16">
        <v>250</v>
      </c>
      <c r="G129" s="16">
        <v>12</v>
      </c>
      <c r="H129" s="16">
        <v>3015</v>
      </c>
      <c r="I129" s="16">
        <v>1326.6</v>
      </c>
      <c r="J129" s="14" t="s">
        <v>60</v>
      </c>
      <c r="K129" s="20">
        <f>Store[[#This Row],[Quantity]]*Store[[#This Row],[Sale Price]]</f>
        <v>12060</v>
      </c>
      <c r="L129" s="20">
        <f>Store[[#This Row],[Gross Sales]]-Store[[#This Row],[Discount]]</f>
        <v>10733.4</v>
      </c>
      <c r="M129" s="20">
        <f>Store[[#This Row],[Sales]]-Store[[#This Row],[COGS]]</f>
        <v>7718.4</v>
      </c>
    </row>
    <row r="130" spans="1:13" x14ac:dyDescent="0.25">
      <c r="A130" t="s">
        <v>45</v>
      </c>
      <c r="B130" t="s">
        <v>42</v>
      </c>
      <c r="C130" s="18" t="s">
        <v>54</v>
      </c>
      <c r="D130" s="19">
        <v>44147</v>
      </c>
      <c r="E130">
        <v>1560</v>
      </c>
      <c r="F130" s="16">
        <v>3</v>
      </c>
      <c r="G130" s="16">
        <v>15</v>
      </c>
      <c r="H130" s="16">
        <v>15600</v>
      </c>
      <c r="I130" s="16">
        <v>2574</v>
      </c>
      <c r="J130" s="14" t="s">
        <v>60</v>
      </c>
      <c r="K130" s="20">
        <f>Store[[#This Row],[Quantity]]*Store[[#This Row],[Sale Price]]</f>
        <v>23400</v>
      </c>
      <c r="L130" s="20">
        <f>Store[[#This Row],[Gross Sales]]-Store[[#This Row],[Discount]]</f>
        <v>20826</v>
      </c>
      <c r="M130" s="20">
        <f>Store[[#This Row],[Sales]]-Store[[#This Row],[COGS]]</f>
        <v>5226</v>
      </c>
    </row>
    <row r="131" spans="1:13" x14ac:dyDescent="0.25">
      <c r="A131" t="s">
        <v>49</v>
      </c>
      <c r="B131" t="s">
        <v>48</v>
      </c>
      <c r="C131" s="18" t="s">
        <v>54</v>
      </c>
      <c r="D131" s="19">
        <v>44157</v>
      </c>
      <c r="E131">
        <v>2706</v>
      </c>
      <c r="F131" s="16">
        <v>3</v>
      </c>
      <c r="G131" s="16">
        <v>7</v>
      </c>
      <c r="H131" s="16">
        <v>13530</v>
      </c>
      <c r="I131" s="16">
        <v>2083.62</v>
      </c>
      <c r="J131" s="14" t="s">
        <v>60</v>
      </c>
      <c r="K131" s="20">
        <f>Store[[#This Row],[Quantity]]*Store[[#This Row],[Sale Price]]</f>
        <v>18942</v>
      </c>
      <c r="L131" s="20">
        <f>Store[[#This Row],[Gross Sales]]-Store[[#This Row],[Discount]]</f>
        <v>16858.38</v>
      </c>
      <c r="M131" s="20">
        <f>Store[[#This Row],[Sales]]-Store[[#This Row],[COGS]]</f>
        <v>3328.380000000001</v>
      </c>
    </row>
    <row r="132" spans="1:13" x14ac:dyDescent="0.25">
      <c r="A132" t="s">
        <v>49</v>
      </c>
      <c r="B132" t="s">
        <v>56</v>
      </c>
      <c r="C132" s="18" t="s">
        <v>43</v>
      </c>
      <c r="D132" s="19">
        <v>44118</v>
      </c>
      <c r="E132">
        <v>2992</v>
      </c>
      <c r="F132" s="16">
        <v>5</v>
      </c>
      <c r="G132" s="16">
        <v>20</v>
      </c>
      <c r="H132" s="16">
        <v>29920</v>
      </c>
      <c r="I132" s="16">
        <v>6582.4</v>
      </c>
      <c r="J132" s="14" t="s">
        <v>60</v>
      </c>
      <c r="K132" s="20">
        <f>Store[[#This Row],[Quantity]]*Store[[#This Row],[Sale Price]]</f>
        <v>59840</v>
      </c>
      <c r="L132" s="20">
        <f>Store[[#This Row],[Gross Sales]]-Store[[#This Row],[Discount]]</f>
        <v>53257.599999999999</v>
      </c>
      <c r="M132" s="20">
        <f>Store[[#This Row],[Sales]]-Store[[#This Row],[COGS]]</f>
        <v>23337.599999999999</v>
      </c>
    </row>
    <row r="133" spans="1:13" x14ac:dyDescent="0.25">
      <c r="A133" t="s">
        <v>49</v>
      </c>
      <c r="B133" t="s">
        <v>56</v>
      </c>
      <c r="C133" s="18" t="s">
        <v>46</v>
      </c>
      <c r="D133" s="19">
        <v>44119</v>
      </c>
      <c r="E133">
        <v>2992</v>
      </c>
      <c r="F133" s="16">
        <v>10</v>
      </c>
      <c r="G133" s="16">
        <v>20</v>
      </c>
      <c r="H133" s="16">
        <v>29920</v>
      </c>
      <c r="I133" s="16">
        <v>6582.4</v>
      </c>
      <c r="J133" s="14" t="s">
        <v>60</v>
      </c>
      <c r="K133" s="20">
        <f>Store[[#This Row],[Quantity]]*Store[[#This Row],[Sale Price]]</f>
        <v>59840</v>
      </c>
      <c r="L133" s="20">
        <f>Store[[#This Row],[Gross Sales]]-Store[[#This Row],[Discount]]</f>
        <v>53257.599999999999</v>
      </c>
      <c r="M133" s="20">
        <f>Store[[#This Row],[Sales]]-Store[[#This Row],[COGS]]</f>
        <v>23337.599999999999</v>
      </c>
    </row>
    <row r="134" spans="1:13" x14ac:dyDescent="0.25">
      <c r="A134" t="s">
        <v>49</v>
      </c>
      <c r="B134" t="s">
        <v>58</v>
      </c>
      <c r="C134" s="18" t="s">
        <v>52</v>
      </c>
      <c r="D134" s="19">
        <v>44076</v>
      </c>
      <c r="E134">
        <v>2805</v>
      </c>
      <c r="F134" s="16">
        <v>120</v>
      </c>
      <c r="G134" s="16">
        <v>20</v>
      </c>
      <c r="H134" s="16">
        <v>28050</v>
      </c>
      <c r="I134" s="16">
        <v>6171</v>
      </c>
      <c r="J134" s="14" t="s">
        <v>60</v>
      </c>
      <c r="K134" s="20">
        <f>Store[[#This Row],[Quantity]]*Store[[#This Row],[Sale Price]]</f>
        <v>56100</v>
      </c>
      <c r="L134" s="20">
        <f>Store[[#This Row],[Gross Sales]]-Store[[#This Row],[Discount]]</f>
        <v>49929</v>
      </c>
      <c r="M134" s="20">
        <f>Store[[#This Row],[Sales]]-Store[[#This Row],[COGS]]</f>
        <v>21879</v>
      </c>
    </row>
    <row r="135" spans="1:13" x14ac:dyDescent="0.25">
      <c r="A135" t="s">
        <v>45</v>
      </c>
      <c r="B135" t="s">
        <v>48</v>
      </c>
      <c r="C135" s="18" t="s">
        <v>52</v>
      </c>
      <c r="D135" s="19">
        <v>44075</v>
      </c>
      <c r="E135">
        <v>655</v>
      </c>
      <c r="F135" s="16">
        <v>120</v>
      </c>
      <c r="G135" s="16">
        <v>15</v>
      </c>
      <c r="H135" s="16">
        <v>6550</v>
      </c>
      <c r="I135" s="16">
        <v>1080.75</v>
      </c>
      <c r="J135" s="14" t="s">
        <v>60</v>
      </c>
      <c r="K135" s="20">
        <f>Store[[#This Row],[Quantity]]*Store[[#This Row],[Sale Price]]</f>
        <v>9825</v>
      </c>
      <c r="L135" s="20">
        <f>Store[[#This Row],[Gross Sales]]-Store[[#This Row],[Discount]]</f>
        <v>8744.25</v>
      </c>
      <c r="M135" s="20">
        <f>Store[[#This Row],[Sales]]-Store[[#This Row],[COGS]]</f>
        <v>2194.25</v>
      </c>
    </row>
    <row r="136" spans="1:13" x14ac:dyDescent="0.25">
      <c r="A136" t="s">
        <v>49</v>
      </c>
      <c r="B136" t="s">
        <v>48</v>
      </c>
      <c r="C136" s="18" t="s">
        <v>52</v>
      </c>
      <c r="D136" s="19">
        <v>44126</v>
      </c>
      <c r="E136">
        <v>344</v>
      </c>
      <c r="F136" s="16">
        <v>120</v>
      </c>
      <c r="G136" s="16">
        <v>350</v>
      </c>
      <c r="H136" s="16">
        <v>89440</v>
      </c>
      <c r="I136" s="16">
        <v>13244</v>
      </c>
      <c r="J136" s="14" t="s">
        <v>60</v>
      </c>
      <c r="K136" s="20">
        <f>Store[[#This Row],[Quantity]]*Store[[#This Row],[Sale Price]]</f>
        <v>120400</v>
      </c>
      <c r="L136" s="20">
        <f>Store[[#This Row],[Gross Sales]]-Store[[#This Row],[Discount]]</f>
        <v>107156</v>
      </c>
      <c r="M136" s="20">
        <f>Store[[#This Row],[Sales]]-Store[[#This Row],[COGS]]</f>
        <v>17716</v>
      </c>
    </row>
    <row r="137" spans="1:13" x14ac:dyDescent="0.25">
      <c r="A137" t="s">
        <v>49</v>
      </c>
      <c r="B137" t="s">
        <v>42</v>
      </c>
      <c r="C137" s="18" t="s">
        <v>53</v>
      </c>
      <c r="D137" s="19">
        <v>44165</v>
      </c>
      <c r="E137">
        <v>2935</v>
      </c>
      <c r="F137" s="16">
        <v>250</v>
      </c>
      <c r="G137" s="16">
        <v>20</v>
      </c>
      <c r="H137" s="16">
        <v>29350</v>
      </c>
      <c r="I137" s="16">
        <v>6457</v>
      </c>
      <c r="J137" s="14" t="s">
        <v>60</v>
      </c>
      <c r="K137" s="20">
        <f>Store[[#This Row],[Quantity]]*Store[[#This Row],[Sale Price]]</f>
        <v>58700</v>
      </c>
      <c r="L137" s="20">
        <f>Store[[#This Row],[Gross Sales]]-Store[[#This Row],[Discount]]</f>
        <v>52243</v>
      </c>
      <c r="M137" s="20">
        <f>Store[[#This Row],[Sales]]-Store[[#This Row],[COGS]]</f>
        <v>22893</v>
      </c>
    </row>
    <row r="138" spans="1:13" x14ac:dyDescent="0.25">
      <c r="A138" t="s">
        <v>41</v>
      </c>
      <c r="B138" t="s">
        <v>48</v>
      </c>
      <c r="C138" s="18" t="s">
        <v>57</v>
      </c>
      <c r="D138" s="19">
        <v>44093</v>
      </c>
      <c r="E138">
        <v>947</v>
      </c>
      <c r="F138" s="16">
        <v>260</v>
      </c>
      <c r="G138" s="16">
        <v>125</v>
      </c>
      <c r="H138" s="16">
        <v>113640</v>
      </c>
      <c r="I138" s="16">
        <v>13021.25</v>
      </c>
      <c r="J138" s="14" t="s">
        <v>60</v>
      </c>
      <c r="K138" s="20">
        <f>Store[[#This Row],[Quantity]]*Store[[#This Row],[Sale Price]]</f>
        <v>118375</v>
      </c>
      <c r="L138" s="20">
        <f>Store[[#This Row],[Gross Sales]]-Store[[#This Row],[Discount]]</f>
        <v>105353.75</v>
      </c>
      <c r="M138" s="20">
        <f>Store[[#This Row],[Sales]]-Store[[#This Row],[COGS]]</f>
        <v>-8286.25</v>
      </c>
    </row>
    <row r="139" spans="1:13" x14ac:dyDescent="0.25">
      <c r="A139" t="s">
        <v>49</v>
      </c>
      <c r="B139" t="s">
        <v>48</v>
      </c>
      <c r="C139" s="18" t="s">
        <v>57</v>
      </c>
      <c r="D139" s="19">
        <v>44121</v>
      </c>
      <c r="E139">
        <v>344</v>
      </c>
      <c r="F139" s="16">
        <v>260</v>
      </c>
      <c r="G139" s="16">
        <v>350</v>
      </c>
      <c r="H139" s="16">
        <v>89440</v>
      </c>
      <c r="I139" s="16">
        <v>13244</v>
      </c>
      <c r="J139" s="14" t="s">
        <v>60</v>
      </c>
      <c r="K139" s="20">
        <f>Store[[#This Row],[Quantity]]*Store[[#This Row],[Sale Price]]</f>
        <v>120400</v>
      </c>
      <c r="L139" s="20">
        <f>Store[[#This Row],[Gross Sales]]-Store[[#This Row],[Discount]]</f>
        <v>107156</v>
      </c>
      <c r="M139" s="20">
        <f>Store[[#This Row],[Sales]]-Store[[#This Row],[COGS]]</f>
        <v>17716</v>
      </c>
    </row>
    <row r="140" spans="1:13" x14ac:dyDescent="0.25">
      <c r="A140" t="s">
        <v>49</v>
      </c>
      <c r="B140" t="s">
        <v>51</v>
      </c>
      <c r="C140" s="18" t="s">
        <v>46</v>
      </c>
      <c r="D140" s="19">
        <v>44087</v>
      </c>
      <c r="E140">
        <v>380</v>
      </c>
      <c r="F140" s="16">
        <v>10</v>
      </c>
      <c r="G140" s="16">
        <v>7</v>
      </c>
      <c r="H140" s="16">
        <v>1900</v>
      </c>
      <c r="I140" s="16">
        <v>292.60000000000002</v>
      </c>
      <c r="J140" s="14" t="s">
        <v>60</v>
      </c>
      <c r="K140" s="20">
        <f>Store[[#This Row],[Quantity]]*Store[[#This Row],[Sale Price]]</f>
        <v>2660</v>
      </c>
      <c r="L140" s="20">
        <f>Store[[#This Row],[Gross Sales]]-Store[[#This Row],[Discount]]</f>
        <v>2367.4</v>
      </c>
      <c r="M140" s="20">
        <f>Store[[#This Row],[Sales]]-Store[[#This Row],[COGS]]</f>
        <v>467.40000000000009</v>
      </c>
    </row>
    <row r="141" spans="1:13" x14ac:dyDescent="0.25">
      <c r="A141" t="s">
        <v>41</v>
      </c>
      <c r="B141" t="s">
        <v>42</v>
      </c>
      <c r="C141" s="18" t="s">
        <v>54</v>
      </c>
      <c r="D141" s="19">
        <v>44089</v>
      </c>
      <c r="E141">
        <v>2416</v>
      </c>
      <c r="F141" s="16">
        <v>3</v>
      </c>
      <c r="G141" s="16">
        <v>125</v>
      </c>
      <c r="H141" s="16">
        <v>289920</v>
      </c>
      <c r="I141" s="16">
        <v>36240</v>
      </c>
      <c r="J141" s="14" t="s">
        <v>60</v>
      </c>
      <c r="K141" s="20">
        <f>Store[[#This Row],[Quantity]]*Store[[#This Row],[Sale Price]]</f>
        <v>302000</v>
      </c>
      <c r="L141" s="20">
        <f>Store[[#This Row],[Gross Sales]]-Store[[#This Row],[Discount]]</f>
        <v>265760</v>
      </c>
      <c r="M141" s="20">
        <f>Store[[#This Row],[Sales]]-Store[[#This Row],[COGS]]</f>
        <v>-24160</v>
      </c>
    </row>
    <row r="142" spans="1:13" x14ac:dyDescent="0.25">
      <c r="A142" t="s">
        <v>49</v>
      </c>
      <c r="B142" t="s">
        <v>48</v>
      </c>
      <c r="C142" s="18" t="s">
        <v>43</v>
      </c>
      <c r="D142" s="19">
        <v>44135</v>
      </c>
      <c r="E142">
        <v>1715</v>
      </c>
      <c r="F142" s="16">
        <v>5</v>
      </c>
      <c r="G142" s="16">
        <v>20</v>
      </c>
      <c r="H142" s="16">
        <v>17150</v>
      </c>
      <c r="I142" s="16">
        <v>4116</v>
      </c>
      <c r="J142" s="14" t="s">
        <v>60</v>
      </c>
      <c r="K142" s="20">
        <f>Store[[#This Row],[Quantity]]*Store[[#This Row],[Sale Price]]</f>
        <v>34300</v>
      </c>
      <c r="L142" s="20">
        <f>Store[[#This Row],[Gross Sales]]-Store[[#This Row],[Discount]]</f>
        <v>30184</v>
      </c>
      <c r="M142" s="20">
        <f>Store[[#This Row],[Sales]]-Store[[#This Row],[COGS]]</f>
        <v>13034</v>
      </c>
    </row>
    <row r="143" spans="1:13" x14ac:dyDescent="0.25">
      <c r="A143" t="s">
        <v>47</v>
      </c>
      <c r="B143" t="s">
        <v>58</v>
      </c>
      <c r="C143" s="18" t="s">
        <v>43</v>
      </c>
      <c r="D143" s="19">
        <v>44191</v>
      </c>
      <c r="E143">
        <v>1186</v>
      </c>
      <c r="F143" s="16">
        <v>5</v>
      </c>
      <c r="G143" s="16">
        <v>300</v>
      </c>
      <c r="H143" s="16">
        <v>296500</v>
      </c>
      <c r="I143" s="16">
        <v>42696</v>
      </c>
      <c r="J143" s="14" t="s">
        <v>60</v>
      </c>
      <c r="K143" s="20">
        <f>Store[[#This Row],[Quantity]]*Store[[#This Row],[Sale Price]]</f>
        <v>355800</v>
      </c>
      <c r="L143" s="20">
        <f>Store[[#This Row],[Gross Sales]]-Store[[#This Row],[Discount]]</f>
        <v>313104</v>
      </c>
      <c r="M143" s="20">
        <f>Store[[#This Row],[Sales]]-Store[[#This Row],[COGS]]</f>
        <v>16604</v>
      </c>
    </row>
    <row r="144" spans="1:13" x14ac:dyDescent="0.25">
      <c r="A144" t="s">
        <v>49</v>
      </c>
      <c r="B144" t="s">
        <v>48</v>
      </c>
      <c r="C144" s="18" t="s">
        <v>46</v>
      </c>
      <c r="D144" s="19">
        <v>44107</v>
      </c>
      <c r="E144">
        <v>1715</v>
      </c>
      <c r="F144" s="16">
        <v>10</v>
      </c>
      <c r="G144" s="16">
        <v>20</v>
      </c>
      <c r="H144" s="16">
        <v>17150</v>
      </c>
      <c r="I144" s="16">
        <v>4116</v>
      </c>
      <c r="J144" s="14" t="s">
        <v>60</v>
      </c>
      <c r="K144" s="20">
        <f>Store[[#This Row],[Quantity]]*Store[[#This Row],[Sale Price]]</f>
        <v>34300</v>
      </c>
      <c r="L144" s="20">
        <f>Store[[#This Row],[Gross Sales]]-Store[[#This Row],[Discount]]</f>
        <v>30184</v>
      </c>
      <c r="M144" s="20">
        <f>Store[[#This Row],[Sales]]-Store[[#This Row],[COGS]]</f>
        <v>13034</v>
      </c>
    </row>
    <row r="145" spans="1:13" x14ac:dyDescent="0.25">
      <c r="A145" t="s">
        <v>45</v>
      </c>
      <c r="B145" t="s">
        <v>48</v>
      </c>
      <c r="C145" s="18" t="s">
        <v>46</v>
      </c>
      <c r="D145" s="19">
        <v>44195</v>
      </c>
      <c r="E145">
        <v>380</v>
      </c>
      <c r="F145" s="16">
        <v>10</v>
      </c>
      <c r="G145" s="16">
        <v>15</v>
      </c>
      <c r="H145" s="16">
        <v>3800</v>
      </c>
      <c r="I145" s="16">
        <v>684</v>
      </c>
      <c r="J145" s="14" t="s">
        <v>60</v>
      </c>
      <c r="K145" s="20">
        <f>Store[[#This Row],[Quantity]]*Store[[#This Row],[Sale Price]]</f>
        <v>5700</v>
      </c>
      <c r="L145" s="20">
        <f>Store[[#This Row],[Gross Sales]]-Store[[#This Row],[Discount]]</f>
        <v>5016</v>
      </c>
      <c r="M145" s="20">
        <f>Store[[#This Row],[Sales]]-Store[[#This Row],[COGS]]</f>
        <v>1216</v>
      </c>
    </row>
    <row r="146" spans="1:13" x14ac:dyDescent="0.25">
      <c r="A146" t="s">
        <v>49</v>
      </c>
      <c r="B146" t="s">
        <v>42</v>
      </c>
      <c r="C146" s="18" t="s">
        <v>53</v>
      </c>
      <c r="D146" s="19">
        <v>44094</v>
      </c>
      <c r="E146">
        <v>623</v>
      </c>
      <c r="F146" s="16">
        <v>250</v>
      </c>
      <c r="G146" s="16">
        <v>350</v>
      </c>
      <c r="H146" s="16">
        <v>161980</v>
      </c>
      <c r="I146" s="16">
        <v>26166</v>
      </c>
      <c r="J146" s="14" t="s">
        <v>60</v>
      </c>
      <c r="K146" s="20">
        <f>Store[[#This Row],[Quantity]]*Store[[#This Row],[Sale Price]]</f>
        <v>218050</v>
      </c>
      <c r="L146" s="20">
        <f>Store[[#This Row],[Gross Sales]]-Store[[#This Row],[Discount]]</f>
        <v>191884</v>
      </c>
      <c r="M146" s="20">
        <f>Store[[#This Row],[Sales]]-Store[[#This Row],[COGS]]</f>
        <v>29904</v>
      </c>
    </row>
    <row r="147" spans="1:13" x14ac:dyDescent="0.25">
      <c r="A147" t="s">
        <v>45</v>
      </c>
      <c r="B147" t="s">
        <v>51</v>
      </c>
      <c r="C147" s="18" t="s">
        <v>57</v>
      </c>
      <c r="D147" s="19">
        <v>44144</v>
      </c>
      <c r="E147">
        <v>2548</v>
      </c>
      <c r="F147" s="16">
        <v>260</v>
      </c>
      <c r="G147" s="16">
        <v>15</v>
      </c>
      <c r="H147" s="16">
        <v>25480</v>
      </c>
      <c r="I147" s="16">
        <v>4586.3999999999996</v>
      </c>
      <c r="J147" s="14" t="s">
        <v>60</v>
      </c>
      <c r="K147" s="20">
        <f>Store[[#This Row],[Quantity]]*Store[[#This Row],[Sale Price]]</f>
        <v>38220</v>
      </c>
      <c r="L147" s="20">
        <f>Store[[#This Row],[Gross Sales]]-Store[[#This Row],[Discount]]</f>
        <v>33633.599999999999</v>
      </c>
      <c r="M147" s="20">
        <f>Store[[#This Row],[Sales]]-Store[[#This Row],[COGS]]</f>
        <v>8153.5999999999985</v>
      </c>
    </row>
    <row r="148" spans="1:13" x14ac:dyDescent="0.25">
      <c r="A148" t="s">
        <v>50</v>
      </c>
      <c r="B148" t="s">
        <v>42</v>
      </c>
      <c r="C148" s="18" t="s">
        <v>57</v>
      </c>
      <c r="D148" s="19">
        <v>44076</v>
      </c>
      <c r="E148">
        <v>2761</v>
      </c>
      <c r="F148" s="16">
        <v>260</v>
      </c>
      <c r="G148" s="16">
        <v>12</v>
      </c>
      <c r="H148" s="16">
        <v>8283</v>
      </c>
      <c r="I148" s="16">
        <v>3975.84</v>
      </c>
      <c r="J148" s="14" t="s">
        <v>60</v>
      </c>
      <c r="K148" s="20">
        <f>Store[[#This Row],[Quantity]]*Store[[#This Row],[Sale Price]]</f>
        <v>33132</v>
      </c>
      <c r="L148" s="20">
        <f>Store[[#This Row],[Gross Sales]]-Store[[#This Row],[Discount]]</f>
        <v>29156.16</v>
      </c>
      <c r="M148" s="20">
        <f>Store[[#This Row],[Sales]]-Store[[#This Row],[COGS]]</f>
        <v>20873.16</v>
      </c>
    </row>
    <row r="149" spans="1:13" x14ac:dyDescent="0.25">
      <c r="A149" t="s">
        <v>49</v>
      </c>
      <c r="B149" t="s">
        <v>56</v>
      </c>
      <c r="C149" s="18" t="s">
        <v>54</v>
      </c>
      <c r="D149" s="19">
        <v>44103</v>
      </c>
      <c r="E149">
        <v>442</v>
      </c>
      <c r="F149" s="16">
        <v>3</v>
      </c>
      <c r="G149" s="16">
        <v>20</v>
      </c>
      <c r="H149" s="16">
        <v>4420</v>
      </c>
      <c r="I149" s="16">
        <v>1149.2</v>
      </c>
      <c r="J149" s="14" t="s">
        <v>60</v>
      </c>
      <c r="K149" s="20">
        <f>Store[[#This Row],[Quantity]]*Store[[#This Row],[Sale Price]]</f>
        <v>8840</v>
      </c>
      <c r="L149" s="20">
        <f>Store[[#This Row],[Gross Sales]]-Store[[#This Row],[Discount]]</f>
        <v>7690.8</v>
      </c>
      <c r="M149" s="20">
        <f>Store[[#This Row],[Sales]]-Store[[#This Row],[COGS]]</f>
        <v>3270.8</v>
      </c>
    </row>
    <row r="150" spans="1:13" x14ac:dyDescent="0.25">
      <c r="A150" t="s">
        <v>45</v>
      </c>
      <c r="B150" t="s">
        <v>56</v>
      </c>
      <c r="C150" s="18" t="s">
        <v>52</v>
      </c>
      <c r="D150" s="19">
        <v>44075</v>
      </c>
      <c r="E150">
        <v>660</v>
      </c>
      <c r="F150" s="16">
        <v>120</v>
      </c>
      <c r="G150" s="16">
        <v>15</v>
      </c>
      <c r="H150" s="16">
        <v>6600</v>
      </c>
      <c r="I150" s="16">
        <v>1287</v>
      </c>
      <c r="J150" s="14" t="s">
        <v>60</v>
      </c>
      <c r="K150" s="20">
        <f>Store[[#This Row],[Quantity]]*Store[[#This Row],[Sale Price]]</f>
        <v>9900</v>
      </c>
      <c r="L150" s="20">
        <f>Store[[#This Row],[Gross Sales]]-Store[[#This Row],[Discount]]</f>
        <v>8613</v>
      </c>
      <c r="M150" s="20">
        <f>Store[[#This Row],[Sales]]-Store[[#This Row],[COGS]]</f>
        <v>2013</v>
      </c>
    </row>
    <row r="151" spans="1:13" x14ac:dyDescent="0.25">
      <c r="A151" t="s">
        <v>47</v>
      </c>
      <c r="B151" t="s">
        <v>48</v>
      </c>
      <c r="C151" s="18" t="s">
        <v>52</v>
      </c>
      <c r="D151" s="19">
        <v>44164</v>
      </c>
      <c r="E151">
        <v>2605</v>
      </c>
      <c r="F151" s="16">
        <v>120</v>
      </c>
      <c r="G151" s="16">
        <v>300</v>
      </c>
      <c r="H151" s="16">
        <v>651250</v>
      </c>
      <c r="I151" s="16">
        <v>101595</v>
      </c>
      <c r="J151" s="14" t="s">
        <v>60</v>
      </c>
      <c r="K151" s="20">
        <f>Store[[#This Row],[Quantity]]*Store[[#This Row],[Sale Price]]</f>
        <v>781500</v>
      </c>
      <c r="L151" s="20">
        <f>Store[[#This Row],[Gross Sales]]-Store[[#This Row],[Discount]]</f>
        <v>679905</v>
      </c>
      <c r="M151" s="20">
        <f>Store[[#This Row],[Sales]]-Store[[#This Row],[COGS]]</f>
        <v>28655</v>
      </c>
    </row>
    <row r="152" spans="1:13" x14ac:dyDescent="0.25">
      <c r="A152" t="s">
        <v>50</v>
      </c>
      <c r="B152" t="s">
        <v>56</v>
      </c>
      <c r="C152" s="18" t="s">
        <v>57</v>
      </c>
      <c r="D152" s="19">
        <v>44176</v>
      </c>
      <c r="E152">
        <v>1770</v>
      </c>
      <c r="F152" s="16">
        <v>260</v>
      </c>
      <c r="G152" s="16">
        <v>12</v>
      </c>
      <c r="H152" s="16">
        <v>5310</v>
      </c>
      <c r="I152" s="16">
        <v>2761.2</v>
      </c>
      <c r="J152" s="14" t="s">
        <v>60</v>
      </c>
      <c r="K152" s="20">
        <f>Store[[#This Row],[Quantity]]*Store[[#This Row],[Sale Price]]</f>
        <v>21240</v>
      </c>
      <c r="L152" s="20">
        <f>Store[[#This Row],[Gross Sales]]-Store[[#This Row],[Discount]]</f>
        <v>18478.8</v>
      </c>
      <c r="M152" s="20">
        <f>Store[[#This Row],[Sales]]-Store[[#This Row],[COGS]]</f>
        <v>13168.8</v>
      </c>
    </row>
    <row r="153" spans="1:13" x14ac:dyDescent="0.25">
      <c r="A153" t="s">
        <v>49</v>
      </c>
      <c r="B153" t="s">
        <v>51</v>
      </c>
      <c r="C153" s="18" t="s">
        <v>54</v>
      </c>
      <c r="D153" s="19">
        <v>44124</v>
      </c>
      <c r="E153">
        <v>2996</v>
      </c>
      <c r="F153" s="16">
        <v>3</v>
      </c>
      <c r="G153" s="16">
        <v>7</v>
      </c>
      <c r="H153" s="16">
        <v>14980</v>
      </c>
      <c r="I153" s="16">
        <v>2936.08</v>
      </c>
      <c r="J153" s="14" t="s">
        <v>60</v>
      </c>
      <c r="K153" s="20">
        <f>Store[[#This Row],[Quantity]]*Store[[#This Row],[Sale Price]]</f>
        <v>20972</v>
      </c>
      <c r="L153" s="20">
        <f>Store[[#This Row],[Gross Sales]]-Store[[#This Row],[Discount]]</f>
        <v>18035.919999999998</v>
      </c>
      <c r="M153" s="20">
        <f>Store[[#This Row],[Sales]]-Store[[#This Row],[COGS]]</f>
        <v>3055.9199999999983</v>
      </c>
    </row>
    <row r="154" spans="1:13" x14ac:dyDescent="0.25">
      <c r="A154" t="s">
        <v>49</v>
      </c>
      <c r="B154" t="s">
        <v>51</v>
      </c>
      <c r="C154" s="18" t="s">
        <v>43</v>
      </c>
      <c r="D154" s="19">
        <v>44128</v>
      </c>
      <c r="E154">
        <v>2996</v>
      </c>
      <c r="F154" s="16">
        <v>5</v>
      </c>
      <c r="G154" s="16">
        <v>7</v>
      </c>
      <c r="H154" s="16">
        <v>14980</v>
      </c>
      <c r="I154" s="16">
        <v>2936.08</v>
      </c>
      <c r="J154" s="14" t="s">
        <v>60</v>
      </c>
      <c r="K154" s="20">
        <f>Store[[#This Row],[Quantity]]*Store[[#This Row],[Sale Price]]</f>
        <v>20972</v>
      </c>
      <c r="L154" s="20">
        <f>Store[[#This Row],[Gross Sales]]-Store[[#This Row],[Discount]]</f>
        <v>18035.919999999998</v>
      </c>
      <c r="M154" s="20">
        <f>Store[[#This Row],[Sales]]-Store[[#This Row],[COGS]]</f>
        <v>3055.9199999999983</v>
      </c>
    </row>
    <row r="155" spans="1:13" x14ac:dyDescent="0.25">
      <c r="A155" t="s">
        <v>50</v>
      </c>
      <c r="B155" t="s">
        <v>51</v>
      </c>
      <c r="C155" s="18" t="s">
        <v>57</v>
      </c>
      <c r="D155" s="19">
        <v>44191</v>
      </c>
      <c r="E155">
        <v>2015</v>
      </c>
      <c r="F155" s="16">
        <v>260</v>
      </c>
      <c r="G155" s="16">
        <v>12</v>
      </c>
      <c r="H155" s="16">
        <v>6045</v>
      </c>
      <c r="I155" s="16">
        <v>3385.2</v>
      </c>
      <c r="J155" s="14" t="s">
        <v>60</v>
      </c>
      <c r="K155" s="20">
        <f>Store[[#This Row],[Quantity]]*Store[[#This Row],[Sale Price]]</f>
        <v>24180</v>
      </c>
      <c r="L155" s="20">
        <f>Store[[#This Row],[Gross Sales]]-Store[[#This Row],[Discount]]</f>
        <v>20794.8</v>
      </c>
      <c r="M155" s="20">
        <f>Store[[#This Row],[Sales]]-Store[[#This Row],[COGS]]</f>
        <v>14749.8</v>
      </c>
    </row>
    <row r="156" spans="1:13" x14ac:dyDescent="0.25">
      <c r="A156" t="s">
        <v>41</v>
      </c>
      <c r="B156" t="s">
        <v>58</v>
      </c>
      <c r="C156" s="18" t="s">
        <v>54</v>
      </c>
      <c r="D156" s="19">
        <v>44097</v>
      </c>
      <c r="E156">
        <v>1023</v>
      </c>
      <c r="F156" s="16">
        <v>3</v>
      </c>
      <c r="G156" s="16">
        <v>125</v>
      </c>
      <c r="H156" s="16">
        <v>122760</v>
      </c>
      <c r="I156" s="16">
        <v>17902.5</v>
      </c>
      <c r="J156" s="14" t="s">
        <v>60</v>
      </c>
      <c r="K156" s="20">
        <f>Store[[#This Row],[Quantity]]*Store[[#This Row],[Sale Price]]</f>
        <v>127875</v>
      </c>
      <c r="L156" s="20">
        <f>Store[[#This Row],[Gross Sales]]-Store[[#This Row],[Discount]]</f>
        <v>109972.5</v>
      </c>
      <c r="M156" s="20">
        <f>Store[[#This Row],[Sales]]-Store[[#This Row],[COGS]]</f>
        <v>-12787.5</v>
      </c>
    </row>
    <row r="157" spans="1:13" x14ac:dyDescent="0.25">
      <c r="A157" t="s">
        <v>41</v>
      </c>
      <c r="B157" t="s">
        <v>48</v>
      </c>
      <c r="C157" s="18" t="s">
        <v>54</v>
      </c>
      <c r="D157" s="19">
        <v>44171</v>
      </c>
      <c r="E157">
        <v>2821</v>
      </c>
      <c r="F157" s="16">
        <v>3</v>
      </c>
      <c r="G157" s="16">
        <v>125</v>
      </c>
      <c r="H157" s="16">
        <v>338520</v>
      </c>
      <c r="I157" s="16">
        <v>49367.5</v>
      </c>
      <c r="J157" s="14" t="s">
        <v>60</v>
      </c>
      <c r="K157" s="20">
        <f>Store[[#This Row],[Quantity]]*Store[[#This Row],[Sale Price]]</f>
        <v>352625</v>
      </c>
      <c r="L157" s="20">
        <f>Store[[#This Row],[Gross Sales]]-Store[[#This Row],[Discount]]</f>
        <v>303257.5</v>
      </c>
      <c r="M157" s="20">
        <f>Store[[#This Row],[Sales]]-Store[[#This Row],[COGS]]</f>
        <v>-35262.5</v>
      </c>
    </row>
    <row r="158" spans="1:13" x14ac:dyDescent="0.25">
      <c r="A158" t="s">
        <v>49</v>
      </c>
      <c r="B158" t="s">
        <v>48</v>
      </c>
      <c r="C158" s="18" t="s">
        <v>43</v>
      </c>
      <c r="D158" s="19">
        <v>44127</v>
      </c>
      <c r="E158">
        <v>1727</v>
      </c>
      <c r="F158" s="16">
        <v>5</v>
      </c>
      <c r="G158" s="16">
        <v>7</v>
      </c>
      <c r="H158" s="16">
        <v>8635</v>
      </c>
      <c r="I158" s="16">
        <v>1692.46</v>
      </c>
      <c r="J158" s="14" t="s">
        <v>60</v>
      </c>
      <c r="K158" s="20">
        <f>Store[[#This Row],[Quantity]]*Store[[#This Row],[Sale Price]]</f>
        <v>12089</v>
      </c>
      <c r="L158" s="20">
        <f>Store[[#This Row],[Gross Sales]]-Store[[#This Row],[Discount]]</f>
        <v>10396.540000000001</v>
      </c>
      <c r="M158" s="20">
        <f>Store[[#This Row],[Sales]]-Store[[#This Row],[COGS]]</f>
        <v>1761.5400000000009</v>
      </c>
    </row>
    <row r="159" spans="1:13" x14ac:dyDescent="0.25">
      <c r="A159" t="s">
        <v>45</v>
      </c>
      <c r="B159" t="s">
        <v>42</v>
      </c>
      <c r="C159" s="18" t="s">
        <v>46</v>
      </c>
      <c r="D159" s="19">
        <v>44078</v>
      </c>
      <c r="E159">
        <v>2470</v>
      </c>
      <c r="F159" s="16">
        <v>10</v>
      </c>
      <c r="G159" s="16">
        <v>15</v>
      </c>
      <c r="H159" s="16">
        <v>24700</v>
      </c>
      <c r="I159" s="16">
        <v>5187</v>
      </c>
      <c r="J159" s="14" t="s">
        <v>60</v>
      </c>
      <c r="K159" s="20">
        <f>Store[[#This Row],[Quantity]]*Store[[#This Row],[Sale Price]]</f>
        <v>37050</v>
      </c>
      <c r="L159" s="20">
        <f>Store[[#This Row],[Gross Sales]]-Store[[#This Row],[Discount]]</f>
        <v>31863</v>
      </c>
      <c r="M159" s="20">
        <f>Store[[#This Row],[Sales]]-Store[[#This Row],[COGS]]</f>
        <v>7163</v>
      </c>
    </row>
    <row r="160" spans="1:13" x14ac:dyDescent="0.25">
      <c r="A160" t="s">
        <v>45</v>
      </c>
      <c r="B160" t="s">
        <v>42</v>
      </c>
      <c r="C160" s="18" t="s">
        <v>46</v>
      </c>
      <c r="D160" s="19">
        <v>44127</v>
      </c>
      <c r="E160">
        <v>1743</v>
      </c>
      <c r="F160" s="16">
        <v>10</v>
      </c>
      <c r="G160" s="16">
        <v>15</v>
      </c>
      <c r="H160" s="16">
        <v>17430</v>
      </c>
      <c r="I160" s="16">
        <v>3660.3</v>
      </c>
      <c r="J160" s="14" t="s">
        <v>60</v>
      </c>
      <c r="K160" s="20">
        <f>Store[[#This Row],[Quantity]]*Store[[#This Row],[Sale Price]]</f>
        <v>26145</v>
      </c>
      <c r="L160" s="20">
        <f>Store[[#This Row],[Gross Sales]]-Store[[#This Row],[Discount]]</f>
        <v>22484.7</v>
      </c>
      <c r="M160" s="20">
        <f>Store[[#This Row],[Sales]]-Store[[#This Row],[COGS]]</f>
        <v>5054.7000000000007</v>
      </c>
    </row>
    <row r="161" spans="1:13" x14ac:dyDescent="0.25">
      <c r="A161" t="s">
        <v>50</v>
      </c>
      <c r="B161" t="s">
        <v>42</v>
      </c>
      <c r="C161" s="18" t="s">
        <v>46</v>
      </c>
      <c r="D161" s="19">
        <v>44137</v>
      </c>
      <c r="E161">
        <v>2222</v>
      </c>
      <c r="F161" s="16">
        <v>10</v>
      </c>
      <c r="G161" s="16">
        <v>12</v>
      </c>
      <c r="H161" s="16">
        <v>6666</v>
      </c>
      <c r="I161" s="16">
        <v>3732.96</v>
      </c>
      <c r="J161" s="14" t="s">
        <v>60</v>
      </c>
      <c r="K161" s="20">
        <f>Store[[#This Row],[Quantity]]*Store[[#This Row],[Sale Price]]</f>
        <v>26664</v>
      </c>
      <c r="L161" s="20">
        <f>Store[[#This Row],[Gross Sales]]-Store[[#This Row],[Discount]]</f>
        <v>22931.040000000001</v>
      </c>
      <c r="M161" s="20">
        <f>Store[[#This Row],[Sales]]-Store[[#This Row],[COGS]]</f>
        <v>16265.04</v>
      </c>
    </row>
    <row r="162" spans="1:13" x14ac:dyDescent="0.25">
      <c r="A162" t="s">
        <v>49</v>
      </c>
      <c r="B162" t="s">
        <v>58</v>
      </c>
      <c r="C162" s="18" t="s">
        <v>46</v>
      </c>
      <c r="D162" s="19">
        <v>44163</v>
      </c>
      <c r="E162">
        <v>1922</v>
      </c>
      <c r="F162" s="16">
        <v>10</v>
      </c>
      <c r="G162" s="16">
        <v>350</v>
      </c>
      <c r="H162" s="16">
        <v>499720</v>
      </c>
      <c r="I162" s="16">
        <v>94178</v>
      </c>
      <c r="J162" s="14" t="s">
        <v>60</v>
      </c>
      <c r="K162" s="20">
        <f>Store[[#This Row],[Quantity]]*Store[[#This Row],[Sale Price]]</f>
        <v>672700</v>
      </c>
      <c r="L162" s="20">
        <f>Store[[#This Row],[Gross Sales]]-Store[[#This Row],[Discount]]</f>
        <v>578522</v>
      </c>
      <c r="M162" s="20">
        <f>Store[[#This Row],[Sales]]-Store[[#This Row],[COGS]]</f>
        <v>78802</v>
      </c>
    </row>
    <row r="163" spans="1:13" x14ac:dyDescent="0.25">
      <c r="A163" t="s">
        <v>47</v>
      </c>
      <c r="B163" t="s">
        <v>42</v>
      </c>
      <c r="C163" s="18" t="s">
        <v>52</v>
      </c>
      <c r="D163" s="19">
        <v>44112</v>
      </c>
      <c r="E163">
        <v>269</v>
      </c>
      <c r="F163" s="16">
        <v>120</v>
      </c>
      <c r="G163" s="16">
        <v>300</v>
      </c>
      <c r="H163" s="16">
        <v>67250</v>
      </c>
      <c r="I163" s="16">
        <v>11298</v>
      </c>
      <c r="J163" s="14" t="s">
        <v>60</v>
      </c>
      <c r="K163" s="20">
        <f>Store[[#This Row],[Quantity]]*Store[[#This Row],[Sale Price]]</f>
        <v>80700</v>
      </c>
      <c r="L163" s="20">
        <f>Store[[#This Row],[Gross Sales]]-Store[[#This Row],[Discount]]</f>
        <v>69402</v>
      </c>
      <c r="M163" s="20">
        <f>Store[[#This Row],[Sales]]-Store[[#This Row],[COGS]]</f>
        <v>2152</v>
      </c>
    </row>
    <row r="164" spans="1:13" x14ac:dyDescent="0.25">
      <c r="A164" t="s">
        <v>47</v>
      </c>
      <c r="B164" t="s">
        <v>56</v>
      </c>
      <c r="C164" s="18" t="s">
        <v>52</v>
      </c>
      <c r="D164" s="19">
        <v>44162</v>
      </c>
      <c r="E164">
        <v>2536</v>
      </c>
      <c r="F164" s="16">
        <v>120</v>
      </c>
      <c r="G164" s="16">
        <v>300</v>
      </c>
      <c r="H164" s="16">
        <v>634000</v>
      </c>
      <c r="I164" s="16">
        <v>106512</v>
      </c>
      <c r="J164" s="14" t="s">
        <v>60</v>
      </c>
      <c r="K164" s="20">
        <f>Store[[#This Row],[Quantity]]*Store[[#This Row],[Sale Price]]</f>
        <v>760800</v>
      </c>
      <c r="L164" s="20">
        <f>Store[[#This Row],[Gross Sales]]-Store[[#This Row],[Discount]]</f>
        <v>654288</v>
      </c>
      <c r="M164" s="20">
        <f>Store[[#This Row],[Sales]]-Store[[#This Row],[COGS]]</f>
        <v>20288</v>
      </c>
    </row>
    <row r="165" spans="1:13" x14ac:dyDescent="0.25">
      <c r="A165" t="s">
        <v>47</v>
      </c>
      <c r="B165" t="s">
        <v>42</v>
      </c>
      <c r="C165" s="18" t="s">
        <v>53</v>
      </c>
      <c r="D165" s="19">
        <v>44107</v>
      </c>
      <c r="E165">
        <v>269</v>
      </c>
      <c r="F165" s="16">
        <v>250</v>
      </c>
      <c r="G165" s="16">
        <v>300</v>
      </c>
      <c r="H165" s="16">
        <v>67250</v>
      </c>
      <c r="I165" s="16">
        <v>11298</v>
      </c>
      <c r="J165" s="14" t="s">
        <v>60</v>
      </c>
      <c r="K165" s="20">
        <f>Store[[#This Row],[Quantity]]*Store[[#This Row],[Sale Price]]</f>
        <v>80700</v>
      </c>
      <c r="L165" s="20">
        <f>Store[[#This Row],[Gross Sales]]-Store[[#This Row],[Discount]]</f>
        <v>69402</v>
      </c>
      <c r="M165" s="20">
        <f>Store[[#This Row],[Sales]]-Store[[#This Row],[COGS]]</f>
        <v>2152</v>
      </c>
    </row>
    <row r="166" spans="1:13" x14ac:dyDescent="0.25">
      <c r="A166" t="s">
        <v>49</v>
      </c>
      <c r="B166" t="s">
        <v>58</v>
      </c>
      <c r="C166" s="18" t="s">
        <v>53</v>
      </c>
      <c r="D166" s="19">
        <v>44182</v>
      </c>
      <c r="E166">
        <v>1281</v>
      </c>
      <c r="F166" s="16">
        <v>250</v>
      </c>
      <c r="G166" s="16">
        <v>350</v>
      </c>
      <c r="H166" s="16">
        <v>333060</v>
      </c>
      <c r="I166" s="16">
        <v>62769</v>
      </c>
      <c r="J166" s="14" t="s">
        <v>60</v>
      </c>
      <c r="K166" s="20">
        <f>Store[[#This Row],[Quantity]]*Store[[#This Row],[Sale Price]]</f>
        <v>448350</v>
      </c>
      <c r="L166" s="20">
        <f>Store[[#This Row],[Gross Sales]]-Store[[#This Row],[Discount]]</f>
        <v>385581</v>
      </c>
      <c r="M166" s="20">
        <f>Store[[#This Row],[Sales]]-Store[[#This Row],[COGS]]</f>
        <v>52521</v>
      </c>
    </row>
    <row r="167" spans="1:13" x14ac:dyDescent="0.25">
      <c r="A167" t="s">
        <v>45</v>
      </c>
      <c r="B167" t="s">
        <v>42</v>
      </c>
      <c r="C167" s="18" t="s">
        <v>57</v>
      </c>
      <c r="D167" s="19">
        <v>44130</v>
      </c>
      <c r="E167">
        <v>1743</v>
      </c>
      <c r="F167" s="16">
        <v>260</v>
      </c>
      <c r="G167" s="16">
        <v>15</v>
      </c>
      <c r="H167" s="16">
        <v>17430</v>
      </c>
      <c r="I167" s="16">
        <v>3660.3</v>
      </c>
      <c r="J167" s="14" t="s">
        <v>60</v>
      </c>
      <c r="K167" s="20">
        <f>Store[[#This Row],[Quantity]]*Store[[#This Row],[Sale Price]]</f>
        <v>26145</v>
      </c>
      <c r="L167" s="20">
        <f>Store[[#This Row],[Gross Sales]]-Store[[#This Row],[Discount]]</f>
        <v>22484.7</v>
      </c>
      <c r="M167" s="20">
        <f>Store[[#This Row],[Sales]]-Store[[#This Row],[COGS]]</f>
        <v>5054.7000000000007</v>
      </c>
    </row>
    <row r="168" spans="1:13" x14ac:dyDescent="0.25">
      <c r="A168" t="s">
        <v>49</v>
      </c>
      <c r="B168" t="s">
        <v>48</v>
      </c>
      <c r="C168" s="18" t="s">
        <v>57</v>
      </c>
      <c r="D168" s="19">
        <v>44123</v>
      </c>
      <c r="E168">
        <v>1727</v>
      </c>
      <c r="F168" s="16">
        <v>260</v>
      </c>
      <c r="G168" s="16">
        <v>7</v>
      </c>
      <c r="H168" s="16">
        <v>8635</v>
      </c>
      <c r="I168" s="16">
        <v>1692.46</v>
      </c>
      <c r="J168" s="14" t="s">
        <v>60</v>
      </c>
      <c r="K168" s="20">
        <f>Store[[#This Row],[Quantity]]*Store[[#This Row],[Sale Price]]</f>
        <v>12089</v>
      </c>
      <c r="L168" s="20">
        <f>Store[[#This Row],[Gross Sales]]-Store[[#This Row],[Discount]]</f>
        <v>10396.540000000001</v>
      </c>
      <c r="M168" s="20">
        <f>Store[[#This Row],[Sales]]-Store[[#This Row],[COGS]]</f>
        <v>1761.5400000000009</v>
      </c>
    </row>
    <row r="169" spans="1:13" x14ac:dyDescent="0.25">
      <c r="A169" t="s">
        <v>45</v>
      </c>
      <c r="B169" t="s">
        <v>48</v>
      </c>
      <c r="C169" s="18" t="s">
        <v>57</v>
      </c>
      <c r="D169" s="19">
        <v>44141</v>
      </c>
      <c r="E169">
        <v>1870</v>
      </c>
      <c r="F169" s="16">
        <v>260</v>
      </c>
      <c r="G169" s="16">
        <v>15</v>
      </c>
      <c r="H169" s="16">
        <v>18700</v>
      </c>
      <c r="I169" s="16">
        <v>3927</v>
      </c>
      <c r="J169" s="14" t="s">
        <v>60</v>
      </c>
      <c r="K169" s="20">
        <f>Store[[#This Row],[Quantity]]*Store[[#This Row],[Sale Price]]</f>
        <v>28050</v>
      </c>
      <c r="L169" s="20">
        <f>Store[[#This Row],[Gross Sales]]-Store[[#This Row],[Discount]]</f>
        <v>24123</v>
      </c>
      <c r="M169" s="20">
        <f>Store[[#This Row],[Sales]]-Store[[#This Row],[COGS]]</f>
        <v>5423</v>
      </c>
    </row>
    <row r="170" spans="1:13" x14ac:dyDescent="0.25">
      <c r="A170" t="s">
        <v>49</v>
      </c>
      <c r="B170" t="s">
        <v>51</v>
      </c>
      <c r="C170" s="18" t="s">
        <v>46</v>
      </c>
      <c r="D170" s="19">
        <v>44130</v>
      </c>
      <c r="E170">
        <v>267</v>
      </c>
      <c r="F170" s="16">
        <v>10</v>
      </c>
      <c r="G170" s="16">
        <v>20</v>
      </c>
      <c r="H170" s="16">
        <v>2670</v>
      </c>
      <c r="I170" s="16">
        <v>801</v>
      </c>
      <c r="J170" s="14" t="s">
        <v>60</v>
      </c>
      <c r="K170" s="20">
        <f>Store[[#This Row],[Quantity]]*Store[[#This Row],[Sale Price]]</f>
        <v>5340</v>
      </c>
      <c r="L170" s="20">
        <f>Store[[#This Row],[Gross Sales]]-Store[[#This Row],[Discount]]</f>
        <v>4539</v>
      </c>
      <c r="M170" s="20">
        <f>Store[[#This Row],[Sales]]-Store[[#This Row],[COGS]]</f>
        <v>1869</v>
      </c>
    </row>
    <row r="171" spans="1:13" x14ac:dyDescent="0.25">
      <c r="A171" t="s">
        <v>49</v>
      </c>
      <c r="B171" t="s">
        <v>51</v>
      </c>
      <c r="C171" s="18" t="s">
        <v>46</v>
      </c>
      <c r="D171" s="19">
        <v>44157</v>
      </c>
      <c r="E171">
        <v>2007</v>
      </c>
      <c r="F171" s="16">
        <v>10</v>
      </c>
      <c r="G171" s="16">
        <v>350</v>
      </c>
      <c r="H171" s="16">
        <v>521820</v>
      </c>
      <c r="I171" s="16">
        <v>105367.5</v>
      </c>
      <c r="J171" s="14" t="s">
        <v>60</v>
      </c>
      <c r="K171" s="20">
        <f>Store[[#This Row],[Quantity]]*Store[[#This Row],[Sale Price]]</f>
        <v>702450</v>
      </c>
      <c r="L171" s="20">
        <f>Store[[#This Row],[Gross Sales]]-Store[[#This Row],[Discount]]</f>
        <v>597082.5</v>
      </c>
      <c r="M171" s="20">
        <f>Store[[#This Row],[Sales]]-Store[[#This Row],[COGS]]</f>
        <v>75262.5</v>
      </c>
    </row>
    <row r="172" spans="1:13" x14ac:dyDescent="0.25">
      <c r="A172" t="s">
        <v>49</v>
      </c>
      <c r="B172" t="s">
        <v>48</v>
      </c>
      <c r="C172" s="18" t="s">
        <v>46</v>
      </c>
      <c r="D172" s="19">
        <v>44156</v>
      </c>
      <c r="E172">
        <v>2151</v>
      </c>
      <c r="F172" s="16">
        <v>10</v>
      </c>
      <c r="G172" s="16">
        <v>350</v>
      </c>
      <c r="H172" s="16">
        <v>559260</v>
      </c>
      <c r="I172" s="16">
        <v>112927.5</v>
      </c>
      <c r="J172" s="14" t="s">
        <v>60</v>
      </c>
      <c r="K172" s="20">
        <f>Store[[#This Row],[Quantity]]*Store[[#This Row],[Sale Price]]</f>
        <v>752850</v>
      </c>
      <c r="L172" s="20">
        <f>Store[[#This Row],[Gross Sales]]-Store[[#This Row],[Discount]]</f>
        <v>639922.5</v>
      </c>
      <c r="M172" s="20">
        <f>Store[[#This Row],[Sales]]-Store[[#This Row],[COGS]]</f>
        <v>80662.5</v>
      </c>
    </row>
    <row r="173" spans="1:13" x14ac:dyDescent="0.25">
      <c r="A173" t="s">
        <v>47</v>
      </c>
      <c r="B173" t="s">
        <v>51</v>
      </c>
      <c r="C173" s="18" t="s">
        <v>52</v>
      </c>
      <c r="D173" s="19">
        <v>44141</v>
      </c>
      <c r="E173">
        <v>2574</v>
      </c>
      <c r="F173" s="16">
        <v>120</v>
      </c>
      <c r="G173" s="16">
        <v>300</v>
      </c>
      <c r="H173" s="16">
        <v>643500</v>
      </c>
      <c r="I173" s="16">
        <v>115830</v>
      </c>
      <c r="J173" s="14" t="s">
        <v>60</v>
      </c>
      <c r="K173" s="20">
        <f>Store[[#This Row],[Quantity]]*Store[[#This Row],[Sale Price]]</f>
        <v>772200</v>
      </c>
      <c r="L173" s="20">
        <f>Store[[#This Row],[Gross Sales]]-Store[[#This Row],[Discount]]</f>
        <v>656370</v>
      </c>
      <c r="M173" s="20">
        <f>Store[[#This Row],[Sales]]-Store[[#This Row],[COGS]]</f>
        <v>12870</v>
      </c>
    </row>
    <row r="174" spans="1:13" x14ac:dyDescent="0.25">
      <c r="A174" t="s">
        <v>41</v>
      </c>
      <c r="B174" t="s">
        <v>51</v>
      </c>
      <c r="C174" s="18" t="s">
        <v>52</v>
      </c>
      <c r="D174" s="19">
        <v>44190</v>
      </c>
      <c r="E174">
        <v>2438</v>
      </c>
      <c r="F174" s="16">
        <v>120</v>
      </c>
      <c r="G174" s="16">
        <v>125</v>
      </c>
      <c r="H174" s="16">
        <v>292560</v>
      </c>
      <c r="I174" s="16">
        <v>45712.5</v>
      </c>
      <c r="J174" s="14" t="s">
        <v>60</v>
      </c>
      <c r="K174" s="20">
        <f>Store[[#This Row],[Quantity]]*Store[[#This Row],[Sale Price]]</f>
        <v>304750</v>
      </c>
      <c r="L174" s="20">
        <f>Store[[#This Row],[Gross Sales]]-Store[[#This Row],[Discount]]</f>
        <v>259037.5</v>
      </c>
      <c r="M174" s="20">
        <f>Store[[#This Row],[Sales]]-Store[[#This Row],[COGS]]</f>
        <v>-33522.5</v>
      </c>
    </row>
    <row r="175" spans="1:13" x14ac:dyDescent="0.25">
      <c r="A175" t="s">
        <v>49</v>
      </c>
      <c r="B175" t="s">
        <v>51</v>
      </c>
      <c r="C175" s="18" t="s">
        <v>53</v>
      </c>
      <c r="D175" s="19">
        <v>44112</v>
      </c>
      <c r="E175">
        <v>267</v>
      </c>
      <c r="F175" s="16">
        <v>250</v>
      </c>
      <c r="G175" s="16">
        <v>20</v>
      </c>
      <c r="H175" s="16">
        <v>2670</v>
      </c>
      <c r="I175" s="16">
        <v>801</v>
      </c>
      <c r="J175" s="14" t="s">
        <v>60</v>
      </c>
      <c r="K175" s="20">
        <f>Store[[#This Row],[Quantity]]*Store[[#This Row],[Sale Price]]</f>
        <v>5340</v>
      </c>
      <c r="L175" s="20">
        <f>Store[[#This Row],[Gross Sales]]-Store[[#This Row],[Discount]]</f>
        <v>4539</v>
      </c>
      <c r="M175" s="20">
        <f>Store[[#This Row],[Sales]]-Store[[#This Row],[COGS]]</f>
        <v>1869</v>
      </c>
    </row>
    <row r="176" spans="1:13" x14ac:dyDescent="0.25">
      <c r="A176" t="s">
        <v>41</v>
      </c>
      <c r="B176" t="s">
        <v>42</v>
      </c>
      <c r="C176" s="18" t="s">
        <v>53</v>
      </c>
      <c r="D176" s="19">
        <v>44136</v>
      </c>
      <c r="E176">
        <v>2954</v>
      </c>
      <c r="F176" s="16">
        <v>250</v>
      </c>
      <c r="G176" s="16">
        <v>125</v>
      </c>
      <c r="H176" s="16">
        <v>354480</v>
      </c>
      <c r="I176" s="16">
        <v>55387.5</v>
      </c>
      <c r="J176" s="14" t="s">
        <v>60</v>
      </c>
      <c r="K176" s="20">
        <f>Store[[#This Row],[Quantity]]*Store[[#This Row],[Sale Price]]</f>
        <v>369250</v>
      </c>
      <c r="L176" s="20">
        <f>Store[[#This Row],[Gross Sales]]-Store[[#This Row],[Discount]]</f>
        <v>313862.5</v>
      </c>
      <c r="M176" s="20">
        <f>Store[[#This Row],[Sales]]-Store[[#This Row],[COGS]]</f>
        <v>-40617.5</v>
      </c>
    </row>
    <row r="177" spans="1:13" x14ac:dyDescent="0.25">
      <c r="A177" t="s">
        <v>49</v>
      </c>
      <c r="B177" t="s">
        <v>42</v>
      </c>
      <c r="C177" s="18" t="s">
        <v>54</v>
      </c>
      <c r="D177" s="19">
        <v>44208</v>
      </c>
      <c r="E177">
        <v>1618.5</v>
      </c>
      <c r="F177" s="16">
        <v>3</v>
      </c>
      <c r="G177" s="16">
        <v>20</v>
      </c>
      <c r="H177" s="16">
        <v>16185</v>
      </c>
      <c r="I177" s="16">
        <v>0</v>
      </c>
      <c r="J177" s="14" t="s">
        <v>44</v>
      </c>
      <c r="K177" s="20">
        <f>Store[[#This Row],[Quantity]]*Store[[#This Row],[Sale Price]]</f>
        <v>32370</v>
      </c>
      <c r="L177" s="20">
        <f>Store[[#This Row],[Gross Sales]]-Store[[#This Row],[Discount]]</f>
        <v>32370</v>
      </c>
      <c r="M177" s="20">
        <f>Store[[#This Row],[Sales]]-Store[[#This Row],[COGS]]</f>
        <v>16185</v>
      </c>
    </row>
    <row r="178" spans="1:13" x14ac:dyDescent="0.25">
      <c r="A178" t="s">
        <v>49</v>
      </c>
      <c r="B178" t="s">
        <v>56</v>
      </c>
      <c r="C178" s="18" t="s">
        <v>54</v>
      </c>
      <c r="D178" s="19">
        <v>44205</v>
      </c>
      <c r="E178">
        <v>1321</v>
      </c>
      <c r="F178" s="16">
        <v>3</v>
      </c>
      <c r="G178" s="16">
        <v>20</v>
      </c>
      <c r="H178" s="16">
        <v>13210</v>
      </c>
      <c r="I178" s="16">
        <v>0</v>
      </c>
      <c r="J178" s="14" t="s">
        <v>44</v>
      </c>
      <c r="K178" s="20">
        <f>Store[[#This Row],[Quantity]]*Store[[#This Row],[Sale Price]]</f>
        <v>26420</v>
      </c>
      <c r="L178" s="20">
        <f>Store[[#This Row],[Gross Sales]]-Store[[#This Row],[Discount]]</f>
        <v>26420</v>
      </c>
      <c r="M178" s="20">
        <f>Store[[#This Row],[Sales]]-Store[[#This Row],[COGS]]</f>
        <v>13210</v>
      </c>
    </row>
    <row r="179" spans="1:13" x14ac:dyDescent="0.25">
      <c r="A179" t="s">
        <v>45</v>
      </c>
      <c r="B179" t="s">
        <v>58</v>
      </c>
      <c r="C179" s="18" t="s">
        <v>54</v>
      </c>
      <c r="D179" s="19">
        <v>44367</v>
      </c>
      <c r="E179">
        <v>2178</v>
      </c>
      <c r="F179" s="16">
        <v>3</v>
      </c>
      <c r="G179" s="16">
        <v>15</v>
      </c>
      <c r="H179" s="16">
        <v>21780</v>
      </c>
      <c r="I179" s="16">
        <v>0</v>
      </c>
      <c r="J179" s="14" t="s">
        <v>44</v>
      </c>
      <c r="K179" s="20">
        <f>Store[[#This Row],[Quantity]]*Store[[#This Row],[Sale Price]]</f>
        <v>32670</v>
      </c>
      <c r="L179" s="20">
        <f>Store[[#This Row],[Gross Sales]]-Store[[#This Row],[Discount]]</f>
        <v>32670</v>
      </c>
      <c r="M179" s="20">
        <f>Store[[#This Row],[Sales]]-Store[[#This Row],[COGS]]</f>
        <v>10890</v>
      </c>
    </row>
    <row r="180" spans="1:13" x14ac:dyDescent="0.25">
      <c r="A180" t="s">
        <v>45</v>
      </c>
      <c r="B180" t="s">
        <v>56</v>
      </c>
      <c r="C180" s="18" t="s">
        <v>54</v>
      </c>
      <c r="D180" s="19">
        <v>44364</v>
      </c>
      <c r="E180">
        <v>888</v>
      </c>
      <c r="F180" s="16">
        <v>3</v>
      </c>
      <c r="G180" s="16">
        <v>15</v>
      </c>
      <c r="H180" s="16">
        <v>8880</v>
      </c>
      <c r="I180" s="16">
        <v>0</v>
      </c>
      <c r="J180" s="14" t="s">
        <v>44</v>
      </c>
      <c r="K180" s="20">
        <f>Store[[#This Row],[Quantity]]*Store[[#This Row],[Sale Price]]</f>
        <v>13320</v>
      </c>
      <c r="L180" s="20">
        <f>Store[[#This Row],[Gross Sales]]-Store[[#This Row],[Discount]]</f>
        <v>13320</v>
      </c>
      <c r="M180" s="20">
        <f>Store[[#This Row],[Sales]]-Store[[#This Row],[COGS]]</f>
        <v>4440</v>
      </c>
    </row>
    <row r="181" spans="1:13" x14ac:dyDescent="0.25">
      <c r="A181" t="s">
        <v>45</v>
      </c>
      <c r="B181" t="s">
        <v>48</v>
      </c>
      <c r="C181" s="18" t="s">
        <v>54</v>
      </c>
      <c r="D181" s="19">
        <v>44363</v>
      </c>
      <c r="E181">
        <v>2470</v>
      </c>
      <c r="F181" s="16">
        <v>3</v>
      </c>
      <c r="G181" s="16">
        <v>15</v>
      </c>
      <c r="H181" s="16">
        <v>24700</v>
      </c>
      <c r="I181" s="16">
        <v>0</v>
      </c>
      <c r="J181" s="14" t="s">
        <v>44</v>
      </c>
      <c r="K181" s="20">
        <f>Store[[#This Row],[Quantity]]*Store[[#This Row],[Sale Price]]</f>
        <v>37050</v>
      </c>
      <c r="L181" s="20">
        <f>Store[[#This Row],[Gross Sales]]-Store[[#This Row],[Discount]]</f>
        <v>37050</v>
      </c>
      <c r="M181" s="20">
        <f>Store[[#This Row],[Sales]]-Store[[#This Row],[COGS]]</f>
        <v>12350</v>
      </c>
    </row>
    <row r="182" spans="1:13" x14ac:dyDescent="0.25">
      <c r="A182" t="s">
        <v>49</v>
      </c>
      <c r="B182" t="s">
        <v>56</v>
      </c>
      <c r="C182" s="18" t="s">
        <v>54</v>
      </c>
      <c r="D182" s="19">
        <v>44546</v>
      </c>
      <c r="E182">
        <v>1513</v>
      </c>
      <c r="F182" s="16">
        <v>3</v>
      </c>
      <c r="G182" s="16">
        <v>350</v>
      </c>
      <c r="H182" s="16">
        <v>393380</v>
      </c>
      <c r="I182" s="16">
        <v>0</v>
      </c>
      <c r="J182" s="14" t="s">
        <v>44</v>
      </c>
      <c r="K182" s="20">
        <f>Store[[#This Row],[Quantity]]*Store[[#This Row],[Sale Price]]</f>
        <v>529550</v>
      </c>
      <c r="L182" s="20">
        <f>Store[[#This Row],[Gross Sales]]-Store[[#This Row],[Discount]]</f>
        <v>529550</v>
      </c>
      <c r="M182" s="20">
        <f>Store[[#This Row],[Sales]]-Store[[#This Row],[COGS]]</f>
        <v>136170</v>
      </c>
    </row>
    <row r="183" spans="1:13" x14ac:dyDescent="0.25">
      <c r="A183" t="s">
        <v>45</v>
      </c>
      <c r="B183" t="s">
        <v>56</v>
      </c>
      <c r="C183" s="18" t="s">
        <v>43</v>
      </c>
      <c r="D183" s="19">
        <v>44257</v>
      </c>
      <c r="E183">
        <v>921</v>
      </c>
      <c r="F183" s="16">
        <v>5</v>
      </c>
      <c r="G183" s="16">
        <v>15</v>
      </c>
      <c r="H183" s="16">
        <v>9210</v>
      </c>
      <c r="I183" s="16">
        <v>0</v>
      </c>
      <c r="J183" s="14" t="s">
        <v>44</v>
      </c>
      <c r="K183" s="20">
        <f>Store[[#This Row],[Quantity]]*Store[[#This Row],[Sale Price]]</f>
        <v>13815</v>
      </c>
      <c r="L183" s="20">
        <f>Store[[#This Row],[Gross Sales]]-Store[[#This Row],[Discount]]</f>
        <v>13815</v>
      </c>
      <c r="M183" s="20">
        <f>Store[[#This Row],[Sales]]-Store[[#This Row],[COGS]]</f>
        <v>4605</v>
      </c>
    </row>
    <row r="184" spans="1:13" x14ac:dyDescent="0.25">
      <c r="A184" t="s">
        <v>50</v>
      </c>
      <c r="B184" t="s">
        <v>42</v>
      </c>
      <c r="C184" s="18" t="s">
        <v>43</v>
      </c>
      <c r="D184" s="19">
        <v>44365</v>
      </c>
      <c r="E184">
        <v>2518</v>
      </c>
      <c r="F184" s="16">
        <v>5</v>
      </c>
      <c r="G184" s="16">
        <v>12</v>
      </c>
      <c r="H184" s="16">
        <v>7554</v>
      </c>
      <c r="I184" s="16">
        <v>0</v>
      </c>
      <c r="J184" s="14" t="s">
        <v>44</v>
      </c>
      <c r="K184" s="20">
        <f>Store[[#This Row],[Quantity]]*Store[[#This Row],[Sale Price]]</f>
        <v>30216</v>
      </c>
      <c r="L184" s="20">
        <f>Store[[#This Row],[Gross Sales]]-Store[[#This Row],[Discount]]</f>
        <v>30216</v>
      </c>
      <c r="M184" s="20">
        <f>Store[[#This Row],[Sales]]-Store[[#This Row],[COGS]]</f>
        <v>22662</v>
      </c>
    </row>
    <row r="185" spans="1:13" x14ac:dyDescent="0.25">
      <c r="A185" t="s">
        <v>49</v>
      </c>
      <c r="B185" t="s">
        <v>58</v>
      </c>
      <c r="C185" s="18" t="s">
        <v>43</v>
      </c>
      <c r="D185" s="19">
        <v>44360</v>
      </c>
      <c r="E185">
        <v>1899</v>
      </c>
      <c r="F185" s="16">
        <v>5</v>
      </c>
      <c r="G185" s="16">
        <v>20</v>
      </c>
      <c r="H185" s="16">
        <v>18990</v>
      </c>
      <c r="I185" s="16">
        <v>0</v>
      </c>
      <c r="J185" s="14" t="s">
        <v>44</v>
      </c>
      <c r="K185" s="20">
        <f>Store[[#This Row],[Quantity]]*Store[[#This Row],[Sale Price]]</f>
        <v>37980</v>
      </c>
      <c r="L185" s="20">
        <f>Store[[#This Row],[Gross Sales]]-Store[[#This Row],[Discount]]</f>
        <v>37980</v>
      </c>
      <c r="M185" s="20">
        <f>Store[[#This Row],[Sales]]-Store[[#This Row],[COGS]]</f>
        <v>18990</v>
      </c>
    </row>
    <row r="186" spans="1:13" x14ac:dyDescent="0.25">
      <c r="A186" t="s">
        <v>50</v>
      </c>
      <c r="B186" t="s">
        <v>56</v>
      </c>
      <c r="C186" s="18" t="s">
        <v>43</v>
      </c>
      <c r="D186" s="19">
        <v>44350</v>
      </c>
      <c r="E186">
        <v>1545</v>
      </c>
      <c r="F186" s="16">
        <v>5</v>
      </c>
      <c r="G186" s="16">
        <v>12</v>
      </c>
      <c r="H186" s="16">
        <v>4635</v>
      </c>
      <c r="I186" s="16">
        <v>0</v>
      </c>
      <c r="J186" s="14" t="s">
        <v>44</v>
      </c>
      <c r="K186" s="20">
        <f>Store[[#This Row],[Quantity]]*Store[[#This Row],[Sale Price]]</f>
        <v>18540</v>
      </c>
      <c r="L186" s="20">
        <f>Store[[#This Row],[Gross Sales]]-Store[[#This Row],[Discount]]</f>
        <v>18540</v>
      </c>
      <c r="M186" s="20">
        <f>Store[[#This Row],[Sales]]-Store[[#This Row],[COGS]]</f>
        <v>13905</v>
      </c>
    </row>
    <row r="187" spans="1:13" x14ac:dyDescent="0.25">
      <c r="A187" t="s">
        <v>45</v>
      </c>
      <c r="B187" t="s">
        <v>48</v>
      </c>
      <c r="C187" s="18" t="s">
        <v>43</v>
      </c>
      <c r="D187" s="19">
        <v>44372</v>
      </c>
      <c r="E187">
        <v>2470</v>
      </c>
      <c r="F187" s="16">
        <v>5</v>
      </c>
      <c r="G187" s="16">
        <v>15</v>
      </c>
      <c r="H187" s="16">
        <v>24700</v>
      </c>
      <c r="I187" s="16">
        <v>0</v>
      </c>
      <c r="J187" s="14" t="s">
        <v>44</v>
      </c>
      <c r="K187" s="20">
        <f>Store[[#This Row],[Quantity]]*Store[[#This Row],[Sale Price]]</f>
        <v>37050</v>
      </c>
      <c r="L187" s="20">
        <f>Store[[#This Row],[Gross Sales]]-Store[[#This Row],[Discount]]</f>
        <v>37050</v>
      </c>
      <c r="M187" s="20">
        <f>Store[[#This Row],[Sales]]-Store[[#This Row],[COGS]]</f>
        <v>12350</v>
      </c>
    </row>
    <row r="188" spans="1:13" x14ac:dyDescent="0.25">
      <c r="A188" t="s">
        <v>41</v>
      </c>
      <c r="B188" t="s">
        <v>42</v>
      </c>
      <c r="C188" s="18" t="s">
        <v>43</v>
      </c>
      <c r="D188" s="19">
        <v>44401</v>
      </c>
      <c r="E188">
        <v>2665.5</v>
      </c>
      <c r="F188" s="16">
        <v>5</v>
      </c>
      <c r="G188" s="16">
        <v>125</v>
      </c>
      <c r="H188" s="16">
        <v>319860</v>
      </c>
      <c r="I188" s="16">
        <v>0</v>
      </c>
      <c r="J188" s="14" t="s">
        <v>44</v>
      </c>
      <c r="K188" s="20">
        <f>Store[[#This Row],[Quantity]]*Store[[#This Row],[Sale Price]]</f>
        <v>333187.5</v>
      </c>
      <c r="L188" s="20">
        <f>Store[[#This Row],[Gross Sales]]-Store[[#This Row],[Discount]]</f>
        <v>333187.5</v>
      </c>
      <c r="M188" s="20">
        <f>Store[[#This Row],[Sales]]-Store[[#This Row],[COGS]]</f>
        <v>13327.5</v>
      </c>
    </row>
    <row r="189" spans="1:13" x14ac:dyDescent="0.25">
      <c r="A189" t="s">
        <v>47</v>
      </c>
      <c r="B189" t="s">
        <v>48</v>
      </c>
      <c r="C189" s="18" t="s">
        <v>43</v>
      </c>
      <c r="D189" s="19">
        <v>44409</v>
      </c>
      <c r="E189">
        <v>958</v>
      </c>
      <c r="F189" s="16">
        <v>5</v>
      </c>
      <c r="G189" s="16">
        <v>300</v>
      </c>
      <c r="H189" s="16">
        <v>239500</v>
      </c>
      <c r="I189" s="16">
        <v>0</v>
      </c>
      <c r="J189" s="14" t="s">
        <v>44</v>
      </c>
      <c r="K189" s="20">
        <f>Store[[#This Row],[Quantity]]*Store[[#This Row],[Sale Price]]</f>
        <v>287400</v>
      </c>
      <c r="L189" s="20">
        <f>Store[[#This Row],[Gross Sales]]-Store[[#This Row],[Discount]]</f>
        <v>287400</v>
      </c>
      <c r="M189" s="20">
        <f>Store[[#This Row],[Sales]]-Store[[#This Row],[COGS]]</f>
        <v>47900</v>
      </c>
    </row>
    <row r="190" spans="1:13" x14ac:dyDescent="0.25">
      <c r="A190" t="s">
        <v>49</v>
      </c>
      <c r="B190" t="s">
        <v>56</v>
      </c>
      <c r="C190" s="18" t="s">
        <v>43</v>
      </c>
      <c r="D190" s="19">
        <v>44454</v>
      </c>
      <c r="E190">
        <v>2146</v>
      </c>
      <c r="F190" s="16">
        <v>5</v>
      </c>
      <c r="G190" s="16">
        <v>7</v>
      </c>
      <c r="H190" s="16">
        <v>10730</v>
      </c>
      <c r="I190" s="16">
        <v>0</v>
      </c>
      <c r="J190" s="14" t="s">
        <v>44</v>
      </c>
      <c r="K190" s="20">
        <f>Store[[#This Row],[Quantity]]*Store[[#This Row],[Sale Price]]</f>
        <v>15022</v>
      </c>
      <c r="L190" s="20">
        <f>Store[[#This Row],[Gross Sales]]-Store[[#This Row],[Discount]]</f>
        <v>15022</v>
      </c>
      <c r="M190" s="20">
        <f>Store[[#This Row],[Sales]]-Store[[#This Row],[COGS]]</f>
        <v>4292</v>
      </c>
    </row>
    <row r="191" spans="1:13" x14ac:dyDescent="0.25">
      <c r="A191" t="s">
        <v>45</v>
      </c>
      <c r="B191" t="s">
        <v>51</v>
      </c>
      <c r="C191" s="18" t="s">
        <v>43</v>
      </c>
      <c r="D191" s="19">
        <v>44534</v>
      </c>
      <c r="E191">
        <v>615</v>
      </c>
      <c r="F191" s="16">
        <v>5</v>
      </c>
      <c r="G191" s="16">
        <v>15</v>
      </c>
      <c r="H191" s="16">
        <v>6150</v>
      </c>
      <c r="I191" s="16">
        <v>0</v>
      </c>
      <c r="J191" s="14" t="s">
        <v>44</v>
      </c>
      <c r="K191" s="20">
        <f>Store[[#This Row],[Quantity]]*Store[[#This Row],[Sale Price]]</f>
        <v>9225</v>
      </c>
      <c r="L191" s="20">
        <f>Store[[#This Row],[Gross Sales]]-Store[[#This Row],[Discount]]</f>
        <v>9225</v>
      </c>
      <c r="M191" s="20">
        <f>Store[[#This Row],[Sales]]-Store[[#This Row],[COGS]]</f>
        <v>3075</v>
      </c>
    </row>
    <row r="192" spans="1:13" x14ac:dyDescent="0.25">
      <c r="A192" t="s">
        <v>49</v>
      </c>
      <c r="B192" t="s">
        <v>42</v>
      </c>
      <c r="C192" s="18" t="s">
        <v>46</v>
      </c>
      <c r="D192" s="19">
        <v>44248</v>
      </c>
      <c r="E192">
        <v>292</v>
      </c>
      <c r="F192" s="16">
        <v>10</v>
      </c>
      <c r="G192" s="16">
        <v>20</v>
      </c>
      <c r="H192" s="16">
        <v>2920</v>
      </c>
      <c r="I192" s="16">
        <v>0</v>
      </c>
      <c r="J192" s="14" t="s">
        <v>44</v>
      </c>
      <c r="K192" s="20">
        <f>Store[[#This Row],[Quantity]]*Store[[#This Row],[Sale Price]]</f>
        <v>5840</v>
      </c>
      <c r="L192" s="20">
        <f>Store[[#This Row],[Gross Sales]]-Store[[#This Row],[Discount]]</f>
        <v>5840</v>
      </c>
      <c r="M192" s="20">
        <f>Store[[#This Row],[Sales]]-Store[[#This Row],[COGS]]</f>
        <v>2920</v>
      </c>
    </row>
    <row r="193" spans="1:13" x14ac:dyDescent="0.25">
      <c r="A193" t="s">
        <v>45</v>
      </c>
      <c r="B193" t="s">
        <v>48</v>
      </c>
      <c r="C193" s="18" t="s">
        <v>46</v>
      </c>
      <c r="D193" s="19">
        <v>44249</v>
      </c>
      <c r="E193">
        <v>974</v>
      </c>
      <c r="F193" s="16">
        <v>10</v>
      </c>
      <c r="G193" s="16">
        <v>15</v>
      </c>
      <c r="H193" s="16">
        <v>9740</v>
      </c>
      <c r="I193" s="16">
        <v>0</v>
      </c>
      <c r="J193" s="14" t="s">
        <v>44</v>
      </c>
      <c r="K193" s="20">
        <f>Store[[#This Row],[Quantity]]*Store[[#This Row],[Sale Price]]</f>
        <v>14610</v>
      </c>
      <c r="L193" s="20">
        <f>Store[[#This Row],[Gross Sales]]-Store[[#This Row],[Discount]]</f>
        <v>14610</v>
      </c>
      <c r="M193" s="20">
        <f>Store[[#This Row],[Sales]]-Store[[#This Row],[COGS]]</f>
        <v>4870</v>
      </c>
    </row>
    <row r="194" spans="1:13" x14ac:dyDescent="0.25">
      <c r="A194" t="s">
        <v>50</v>
      </c>
      <c r="B194" t="s">
        <v>42</v>
      </c>
      <c r="C194" s="18" t="s">
        <v>46</v>
      </c>
      <c r="D194" s="19">
        <v>44365</v>
      </c>
      <c r="E194">
        <v>2518</v>
      </c>
      <c r="F194" s="16">
        <v>10</v>
      </c>
      <c r="G194" s="16">
        <v>12</v>
      </c>
      <c r="H194" s="16">
        <v>7554</v>
      </c>
      <c r="I194" s="16">
        <v>0</v>
      </c>
      <c r="J194" s="14" t="s">
        <v>44</v>
      </c>
      <c r="K194" s="20">
        <f>Store[[#This Row],[Quantity]]*Store[[#This Row],[Sale Price]]</f>
        <v>30216</v>
      </c>
      <c r="L194" s="20">
        <f>Store[[#This Row],[Gross Sales]]-Store[[#This Row],[Discount]]</f>
        <v>30216</v>
      </c>
      <c r="M194" s="20">
        <f>Store[[#This Row],[Sales]]-Store[[#This Row],[COGS]]</f>
        <v>22662</v>
      </c>
    </row>
    <row r="195" spans="1:13" x14ac:dyDescent="0.25">
      <c r="A195" t="s">
        <v>49</v>
      </c>
      <c r="B195" t="s">
        <v>56</v>
      </c>
      <c r="C195" s="18" t="s">
        <v>46</v>
      </c>
      <c r="D195" s="19">
        <v>44354</v>
      </c>
      <c r="E195">
        <v>1006</v>
      </c>
      <c r="F195" s="16">
        <v>10</v>
      </c>
      <c r="G195" s="16">
        <v>350</v>
      </c>
      <c r="H195" s="16">
        <v>261560</v>
      </c>
      <c r="I195" s="16">
        <v>0</v>
      </c>
      <c r="J195" s="14" t="s">
        <v>44</v>
      </c>
      <c r="K195" s="20">
        <f>Store[[#This Row],[Quantity]]*Store[[#This Row],[Sale Price]]</f>
        <v>352100</v>
      </c>
      <c r="L195" s="20">
        <f>Store[[#This Row],[Gross Sales]]-Store[[#This Row],[Discount]]</f>
        <v>352100</v>
      </c>
      <c r="M195" s="20">
        <f>Store[[#This Row],[Sales]]-Store[[#This Row],[COGS]]</f>
        <v>90540</v>
      </c>
    </row>
    <row r="196" spans="1:13" x14ac:dyDescent="0.25">
      <c r="A196" t="s">
        <v>50</v>
      </c>
      <c r="B196" t="s">
        <v>56</v>
      </c>
      <c r="C196" s="18" t="s">
        <v>46</v>
      </c>
      <c r="D196" s="19">
        <v>44407</v>
      </c>
      <c r="E196">
        <v>367</v>
      </c>
      <c r="F196" s="16">
        <v>10</v>
      </c>
      <c r="G196" s="16">
        <v>12</v>
      </c>
      <c r="H196" s="16">
        <v>1101</v>
      </c>
      <c r="I196" s="16">
        <v>0</v>
      </c>
      <c r="J196" s="14" t="s">
        <v>44</v>
      </c>
      <c r="K196" s="20">
        <f>Store[[#This Row],[Quantity]]*Store[[#This Row],[Sale Price]]</f>
        <v>4404</v>
      </c>
      <c r="L196" s="20">
        <f>Store[[#This Row],[Gross Sales]]-Store[[#This Row],[Discount]]</f>
        <v>4404</v>
      </c>
      <c r="M196" s="20">
        <f>Store[[#This Row],[Sales]]-Store[[#This Row],[COGS]]</f>
        <v>3303</v>
      </c>
    </row>
    <row r="197" spans="1:13" x14ac:dyDescent="0.25">
      <c r="A197" t="s">
        <v>49</v>
      </c>
      <c r="B197" t="s">
        <v>48</v>
      </c>
      <c r="C197" s="18" t="s">
        <v>46</v>
      </c>
      <c r="D197" s="19">
        <v>44421</v>
      </c>
      <c r="E197">
        <v>883</v>
      </c>
      <c r="F197" s="16">
        <v>10</v>
      </c>
      <c r="G197" s="16">
        <v>7</v>
      </c>
      <c r="H197" s="16">
        <v>4415</v>
      </c>
      <c r="I197" s="16">
        <v>0</v>
      </c>
      <c r="J197" s="14" t="s">
        <v>44</v>
      </c>
      <c r="K197" s="20">
        <f>Store[[#This Row],[Quantity]]*Store[[#This Row],[Sale Price]]</f>
        <v>6181</v>
      </c>
      <c r="L197" s="20">
        <f>Store[[#This Row],[Gross Sales]]-Store[[#This Row],[Discount]]</f>
        <v>6181</v>
      </c>
      <c r="M197" s="20">
        <f>Store[[#This Row],[Sales]]-Store[[#This Row],[COGS]]</f>
        <v>1766</v>
      </c>
    </row>
    <row r="198" spans="1:13" x14ac:dyDescent="0.25">
      <c r="A198" t="s">
        <v>45</v>
      </c>
      <c r="B198" t="s">
        <v>48</v>
      </c>
      <c r="C198" s="18" t="s">
        <v>46</v>
      </c>
      <c r="D198" s="19">
        <v>44443</v>
      </c>
      <c r="E198">
        <v>2472</v>
      </c>
      <c r="F198" s="16">
        <v>10</v>
      </c>
      <c r="G198" s="16">
        <v>15</v>
      </c>
      <c r="H198" s="16">
        <v>24720</v>
      </c>
      <c r="I198" s="16">
        <v>0</v>
      </c>
      <c r="J198" s="14" t="s">
        <v>44</v>
      </c>
      <c r="K198" s="20">
        <f>Store[[#This Row],[Quantity]]*Store[[#This Row],[Sale Price]]</f>
        <v>37080</v>
      </c>
      <c r="L198" s="20">
        <f>Store[[#This Row],[Gross Sales]]-Store[[#This Row],[Discount]]</f>
        <v>37080</v>
      </c>
      <c r="M198" s="20">
        <f>Store[[#This Row],[Sales]]-Store[[#This Row],[COGS]]</f>
        <v>12360</v>
      </c>
    </row>
    <row r="199" spans="1:13" x14ac:dyDescent="0.25">
      <c r="A199" t="s">
        <v>49</v>
      </c>
      <c r="B199" t="s">
        <v>51</v>
      </c>
      <c r="C199" s="18" t="s">
        <v>46</v>
      </c>
      <c r="D199" s="19">
        <v>44496</v>
      </c>
      <c r="E199">
        <v>1143</v>
      </c>
      <c r="F199" s="16">
        <v>10</v>
      </c>
      <c r="G199" s="16">
        <v>7</v>
      </c>
      <c r="H199" s="16">
        <v>5715</v>
      </c>
      <c r="I199" s="16">
        <v>0</v>
      </c>
      <c r="J199" s="14" t="s">
        <v>44</v>
      </c>
      <c r="K199" s="20">
        <f>Store[[#This Row],[Quantity]]*Store[[#This Row],[Sale Price]]</f>
        <v>8001</v>
      </c>
      <c r="L199" s="20">
        <f>Store[[#This Row],[Gross Sales]]-Store[[#This Row],[Discount]]</f>
        <v>8001</v>
      </c>
      <c r="M199" s="20">
        <f>Store[[#This Row],[Sales]]-Store[[#This Row],[COGS]]</f>
        <v>2286</v>
      </c>
    </row>
    <row r="200" spans="1:13" x14ac:dyDescent="0.25">
      <c r="A200" t="s">
        <v>49</v>
      </c>
      <c r="B200" t="s">
        <v>42</v>
      </c>
      <c r="C200" s="18" t="s">
        <v>46</v>
      </c>
      <c r="D200" s="19">
        <v>44542</v>
      </c>
      <c r="E200">
        <v>1817</v>
      </c>
      <c r="F200" s="16">
        <v>10</v>
      </c>
      <c r="G200" s="16">
        <v>20</v>
      </c>
      <c r="H200" s="16">
        <v>18170</v>
      </c>
      <c r="I200" s="16">
        <v>0</v>
      </c>
      <c r="J200" s="14" t="s">
        <v>44</v>
      </c>
      <c r="K200" s="20">
        <f>Store[[#This Row],[Quantity]]*Store[[#This Row],[Sale Price]]</f>
        <v>36340</v>
      </c>
      <c r="L200" s="20">
        <f>Store[[#This Row],[Gross Sales]]-Store[[#This Row],[Discount]]</f>
        <v>36340</v>
      </c>
      <c r="M200" s="20">
        <f>Store[[#This Row],[Sales]]-Store[[#This Row],[COGS]]</f>
        <v>18170</v>
      </c>
    </row>
    <row r="201" spans="1:13" x14ac:dyDescent="0.25">
      <c r="A201" t="s">
        <v>49</v>
      </c>
      <c r="B201" t="s">
        <v>56</v>
      </c>
      <c r="C201" s="18" t="s">
        <v>46</v>
      </c>
      <c r="D201" s="19">
        <v>44542</v>
      </c>
      <c r="E201">
        <v>1513</v>
      </c>
      <c r="F201" s="16">
        <v>10</v>
      </c>
      <c r="G201" s="16">
        <v>350</v>
      </c>
      <c r="H201" s="16">
        <v>393380</v>
      </c>
      <c r="I201" s="16">
        <v>0</v>
      </c>
      <c r="J201" s="14" t="s">
        <v>44</v>
      </c>
      <c r="K201" s="20">
        <f>Store[[#This Row],[Quantity]]*Store[[#This Row],[Sale Price]]</f>
        <v>529550</v>
      </c>
      <c r="L201" s="20">
        <f>Store[[#This Row],[Gross Sales]]-Store[[#This Row],[Discount]]</f>
        <v>529550</v>
      </c>
      <c r="M201" s="20">
        <f>Store[[#This Row],[Sales]]-Store[[#This Row],[COGS]]</f>
        <v>136170</v>
      </c>
    </row>
    <row r="202" spans="1:13" x14ac:dyDescent="0.25">
      <c r="A202" t="s">
        <v>49</v>
      </c>
      <c r="B202" t="s">
        <v>48</v>
      </c>
      <c r="C202" s="18" t="s">
        <v>52</v>
      </c>
      <c r="D202" s="19">
        <v>44204</v>
      </c>
      <c r="E202">
        <v>1493</v>
      </c>
      <c r="F202" s="16">
        <v>120</v>
      </c>
      <c r="G202" s="16">
        <v>7</v>
      </c>
      <c r="H202" s="16">
        <v>7465</v>
      </c>
      <c r="I202" s="16">
        <v>0</v>
      </c>
      <c r="J202" s="14" t="s">
        <v>44</v>
      </c>
      <c r="K202" s="20">
        <f>Store[[#This Row],[Quantity]]*Store[[#This Row],[Sale Price]]</f>
        <v>10451</v>
      </c>
      <c r="L202" s="20">
        <f>Store[[#This Row],[Gross Sales]]-Store[[#This Row],[Discount]]</f>
        <v>10451</v>
      </c>
      <c r="M202" s="20">
        <f>Store[[#This Row],[Sales]]-Store[[#This Row],[COGS]]</f>
        <v>2986</v>
      </c>
    </row>
    <row r="203" spans="1:13" x14ac:dyDescent="0.25">
      <c r="A203" t="s">
        <v>41</v>
      </c>
      <c r="B203" t="s">
        <v>58</v>
      </c>
      <c r="C203" s="18" t="s">
        <v>52</v>
      </c>
      <c r="D203" s="19">
        <v>44250</v>
      </c>
      <c r="E203">
        <v>1804</v>
      </c>
      <c r="F203" s="16">
        <v>120</v>
      </c>
      <c r="G203" s="16">
        <v>125</v>
      </c>
      <c r="H203" s="16">
        <v>216480</v>
      </c>
      <c r="I203" s="16">
        <v>0</v>
      </c>
      <c r="J203" s="14" t="s">
        <v>44</v>
      </c>
      <c r="K203" s="20">
        <f>Store[[#This Row],[Quantity]]*Store[[#This Row],[Sale Price]]</f>
        <v>225500</v>
      </c>
      <c r="L203" s="20">
        <f>Store[[#This Row],[Gross Sales]]-Store[[#This Row],[Discount]]</f>
        <v>225500</v>
      </c>
      <c r="M203" s="20">
        <f>Store[[#This Row],[Sales]]-Store[[#This Row],[COGS]]</f>
        <v>9020</v>
      </c>
    </row>
    <row r="204" spans="1:13" x14ac:dyDescent="0.25">
      <c r="A204" t="s">
        <v>50</v>
      </c>
      <c r="B204" t="s">
        <v>56</v>
      </c>
      <c r="C204" s="18" t="s">
        <v>52</v>
      </c>
      <c r="D204" s="19">
        <v>44285</v>
      </c>
      <c r="E204">
        <v>2161</v>
      </c>
      <c r="F204" s="16">
        <v>120</v>
      </c>
      <c r="G204" s="16">
        <v>12</v>
      </c>
      <c r="H204" s="16">
        <v>6483</v>
      </c>
      <c r="I204" s="16">
        <v>0</v>
      </c>
      <c r="J204" s="14" t="s">
        <v>44</v>
      </c>
      <c r="K204" s="20">
        <f>Store[[#This Row],[Quantity]]*Store[[#This Row],[Sale Price]]</f>
        <v>25932</v>
      </c>
      <c r="L204" s="20">
        <f>Store[[#This Row],[Gross Sales]]-Store[[#This Row],[Discount]]</f>
        <v>25932</v>
      </c>
      <c r="M204" s="20">
        <f>Store[[#This Row],[Sales]]-Store[[#This Row],[COGS]]</f>
        <v>19449</v>
      </c>
    </row>
    <row r="205" spans="1:13" x14ac:dyDescent="0.25">
      <c r="A205" t="s">
        <v>49</v>
      </c>
      <c r="B205" t="s">
        <v>56</v>
      </c>
      <c r="C205" s="18" t="s">
        <v>52</v>
      </c>
      <c r="D205" s="19">
        <v>44348</v>
      </c>
      <c r="E205">
        <v>1006</v>
      </c>
      <c r="F205" s="16">
        <v>120</v>
      </c>
      <c r="G205" s="16">
        <v>350</v>
      </c>
      <c r="H205" s="16">
        <v>261560</v>
      </c>
      <c r="I205" s="16">
        <v>0</v>
      </c>
      <c r="J205" s="14" t="s">
        <v>44</v>
      </c>
      <c r="K205" s="20">
        <f>Store[[#This Row],[Quantity]]*Store[[#This Row],[Sale Price]]</f>
        <v>352100</v>
      </c>
      <c r="L205" s="20">
        <f>Store[[#This Row],[Gross Sales]]-Store[[#This Row],[Discount]]</f>
        <v>352100</v>
      </c>
      <c r="M205" s="20">
        <f>Store[[#This Row],[Sales]]-Store[[#This Row],[COGS]]</f>
        <v>90540</v>
      </c>
    </row>
    <row r="206" spans="1:13" x14ac:dyDescent="0.25">
      <c r="A206" t="s">
        <v>50</v>
      </c>
      <c r="B206" t="s">
        <v>56</v>
      </c>
      <c r="C206" s="18" t="s">
        <v>52</v>
      </c>
      <c r="D206" s="19">
        <v>44350</v>
      </c>
      <c r="E206">
        <v>1545</v>
      </c>
      <c r="F206" s="16">
        <v>120</v>
      </c>
      <c r="G206" s="16">
        <v>12</v>
      </c>
      <c r="H206" s="16">
        <v>4635</v>
      </c>
      <c r="I206" s="16">
        <v>0</v>
      </c>
      <c r="J206" s="14" t="s">
        <v>44</v>
      </c>
      <c r="K206" s="20">
        <f>Store[[#This Row],[Quantity]]*Store[[#This Row],[Sale Price]]</f>
        <v>18540</v>
      </c>
      <c r="L206" s="20">
        <f>Store[[#This Row],[Gross Sales]]-Store[[#This Row],[Discount]]</f>
        <v>18540</v>
      </c>
      <c r="M206" s="20">
        <f>Store[[#This Row],[Sales]]-Store[[#This Row],[COGS]]</f>
        <v>13905</v>
      </c>
    </row>
    <row r="207" spans="1:13" x14ac:dyDescent="0.25">
      <c r="A207" t="s">
        <v>41</v>
      </c>
      <c r="B207" t="s">
        <v>51</v>
      </c>
      <c r="C207" s="18" t="s">
        <v>52</v>
      </c>
      <c r="D207" s="19">
        <v>44422</v>
      </c>
      <c r="E207">
        <v>2821</v>
      </c>
      <c r="F207" s="16">
        <v>120</v>
      </c>
      <c r="G207" s="16">
        <v>125</v>
      </c>
      <c r="H207" s="16">
        <v>338520</v>
      </c>
      <c r="I207" s="16">
        <v>0</v>
      </c>
      <c r="J207" s="14" t="s">
        <v>44</v>
      </c>
      <c r="K207" s="20">
        <f>Store[[#This Row],[Quantity]]*Store[[#This Row],[Sale Price]]</f>
        <v>352625</v>
      </c>
      <c r="L207" s="20">
        <f>Store[[#This Row],[Gross Sales]]-Store[[#This Row],[Discount]]</f>
        <v>352625</v>
      </c>
      <c r="M207" s="20">
        <f>Store[[#This Row],[Sales]]-Store[[#This Row],[COGS]]</f>
        <v>14105</v>
      </c>
    </row>
    <row r="208" spans="1:13" x14ac:dyDescent="0.25">
      <c r="A208" t="s">
        <v>47</v>
      </c>
      <c r="B208" t="s">
        <v>42</v>
      </c>
      <c r="C208" s="18" t="s">
        <v>53</v>
      </c>
      <c r="D208" s="19">
        <v>44241</v>
      </c>
      <c r="E208">
        <v>2001</v>
      </c>
      <c r="F208" s="16">
        <v>250</v>
      </c>
      <c r="G208" s="16">
        <v>300</v>
      </c>
      <c r="H208" s="16">
        <v>500250</v>
      </c>
      <c r="I208" s="16">
        <v>0</v>
      </c>
      <c r="J208" s="14" t="s">
        <v>44</v>
      </c>
      <c r="K208" s="20">
        <f>Store[[#This Row],[Quantity]]*Store[[#This Row],[Sale Price]]</f>
        <v>600300</v>
      </c>
      <c r="L208" s="20">
        <f>Store[[#This Row],[Gross Sales]]-Store[[#This Row],[Discount]]</f>
        <v>600300</v>
      </c>
      <c r="M208" s="20">
        <f>Store[[#This Row],[Sales]]-Store[[#This Row],[COGS]]</f>
        <v>100050</v>
      </c>
    </row>
    <row r="209" spans="1:13" x14ac:dyDescent="0.25">
      <c r="A209" t="s">
        <v>50</v>
      </c>
      <c r="B209" t="s">
        <v>56</v>
      </c>
      <c r="C209" s="18" t="s">
        <v>53</v>
      </c>
      <c r="D209" s="19">
        <v>44308</v>
      </c>
      <c r="E209">
        <v>2838</v>
      </c>
      <c r="F209" s="16">
        <v>250</v>
      </c>
      <c r="G209" s="16">
        <v>12</v>
      </c>
      <c r="H209" s="16">
        <v>8514</v>
      </c>
      <c r="I209" s="16">
        <v>0</v>
      </c>
      <c r="J209" s="14" t="s">
        <v>44</v>
      </c>
      <c r="K209" s="20">
        <f>Store[[#This Row],[Quantity]]*Store[[#This Row],[Sale Price]]</f>
        <v>34056</v>
      </c>
      <c r="L209" s="20">
        <f>Store[[#This Row],[Gross Sales]]-Store[[#This Row],[Discount]]</f>
        <v>34056</v>
      </c>
      <c r="M209" s="20">
        <f>Store[[#This Row],[Sales]]-Store[[#This Row],[COGS]]</f>
        <v>25542</v>
      </c>
    </row>
    <row r="210" spans="1:13" x14ac:dyDescent="0.25">
      <c r="A210" t="s">
        <v>45</v>
      </c>
      <c r="B210" t="s">
        <v>58</v>
      </c>
      <c r="C210" s="18" t="s">
        <v>53</v>
      </c>
      <c r="D210" s="19">
        <v>44353</v>
      </c>
      <c r="E210">
        <v>2178</v>
      </c>
      <c r="F210" s="16">
        <v>250</v>
      </c>
      <c r="G210" s="16">
        <v>15</v>
      </c>
      <c r="H210" s="16">
        <v>21780</v>
      </c>
      <c r="I210" s="16">
        <v>0</v>
      </c>
      <c r="J210" s="14" t="s">
        <v>44</v>
      </c>
      <c r="K210" s="20">
        <f>Store[[#This Row],[Quantity]]*Store[[#This Row],[Sale Price]]</f>
        <v>32670</v>
      </c>
      <c r="L210" s="20">
        <f>Store[[#This Row],[Gross Sales]]-Store[[#This Row],[Discount]]</f>
        <v>32670</v>
      </c>
      <c r="M210" s="20">
        <f>Store[[#This Row],[Sales]]-Store[[#This Row],[COGS]]</f>
        <v>10890</v>
      </c>
    </row>
    <row r="211" spans="1:13" x14ac:dyDescent="0.25">
      <c r="A211" t="s">
        <v>45</v>
      </c>
      <c r="B211" t="s">
        <v>56</v>
      </c>
      <c r="C211" s="18" t="s">
        <v>53</v>
      </c>
      <c r="D211" s="19">
        <v>44350</v>
      </c>
      <c r="E211">
        <v>888</v>
      </c>
      <c r="F211" s="16">
        <v>250</v>
      </c>
      <c r="G211" s="16">
        <v>15</v>
      </c>
      <c r="H211" s="16">
        <v>8880</v>
      </c>
      <c r="I211" s="16">
        <v>0</v>
      </c>
      <c r="J211" s="14" t="s">
        <v>44</v>
      </c>
      <c r="K211" s="20">
        <f>Store[[#This Row],[Quantity]]*Store[[#This Row],[Sale Price]]</f>
        <v>13320</v>
      </c>
      <c r="L211" s="20">
        <f>Store[[#This Row],[Gross Sales]]-Store[[#This Row],[Discount]]</f>
        <v>13320</v>
      </c>
      <c r="M211" s="20">
        <f>Store[[#This Row],[Sales]]-Store[[#This Row],[COGS]]</f>
        <v>4440</v>
      </c>
    </row>
    <row r="212" spans="1:13" x14ac:dyDescent="0.25">
      <c r="A212" t="s">
        <v>47</v>
      </c>
      <c r="B212" t="s">
        <v>58</v>
      </c>
      <c r="C212" s="18" t="s">
        <v>53</v>
      </c>
      <c r="D212" s="19">
        <v>44458</v>
      </c>
      <c r="E212">
        <v>2151</v>
      </c>
      <c r="F212" s="16">
        <v>250</v>
      </c>
      <c r="G212" s="16">
        <v>300</v>
      </c>
      <c r="H212" s="16">
        <v>537750</v>
      </c>
      <c r="I212" s="16">
        <v>0</v>
      </c>
      <c r="J212" s="14" t="s">
        <v>44</v>
      </c>
      <c r="K212" s="20">
        <f>Store[[#This Row],[Quantity]]*Store[[#This Row],[Sale Price]]</f>
        <v>645300</v>
      </c>
      <c r="L212" s="20">
        <f>Store[[#This Row],[Gross Sales]]-Store[[#This Row],[Discount]]</f>
        <v>645300</v>
      </c>
      <c r="M212" s="20">
        <f>Store[[#This Row],[Sales]]-Store[[#This Row],[COGS]]</f>
        <v>107550</v>
      </c>
    </row>
    <row r="213" spans="1:13" x14ac:dyDescent="0.25">
      <c r="A213" t="s">
        <v>49</v>
      </c>
      <c r="B213" t="s">
        <v>42</v>
      </c>
      <c r="C213" s="18" t="s">
        <v>53</v>
      </c>
      <c r="D213" s="19">
        <v>44557</v>
      </c>
      <c r="E213">
        <v>1817</v>
      </c>
      <c r="F213" s="16">
        <v>250</v>
      </c>
      <c r="G213" s="16">
        <v>20</v>
      </c>
      <c r="H213" s="16">
        <v>18170</v>
      </c>
      <c r="I213" s="16">
        <v>0</v>
      </c>
      <c r="J213" s="14" t="s">
        <v>44</v>
      </c>
      <c r="K213" s="20">
        <f>Store[[#This Row],[Quantity]]*Store[[#This Row],[Sale Price]]</f>
        <v>36340</v>
      </c>
      <c r="L213" s="20">
        <f>Store[[#This Row],[Gross Sales]]-Store[[#This Row],[Discount]]</f>
        <v>36340</v>
      </c>
      <c r="M213" s="20">
        <f>Store[[#This Row],[Sales]]-Store[[#This Row],[COGS]]</f>
        <v>18170</v>
      </c>
    </row>
    <row r="214" spans="1:13" x14ac:dyDescent="0.25">
      <c r="A214" t="s">
        <v>49</v>
      </c>
      <c r="B214" t="s">
        <v>58</v>
      </c>
      <c r="C214" s="18" t="s">
        <v>57</v>
      </c>
      <c r="D214" s="19">
        <v>44242</v>
      </c>
      <c r="E214">
        <v>2750</v>
      </c>
      <c r="F214" s="16">
        <v>260</v>
      </c>
      <c r="G214" s="16">
        <v>350</v>
      </c>
      <c r="H214" s="16">
        <v>715000</v>
      </c>
      <c r="I214" s="16">
        <v>0</v>
      </c>
      <c r="J214" s="14" t="s">
        <v>44</v>
      </c>
      <c r="K214" s="20">
        <f>Store[[#This Row],[Quantity]]*Store[[#This Row],[Sale Price]]</f>
        <v>962500</v>
      </c>
      <c r="L214" s="20">
        <f>Store[[#This Row],[Gross Sales]]-Store[[#This Row],[Discount]]</f>
        <v>962500</v>
      </c>
      <c r="M214" s="20">
        <f>Store[[#This Row],[Sales]]-Store[[#This Row],[COGS]]</f>
        <v>247500</v>
      </c>
    </row>
    <row r="215" spans="1:13" x14ac:dyDescent="0.25">
      <c r="A215" t="s">
        <v>50</v>
      </c>
      <c r="B215" t="s">
        <v>51</v>
      </c>
      <c r="C215" s="18" t="s">
        <v>57</v>
      </c>
      <c r="D215" s="19">
        <v>44303</v>
      </c>
      <c r="E215">
        <v>1953</v>
      </c>
      <c r="F215" s="16">
        <v>260</v>
      </c>
      <c r="G215" s="16">
        <v>12</v>
      </c>
      <c r="H215" s="16">
        <v>5859</v>
      </c>
      <c r="I215" s="16">
        <v>0</v>
      </c>
      <c r="J215" s="14" t="s">
        <v>44</v>
      </c>
      <c r="K215" s="20">
        <f>Store[[#This Row],[Quantity]]*Store[[#This Row],[Sale Price]]</f>
        <v>23436</v>
      </c>
      <c r="L215" s="20">
        <f>Store[[#This Row],[Gross Sales]]-Store[[#This Row],[Discount]]</f>
        <v>23436</v>
      </c>
      <c r="M215" s="20">
        <f>Store[[#This Row],[Sales]]-Store[[#This Row],[COGS]]</f>
        <v>17577</v>
      </c>
    </row>
    <row r="216" spans="1:13" x14ac:dyDescent="0.25">
      <c r="A216" t="s">
        <v>41</v>
      </c>
      <c r="B216" t="s">
        <v>56</v>
      </c>
      <c r="C216" s="18" t="s">
        <v>57</v>
      </c>
      <c r="D216" s="19">
        <v>44298</v>
      </c>
      <c r="E216">
        <v>4219.5</v>
      </c>
      <c r="F216" s="16">
        <v>260</v>
      </c>
      <c r="G216" s="16">
        <v>125</v>
      </c>
      <c r="H216" s="16">
        <v>506340</v>
      </c>
      <c r="I216" s="16">
        <v>0</v>
      </c>
      <c r="J216" s="14" t="s">
        <v>44</v>
      </c>
      <c r="K216" s="20">
        <f>Store[[#This Row],[Quantity]]*Store[[#This Row],[Sale Price]]</f>
        <v>527437.5</v>
      </c>
      <c r="L216" s="20">
        <f>Store[[#This Row],[Gross Sales]]-Store[[#This Row],[Discount]]</f>
        <v>527437.5</v>
      </c>
      <c r="M216" s="20">
        <f>Store[[#This Row],[Sales]]-Store[[#This Row],[COGS]]</f>
        <v>21097.5</v>
      </c>
    </row>
    <row r="217" spans="1:13" x14ac:dyDescent="0.25">
      <c r="A217" t="s">
        <v>49</v>
      </c>
      <c r="B217" t="s">
        <v>58</v>
      </c>
      <c r="C217" s="18" t="s">
        <v>57</v>
      </c>
      <c r="D217" s="19">
        <v>44353</v>
      </c>
      <c r="E217">
        <v>1899</v>
      </c>
      <c r="F217" s="16">
        <v>260</v>
      </c>
      <c r="G217" s="16">
        <v>20</v>
      </c>
      <c r="H217" s="16">
        <v>18990</v>
      </c>
      <c r="I217" s="16">
        <v>0</v>
      </c>
      <c r="J217" s="14" t="s">
        <v>44</v>
      </c>
      <c r="K217" s="20">
        <f>Store[[#This Row],[Quantity]]*Store[[#This Row],[Sale Price]]</f>
        <v>37980</v>
      </c>
      <c r="L217" s="20">
        <f>Store[[#This Row],[Gross Sales]]-Store[[#This Row],[Discount]]</f>
        <v>37980</v>
      </c>
      <c r="M217" s="20">
        <f>Store[[#This Row],[Sales]]-Store[[#This Row],[COGS]]</f>
        <v>18990</v>
      </c>
    </row>
    <row r="218" spans="1:13" x14ac:dyDescent="0.25">
      <c r="A218" t="s">
        <v>49</v>
      </c>
      <c r="B218" t="s">
        <v>56</v>
      </c>
      <c r="C218" s="18" t="s">
        <v>57</v>
      </c>
      <c r="D218" s="19">
        <v>44397</v>
      </c>
      <c r="E218">
        <v>1686</v>
      </c>
      <c r="F218" s="16">
        <v>260</v>
      </c>
      <c r="G218" s="16">
        <v>7</v>
      </c>
      <c r="H218" s="16">
        <v>8430</v>
      </c>
      <c r="I218" s="16">
        <v>0</v>
      </c>
      <c r="J218" s="14" t="s">
        <v>44</v>
      </c>
      <c r="K218" s="20">
        <f>Store[[#This Row],[Quantity]]*Store[[#This Row],[Sale Price]]</f>
        <v>11802</v>
      </c>
      <c r="L218" s="20">
        <f>Store[[#This Row],[Gross Sales]]-Store[[#This Row],[Discount]]</f>
        <v>11802</v>
      </c>
      <c r="M218" s="20">
        <f>Store[[#This Row],[Sales]]-Store[[#This Row],[COGS]]</f>
        <v>3372</v>
      </c>
    </row>
    <row r="219" spans="1:13" x14ac:dyDescent="0.25">
      <c r="A219" t="s">
        <v>50</v>
      </c>
      <c r="B219" t="s">
        <v>51</v>
      </c>
      <c r="C219" s="18" t="s">
        <v>57</v>
      </c>
      <c r="D219" s="19">
        <v>44429</v>
      </c>
      <c r="E219">
        <v>2141</v>
      </c>
      <c r="F219" s="16">
        <v>260</v>
      </c>
      <c r="G219" s="16">
        <v>12</v>
      </c>
      <c r="H219" s="16">
        <v>6423</v>
      </c>
      <c r="I219" s="16">
        <v>0</v>
      </c>
      <c r="J219" s="14" t="s">
        <v>44</v>
      </c>
      <c r="K219" s="20">
        <f>Store[[#This Row],[Quantity]]*Store[[#This Row],[Sale Price]]</f>
        <v>25692</v>
      </c>
      <c r="L219" s="20">
        <f>Store[[#This Row],[Gross Sales]]-Store[[#This Row],[Discount]]</f>
        <v>25692</v>
      </c>
      <c r="M219" s="20">
        <f>Store[[#This Row],[Sales]]-Store[[#This Row],[COGS]]</f>
        <v>19269</v>
      </c>
    </row>
    <row r="220" spans="1:13" x14ac:dyDescent="0.25">
      <c r="A220" t="s">
        <v>49</v>
      </c>
      <c r="B220" t="s">
        <v>51</v>
      </c>
      <c r="C220" s="18" t="s">
        <v>57</v>
      </c>
      <c r="D220" s="19">
        <v>44496</v>
      </c>
      <c r="E220">
        <v>1143</v>
      </c>
      <c r="F220" s="16">
        <v>260</v>
      </c>
      <c r="G220" s="16">
        <v>7</v>
      </c>
      <c r="H220" s="16">
        <v>5715</v>
      </c>
      <c r="I220" s="16">
        <v>0</v>
      </c>
      <c r="J220" s="14" t="s">
        <v>44</v>
      </c>
      <c r="K220" s="20">
        <f>Store[[#This Row],[Quantity]]*Store[[#This Row],[Sale Price]]</f>
        <v>8001</v>
      </c>
      <c r="L220" s="20">
        <f>Store[[#This Row],[Gross Sales]]-Store[[#This Row],[Discount]]</f>
        <v>8001</v>
      </c>
      <c r="M220" s="20">
        <f>Store[[#This Row],[Sales]]-Store[[#This Row],[COGS]]</f>
        <v>2286</v>
      </c>
    </row>
    <row r="221" spans="1:13" x14ac:dyDescent="0.25">
      <c r="A221" t="s">
        <v>45</v>
      </c>
      <c r="B221" t="s">
        <v>51</v>
      </c>
      <c r="C221" s="18" t="s">
        <v>57</v>
      </c>
      <c r="D221" s="19">
        <v>44537</v>
      </c>
      <c r="E221">
        <v>615</v>
      </c>
      <c r="F221" s="16">
        <v>260</v>
      </c>
      <c r="G221" s="16">
        <v>15</v>
      </c>
      <c r="H221" s="16">
        <v>6150</v>
      </c>
      <c r="I221" s="16">
        <v>0</v>
      </c>
      <c r="J221" s="14" t="s">
        <v>44</v>
      </c>
      <c r="K221" s="20">
        <f>Store[[#This Row],[Quantity]]*Store[[#This Row],[Sale Price]]</f>
        <v>9225</v>
      </c>
      <c r="L221" s="20">
        <f>Store[[#This Row],[Gross Sales]]-Store[[#This Row],[Discount]]</f>
        <v>9225</v>
      </c>
      <c r="M221" s="20">
        <f>Store[[#This Row],[Sales]]-Store[[#This Row],[COGS]]</f>
        <v>3075</v>
      </c>
    </row>
    <row r="222" spans="1:13" x14ac:dyDescent="0.25">
      <c r="A222" t="s">
        <v>49</v>
      </c>
      <c r="B222" t="s">
        <v>58</v>
      </c>
      <c r="C222" s="18" t="s">
        <v>46</v>
      </c>
      <c r="D222" s="19">
        <v>44222</v>
      </c>
      <c r="E222">
        <v>3945</v>
      </c>
      <c r="F222" s="16">
        <v>10</v>
      </c>
      <c r="G222" s="16">
        <v>7</v>
      </c>
      <c r="H222" s="16">
        <v>19725</v>
      </c>
      <c r="I222" s="16">
        <v>276.14999999999998</v>
      </c>
      <c r="J222" s="14" t="s">
        <v>55</v>
      </c>
      <c r="K222" s="20">
        <f>Store[[#This Row],[Quantity]]*Store[[#This Row],[Sale Price]]</f>
        <v>27615</v>
      </c>
      <c r="L222" s="20">
        <f>Store[[#This Row],[Gross Sales]]-Store[[#This Row],[Discount]]</f>
        <v>27338.85</v>
      </c>
      <c r="M222" s="20">
        <f>Store[[#This Row],[Sales]]-Store[[#This Row],[COGS]]</f>
        <v>7613.8499999999985</v>
      </c>
    </row>
    <row r="223" spans="1:13" x14ac:dyDescent="0.25">
      <c r="A223" t="s">
        <v>45</v>
      </c>
      <c r="B223" t="s">
        <v>58</v>
      </c>
      <c r="C223" s="18" t="s">
        <v>46</v>
      </c>
      <c r="D223" s="19">
        <v>44249</v>
      </c>
      <c r="E223">
        <v>2296</v>
      </c>
      <c r="F223" s="16">
        <v>10</v>
      </c>
      <c r="G223" s="16">
        <v>15</v>
      </c>
      <c r="H223" s="16">
        <v>22960</v>
      </c>
      <c r="I223" s="16">
        <v>344.4</v>
      </c>
      <c r="J223" s="14" t="s">
        <v>55</v>
      </c>
      <c r="K223" s="20">
        <f>Store[[#This Row],[Quantity]]*Store[[#This Row],[Sale Price]]</f>
        <v>34440</v>
      </c>
      <c r="L223" s="20">
        <f>Store[[#This Row],[Gross Sales]]-Store[[#This Row],[Discount]]</f>
        <v>34095.599999999999</v>
      </c>
      <c r="M223" s="20">
        <f>Store[[#This Row],[Sales]]-Store[[#This Row],[COGS]]</f>
        <v>11135.599999999999</v>
      </c>
    </row>
    <row r="224" spans="1:13" x14ac:dyDescent="0.25">
      <c r="A224" t="s">
        <v>49</v>
      </c>
      <c r="B224" t="s">
        <v>58</v>
      </c>
      <c r="C224" s="18" t="s">
        <v>46</v>
      </c>
      <c r="D224" s="19">
        <v>44344</v>
      </c>
      <c r="E224">
        <v>1030</v>
      </c>
      <c r="F224" s="16">
        <v>10</v>
      </c>
      <c r="G224" s="16">
        <v>7</v>
      </c>
      <c r="H224" s="16">
        <v>5150</v>
      </c>
      <c r="I224" s="16">
        <v>72.099999999999994</v>
      </c>
      <c r="J224" s="14" t="s">
        <v>55</v>
      </c>
      <c r="K224" s="20">
        <f>Store[[#This Row],[Quantity]]*Store[[#This Row],[Sale Price]]</f>
        <v>7210</v>
      </c>
      <c r="L224" s="20">
        <f>Store[[#This Row],[Gross Sales]]-Store[[#This Row],[Discount]]</f>
        <v>7137.9</v>
      </c>
      <c r="M224" s="20">
        <f>Store[[#This Row],[Sales]]-Store[[#This Row],[COGS]]</f>
        <v>1987.8999999999996</v>
      </c>
    </row>
    <row r="225" spans="1:13" x14ac:dyDescent="0.25">
      <c r="A225" t="s">
        <v>49</v>
      </c>
      <c r="B225" t="s">
        <v>58</v>
      </c>
      <c r="C225" s="18" t="s">
        <v>52</v>
      </c>
      <c r="D225" s="19">
        <v>44516</v>
      </c>
      <c r="E225">
        <v>639</v>
      </c>
      <c r="F225" s="16">
        <v>120</v>
      </c>
      <c r="G225" s="16">
        <v>7</v>
      </c>
      <c r="H225" s="16">
        <v>3195</v>
      </c>
      <c r="I225" s="16">
        <v>44.73</v>
      </c>
      <c r="J225" s="14" t="s">
        <v>55</v>
      </c>
      <c r="K225" s="20">
        <f>Store[[#This Row],[Quantity]]*Store[[#This Row],[Sale Price]]</f>
        <v>4473</v>
      </c>
      <c r="L225" s="20">
        <f>Store[[#This Row],[Gross Sales]]-Store[[#This Row],[Discount]]</f>
        <v>4428.2700000000004</v>
      </c>
      <c r="M225" s="20">
        <f>Store[[#This Row],[Sales]]-Store[[#This Row],[COGS]]</f>
        <v>1233.2700000000004</v>
      </c>
    </row>
    <row r="226" spans="1:13" x14ac:dyDescent="0.25">
      <c r="A226" t="s">
        <v>49</v>
      </c>
      <c r="B226" t="s">
        <v>42</v>
      </c>
      <c r="C226" s="18" t="s">
        <v>53</v>
      </c>
      <c r="D226" s="19">
        <v>44286</v>
      </c>
      <c r="E226">
        <v>1326</v>
      </c>
      <c r="F226" s="16">
        <v>250</v>
      </c>
      <c r="G226" s="16">
        <v>7</v>
      </c>
      <c r="H226" s="16">
        <v>6630</v>
      </c>
      <c r="I226" s="16">
        <v>92.82</v>
      </c>
      <c r="J226" s="14" t="s">
        <v>55</v>
      </c>
      <c r="K226" s="20">
        <f>Store[[#This Row],[Quantity]]*Store[[#This Row],[Sale Price]]</f>
        <v>9282</v>
      </c>
      <c r="L226" s="20">
        <f>Store[[#This Row],[Gross Sales]]-Store[[#This Row],[Discount]]</f>
        <v>9189.18</v>
      </c>
      <c r="M226" s="20">
        <f>Store[[#This Row],[Sales]]-Store[[#This Row],[COGS]]</f>
        <v>2559.1800000000003</v>
      </c>
    </row>
    <row r="227" spans="1:13" x14ac:dyDescent="0.25">
      <c r="A227" t="s">
        <v>50</v>
      </c>
      <c r="B227" t="s">
        <v>51</v>
      </c>
      <c r="C227" s="18" t="s">
        <v>54</v>
      </c>
      <c r="D227" s="19">
        <v>44232</v>
      </c>
      <c r="E227">
        <v>1858</v>
      </c>
      <c r="F227" s="16">
        <v>3</v>
      </c>
      <c r="G227" s="16">
        <v>12</v>
      </c>
      <c r="H227" s="16">
        <v>5574</v>
      </c>
      <c r="I227" s="16">
        <v>222.96</v>
      </c>
      <c r="J227" s="14" t="s">
        <v>55</v>
      </c>
      <c r="K227" s="20">
        <f>Store[[#This Row],[Quantity]]*Store[[#This Row],[Sale Price]]</f>
        <v>22296</v>
      </c>
      <c r="L227" s="20">
        <f>Store[[#This Row],[Gross Sales]]-Store[[#This Row],[Discount]]</f>
        <v>22073.040000000001</v>
      </c>
      <c r="M227" s="20">
        <f>Store[[#This Row],[Sales]]-Store[[#This Row],[COGS]]</f>
        <v>16499.04</v>
      </c>
    </row>
    <row r="228" spans="1:13" x14ac:dyDescent="0.25">
      <c r="A228" t="s">
        <v>49</v>
      </c>
      <c r="B228" t="s">
        <v>48</v>
      </c>
      <c r="C228" s="18" t="s">
        <v>54</v>
      </c>
      <c r="D228" s="19">
        <v>44268</v>
      </c>
      <c r="E228">
        <v>1210</v>
      </c>
      <c r="F228" s="16">
        <v>3</v>
      </c>
      <c r="G228" s="16">
        <v>350</v>
      </c>
      <c r="H228" s="16">
        <v>314600</v>
      </c>
      <c r="I228" s="16">
        <v>4235</v>
      </c>
      <c r="J228" s="14" t="s">
        <v>55</v>
      </c>
      <c r="K228" s="20">
        <f>Store[[#This Row],[Quantity]]*Store[[#This Row],[Sale Price]]</f>
        <v>423500</v>
      </c>
      <c r="L228" s="20">
        <f>Store[[#This Row],[Gross Sales]]-Store[[#This Row],[Discount]]</f>
        <v>419265</v>
      </c>
      <c r="M228" s="20">
        <f>Store[[#This Row],[Sales]]-Store[[#This Row],[COGS]]</f>
        <v>104665</v>
      </c>
    </row>
    <row r="229" spans="1:13" x14ac:dyDescent="0.25">
      <c r="A229" t="s">
        <v>49</v>
      </c>
      <c r="B229" t="s">
        <v>51</v>
      </c>
      <c r="C229" s="18" t="s">
        <v>54</v>
      </c>
      <c r="D229" s="19">
        <v>44397</v>
      </c>
      <c r="E229">
        <v>2529</v>
      </c>
      <c r="F229" s="16">
        <v>3</v>
      </c>
      <c r="G229" s="16">
        <v>7</v>
      </c>
      <c r="H229" s="16">
        <v>12645</v>
      </c>
      <c r="I229" s="16">
        <v>177.03</v>
      </c>
      <c r="J229" s="14" t="s">
        <v>55</v>
      </c>
      <c r="K229" s="20">
        <f>Store[[#This Row],[Quantity]]*Store[[#This Row],[Sale Price]]</f>
        <v>17703</v>
      </c>
      <c r="L229" s="20">
        <f>Store[[#This Row],[Gross Sales]]-Store[[#This Row],[Discount]]</f>
        <v>17525.97</v>
      </c>
      <c r="M229" s="20">
        <f>Store[[#This Row],[Sales]]-Store[[#This Row],[COGS]]</f>
        <v>4880.9700000000012</v>
      </c>
    </row>
    <row r="230" spans="1:13" x14ac:dyDescent="0.25">
      <c r="A230" t="s">
        <v>50</v>
      </c>
      <c r="B230" t="s">
        <v>42</v>
      </c>
      <c r="C230" s="18" t="s">
        <v>54</v>
      </c>
      <c r="D230" s="19">
        <v>44448</v>
      </c>
      <c r="E230">
        <v>1445</v>
      </c>
      <c r="F230" s="16">
        <v>3</v>
      </c>
      <c r="G230" s="16">
        <v>12</v>
      </c>
      <c r="H230" s="16">
        <v>4335</v>
      </c>
      <c r="I230" s="16">
        <v>173.4</v>
      </c>
      <c r="J230" s="14" t="s">
        <v>55</v>
      </c>
      <c r="K230" s="20">
        <f>Store[[#This Row],[Quantity]]*Store[[#This Row],[Sale Price]]</f>
        <v>17340</v>
      </c>
      <c r="L230" s="20">
        <f>Store[[#This Row],[Gross Sales]]-Store[[#This Row],[Discount]]</f>
        <v>17166.599999999999</v>
      </c>
      <c r="M230" s="20">
        <f>Store[[#This Row],[Sales]]-Store[[#This Row],[COGS]]</f>
        <v>12831.599999999999</v>
      </c>
    </row>
    <row r="231" spans="1:13" x14ac:dyDescent="0.25">
      <c r="A231" t="s">
        <v>50</v>
      </c>
      <c r="B231" t="s">
        <v>58</v>
      </c>
      <c r="C231" s="18" t="s">
        <v>54</v>
      </c>
      <c r="D231" s="19">
        <v>44461</v>
      </c>
      <c r="E231">
        <v>2671</v>
      </c>
      <c r="F231" s="16">
        <v>3</v>
      </c>
      <c r="G231" s="16">
        <v>12</v>
      </c>
      <c r="H231" s="16">
        <v>8013</v>
      </c>
      <c r="I231" s="16">
        <v>320.52</v>
      </c>
      <c r="J231" s="14" t="s">
        <v>55</v>
      </c>
      <c r="K231" s="20">
        <f>Store[[#This Row],[Quantity]]*Store[[#This Row],[Sale Price]]</f>
        <v>32052</v>
      </c>
      <c r="L231" s="20">
        <f>Store[[#This Row],[Gross Sales]]-Store[[#This Row],[Discount]]</f>
        <v>31731.48</v>
      </c>
      <c r="M231" s="20">
        <f>Store[[#This Row],[Sales]]-Store[[#This Row],[COGS]]</f>
        <v>23718.48</v>
      </c>
    </row>
    <row r="232" spans="1:13" x14ac:dyDescent="0.25">
      <c r="A232" t="s">
        <v>49</v>
      </c>
      <c r="B232" t="s">
        <v>48</v>
      </c>
      <c r="C232" s="18" t="s">
        <v>54</v>
      </c>
      <c r="D232" s="19">
        <v>44497</v>
      </c>
      <c r="E232">
        <v>1397</v>
      </c>
      <c r="F232" s="16">
        <v>3</v>
      </c>
      <c r="G232" s="16">
        <v>350</v>
      </c>
      <c r="H232" s="16">
        <v>363220</v>
      </c>
      <c r="I232" s="16">
        <v>4889.5</v>
      </c>
      <c r="J232" s="14" t="s">
        <v>55</v>
      </c>
      <c r="K232" s="20">
        <f>Store[[#This Row],[Quantity]]*Store[[#This Row],[Sale Price]]</f>
        <v>488950</v>
      </c>
      <c r="L232" s="20">
        <f>Store[[#This Row],[Gross Sales]]-Store[[#This Row],[Discount]]</f>
        <v>484060.5</v>
      </c>
      <c r="M232" s="20">
        <f>Store[[#This Row],[Sales]]-Store[[#This Row],[COGS]]</f>
        <v>120840.5</v>
      </c>
    </row>
    <row r="233" spans="1:13" x14ac:dyDescent="0.25">
      <c r="A233" t="s">
        <v>49</v>
      </c>
      <c r="B233" t="s">
        <v>58</v>
      </c>
      <c r="C233" s="18" t="s">
        <v>54</v>
      </c>
      <c r="D233" s="19">
        <v>44557</v>
      </c>
      <c r="E233">
        <v>2155</v>
      </c>
      <c r="F233" s="16">
        <v>3</v>
      </c>
      <c r="G233" s="16">
        <v>350</v>
      </c>
      <c r="H233" s="16">
        <v>560300</v>
      </c>
      <c r="I233" s="16">
        <v>7542.5</v>
      </c>
      <c r="J233" s="14" t="s">
        <v>55</v>
      </c>
      <c r="K233" s="20">
        <f>Store[[#This Row],[Quantity]]*Store[[#This Row],[Sale Price]]</f>
        <v>754250</v>
      </c>
      <c r="L233" s="20">
        <f>Store[[#This Row],[Gross Sales]]-Store[[#This Row],[Discount]]</f>
        <v>746707.5</v>
      </c>
      <c r="M233" s="20">
        <f>Store[[#This Row],[Sales]]-Store[[#This Row],[COGS]]</f>
        <v>186407.5</v>
      </c>
    </row>
    <row r="234" spans="1:13" x14ac:dyDescent="0.25">
      <c r="A234" t="s">
        <v>45</v>
      </c>
      <c r="B234" t="s">
        <v>48</v>
      </c>
      <c r="C234" s="18" t="s">
        <v>43</v>
      </c>
      <c r="D234" s="19">
        <v>44268</v>
      </c>
      <c r="E234">
        <v>2214</v>
      </c>
      <c r="F234" s="16">
        <v>5</v>
      </c>
      <c r="G234" s="16">
        <v>15</v>
      </c>
      <c r="H234" s="16">
        <v>22140</v>
      </c>
      <c r="I234" s="16">
        <v>332.1</v>
      </c>
      <c r="J234" s="14" t="s">
        <v>55</v>
      </c>
      <c r="K234" s="20">
        <f>Store[[#This Row],[Quantity]]*Store[[#This Row],[Sale Price]]</f>
        <v>33210</v>
      </c>
      <c r="L234" s="20">
        <f>Store[[#This Row],[Gross Sales]]-Store[[#This Row],[Discount]]</f>
        <v>32877.9</v>
      </c>
      <c r="M234" s="20">
        <f>Store[[#This Row],[Sales]]-Store[[#This Row],[COGS]]</f>
        <v>10737.900000000001</v>
      </c>
    </row>
    <row r="235" spans="1:13" x14ac:dyDescent="0.25">
      <c r="A235" t="s">
        <v>47</v>
      </c>
      <c r="B235" t="s">
        <v>51</v>
      </c>
      <c r="C235" s="18" t="s">
        <v>43</v>
      </c>
      <c r="D235" s="19">
        <v>44313</v>
      </c>
      <c r="E235">
        <v>2301</v>
      </c>
      <c r="F235" s="16">
        <v>5</v>
      </c>
      <c r="G235" s="16">
        <v>300</v>
      </c>
      <c r="H235" s="16">
        <v>575250</v>
      </c>
      <c r="I235" s="16">
        <v>6903</v>
      </c>
      <c r="J235" s="14" t="s">
        <v>55</v>
      </c>
      <c r="K235" s="20">
        <f>Store[[#This Row],[Quantity]]*Store[[#This Row],[Sale Price]]</f>
        <v>690300</v>
      </c>
      <c r="L235" s="20">
        <f>Store[[#This Row],[Gross Sales]]-Store[[#This Row],[Discount]]</f>
        <v>683397</v>
      </c>
      <c r="M235" s="20">
        <f>Store[[#This Row],[Sales]]-Store[[#This Row],[COGS]]</f>
        <v>108147</v>
      </c>
    </row>
    <row r="236" spans="1:13" x14ac:dyDescent="0.25">
      <c r="A236" t="s">
        <v>49</v>
      </c>
      <c r="B236" t="s">
        <v>58</v>
      </c>
      <c r="C236" s="18" t="s">
        <v>43</v>
      </c>
      <c r="D236" s="19">
        <v>44394</v>
      </c>
      <c r="E236">
        <v>1375.5</v>
      </c>
      <c r="F236" s="16">
        <v>5</v>
      </c>
      <c r="G236" s="16">
        <v>20</v>
      </c>
      <c r="H236" s="16">
        <v>13755</v>
      </c>
      <c r="I236" s="16">
        <v>275.10000000000002</v>
      </c>
      <c r="J236" s="14" t="s">
        <v>55</v>
      </c>
      <c r="K236" s="20">
        <f>Store[[#This Row],[Quantity]]*Store[[#This Row],[Sale Price]]</f>
        <v>27510</v>
      </c>
      <c r="L236" s="20">
        <f>Store[[#This Row],[Gross Sales]]-Store[[#This Row],[Discount]]</f>
        <v>27234.9</v>
      </c>
      <c r="M236" s="20">
        <f>Store[[#This Row],[Sales]]-Store[[#This Row],[COGS]]</f>
        <v>13479.900000000001</v>
      </c>
    </row>
    <row r="237" spans="1:13" x14ac:dyDescent="0.25">
      <c r="A237" t="s">
        <v>49</v>
      </c>
      <c r="B237" t="s">
        <v>42</v>
      </c>
      <c r="C237" s="18" t="s">
        <v>43</v>
      </c>
      <c r="D237" s="19">
        <v>44438</v>
      </c>
      <c r="E237">
        <v>1830</v>
      </c>
      <c r="F237" s="16">
        <v>5</v>
      </c>
      <c r="G237" s="16">
        <v>7</v>
      </c>
      <c r="H237" s="16">
        <v>9150</v>
      </c>
      <c r="I237" s="16">
        <v>128.1</v>
      </c>
      <c r="J237" s="14" t="s">
        <v>55</v>
      </c>
      <c r="K237" s="20">
        <f>Store[[#This Row],[Quantity]]*Store[[#This Row],[Sale Price]]</f>
        <v>12810</v>
      </c>
      <c r="L237" s="20">
        <f>Store[[#This Row],[Gross Sales]]-Store[[#This Row],[Discount]]</f>
        <v>12681.9</v>
      </c>
      <c r="M237" s="20">
        <f>Store[[#This Row],[Sales]]-Store[[#This Row],[COGS]]</f>
        <v>3531.8999999999996</v>
      </c>
    </row>
    <row r="238" spans="1:13" x14ac:dyDescent="0.25">
      <c r="A238" t="s">
        <v>45</v>
      </c>
      <c r="B238" t="s">
        <v>51</v>
      </c>
      <c r="C238" s="18" t="s">
        <v>46</v>
      </c>
      <c r="D238" s="19">
        <v>44254</v>
      </c>
      <c r="E238">
        <v>1514</v>
      </c>
      <c r="F238" s="16">
        <v>10</v>
      </c>
      <c r="G238" s="16">
        <v>15</v>
      </c>
      <c r="H238" s="16">
        <v>15140</v>
      </c>
      <c r="I238" s="16">
        <v>227.1</v>
      </c>
      <c r="J238" s="14" t="s">
        <v>55</v>
      </c>
      <c r="K238" s="20">
        <f>Store[[#This Row],[Quantity]]*Store[[#This Row],[Sale Price]]</f>
        <v>22710</v>
      </c>
      <c r="L238" s="20">
        <f>Store[[#This Row],[Gross Sales]]-Store[[#This Row],[Discount]]</f>
        <v>22482.9</v>
      </c>
      <c r="M238" s="20">
        <f>Store[[#This Row],[Sales]]-Store[[#This Row],[COGS]]</f>
        <v>7342.9000000000015</v>
      </c>
    </row>
    <row r="239" spans="1:13" x14ac:dyDescent="0.25">
      <c r="A239" t="s">
        <v>49</v>
      </c>
      <c r="B239" t="s">
        <v>51</v>
      </c>
      <c r="C239" s="18" t="s">
        <v>46</v>
      </c>
      <c r="D239" s="19">
        <v>44289</v>
      </c>
      <c r="E239">
        <v>4492.5</v>
      </c>
      <c r="F239" s="16">
        <v>10</v>
      </c>
      <c r="G239" s="16">
        <v>7</v>
      </c>
      <c r="H239" s="16">
        <v>22462.5</v>
      </c>
      <c r="I239" s="16">
        <v>314.47500000000002</v>
      </c>
      <c r="J239" s="14" t="s">
        <v>55</v>
      </c>
      <c r="K239" s="20">
        <f>Store[[#This Row],[Quantity]]*Store[[#This Row],[Sale Price]]</f>
        <v>31447.5</v>
      </c>
      <c r="L239" s="20">
        <f>Store[[#This Row],[Gross Sales]]-Store[[#This Row],[Discount]]</f>
        <v>31133.025000000001</v>
      </c>
      <c r="M239" s="20">
        <f>Store[[#This Row],[Sales]]-Store[[#This Row],[COGS]]</f>
        <v>8670.5250000000015</v>
      </c>
    </row>
    <row r="240" spans="1:13" x14ac:dyDescent="0.25">
      <c r="A240" t="s">
        <v>41</v>
      </c>
      <c r="B240" t="s">
        <v>51</v>
      </c>
      <c r="C240" s="18" t="s">
        <v>46</v>
      </c>
      <c r="D240" s="19">
        <v>44357</v>
      </c>
      <c r="E240">
        <v>727</v>
      </c>
      <c r="F240" s="16">
        <v>10</v>
      </c>
      <c r="G240" s="16">
        <v>125</v>
      </c>
      <c r="H240" s="16">
        <v>87240</v>
      </c>
      <c r="I240" s="16">
        <v>908.75</v>
      </c>
      <c r="J240" s="14" t="s">
        <v>55</v>
      </c>
      <c r="K240" s="20">
        <f>Store[[#This Row],[Quantity]]*Store[[#This Row],[Sale Price]]</f>
        <v>90875</v>
      </c>
      <c r="L240" s="20">
        <f>Store[[#This Row],[Gross Sales]]-Store[[#This Row],[Discount]]</f>
        <v>89966.25</v>
      </c>
      <c r="M240" s="20">
        <f>Store[[#This Row],[Sales]]-Store[[#This Row],[COGS]]</f>
        <v>2726.25</v>
      </c>
    </row>
    <row r="241" spans="1:13" x14ac:dyDescent="0.25">
      <c r="A241" t="s">
        <v>41</v>
      </c>
      <c r="B241" t="s">
        <v>58</v>
      </c>
      <c r="C241" s="18" t="s">
        <v>46</v>
      </c>
      <c r="D241" s="19">
        <v>44373</v>
      </c>
      <c r="E241">
        <v>787</v>
      </c>
      <c r="F241" s="16">
        <v>10</v>
      </c>
      <c r="G241" s="16">
        <v>125</v>
      </c>
      <c r="H241" s="16">
        <v>94440</v>
      </c>
      <c r="I241" s="16">
        <v>983.75</v>
      </c>
      <c r="J241" s="14" t="s">
        <v>55</v>
      </c>
      <c r="K241" s="20">
        <f>Store[[#This Row],[Quantity]]*Store[[#This Row],[Sale Price]]</f>
        <v>98375</v>
      </c>
      <c r="L241" s="20">
        <f>Store[[#This Row],[Gross Sales]]-Store[[#This Row],[Discount]]</f>
        <v>97391.25</v>
      </c>
      <c r="M241" s="20">
        <f>Store[[#This Row],[Sales]]-Store[[#This Row],[COGS]]</f>
        <v>2951.25</v>
      </c>
    </row>
    <row r="242" spans="1:13" x14ac:dyDescent="0.25">
      <c r="A242" t="s">
        <v>41</v>
      </c>
      <c r="B242" t="s">
        <v>48</v>
      </c>
      <c r="C242" s="18" t="s">
        <v>46</v>
      </c>
      <c r="D242" s="19">
        <v>44402</v>
      </c>
      <c r="E242">
        <v>1823</v>
      </c>
      <c r="F242" s="16">
        <v>10</v>
      </c>
      <c r="G242" s="16">
        <v>125</v>
      </c>
      <c r="H242" s="16">
        <v>218760</v>
      </c>
      <c r="I242" s="16">
        <v>2278.75</v>
      </c>
      <c r="J242" s="14" t="s">
        <v>55</v>
      </c>
      <c r="K242" s="20">
        <f>Store[[#This Row],[Quantity]]*Store[[#This Row],[Sale Price]]</f>
        <v>227875</v>
      </c>
      <c r="L242" s="20">
        <f>Store[[#This Row],[Gross Sales]]-Store[[#This Row],[Discount]]</f>
        <v>225596.25</v>
      </c>
      <c r="M242" s="20">
        <f>Store[[#This Row],[Sales]]-Store[[#This Row],[COGS]]</f>
        <v>6836.25</v>
      </c>
    </row>
    <row r="243" spans="1:13" x14ac:dyDescent="0.25">
      <c r="A243" t="s">
        <v>45</v>
      </c>
      <c r="B243" t="s">
        <v>56</v>
      </c>
      <c r="C243" s="18" t="s">
        <v>46</v>
      </c>
      <c r="D243" s="19">
        <v>44460</v>
      </c>
      <c r="E243">
        <v>747</v>
      </c>
      <c r="F243" s="16">
        <v>10</v>
      </c>
      <c r="G243" s="16">
        <v>15</v>
      </c>
      <c r="H243" s="16">
        <v>7470</v>
      </c>
      <c r="I243" s="16">
        <v>112.05</v>
      </c>
      <c r="J243" s="14" t="s">
        <v>55</v>
      </c>
      <c r="K243" s="20">
        <f>Store[[#This Row],[Quantity]]*Store[[#This Row],[Sale Price]]</f>
        <v>11205</v>
      </c>
      <c r="L243" s="20">
        <f>Store[[#This Row],[Gross Sales]]-Store[[#This Row],[Discount]]</f>
        <v>11092.95</v>
      </c>
      <c r="M243" s="20">
        <f>Store[[#This Row],[Sales]]-Store[[#This Row],[COGS]]</f>
        <v>3622.9500000000007</v>
      </c>
    </row>
    <row r="244" spans="1:13" x14ac:dyDescent="0.25">
      <c r="A244" t="s">
        <v>47</v>
      </c>
      <c r="B244" t="s">
        <v>51</v>
      </c>
      <c r="C244" s="18" t="s">
        <v>46</v>
      </c>
      <c r="D244" s="19">
        <v>44514</v>
      </c>
      <c r="E244">
        <v>2905</v>
      </c>
      <c r="F244" s="16">
        <v>10</v>
      </c>
      <c r="G244" s="16">
        <v>300</v>
      </c>
      <c r="H244" s="16">
        <v>726250</v>
      </c>
      <c r="I244" s="16">
        <v>8715</v>
      </c>
      <c r="J244" s="14" t="s">
        <v>55</v>
      </c>
      <c r="K244" s="20">
        <f>Store[[#This Row],[Quantity]]*Store[[#This Row],[Sale Price]]</f>
        <v>871500</v>
      </c>
      <c r="L244" s="20">
        <f>Store[[#This Row],[Gross Sales]]-Store[[#This Row],[Discount]]</f>
        <v>862785</v>
      </c>
      <c r="M244" s="20">
        <f>Store[[#This Row],[Sales]]-Store[[#This Row],[COGS]]</f>
        <v>136535</v>
      </c>
    </row>
    <row r="245" spans="1:13" x14ac:dyDescent="0.25">
      <c r="A245" t="s">
        <v>49</v>
      </c>
      <c r="B245" t="s">
        <v>58</v>
      </c>
      <c r="C245" s="18" t="s">
        <v>46</v>
      </c>
      <c r="D245" s="19">
        <v>44531</v>
      </c>
      <c r="E245">
        <v>2155</v>
      </c>
      <c r="F245" s="16">
        <v>10</v>
      </c>
      <c r="G245" s="16">
        <v>350</v>
      </c>
      <c r="H245" s="16">
        <v>560300</v>
      </c>
      <c r="I245" s="16">
        <v>7542.5</v>
      </c>
      <c r="J245" s="14" t="s">
        <v>55</v>
      </c>
      <c r="K245" s="20">
        <f>Store[[#This Row],[Quantity]]*Store[[#This Row],[Sale Price]]</f>
        <v>754250</v>
      </c>
      <c r="L245" s="20">
        <f>Store[[#This Row],[Gross Sales]]-Store[[#This Row],[Discount]]</f>
        <v>746707.5</v>
      </c>
      <c r="M245" s="20">
        <f>Store[[#This Row],[Sales]]-Store[[#This Row],[COGS]]</f>
        <v>186407.5</v>
      </c>
    </row>
    <row r="246" spans="1:13" x14ac:dyDescent="0.25">
      <c r="A246" t="s">
        <v>49</v>
      </c>
      <c r="B246" t="s">
        <v>58</v>
      </c>
      <c r="C246" s="18" t="s">
        <v>52</v>
      </c>
      <c r="D246" s="19">
        <v>44296</v>
      </c>
      <c r="E246">
        <v>3864</v>
      </c>
      <c r="F246" s="16">
        <v>120</v>
      </c>
      <c r="G246" s="16">
        <v>20</v>
      </c>
      <c r="H246" s="16">
        <v>38640</v>
      </c>
      <c r="I246" s="16">
        <v>772.80000000000007</v>
      </c>
      <c r="J246" s="14" t="s">
        <v>55</v>
      </c>
      <c r="K246" s="20">
        <f>Store[[#This Row],[Quantity]]*Store[[#This Row],[Sale Price]]</f>
        <v>77280</v>
      </c>
      <c r="L246" s="20">
        <f>Store[[#This Row],[Gross Sales]]-Store[[#This Row],[Discount]]</f>
        <v>76507.199999999997</v>
      </c>
      <c r="M246" s="20">
        <f>Store[[#This Row],[Sales]]-Store[[#This Row],[COGS]]</f>
        <v>37867.199999999997</v>
      </c>
    </row>
    <row r="247" spans="1:13" x14ac:dyDescent="0.25">
      <c r="A247" t="s">
        <v>49</v>
      </c>
      <c r="B247" t="s">
        <v>48</v>
      </c>
      <c r="C247" s="18" t="s">
        <v>52</v>
      </c>
      <c r="D247" s="19">
        <v>44323</v>
      </c>
      <c r="E247">
        <v>362</v>
      </c>
      <c r="F247" s="16">
        <v>120</v>
      </c>
      <c r="G247" s="16">
        <v>7</v>
      </c>
      <c r="H247" s="16">
        <v>1810</v>
      </c>
      <c r="I247" s="16">
        <v>25.34</v>
      </c>
      <c r="J247" s="14" t="s">
        <v>55</v>
      </c>
      <c r="K247" s="20">
        <f>Store[[#This Row],[Quantity]]*Store[[#This Row],[Sale Price]]</f>
        <v>2534</v>
      </c>
      <c r="L247" s="20">
        <f>Store[[#This Row],[Gross Sales]]-Store[[#This Row],[Discount]]</f>
        <v>2508.66</v>
      </c>
      <c r="M247" s="20">
        <f>Store[[#This Row],[Sales]]-Store[[#This Row],[COGS]]</f>
        <v>698.65999999999985</v>
      </c>
    </row>
    <row r="248" spans="1:13" x14ac:dyDescent="0.25">
      <c r="A248" t="s">
        <v>41</v>
      </c>
      <c r="B248" t="s">
        <v>42</v>
      </c>
      <c r="C248" s="18" t="s">
        <v>52</v>
      </c>
      <c r="D248" s="19">
        <v>44424</v>
      </c>
      <c r="E248">
        <v>923</v>
      </c>
      <c r="F248" s="16">
        <v>120</v>
      </c>
      <c r="G248" s="16">
        <v>125</v>
      </c>
      <c r="H248" s="16">
        <v>110760</v>
      </c>
      <c r="I248" s="16">
        <v>1153.75</v>
      </c>
      <c r="J248" s="14" t="s">
        <v>55</v>
      </c>
      <c r="K248" s="20">
        <f>Store[[#This Row],[Quantity]]*Store[[#This Row],[Sale Price]]</f>
        <v>115375</v>
      </c>
      <c r="L248" s="20">
        <f>Store[[#This Row],[Gross Sales]]-Store[[#This Row],[Discount]]</f>
        <v>114221.25</v>
      </c>
      <c r="M248" s="20">
        <f>Store[[#This Row],[Sales]]-Store[[#This Row],[COGS]]</f>
        <v>3461.25</v>
      </c>
    </row>
    <row r="249" spans="1:13" x14ac:dyDescent="0.25">
      <c r="A249" t="s">
        <v>49</v>
      </c>
      <c r="B249" t="s">
        <v>56</v>
      </c>
      <c r="C249" s="18" t="s">
        <v>53</v>
      </c>
      <c r="D249" s="19">
        <v>44282</v>
      </c>
      <c r="E249">
        <v>263</v>
      </c>
      <c r="F249" s="16">
        <v>250</v>
      </c>
      <c r="G249" s="16">
        <v>7</v>
      </c>
      <c r="H249" s="16">
        <v>1315</v>
      </c>
      <c r="I249" s="16">
        <v>18.41</v>
      </c>
      <c r="J249" s="14" t="s">
        <v>55</v>
      </c>
      <c r="K249" s="20">
        <f>Store[[#This Row],[Quantity]]*Store[[#This Row],[Sale Price]]</f>
        <v>1841</v>
      </c>
      <c r="L249" s="20">
        <f>Store[[#This Row],[Gross Sales]]-Store[[#This Row],[Discount]]</f>
        <v>1822.59</v>
      </c>
      <c r="M249" s="20">
        <f>Store[[#This Row],[Sales]]-Store[[#This Row],[COGS]]</f>
        <v>507.58999999999992</v>
      </c>
    </row>
    <row r="250" spans="1:13" x14ac:dyDescent="0.25">
      <c r="A250" t="s">
        <v>49</v>
      </c>
      <c r="B250" t="s">
        <v>42</v>
      </c>
      <c r="C250" s="18" t="s">
        <v>53</v>
      </c>
      <c r="D250" s="19">
        <v>44315</v>
      </c>
      <c r="E250">
        <v>943.5</v>
      </c>
      <c r="F250" s="16">
        <v>250</v>
      </c>
      <c r="G250" s="16">
        <v>350</v>
      </c>
      <c r="H250" s="16">
        <v>245310</v>
      </c>
      <c r="I250" s="16">
        <v>3302.25</v>
      </c>
      <c r="J250" s="14" t="s">
        <v>55</v>
      </c>
      <c r="K250" s="20">
        <f>Store[[#This Row],[Quantity]]*Store[[#This Row],[Sale Price]]</f>
        <v>330225</v>
      </c>
      <c r="L250" s="20">
        <f>Store[[#This Row],[Gross Sales]]-Store[[#This Row],[Discount]]</f>
        <v>326922.75</v>
      </c>
      <c r="M250" s="20">
        <f>Store[[#This Row],[Sales]]-Store[[#This Row],[COGS]]</f>
        <v>81612.75</v>
      </c>
    </row>
    <row r="251" spans="1:13" x14ac:dyDescent="0.25">
      <c r="A251" t="s">
        <v>41</v>
      </c>
      <c r="B251" t="s">
        <v>51</v>
      </c>
      <c r="C251" s="18" t="s">
        <v>53</v>
      </c>
      <c r="D251" s="19">
        <v>44360</v>
      </c>
      <c r="E251">
        <v>727</v>
      </c>
      <c r="F251" s="16">
        <v>250</v>
      </c>
      <c r="G251" s="16">
        <v>125</v>
      </c>
      <c r="H251" s="16">
        <v>87240</v>
      </c>
      <c r="I251" s="16">
        <v>908.75</v>
      </c>
      <c r="J251" s="14" t="s">
        <v>55</v>
      </c>
      <c r="K251" s="20">
        <f>Store[[#This Row],[Quantity]]*Store[[#This Row],[Sale Price]]</f>
        <v>90875</v>
      </c>
      <c r="L251" s="20">
        <f>Store[[#This Row],[Gross Sales]]-Store[[#This Row],[Discount]]</f>
        <v>89966.25</v>
      </c>
      <c r="M251" s="20">
        <f>Store[[#This Row],[Sales]]-Store[[#This Row],[COGS]]</f>
        <v>2726.25</v>
      </c>
    </row>
    <row r="252" spans="1:13" x14ac:dyDescent="0.25">
      <c r="A252" t="s">
        <v>41</v>
      </c>
      <c r="B252" t="s">
        <v>58</v>
      </c>
      <c r="C252" s="18" t="s">
        <v>53</v>
      </c>
      <c r="D252" s="19">
        <v>44372</v>
      </c>
      <c r="E252">
        <v>787</v>
      </c>
      <c r="F252" s="16">
        <v>250</v>
      </c>
      <c r="G252" s="16">
        <v>125</v>
      </c>
      <c r="H252" s="16">
        <v>94440</v>
      </c>
      <c r="I252" s="16">
        <v>983.75</v>
      </c>
      <c r="J252" s="14" t="s">
        <v>55</v>
      </c>
      <c r="K252" s="20">
        <f>Store[[#This Row],[Quantity]]*Store[[#This Row],[Sale Price]]</f>
        <v>98375</v>
      </c>
      <c r="L252" s="20">
        <f>Store[[#This Row],[Gross Sales]]-Store[[#This Row],[Discount]]</f>
        <v>97391.25</v>
      </c>
      <c r="M252" s="20">
        <f>Store[[#This Row],[Sales]]-Store[[#This Row],[COGS]]</f>
        <v>2951.25</v>
      </c>
    </row>
    <row r="253" spans="1:13" x14ac:dyDescent="0.25">
      <c r="A253" t="s">
        <v>47</v>
      </c>
      <c r="B253" t="s">
        <v>56</v>
      </c>
      <c r="C253" s="18" t="s">
        <v>53</v>
      </c>
      <c r="D253" s="19">
        <v>44448</v>
      </c>
      <c r="E253">
        <v>986</v>
      </c>
      <c r="F253" s="16">
        <v>250</v>
      </c>
      <c r="G253" s="16">
        <v>300</v>
      </c>
      <c r="H253" s="16">
        <v>246500</v>
      </c>
      <c r="I253" s="16">
        <v>2958</v>
      </c>
      <c r="J253" s="14" t="s">
        <v>55</v>
      </c>
      <c r="K253" s="20">
        <f>Store[[#This Row],[Quantity]]*Store[[#This Row],[Sale Price]]</f>
        <v>295800</v>
      </c>
      <c r="L253" s="20">
        <f>Store[[#This Row],[Gross Sales]]-Store[[#This Row],[Discount]]</f>
        <v>292842</v>
      </c>
      <c r="M253" s="20">
        <f>Store[[#This Row],[Sales]]-Store[[#This Row],[COGS]]</f>
        <v>46342</v>
      </c>
    </row>
    <row r="254" spans="1:13" x14ac:dyDescent="0.25">
      <c r="A254" t="s">
        <v>49</v>
      </c>
      <c r="B254" t="s">
        <v>48</v>
      </c>
      <c r="C254" s="18" t="s">
        <v>53</v>
      </c>
      <c r="D254" s="19">
        <v>44495</v>
      </c>
      <c r="E254">
        <v>1397</v>
      </c>
      <c r="F254" s="16">
        <v>250</v>
      </c>
      <c r="G254" s="16">
        <v>350</v>
      </c>
      <c r="H254" s="16">
        <v>363220</v>
      </c>
      <c r="I254" s="16">
        <v>4889.5</v>
      </c>
      <c r="J254" s="14" t="s">
        <v>55</v>
      </c>
      <c r="K254" s="20">
        <f>Store[[#This Row],[Quantity]]*Store[[#This Row],[Sale Price]]</f>
        <v>488950</v>
      </c>
      <c r="L254" s="20">
        <f>Store[[#This Row],[Gross Sales]]-Store[[#This Row],[Discount]]</f>
        <v>484060.5</v>
      </c>
      <c r="M254" s="20">
        <f>Store[[#This Row],[Sales]]-Store[[#This Row],[COGS]]</f>
        <v>120840.5</v>
      </c>
    </row>
    <row r="255" spans="1:13" x14ac:dyDescent="0.25">
      <c r="A255" t="s">
        <v>41</v>
      </c>
      <c r="B255" t="s">
        <v>58</v>
      </c>
      <c r="C255" s="18" t="s">
        <v>53</v>
      </c>
      <c r="D255" s="19">
        <v>44512</v>
      </c>
      <c r="E255">
        <v>1744</v>
      </c>
      <c r="F255" s="16">
        <v>250</v>
      </c>
      <c r="G255" s="16">
        <v>125</v>
      </c>
      <c r="H255" s="16">
        <v>209280</v>
      </c>
      <c r="I255" s="16">
        <v>2180</v>
      </c>
      <c r="J255" s="14" t="s">
        <v>55</v>
      </c>
      <c r="K255" s="20">
        <f>Store[[#This Row],[Quantity]]*Store[[#This Row],[Sale Price]]</f>
        <v>218000</v>
      </c>
      <c r="L255" s="20">
        <f>Store[[#This Row],[Gross Sales]]-Store[[#This Row],[Discount]]</f>
        <v>215820</v>
      </c>
      <c r="M255" s="20">
        <f>Store[[#This Row],[Sales]]-Store[[#This Row],[COGS]]</f>
        <v>6540</v>
      </c>
    </row>
    <row r="256" spans="1:13" x14ac:dyDescent="0.25">
      <c r="A256" t="s">
        <v>41</v>
      </c>
      <c r="B256" t="s">
        <v>42</v>
      </c>
      <c r="C256" s="18" t="s">
        <v>54</v>
      </c>
      <c r="D256" s="19">
        <v>44311</v>
      </c>
      <c r="E256">
        <v>742.5</v>
      </c>
      <c r="F256" s="16">
        <v>3</v>
      </c>
      <c r="G256" s="16">
        <v>125</v>
      </c>
      <c r="H256" s="16">
        <v>89100</v>
      </c>
      <c r="I256" s="16">
        <v>1856.25</v>
      </c>
      <c r="J256" s="14" t="s">
        <v>55</v>
      </c>
      <c r="K256" s="20">
        <f>Store[[#This Row],[Quantity]]*Store[[#This Row],[Sale Price]]</f>
        <v>92812.5</v>
      </c>
      <c r="L256" s="20">
        <f>Store[[#This Row],[Gross Sales]]-Store[[#This Row],[Discount]]</f>
        <v>90956.25</v>
      </c>
      <c r="M256" s="20">
        <f>Store[[#This Row],[Sales]]-Store[[#This Row],[COGS]]</f>
        <v>1856.25</v>
      </c>
    </row>
    <row r="257" spans="1:13" x14ac:dyDescent="0.25">
      <c r="A257" t="s">
        <v>50</v>
      </c>
      <c r="B257" t="s">
        <v>42</v>
      </c>
      <c r="C257" s="18" t="s">
        <v>54</v>
      </c>
      <c r="D257" s="19">
        <v>44491</v>
      </c>
      <c r="E257">
        <v>1295</v>
      </c>
      <c r="F257" s="16">
        <v>3</v>
      </c>
      <c r="G257" s="16">
        <v>12</v>
      </c>
      <c r="H257" s="16">
        <v>3885</v>
      </c>
      <c r="I257" s="16">
        <v>310.8</v>
      </c>
      <c r="J257" s="14" t="s">
        <v>55</v>
      </c>
      <c r="K257" s="20">
        <f>Store[[#This Row],[Quantity]]*Store[[#This Row],[Sale Price]]</f>
        <v>15540</v>
      </c>
      <c r="L257" s="20">
        <f>Store[[#This Row],[Gross Sales]]-Store[[#This Row],[Discount]]</f>
        <v>15229.2</v>
      </c>
      <c r="M257" s="20">
        <f>Store[[#This Row],[Sales]]-Store[[#This Row],[COGS]]</f>
        <v>11344.2</v>
      </c>
    </row>
    <row r="258" spans="1:13" x14ac:dyDescent="0.25">
      <c r="A258" t="s">
        <v>49</v>
      </c>
      <c r="B258" t="s">
        <v>42</v>
      </c>
      <c r="C258" s="18" t="s">
        <v>54</v>
      </c>
      <c r="D258" s="19">
        <v>44550</v>
      </c>
      <c r="E258">
        <v>2852</v>
      </c>
      <c r="F258" s="16">
        <v>3</v>
      </c>
      <c r="G258" s="16">
        <v>350</v>
      </c>
      <c r="H258" s="16">
        <v>741520</v>
      </c>
      <c r="I258" s="16">
        <v>19964</v>
      </c>
      <c r="J258" s="14" t="s">
        <v>55</v>
      </c>
      <c r="K258" s="20">
        <f>Store[[#This Row],[Quantity]]*Store[[#This Row],[Sale Price]]</f>
        <v>998200</v>
      </c>
      <c r="L258" s="20">
        <f>Store[[#This Row],[Gross Sales]]-Store[[#This Row],[Discount]]</f>
        <v>978236</v>
      </c>
      <c r="M258" s="20">
        <f>Store[[#This Row],[Sales]]-Store[[#This Row],[COGS]]</f>
        <v>236716</v>
      </c>
    </row>
    <row r="259" spans="1:13" x14ac:dyDescent="0.25">
      <c r="A259" t="s">
        <v>50</v>
      </c>
      <c r="B259" t="s">
        <v>51</v>
      </c>
      <c r="C259" s="18" t="s">
        <v>43</v>
      </c>
      <c r="D259" s="19">
        <v>44362</v>
      </c>
      <c r="E259">
        <v>1142</v>
      </c>
      <c r="F259" s="16">
        <v>5</v>
      </c>
      <c r="G259" s="16">
        <v>12</v>
      </c>
      <c r="H259" s="16">
        <v>3426</v>
      </c>
      <c r="I259" s="16">
        <v>274.08</v>
      </c>
      <c r="J259" s="14" t="s">
        <v>55</v>
      </c>
      <c r="K259" s="20">
        <f>Store[[#This Row],[Quantity]]*Store[[#This Row],[Sale Price]]</f>
        <v>13704</v>
      </c>
      <c r="L259" s="20">
        <f>Store[[#This Row],[Gross Sales]]-Store[[#This Row],[Discount]]</f>
        <v>13429.92</v>
      </c>
      <c r="M259" s="20">
        <f>Store[[#This Row],[Sales]]-Store[[#This Row],[COGS]]</f>
        <v>10003.92</v>
      </c>
    </row>
    <row r="260" spans="1:13" x14ac:dyDescent="0.25">
      <c r="A260" t="s">
        <v>49</v>
      </c>
      <c r="B260" t="s">
        <v>51</v>
      </c>
      <c r="C260" s="18" t="s">
        <v>43</v>
      </c>
      <c r="D260" s="19">
        <v>44500</v>
      </c>
      <c r="E260">
        <v>1566</v>
      </c>
      <c r="F260" s="16">
        <v>5</v>
      </c>
      <c r="G260" s="16">
        <v>20</v>
      </c>
      <c r="H260" s="16">
        <v>15660</v>
      </c>
      <c r="I260" s="16">
        <v>626.4</v>
      </c>
      <c r="J260" s="14" t="s">
        <v>55</v>
      </c>
      <c r="K260" s="20">
        <f>Store[[#This Row],[Quantity]]*Store[[#This Row],[Sale Price]]</f>
        <v>31320</v>
      </c>
      <c r="L260" s="20">
        <f>Store[[#This Row],[Gross Sales]]-Store[[#This Row],[Discount]]</f>
        <v>30693.599999999999</v>
      </c>
      <c r="M260" s="20">
        <f>Store[[#This Row],[Sales]]-Store[[#This Row],[COGS]]</f>
        <v>15033.599999999999</v>
      </c>
    </row>
    <row r="261" spans="1:13" x14ac:dyDescent="0.25">
      <c r="A261" t="s">
        <v>50</v>
      </c>
      <c r="B261" t="s">
        <v>48</v>
      </c>
      <c r="C261" s="18" t="s">
        <v>43</v>
      </c>
      <c r="D261" s="19">
        <v>44509</v>
      </c>
      <c r="E261">
        <v>690</v>
      </c>
      <c r="F261" s="16">
        <v>5</v>
      </c>
      <c r="G261" s="16">
        <v>12</v>
      </c>
      <c r="H261" s="16">
        <v>2070</v>
      </c>
      <c r="I261" s="16">
        <v>165.6</v>
      </c>
      <c r="J261" s="14" t="s">
        <v>55</v>
      </c>
      <c r="K261" s="20">
        <f>Store[[#This Row],[Quantity]]*Store[[#This Row],[Sale Price]]</f>
        <v>8280</v>
      </c>
      <c r="L261" s="20">
        <f>Store[[#This Row],[Gross Sales]]-Store[[#This Row],[Discount]]</f>
        <v>8114.4</v>
      </c>
      <c r="M261" s="20">
        <f>Store[[#This Row],[Sales]]-Store[[#This Row],[COGS]]</f>
        <v>6044.4</v>
      </c>
    </row>
    <row r="262" spans="1:13" x14ac:dyDescent="0.25">
      <c r="A262" t="s">
        <v>45</v>
      </c>
      <c r="B262" t="s">
        <v>42</v>
      </c>
      <c r="C262" s="18" t="s">
        <v>46</v>
      </c>
      <c r="D262" s="19">
        <v>44232</v>
      </c>
      <c r="E262">
        <v>2363</v>
      </c>
      <c r="F262" s="16">
        <v>10</v>
      </c>
      <c r="G262" s="16">
        <v>15</v>
      </c>
      <c r="H262" s="16">
        <v>23630</v>
      </c>
      <c r="I262" s="16">
        <v>708.9</v>
      </c>
      <c r="J262" s="14" t="s">
        <v>55</v>
      </c>
      <c r="K262" s="20">
        <f>Store[[#This Row],[Quantity]]*Store[[#This Row],[Sale Price]]</f>
        <v>35445</v>
      </c>
      <c r="L262" s="20">
        <f>Store[[#This Row],[Gross Sales]]-Store[[#This Row],[Discount]]</f>
        <v>34736.1</v>
      </c>
      <c r="M262" s="20">
        <f>Store[[#This Row],[Sales]]-Store[[#This Row],[COGS]]</f>
        <v>11106.099999999999</v>
      </c>
    </row>
    <row r="263" spans="1:13" x14ac:dyDescent="0.25">
      <c r="A263" t="s">
        <v>47</v>
      </c>
      <c r="B263" t="s">
        <v>58</v>
      </c>
      <c r="C263" s="18" t="s">
        <v>46</v>
      </c>
      <c r="D263" s="19">
        <v>44322</v>
      </c>
      <c r="E263">
        <v>918</v>
      </c>
      <c r="F263" s="16">
        <v>10</v>
      </c>
      <c r="G263" s="16">
        <v>300</v>
      </c>
      <c r="H263" s="16">
        <v>229500</v>
      </c>
      <c r="I263" s="16">
        <v>5508</v>
      </c>
      <c r="J263" s="14" t="s">
        <v>55</v>
      </c>
      <c r="K263" s="20">
        <f>Store[[#This Row],[Quantity]]*Store[[#This Row],[Sale Price]]</f>
        <v>275400</v>
      </c>
      <c r="L263" s="20">
        <f>Store[[#This Row],[Gross Sales]]-Store[[#This Row],[Discount]]</f>
        <v>269892</v>
      </c>
      <c r="M263" s="20">
        <f>Store[[#This Row],[Sales]]-Store[[#This Row],[COGS]]</f>
        <v>40392</v>
      </c>
    </row>
    <row r="264" spans="1:13" x14ac:dyDescent="0.25">
      <c r="A264" t="s">
        <v>47</v>
      </c>
      <c r="B264" t="s">
        <v>56</v>
      </c>
      <c r="C264" s="18" t="s">
        <v>46</v>
      </c>
      <c r="D264" s="19">
        <v>44338</v>
      </c>
      <c r="E264">
        <v>1728</v>
      </c>
      <c r="F264" s="16">
        <v>10</v>
      </c>
      <c r="G264" s="16">
        <v>300</v>
      </c>
      <c r="H264" s="16">
        <v>432000</v>
      </c>
      <c r="I264" s="16">
        <v>10368</v>
      </c>
      <c r="J264" s="14" t="s">
        <v>55</v>
      </c>
      <c r="K264" s="20">
        <f>Store[[#This Row],[Quantity]]*Store[[#This Row],[Sale Price]]</f>
        <v>518400</v>
      </c>
      <c r="L264" s="20">
        <f>Store[[#This Row],[Gross Sales]]-Store[[#This Row],[Discount]]</f>
        <v>508032</v>
      </c>
      <c r="M264" s="20">
        <f>Store[[#This Row],[Sales]]-Store[[#This Row],[COGS]]</f>
        <v>76032</v>
      </c>
    </row>
    <row r="265" spans="1:13" x14ac:dyDescent="0.25">
      <c r="A265" t="s">
        <v>50</v>
      </c>
      <c r="B265" t="s">
        <v>51</v>
      </c>
      <c r="C265" s="18" t="s">
        <v>46</v>
      </c>
      <c r="D265" s="19">
        <v>44366</v>
      </c>
      <c r="E265">
        <v>1142</v>
      </c>
      <c r="F265" s="16">
        <v>10</v>
      </c>
      <c r="G265" s="16">
        <v>12</v>
      </c>
      <c r="H265" s="16">
        <v>3426</v>
      </c>
      <c r="I265" s="16">
        <v>274.08</v>
      </c>
      <c r="J265" s="14" t="s">
        <v>55</v>
      </c>
      <c r="K265" s="20">
        <f>Store[[#This Row],[Quantity]]*Store[[#This Row],[Sale Price]]</f>
        <v>13704</v>
      </c>
      <c r="L265" s="20">
        <f>Store[[#This Row],[Gross Sales]]-Store[[#This Row],[Discount]]</f>
        <v>13429.92</v>
      </c>
      <c r="M265" s="20">
        <f>Store[[#This Row],[Sales]]-Store[[#This Row],[COGS]]</f>
        <v>10003.92</v>
      </c>
    </row>
    <row r="266" spans="1:13" x14ac:dyDescent="0.25">
      <c r="A266" t="s">
        <v>41</v>
      </c>
      <c r="B266" t="s">
        <v>48</v>
      </c>
      <c r="C266" s="18" t="s">
        <v>46</v>
      </c>
      <c r="D266" s="19">
        <v>44364</v>
      </c>
      <c r="E266">
        <v>662</v>
      </c>
      <c r="F266" s="16">
        <v>10</v>
      </c>
      <c r="G266" s="16">
        <v>125</v>
      </c>
      <c r="H266" s="16">
        <v>79440</v>
      </c>
      <c r="I266" s="16">
        <v>1655</v>
      </c>
      <c r="J266" s="14" t="s">
        <v>55</v>
      </c>
      <c r="K266" s="20">
        <f>Store[[#This Row],[Quantity]]*Store[[#This Row],[Sale Price]]</f>
        <v>82750</v>
      </c>
      <c r="L266" s="20">
        <f>Store[[#This Row],[Gross Sales]]-Store[[#This Row],[Discount]]</f>
        <v>81095</v>
      </c>
      <c r="M266" s="20">
        <f>Store[[#This Row],[Sales]]-Store[[#This Row],[COGS]]</f>
        <v>1655</v>
      </c>
    </row>
    <row r="267" spans="1:13" x14ac:dyDescent="0.25">
      <c r="A267" t="s">
        <v>50</v>
      </c>
      <c r="B267" t="s">
        <v>42</v>
      </c>
      <c r="C267" s="18" t="s">
        <v>46</v>
      </c>
      <c r="D267" s="19">
        <v>44494</v>
      </c>
      <c r="E267">
        <v>1295</v>
      </c>
      <c r="F267" s="16">
        <v>10</v>
      </c>
      <c r="G267" s="16">
        <v>12</v>
      </c>
      <c r="H267" s="16">
        <v>3885</v>
      </c>
      <c r="I267" s="16">
        <v>310.8</v>
      </c>
      <c r="J267" s="14" t="s">
        <v>55</v>
      </c>
      <c r="K267" s="20">
        <f>Store[[#This Row],[Quantity]]*Store[[#This Row],[Sale Price]]</f>
        <v>15540</v>
      </c>
      <c r="L267" s="20">
        <f>Store[[#This Row],[Gross Sales]]-Store[[#This Row],[Discount]]</f>
        <v>15229.2</v>
      </c>
      <c r="M267" s="20">
        <f>Store[[#This Row],[Sales]]-Store[[#This Row],[COGS]]</f>
        <v>11344.2</v>
      </c>
    </row>
    <row r="268" spans="1:13" x14ac:dyDescent="0.25">
      <c r="A268" t="s">
        <v>47</v>
      </c>
      <c r="B268" t="s">
        <v>42</v>
      </c>
      <c r="C268" s="18" t="s">
        <v>46</v>
      </c>
      <c r="D268" s="19">
        <v>44531</v>
      </c>
      <c r="E268">
        <v>1916</v>
      </c>
      <c r="F268" s="16">
        <v>10</v>
      </c>
      <c r="G268" s="16">
        <v>300</v>
      </c>
      <c r="H268" s="16">
        <v>479000</v>
      </c>
      <c r="I268" s="16">
        <v>11496</v>
      </c>
      <c r="J268" s="14" t="s">
        <v>55</v>
      </c>
      <c r="K268" s="20">
        <f>Store[[#This Row],[Quantity]]*Store[[#This Row],[Sale Price]]</f>
        <v>574800</v>
      </c>
      <c r="L268" s="20">
        <f>Store[[#This Row],[Gross Sales]]-Store[[#This Row],[Discount]]</f>
        <v>563304</v>
      </c>
      <c r="M268" s="20">
        <f>Store[[#This Row],[Sales]]-Store[[#This Row],[COGS]]</f>
        <v>84304</v>
      </c>
    </row>
    <row r="269" spans="1:13" x14ac:dyDescent="0.25">
      <c r="A269" t="s">
        <v>49</v>
      </c>
      <c r="B269" t="s">
        <v>42</v>
      </c>
      <c r="C269" s="18" t="s">
        <v>46</v>
      </c>
      <c r="D269" s="19">
        <v>44548</v>
      </c>
      <c r="E269">
        <v>2852</v>
      </c>
      <c r="F269" s="16">
        <v>10</v>
      </c>
      <c r="G269" s="16">
        <v>350</v>
      </c>
      <c r="H269" s="16">
        <v>741520</v>
      </c>
      <c r="I269" s="16">
        <v>19964</v>
      </c>
      <c r="J269" s="14" t="s">
        <v>55</v>
      </c>
      <c r="K269" s="20">
        <f>Store[[#This Row],[Quantity]]*Store[[#This Row],[Sale Price]]</f>
        <v>998200</v>
      </c>
      <c r="L269" s="20">
        <f>Store[[#This Row],[Gross Sales]]-Store[[#This Row],[Discount]]</f>
        <v>978236</v>
      </c>
      <c r="M269" s="20">
        <f>Store[[#This Row],[Sales]]-Store[[#This Row],[COGS]]</f>
        <v>236716</v>
      </c>
    </row>
    <row r="270" spans="1:13" x14ac:dyDescent="0.25">
      <c r="A270" t="s">
        <v>41</v>
      </c>
      <c r="B270" t="s">
        <v>42</v>
      </c>
      <c r="C270" s="18" t="s">
        <v>46</v>
      </c>
      <c r="D270" s="19">
        <v>44546</v>
      </c>
      <c r="E270">
        <v>2729</v>
      </c>
      <c r="F270" s="16">
        <v>10</v>
      </c>
      <c r="G270" s="16">
        <v>125</v>
      </c>
      <c r="H270" s="16">
        <v>327480</v>
      </c>
      <c r="I270" s="16">
        <v>6822.5</v>
      </c>
      <c r="J270" s="14" t="s">
        <v>55</v>
      </c>
      <c r="K270" s="20">
        <f>Store[[#This Row],[Quantity]]*Store[[#This Row],[Sale Price]]</f>
        <v>341125</v>
      </c>
      <c r="L270" s="20">
        <f>Store[[#This Row],[Gross Sales]]-Store[[#This Row],[Discount]]</f>
        <v>334302.5</v>
      </c>
      <c r="M270" s="20">
        <f>Store[[#This Row],[Sales]]-Store[[#This Row],[COGS]]</f>
        <v>6822.5</v>
      </c>
    </row>
    <row r="271" spans="1:13" x14ac:dyDescent="0.25">
      <c r="A271" t="s">
        <v>50</v>
      </c>
      <c r="B271" t="s">
        <v>58</v>
      </c>
      <c r="C271" s="18" t="s">
        <v>46</v>
      </c>
      <c r="D271" s="19">
        <v>44554</v>
      </c>
      <c r="E271">
        <v>1055</v>
      </c>
      <c r="F271" s="16">
        <v>10</v>
      </c>
      <c r="G271" s="16">
        <v>12</v>
      </c>
      <c r="H271" s="16">
        <v>3165</v>
      </c>
      <c r="I271" s="16">
        <v>253.2</v>
      </c>
      <c r="J271" s="14" t="s">
        <v>55</v>
      </c>
      <c r="K271" s="20">
        <f>Store[[#This Row],[Quantity]]*Store[[#This Row],[Sale Price]]</f>
        <v>12660</v>
      </c>
      <c r="L271" s="20">
        <f>Store[[#This Row],[Gross Sales]]-Store[[#This Row],[Discount]]</f>
        <v>12406.8</v>
      </c>
      <c r="M271" s="20">
        <f>Store[[#This Row],[Sales]]-Store[[#This Row],[COGS]]</f>
        <v>9241.7999999999993</v>
      </c>
    </row>
    <row r="272" spans="1:13" x14ac:dyDescent="0.25">
      <c r="A272" t="s">
        <v>50</v>
      </c>
      <c r="B272" t="s">
        <v>48</v>
      </c>
      <c r="C272" s="18" t="s">
        <v>46</v>
      </c>
      <c r="D272" s="19">
        <v>44553</v>
      </c>
      <c r="E272">
        <v>1084</v>
      </c>
      <c r="F272" s="16">
        <v>10</v>
      </c>
      <c r="G272" s="16">
        <v>12</v>
      </c>
      <c r="H272" s="16">
        <v>3252</v>
      </c>
      <c r="I272" s="16">
        <v>260.16000000000003</v>
      </c>
      <c r="J272" s="14" t="s">
        <v>55</v>
      </c>
      <c r="K272" s="20">
        <f>Store[[#This Row],[Quantity]]*Store[[#This Row],[Sale Price]]</f>
        <v>13008</v>
      </c>
      <c r="L272" s="20">
        <f>Store[[#This Row],[Gross Sales]]-Store[[#This Row],[Discount]]</f>
        <v>12747.84</v>
      </c>
      <c r="M272" s="20">
        <f>Store[[#This Row],[Sales]]-Store[[#This Row],[COGS]]</f>
        <v>9495.84</v>
      </c>
    </row>
    <row r="273" spans="1:13" x14ac:dyDescent="0.25">
      <c r="A273" t="s">
        <v>49</v>
      </c>
      <c r="B273" t="s">
        <v>51</v>
      </c>
      <c r="C273" s="18" t="s">
        <v>52</v>
      </c>
      <c r="D273" s="19">
        <v>44476</v>
      </c>
      <c r="E273">
        <v>1566</v>
      </c>
      <c r="F273" s="16">
        <v>120</v>
      </c>
      <c r="G273" s="16">
        <v>20</v>
      </c>
      <c r="H273" s="16">
        <v>15660</v>
      </c>
      <c r="I273" s="16">
        <v>626.4</v>
      </c>
      <c r="J273" s="14" t="s">
        <v>55</v>
      </c>
      <c r="K273" s="20">
        <f>Store[[#This Row],[Quantity]]*Store[[#This Row],[Sale Price]]</f>
        <v>31320</v>
      </c>
      <c r="L273" s="20">
        <f>Store[[#This Row],[Gross Sales]]-Store[[#This Row],[Discount]]</f>
        <v>30693.599999999999</v>
      </c>
      <c r="M273" s="20">
        <f>Store[[#This Row],[Sales]]-Store[[#This Row],[COGS]]</f>
        <v>15033.599999999999</v>
      </c>
    </row>
    <row r="274" spans="1:13" x14ac:dyDescent="0.25">
      <c r="A274" t="s">
        <v>49</v>
      </c>
      <c r="B274" t="s">
        <v>56</v>
      </c>
      <c r="C274" s="18" t="s">
        <v>52</v>
      </c>
      <c r="D274" s="19">
        <v>44475</v>
      </c>
      <c r="E274">
        <v>2877</v>
      </c>
      <c r="F274" s="16">
        <v>120</v>
      </c>
      <c r="G274" s="16">
        <v>350</v>
      </c>
      <c r="H274" s="16">
        <v>748020</v>
      </c>
      <c r="I274" s="16">
        <v>20139</v>
      </c>
      <c r="J274" s="14" t="s">
        <v>55</v>
      </c>
      <c r="K274" s="20">
        <f>Store[[#This Row],[Quantity]]*Store[[#This Row],[Sale Price]]</f>
        <v>1006950</v>
      </c>
      <c r="L274" s="20">
        <f>Store[[#This Row],[Gross Sales]]-Store[[#This Row],[Discount]]</f>
        <v>986811</v>
      </c>
      <c r="M274" s="20">
        <f>Store[[#This Row],[Sales]]-Store[[#This Row],[COGS]]</f>
        <v>238791</v>
      </c>
    </row>
    <row r="275" spans="1:13" x14ac:dyDescent="0.25">
      <c r="A275" t="s">
        <v>50</v>
      </c>
      <c r="B275" t="s">
        <v>58</v>
      </c>
      <c r="C275" s="18" t="s">
        <v>52</v>
      </c>
      <c r="D275" s="19">
        <v>44557</v>
      </c>
      <c r="E275">
        <v>1055</v>
      </c>
      <c r="F275" s="16">
        <v>120</v>
      </c>
      <c r="G275" s="16">
        <v>12</v>
      </c>
      <c r="H275" s="16">
        <v>3165</v>
      </c>
      <c r="I275" s="16">
        <v>253.2</v>
      </c>
      <c r="J275" s="14" t="s">
        <v>55</v>
      </c>
      <c r="K275" s="20">
        <f>Store[[#This Row],[Quantity]]*Store[[#This Row],[Sale Price]]</f>
        <v>12660</v>
      </c>
      <c r="L275" s="20">
        <f>Store[[#This Row],[Gross Sales]]-Store[[#This Row],[Discount]]</f>
        <v>12406.8</v>
      </c>
      <c r="M275" s="20">
        <f>Store[[#This Row],[Sales]]-Store[[#This Row],[COGS]]</f>
        <v>9241.7999999999993</v>
      </c>
    </row>
    <row r="276" spans="1:13" x14ac:dyDescent="0.25">
      <c r="A276" t="s">
        <v>50</v>
      </c>
      <c r="B276" t="s">
        <v>48</v>
      </c>
      <c r="C276" s="18" t="s">
        <v>52</v>
      </c>
      <c r="D276" s="19">
        <v>44542</v>
      </c>
      <c r="E276">
        <v>1084</v>
      </c>
      <c r="F276" s="16">
        <v>120</v>
      </c>
      <c r="G276" s="16">
        <v>12</v>
      </c>
      <c r="H276" s="16">
        <v>3252</v>
      </c>
      <c r="I276" s="16">
        <v>260.16000000000003</v>
      </c>
      <c r="J276" s="14" t="s">
        <v>55</v>
      </c>
      <c r="K276" s="20">
        <f>Store[[#This Row],[Quantity]]*Store[[#This Row],[Sale Price]]</f>
        <v>13008</v>
      </c>
      <c r="L276" s="20">
        <f>Store[[#This Row],[Gross Sales]]-Store[[#This Row],[Discount]]</f>
        <v>12747.84</v>
      </c>
      <c r="M276" s="20">
        <f>Store[[#This Row],[Sales]]-Store[[#This Row],[COGS]]</f>
        <v>9495.84</v>
      </c>
    </row>
    <row r="277" spans="1:13" x14ac:dyDescent="0.25">
      <c r="A277" t="s">
        <v>41</v>
      </c>
      <c r="B277" t="s">
        <v>48</v>
      </c>
      <c r="C277" s="18" t="s">
        <v>53</v>
      </c>
      <c r="D277" s="19">
        <v>44376</v>
      </c>
      <c r="E277">
        <v>662</v>
      </c>
      <c r="F277" s="16">
        <v>250</v>
      </c>
      <c r="G277" s="16">
        <v>125</v>
      </c>
      <c r="H277" s="16">
        <v>79440</v>
      </c>
      <c r="I277" s="16">
        <v>1655</v>
      </c>
      <c r="J277" s="14" t="s">
        <v>55</v>
      </c>
      <c r="K277" s="20">
        <f>Store[[#This Row],[Quantity]]*Store[[#This Row],[Sale Price]]</f>
        <v>82750</v>
      </c>
      <c r="L277" s="20">
        <f>Store[[#This Row],[Gross Sales]]-Store[[#This Row],[Discount]]</f>
        <v>81095</v>
      </c>
      <c r="M277" s="20">
        <f>Store[[#This Row],[Sales]]-Store[[#This Row],[COGS]]</f>
        <v>1655</v>
      </c>
    </row>
    <row r="278" spans="1:13" x14ac:dyDescent="0.25">
      <c r="A278" t="s">
        <v>49</v>
      </c>
      <c r="B278" t="s">
        <v>56</v>
      </c>
      <c r="C278" s="18" t="s">
        <v>53</v>
      </c>
      <c r="D278" s="19">
        <v>44490</v>
      </c>
      <c r="E278">
        <v>2877</v>
      </c>
      <c r="F278" s="16">
        <v>250</v>
      </c>
      <c r="G278" s="16">
        <v>350</v>
      </c>
      <c r="H278" s="16">
        <v>748020</v>
      </c>
      <c r="I278" s="16">
        <v>20139</v>
      </c>
      <c r="J278" s="14" t="s">
        <v>55</v>
      </c>
      <c r="K278" s="20">
        <f>Store[[#This Row],[Quantity]]*Store[[#This Row],[Sale Price]]</f>
        <v>1006950</v>
      </c>
      <c r="L278" s="20">
        <f>Store[[#This Row],[Gross Sales]]-Store[[#This Row],[Discount]]</f>
        <v>986811</v>
      </c>
      <c r="M278" s="20">
        <f>Store[[#This Row],[Sales]]-Store[[#This Row],[COGS]]</f>
        <v>238791</v>
      </c>
    </row>
    <row r="279" spans="1:13" x14ac:dyDescent="0.25">
      <c r="A279" t="s">
        <v>41</v>
      </c>
      <c r="B279" t="s">
        <v>42</v>
      </c>
      <c r="C279" s="18" t="s">
        <v>53</v>
      </c>
      <c r="D279" s="19">
        <v>44550</v>
      </c>
      <c r="E279">
        <v>2729</v>
      </c>
      <c r="F279" s="16">
        <v>250</v>
      </c>
      <c r="G279" s="16">
        <v>125</v>
      </c>
      <c r="H279" s="16">
        <v>327480</v>
      </c>
      <c r="I279" s="16">
        <v>6822.5</v>
      </c>
      <c r="J279" s="14" t="s">
        <v>55</v>
      </c>
      <c r="K279" s="20">
        <f>Store[[#This Row],[Quantity]]*Store[[#This Row],[Sale Price]]</f>
        <v>341125</v>
      </c>
      <c r="L279" s="20">
        <f>Store[[#This Row],[Gross Sales]]-Store[[#This Row],[Discount]]</f>
        <v>334302.5</v>
      </c>
      <c r="M279" s="20">
        <f>Store[[#This Row],[Sales]]-Store[[#This Row],[COGS]]</f>
        <v>6822.5</v>
      </c>
    </row>
    <row r="280" spans="1:13" x14ac:dyDescent="0.25">
      <c r="A280" t="s">
        <v>47</v>
      </c>
      <c r="B280" t="s">
        <v>56</v>
      </c>
      <c r="C280" s="18" t="s">
        <v>57</v>
      </c>
      <c r="D280" s="19">
        <v>44282</v>
      </c>
      <c r="E280">
        <v>259</v>
      </c>
      <c r="F280" s="16">
        <v>260</v>
      </c>
      <c r="G280" s="16">
        <v>300</v>
      </c>
      <c r="H280" s="16">
        <v>64750</v>
      </c>
      <c r="I280" s="16">
        <v>1554</v>
      </c>
      <c r="J280" s="14" t="s">
        <v>55</v>
      </c>
      <c r="K280" s="20">
        <f>Store[[#This Row],[Quantity]]*Store[[#This Row],[Sale Price]]</f>
        <v>77700</v>
      </c>
      <c r="L280" s="20">
        <f>Store[[#This Row],[Gross Sales]]-Store[[#This Row],[Discount]]</f>
        <v>76146</v>
      </c>
      <c r="M280" s="20">
        <f>Store[[#This Row],[Sales]]-Store[[#This Row],[COGS]]</f>
        <v>11396</v>
      </c>
    </row>
    <row r="281" spans="1:13" x14ac:dyDescent="0.25">
      <c r="A281" t="s">
        <v>47</v>
      </c>
      <c r="B281" t="s">
        <v>48</v>
      </c>
      <c r="C281" s="18" t="s">
        <v>57</v>
      </c>
      <c r="D281" s="19">
        <v>44259</v>
      </c>
      <c r="E281">
        <v>1101</v>
      </c>
      <c r="F281" s="16">
        <v>260</v>
      </c>
      <c r="G281" s="16">
        <v>300</v>
      </c>
      <c r="H281" s="16">
        <v>275250</v>
      </c>
      <c r="I281" s="16">
        <v>6606</v>
      </c>
      <c r="J281" s="14" t="s">
        <v>55</v>
      </c>
      <c r="K281" s="20">
        <f>Store[[#This Row],[Quantity]]*Store[[#This Row],[Sale Price]]</f>
        <v>330300</v>
      </c>
      <c r="L281" s="20">
        <f>Store[[#This Row],[Gross Sales]]-Store[[#This Row],[Discount]]</f>
        <v>323694</v>
      </c>
      <c r="M281" s="20">
        <f>Store[[#This Row],[Sales]]-Store[[#This Row],[COGS]]</f>
        <v>48444</v>
      </c>
    </row>
    <row r="282" spans="1:13" x14ac:dyDescent="0.25">
      <c r="A282" t="s">
        <v>41</v>
      </c>
      <c r="B282" t="s">
        <v>56</v>
      </c>
      <c r="C282" s="18" t="s">
        <v>57</v>
      </c>
      <c r="D282" s="19">
        <v>44327</v>
      </c>
      <c r="E282">
        <v>2276</v>
      </c>
      <c r="F282" s="16">
        <v>260</v>
      </c>
      <c r="G282" s="16">
        <v>125</v>
      </c>
      <c r="H282" s="16">
        <v>273120</v>
      </c>
      <c r="I282" s="16">
        <v>5690</v>
      </c>
      <c r="J282" s="14" t="s">
        <v>55</v>
      </c>
      <c r="K282" s="20">
        <f>Store[[#This Row],[Quantity]]*Store[[#This Row],[Sale Price]]</f>
        <v>284500</v>
      </c>
      <c r="L282" s="20">
        <f>Store[[#This Row],[Gross Sales]]-Store[[#This Row],[Discount]]</f>
        <v>278810</v>
      </c>
      <c r="M282" s="20">
        <f>Store[[#This Row],[Sales]]-Store[[#This Row],[COGS]]</f>
        <v>5690</v>
      </c>
    </row>
    <row r="283" spans="1:13" x14ac:dyDescent="0.25">
      <c r="A283" t="s">
        <v>49</v>
      </c>
      <c r="B283" t="s">
        <v>51</v>
      </c>
      <c r="C283" s="18" t="s">
        <v>57</v>
      </c>
      <c r="D283" s="19">
        <v>44522</v>
      </c>
      <c r="E283">
        <v>1236</v>
      </c>
      <c r="F283" s="16">
        <v>260</v>
      </c>
      <c r="G283" s="16">
        <v>20</v>
      </c>
      <c r="H283" s="16">
        <v>12360</v>
      </c>
      <c r="I283" s="16">
        <v>494.4</v>
      </c>
      <c r="J283" s="14" t="s">
        <v>55</v>
      </c>
      <c r="K283" s="20">
        <f>Store[[#This Row],[Quantity]]*Store[[#This Row],[Sale Price]]</f>
        <v>24720</v>
      </c>
      <c r="L283" s="20">
        <f>Store[[#This Row],[Gross Sales]]-Store[[#This Row],[Discount]]</f>
        <v>24225.599999999999</v>
      </c>
      <c r="M283" s="20">
        <f>Store[[#This Row],[Sales]]-Store[[#This Row],[COGS]]</f>
        <v>11865.599999999999</v>
      </c>
    </row>
    <row r="284" spans="1:13" x14ac:dyDescent="0.25">
      <c r="A284" t="s">
        <v>49</v>
      </c>
      <c r="B284" t="s">
        <v>58</v>
      </c>
      <c r="C284" s="18" t="s">
        <v>57</v>
      </c>
      <c r="D284" s="19">
        <v>44503</v>
      </c>
      <c r="E284">
        <v>941</v>
      </c>
      <c r="F284" s="16">
        <v>260</v>
      </c>
      <c r="G284" s="16">
        <v>20</v>
      </c>
      <c r="H284" s="16">
        <v>9410</v>
      </c>
      <c r="I284" s="16">
        <v>376.4</v>
      </c>
      <c r="J284" s="14" t="s">
        <v>55</v>
      </c>
      <c r="K284" s="20">
        <f>Store[[#This Row],[Quantity]]*Store[[#This Row],[Sale Price]]</f>
        <v>18820</v>
      </c>
      <c r="L284" s="20">
        <f>Store[[#This Row],[Gross Sales]]-Store[[#This Row],[Discount]]</f>
        <v>18443.599999999999</v>
      </c>
      <c r="M284" s="20">
        <f>Store[[#This Row],[Sales]]-Store[[#This Row],[COGS]]</f>
        <v>9033.5999999999985</v>
      </c>
    </row>
    <row r="285" spans="1:13" x14ac:dyDescent="0.25">
      <c r="A285" t="s">
        <v>47</v>
      </c>
      <c r="B285" t="s">
        <v>42</v>
      </c>
      <c r="C285" s="18" t="s">
        <v>57</v>
      </c>
      <c r="D285" s="19">
        <v>44545</v>
      </c>
      <c r="E285">
        <v>1916</v>
      </c>
      <c r="F285" s="16">
        <v>260</v>
      </c>
      <c r="G285" s="16">
        <v>300</v>
      </c>
      <c r="H285" s="16">
        <v>479000</v>
      </c>
      <c r="I285" s="16">
        <v>11496</v>
      </c>
      <c r="J285" s="14" t="s">
        <v>55</v>
      </c>
      <c r="K285" s="20">
        <f>Store[[#This Row],[Quantity]]*Store[[#This Row],[Sale Price]]</f>
        <v>574800</v>
      </c>
      <c r="L285" s="20">
        <f>Store[[#This Row],[Gross Sales]]-Store[[#This Row],[Discount]]</f>
        <v>563304</v>
      </c>
      <c r="M285" s="20">
        <f>Store[[#This Row],[Sales]]-Store[[#This Row],[COGS]]</f>
        <v>84304</v>
      </c>
    </row>
    <row r="286" spans="1:13" x14ac:dyDescent="0.25">
      <c r="A286" t="s">
        <v>41</v>
      </c>
      <c r="B286" t="s">
        <v>58</v>
      </c>
      <c r="C286" s="18" t="s">
        <v>54</v>
      </c>
      <c r="D286" s="19">
        <v>44305</v>
      </c>
      <c r="E286">
        <v>4243.5</v>
      </c>
      <c r="F286" s="16">
        <v>3</v>
      </c>
      <c r="G286" s="16">
        <v>125</v>
      </c>
      <c r="H286" s="16">
        <v>509220</v>
      </c>
      <c r="I286" s="16">
        <v>15913.125</v>
      </c>
      <c r="J286" s="14" t="s">
        <v>55</v>
      </c>
      <c r="K286" s="20">
        <f>Store[[#This Row],[Quantity]]*Store[[#This Row],[Sale Price]]</f>
        <v>530437.5</v>
      </c>
      <c r="L286" s="20">
        <f>Store[[#This Row],[Gross Sales]]-Store[[#This Row],[Discount]]</f>
        <v>514524.375</v>
      </c>
      <c r="M286" s="20">
        <f>Store[[#This Row],[Sales]]-Store[[#This Row],[COGS]]</f>
        <v>5304.375</v>
      </c>
    </row>
    <row r="287" spans="1:13" x14ac:dyDescent="0.25">
      <c r="A287" t="s">
        <v>49</v>
      </c>
      <c r="B287" t="s">
        <v>56</v>
      </c>
      <c r="C287" s="18" t="s">
        <v>54</v>
      </c>
      <c r="D287" s="19">
        <v>44303</v>
      </c>
      <c r="E287">
        <v>2580</v>
      </c>
      <c r="F287" s="16">
        <v>3</v>
      </c>
      <c r="G287" s="16">
        <v>20</v>
      </c>
      <c r="H287" s="16">
        <v>25800</v>
      </c>
      <c r="I287" s="16">
        <v>1548</v>
      </c>
      <c r="J287" s="14" t="s">
        <v>55</v>
      </c>
      <c r="K287" s="20">
        <f>Store[[#This Row],[Quantity]]*Store[[#This Row],[Sale Price]]</f>
        <v>51600</v>
      </c>
      <c r="L287" s="20">
        <f>Store[[#This Row],[Gross Sales]]-Store[[#This Row],[Discount]]</f>
        <v>50052</v>
      </c>
      <c r="M287" s="20">
        <f>Store[[#This Row],[Sales]]-Store[[#This Row],[COGS]]</f>
        <v>24252</v>
      </c>
    </row>
    <row r="288" spans="1:13" x14ac:dyDescent="0.25">
      <c r="A288" t="s">
        <v>47</v>
      </c>
      <c r="B288" t="s">
        <v>56</v>
      </c>
      <c r="C288" s="18" t="s">
        <v>54</v>
      </c>
      <c r="D288" s="19">
        <v>44353</v>
      </c>
      <c r="E288">
        <v>689</v>
      </c>
      <c r="F288" s="16">
        <v>3</v>
      </c>
      <c r="G288" s="16">
        <v>300</v>
      </c>
      <c r="H288" s="16">
        <v>172250</v>
      </c>
      <c r="I288" s="16">
        <v>6201</v>
      </c>
      <c r="J288" s="14" t="s">
        <v>55</v>
      </c>
      <c r="K288" s="20">
        <f>Store[[#This Row],[Quantity]]*Store[[#This Row],[Sale Price]]</f>
        <v>206700</v>
      </c>
      <c r="L288" s="20">
        <f>Store[[#This Row],[Gross Sales]]-Store[[#This Row],[Discount]]</f>
        <v>200499</v>
      </c>
      <c r="M288" s="20">
        <f>Store[[#This Row],[Sales]]-Store[[#This Row],[COGS]]</f>
        <v>28249</v>
      </c>
    </row>
    <row r="289" spans="1:13" x14ac:dyDescent="0.25">
      <c r="A289" t="s">
        <v>50</v>
      </c>
      <c r="B289" t="s">
        <v>51</v>
      </c>
      <c r="C289" s="18" t="s">
        <v>54</v>
      </c>
      <c r="D289" s="19">
        <v>44454</v>
      </c>
      <c r="E289">
        <v>1947</v>
      </c>
      <c r="F289" s="16">
        <v>3</v>
      </c>
      <c r="G289" s="16">
        <v>12</v>
      </c>
      <c r="H289" s="16">
        <v>5841</v>
      </c>
      <c r="I289" s="16">
        <v>700.92</v>
      </c>
      <c r="J289" s="14" t="s">
        <v>55</v>
      </c>
      <c r="K289" s="20">
        <f>Store[[#This Row],[Quantity]]*Store[[#This Row],[Sale Price]]</f>
        <v>23364</v>
      </c>
      <c r="L289" s="20">
        <f>Store[[#This Row],[Gross Sales]]-Store[[#This Row],[Discount]]</f>
        <v>22663.08</v>
      </c>
      <c r="M289" s="20">
        <f>Store[[#This Row],[Sales]]-Store[[#This Row],[COGS]]</f>
        <v>16822.080000000002</v>
      </c>
    </row>
    <row r="290" spans="1:13" x14ac:dyDescent="0.25">
      <c r="A290" t="s">
        <v>49</v>
      </c>
      <c r="B290" t="s">
        <v>56</v>
      </c>
      <c r="C290" s="18" t="s">
        <v>43</v>
      </c>
      <c r="D290" s="19">
        <v>44234</v>
      </c>
      <c r="E290">
        <v>1958</v>
      </c>
      <c r="F290" s="16">
        <v>5</v>
      </c>
      <c r="G290" s="16">
        <v>7</v>
      </c>
      <c r="H290" s="16">
        <v>9790</v>
      </c>
      <c r="I290" s="16">
        <v>411.18</v>
      </c>
      <c r="J290" s="14" t="s">
        <v>55</v>
      </c>
      <c r="K290" s="20">
        <f>Store[[#This Row],[Quantity]]*Store[[#This Row],[Sale Price]]</f>
        <v>13706</v>
      </c>
      <c r="L290" s="20">
        <f>Store[[#This Row],[Gross Sales]]-Store[[#This Row],[Discount]]</f>
        <v>13294.82</v>
      </c>
      <c r="M290" s="20">
        <f>Store[[#This Row],[Sales]]-Store[[#This Row],[COGS]]</f>
        <v>3504.8199999999997</v>
      </c>
    </row>
    <row r="291" spans="1:13" x14ac:dyDescent="0.25">
      <c r="A291" t="s">
        <v>50</v>
      </c>
      <c r="B291" t="s">
        <v>58</v>
      </c>
      <c r="C291" s="18" t="s">
        <v>43</v>
      </c>
      <c r="D291" s="19">
        <v>44365</v>
      </c>
      <c r="E291">
        <v>1901</v>
      </c>
      <c r="F291" s="16">
        <v>5</v>
      </c>
      <c r="G291" s="16">
        <v>12</v>
      </c>
      <c r="H291" s="16">
        <v>5703</v>
      </c>
      <c r="I291" s="16">
        <v>684.36</v>
      </c>
      <c r="J291" s="14" t="s">
        <v>55</v>
      </c>
      <c r="K291" s="20">
        <f>Store[[#This Row],[Quantity]]*Store[[#This Row],[Sale Price]]</f>
        <v>22812</v>
      </c>
      <c r="L291" s="20">
        <f>Store[[#This Row],[Gross Sales]]-Store[[#This Row],[Discount]]</f>
        <v>22127.64</v>
      </c>
      <c r="M291" s="20">
        <f>Store[[#This Row],[Sales]]-Store[[#This Row],[COGS]]</f>
        <v>16424.64</v>
      </c>
    </row>
    <row r="292" spans="1:13" x14ac:dyDescent="0.25">
      <c r="A292" t="s">
        <v>49</v>
      </c>
      <c r="B292" t="s">
        <v>58</v>
      </c>
      <c r="C292" s="18" t="s">
        <v>43</v>
      </c>
      <c r="D292" s="19">
        <v>44453</v>
      </c>
      <c r="E292">
        <v>544</v>
      </c>
      <c r="F292" s="16">
        <v>5</v>
      </c>
      <c r="G292" s="16">
        <v>7</v>
      </c>
      <c r="H292" s="16">
        <v>2720</v>
      </c>
      <c r="I292" s="16">
        <v>114.24</v>
      </c>
      <c r="J292" s="14" t="s">
        <v>55</v>
      </c>
      <c r="K292" s="20">
        <f>Store[[#This Row],[Quantity]]*Store[[#This Row],[Sale Price]]</f>
        <v>3808</v>
      </c>
      <c r="L292" s="20">
        <f>Store[[#This Row],[Gross Sales]]-Store[[#This Row],[Discount]]</f>
        <v>3693.76</v>
      </c>
      <c r="M292" s="20">
        <f>Store[[#This Row],[Sales]]-Store[[#This Row],[COGS]]</f>
        <v>973.76000000000022</v>
      </c>
    </row>
    <row r="293" spans="1:13" x14ac:dyDescent="0.25">
      <c r="A293" t="s">
        <v>41</v>
      </c>
      <c r="B293" t="s">
        <v>58</v>
      </c>
      <c r="C293" s="18" t="s">
        <v>43</v>
      </c>
      <c r="D293" s="19">
        <v>44554</v>
      </c>
      <c r="E293">
        <v>1287</v>
      </c>
      <c r="F293" s="16">
        <v>5</v>
      </c>
      <c r="G293" s="16">
        <v>125</v>
      </c>
      <c r="H293" s="16">
        <v>154440</v>
      </c>
      <c r="I293" s="16">
        <v>4826.25</v>
      </c>
      <c r="J293" s="14" t="s">
        <v>55</v>
      </c>
      <c r="K293" s="20">
        <f>Store[[#This Row],[Quantity]]*Store[[#This Row],[Sale Price]]</f>
        <v>160875</v>
      </c>
      <c r="L293" s="20">
        <f>Store[[#This Row],[Gross Sales]]-Store[[#This Row],[Discount]]</f>
        <v>156048.75</v>
      </c>
      <c r="M293" s="20">
        <f>Store[[#This Row],[Sales]]-Store[[#This Row],[COGS]]</f>
        <v>1608.75</v>
      </c>
    </row>
    <row r="294" spans="1:13" x14ac:dyDescent="0.25">
      <c r="A294" t="s">
        <v>41</v>
      </c>
      <c r="B294" t="s">
        <v>56</v>
      </c>
      <c r="C294" s="18" t="s">
        <v>43</v>
      </c>
      <c r="D294" s="19">
        <v>44557</v>
      </c>
      <c r="E294">
        <v>1706</v>
      </c>
      <c r="F294" s="16">
        <v>5</v>
      </c>
      <c r="G294" s="16">
        <v>125</v>
      </c>
      <c r="H294" s="16">
        <v>204720</v>
      </c>
      <c r="I294" s="16">
        <v>6397.5</v>
      </c>
      <c r="J294" s="14" t="s">
        <v>55</v>
      </c>
      <c r="K294" s="20">
        <f>Store[[#This Row],[Quantity]]*Store[[#This Row],[Sale Price]]</f>
        <v>213250</v>
      </c>
      <c r="L294" s="20">
        <f>Store[[#This Row],[Gross Sales]]-Store[[#This Row],[Discount]]</f>
        <v>206852.5</v>
      </c>
      <c r="M294" s="20">
        <f>Store[[#This Row],[Sales]]-Store[[#This Row],[COGS]]</f>
        <v>2132.5</v>
      </c>
    </row>
    <row r="295" spans="1:13" x14ac:dyDescent="0.25">
      <c r="A295" t="s">
        <v>47</v>
      </c>
      <c r="B295" t="s">
        <v>58</v>
      </c>
      <c r="C295" s="18" t="s">
        <v>46</v>
      </c>
      <c r="D295" s="19">
        <v>44206</v>
      </c>
      <c r="E295">
        <v>2434.5</v>
      </c>
      <c r="F295" s="16">
        <v>10</v>
      </c>
      <c r="G295" s="16">
        <v>300</v>
      </c>
      <c r="H295" s="16">
        <v>608625</v>
      </c>
      <c r="I295" s="16">
        <v>21910.5</v>
      </c>
      <c r="J295" s="14" t="s">
        <v>55</v>
      </c>
      <c r="K295" s="20">
        <f>Store[[#This Row],[Quantity]]*Store[[#This Row],[Sale Price]]</f>
        <v>730350</v>
      </c>
      <c r="L295" s="20">
        <f>Store[[#This Row],[Gross Sales]]-Store[[#This Row],[Discount]]</f>
        <v>708439.5</v>
      </c>
      <c r="M295" s="20">
        <f>Store[[#This Row],[Sales]]-Store[[#This Row],[COGS]]</f>
        <v>99814.5</v>
      </c>
    </row>
    <row r="296" spans="1:13" x14ac:dyDescent="0.25">
      <c r="A296" t="s">
        <v>41</v>
      </c>
      <c r="B296" t="s">
        <v>42</v>
      </c>
      <c r="C296" s="18" t="s">
        <v>46</v>
      </c>
      <c r="D296" s="19">
        <v>44258</v>
      </c>
      <c r="E296">
        <v>1774</v>
      </c>
      <c r="F296" s="16">
        <v>10</v>
      </c>
      <c r="G296" s="16">
        <v>125</v>
      </c>
      <c r="H296" s="16">
        <v>212880</v>
      </c>
      <c r="I296" s="16">
        <v>6652.5</v>
      </c>
      <c r="J296" s="14" t="s">
        <v>55</v>
      </c>
      <c r="K296" s="20">
        <f>Store[[#This Row],[Quantity]]*Store[[#This Row],[Sale Price]]</f>
        <v>221750</v>
      </c>
      <c r="L296" s="20">
        <f>Store[[#This Row],[Gross Sales]]-Store[[#This Row],[Discount]]</f>
        <v>215097.5</v>
      </c>
      <c r="M296" s="20">
        <f>Store[[#This Row],[Sales]]-Store[[#This Row],[COGS]]</f>
        <v>2217.5</v>
      </c>
    </row>
    <row r="297" spans="1:13" x14ac:dyDescent="0.25">
      <c r="A297" t="s">
        <v>50</v>
      </c>
      <c r="B297" t="s">
        <v>58</v>
      </c>
      <c r="C297" s="18" t="s">
        <v>46</v>
      </c>
      <c r="D297" s="19">
        <v>44363</v>
      </c>
      <c r="E297">
        <v>1901</v>
      </c>
      <c r="F297" s="16">
        <v>10</v>
      </c>
      <c r="G297" s="16">
        <v>12</v>
      </c>
      <c r="H297" s="16">
        <v>5703</v>
      </c>
      <c r="I297" s="16">
        <v>684.36</v>
      </c>
      <c r="J297" s="14" t="s">
        <v>55</v>
      </c>
      <c r="K297" s="20">
        <f>Store[[#This Row],[Quantity]]*Store[[#This Row],[Sale Price]]</f>
        <v>22812</v>
      </c>
      <c r="L297" s="20">
        <f>Store[[#This Row],[Gross Sales]]-Store[[#This Row],[Discount]]</f>
        <v>22127.64</v>
      </c>
      <c r="M297" s="20">
        <f>Store[[#This Row],[Sales]]-Store[[#This Row],[COGS]]</f>
        <v>16424.64</v>
      </c>
    </row>
    <row r="298" spans="1:13" x14ac:dyDescent="0.25">
      <c r="A298" t="s">
        <v>47</v>
      </c>
      <c r="B298" t="s">
        <v>56</v>
      </c>
      <c r="C298" s="18" t="s">
        <v>46</v>
      </c>
      <c r="D298" s="19">
        <v>44368</v>
      </c>
      <c r="E298">
        <v>689</v>
      </c>
      <c r="F298" s="16">
        <v>10</v>
      </c>
      <c r="G298" s="16">
        <v>300</v>
      </c>
      <c r="H298" s="16">
        <v>172250</v>
      </c>
      <c r="I298" s="16">
        <v>6201</v>
      </c>
      <c r="J298" s="14" t="s">
        <v>55</v>
      </c>
      <c r="K298" s="20">
        <f>Store[[#This Row],[Quantity]]*Store[[#This Row],[Sale Price]]</f>
        <v>206700</v>
      </c>
      <c r="L298" s="20">
        <f>Store[[#This Row],[Gross Sales]]-Store[[#This Row],[Discount]]</f>
        <v>200499</v>
      </c>
      <c r="M298" s="20">
        <f>Store[[#This Row],[Sales]]-Store[[#This Row],[COGS]]</f>
        <v>28249</v>
      </c>
    </row>
    <row r="299" spans="1:13" x14ac:dyDescent="0.25">
      <c r="A299" t="s">
        <v>41</v>
      </c>
      <c r="B299" t="s">
        <v>56</v>
      </c>
      <c r="C299" s="18" t="s">
        <v>46</v>
      </c>
      <c r="D299" s="19">
        <v>44367</v>
      </c>
      <c r="E299">
        <v>1570</v>
      </c>
      <c r="F299" s="16">
        <v>10</v>
      </c>
      <c r="G299" s="16">
        <v>125</v>
      </c>
      <c r="H299" s="16">
        <v>188400</v>
      </c>
      <c r="I299" s="16">
        <v>5887.5</v>
      </c>
      <c r="J299" s="14" t="s">
        <v>55</v>
      </c>
      <c r="K299" s="20">
        <f>Store[[#This Row],[Quantity]]*Store[[#This Row],[Sale Price]]</f>
        <v>196250</v>
      </c>
      <c r="L299" s="20">
        <f>Store[[#This Row],[Gross Sales]]-Store[[#This Row],[Discount]]</f>
        <v>190362.5</v>
      </c>
      <c r="M299" s="20">
        <f>Store[[#This Row],[Sales]]-Store[[#This Row],[COGS]]</f>
        <v>1962.5</v>
      </c>
    </row>
    <row r="300" spans="1:13" x14ac:dyDescent="0.25">
      <c r="A300" t="s">
        <v>50</v>
      </c>
      <c r="B300" t="s">
        <v>51</v>
      </c>
      <c r="C300" s="18" t="s">
        <v>46</v>
      </c>
      <c r="D300" s="19">
        <v>44381</v>
      </c>
      <c r="E300">
        <v>1369.5</v>
      </c>
      <c r="F300" s="16">
        <v>10</v>
      </c>
      <c r="G300" s="16">
        <v>12</v>
      </c>
      <c r="H300" s="16">
        <v>4108.5</v>
      </c>
      <c r="I300" s="16">
        <v>493.02</v>
      </c>
      <c r="J300" s="14" t="s">
        <v>55</v>
      </c>
      <c r="K300" s="20">
        <f>Store[[#This Row],[Quantity]]*Store[[#This Row],[Sale Price]]</f>
        <v>16434</v>
      </c>
      <c r="L300" s="20">
        <f>Store[[#This Row],[Gross Sales]]-Store[[#This Row],[Discount]]</f>
        <v>15940.98</v>
      </c>
      <c r="M300" s="20">
        <f>Store[[#This Row],[Sales]]-Store[[#This Row],[COGS]]</f>
        <v>11832.48</v>
      </c>
    </row>
    <row r="301" spans="1:13" x14ac:dyDescent="0.25">
      <c r="A301" t="s">
        <v>41</v>
      </c>
      <c r="B301" t="s">
        <v>42</v>
      </c>
      <c r="C301" s="18" t="s">
        <v>46</v>
      </c>
      <c r="D301" s="19">
        <v>44484</v>
      </c>
      <c r="E301">
        <v>2009</v>
      </c>
      <c r="F301" s="16">
        <v>10</v>
      </c>
      <c r="G301" s="16">
        <v>125</v>
      </c>
      <c r="H301" s="16">
        <v>241080</v>
      </c>
      <c r="I301" s="16">
        <v>7533.75</v>
      </c>
      <c r="J301" s="14" t="s">
        <v>55</v>
      </c>
      <c r="K301" s="20">
        <f>Store[[#This Row],[Quantity]]*Store[[#This Row],[Sale Price]]</f>
        <v>251125</v>
      </c>
      <c r="L301" s="20">
        <f>Store[[#This Row],[Gross Sales]]-Store[[#This Row],[Discount]]</f>
        <v>243591.25</v>
      </c>
      <c r="M301" s="20">
        <f>Store[[#This Row],[Sales]]-Store[[#This Row],[COGS]]</f>
        <v>2511.25</v>
      </c>
    </row>
    <row r="302" spans="1:13" x14ac:dyDescent="0.25">
      <c r="A302" t="s">
        <v>41</v>
      </c>
      <c r="B302" t="s">
        <v>58</v>
      </c>
      <c r="C302" s="18" t="s">
        <v>46</v>
      </c>
      <c r="D302" s="19">
        <v>44547</v>
      </c>
      <c r="E302">
        <v>1287</v>
      </c>
      <c r="F302" s="16">
        <v>10</v>
      </c>
      <c r="G302" s="16">
        <v>125</v>
      </c>
      <c r="H302" s="16">
        <v>154440</v>
      </c>
      <c r="I302" s="16">
        <v>4826.25</v>
      </c>
      <c r="J302" s="14" t="s">
        <v>55</v>
      </c>
      <c r="K302" s="20">
        <f>Store[[#This Row],[Quantity]]*Store[[#This Row],[Sale Price]]</f>
        <v>160875</v>
      </c>
      <c r="L302" s="20">
        <f>Store[[#This Row],[Gross Sales]]-Store[[#This Row],[Discount]]</f>
        <v>156048.75</v>
      </c>
      <c r="M302" s="20">
        <f>Store[[#This Row],[Sales]]-Store[[#This Row],[COGS]]</f>
        <v>1608.75</v>
      </c>
    </row>
    <row r="303" spans="1:13" x14ac:dyDescent="0.25">
      <c r="A303" t="s">
        <v>41</v>
      </c>
      <c r="B303" t="s">
        <v>56</v>
      </c>
      <c r="C303" s="18" t="s">
        <v>46</v>
      </c>
      <c r="D303" s="19">
        <v>44538</v>
      </c>
      <c r="E303">
        <v>1706</v>
      </c>
      <c r="F303" s="16">
        <v>10</v>
      </c>
      <c r="G303" s="16">
        <v>125</v>
      </c>
      <c r="H303" s="16">
        <v>204720</v>
      </c>
      <c r="I303" s="16">
        <v>6397.5</v>
      </c>
      <c r="J303" s="14" t="s">
        <v>55</v>
      </c>
      <c r="K303" s="20">
        <f>Store[[#This Row],[Quantity]]*Store[[#This Row],[Sale Price]]</f>
        <v>213250</v>
      </c>
      <c r="L303" s="20">
        <f>Store[[#This Row],[Gross Sales]]-Store[[#This Row],[Discount]]</f>
        <v>206852.5</v>
      </c>
      <c r="M303" s="20">
        <f>Store[[#This Row],[Sales]]-Store[[#This Row],[COGS]]</f>
        <v>2132.5</v>
      </c>
    </row>
    <row r="304" spans="1:13" x14ac:dyDescent="0.25">
      <c r="A304" t="s">
        <v>41</v>
      </c>
      <c r="B304" t="s">
        <v>42</v>
      </c>
      <c r="C304" s="18" t="s">
        <v>52</v>
      </c>
      <c r="D304" s="19">
        <v>44473</v>
      </c>
      <c r="E304">
        <v>2009</v>
      </c>
      <c r="F304" s="16">
        <v>120</v>
      </c>
      <c r="G304" s="16">
        <v>125</v>
      </c>
      <c r="H304" s="16">
        <v>241080</v>
      </c>
      <c r="I304" s="16">
        <v>7533.75</v>
      </c>
      <c r="J304" s="14" t="s">
        <v>55</v>
      </c>
      <c r="K304" s="20">
        <f>Store[[#This Row],[Quantity]]*Store[[#This Row],[Sale Price]]</f>
        <v>251125</v>
      </c>
      <c r="L304" s="20">
        <f>Store[[#This Row],[Gross Sales]]-Store[[#This Row],[Discount]]</f>
        <v>243591.25</v>
      </c>
      <c r="M304" s="20">
        <f>Store[[#This Row],[Sales]]-Store[[#This Row],[COGS]]</f>
        <v>2511.25</v>
      </c>
    </row>
    <row r="305" spans="1:13" x14ac:dyDescent="0.25">
      <c r="A305" t="s">
        <v>47</v>
      </c>
      <c r="B305" t="s">
        <v>51</v>
      </c>
      <c r="C305" s="18" t="s">
        <v>53</v>
      </c>
      <c r="D305" s="19">
        <v>44244</v>
      </c>
      <c r="E305">
        <v>2844</v>
      </c>
      <c r="F305" s="16">
        <v>250</v>
      </c>
      <c r="G305" s="16">
        <v>300</v>
      </c>
      <c r="H305" s="16">
        <v>711000</v>
      </c>
      <c r="I305" s="16">
        <v>25596</v>
      </c>
      <c r="J305" s="14" t="s">
        <v>55</v>
      </c>
      <c r="K305" s="20">
        <f>Store[[#This Row],[Quantity]]*Store[[#This Row],[Sale Price]]</f>
        <v>853200</v>
      </c>
      <c r="L305" s="20">
        <f>Store[[#This Row],[Gross Sales]]-Store[[#This Row],[Discount]]</f>
        <v>827604</v>
      </c>
      <c r="M305" s="20">
        <f>Store[[#This Row],[Sales]]-Store[[#This Row],[COGS]]</f>
        <v>116604</v>
      </c>
    </row>
    <row r="306" spans="1:13" x14ac:dyDescent="0.25">
      <c r="A306" t="s">
        <v>50</v>
      </c>
      <c r="B306" t="s">
        <v>48</v>
      </c>
      <c r="C306" s="18" t="s">
        <v>53</v>
      </c>
      <c r="D306" s="19">
        <v>44296</v>
      </c>
      <c r="E306">
        <v>1916</v>
      </c>
      <c r="F306" s="16">
        <v>250</v>
      </c>
      <c r="G306" s="16">
        <v>12</v>
      </c>
      <c r="H306" s="16">
        <v>5748</v>
      </c>
      <c r="I306" s="16">
        <v>689.76</v>
      </c>
      <c r="J306" s="14" t="s">
        <v>55</v>
      </c>
      <c r="K306" s="20">
        <f>Store[[#This Row],[Quantity]]*Store[[#This Row],[Sale Price]]</f>
        <v>22992</v>
      </c>
      <c r="L306" s="20">
        <f>Store[[#This Row],[Gross Sales]]-Store[[#This Row],[Discount]]</f>
        <v>22302.240000000002</v>
      </c>
      <c r="M306" s="20">
        <f>Store[[#This Row],[Sales]]-Store[[#This Row],[COGS]]</f>
        <v>16554.240000000002</v>
      </c>
    </row>
    <row r="307" spans="1:13" x14ac:dyDescent="0.25">
      <c r="A307" t="s">
        <v>41</v>
      </c>
      <c r="B307" t="s">
        <v>56</v>
      </c>
      <c r="C307" s="18" t="s">
        <v>53</v>
      </c>
      <c r="D307" s="19">
        <v>44360</v>
      </c>
      <c r="E307">
        <v>1570</v>
      </c>
      <c r="F307" s="16">
        <v>250</v>
      </c>
      <c r="G307" s="16">
        <v>125</v>
      </c>
      <c r="H307" s="16">
        <v>188400</v>
      </c>
      <c r="I307" s="16">
        <v>5887.5</v>
      </c>
      <c r="J307" s="14" t="s">
        <v>55</v>
      </c>
      <c r="K307" s="20">
        <f>Store[[#This Row],[Quantity]]*Store[[#This Row],[Sale Price]]</f>
        <v>196250</v>
      </c>
      <c r="L307" s="20">
        <f>Store[[#This Row],[Gross Sales]]-Store[[#This Row],[Discount]]</f>
        <v>190362.5</v>
      </c>
      <c r="M307" s="20">
        <f>Store[[#This Row],[Sales]]-Store[[#This Row],[COGS]]</f>
        <v>1962.5</v>
      </c>
    </row>
    <row r="308" spans="1:13" x14ac:dyDescent="0.25">
      <c r="A308" t="s">
        <v>47</v>
      </c>
      <c r="B308" t="s">
        <v>42</v>
      </c>
      <c r="C308" s="18" t="s">
        <v>53</v>
      </c>
      <c r="D308" s="19">
        <v>44438</v>
      </c>
      <c r="E308">
        <v>1874</v>
      </c>
      <c r="F308" s="16">
        <v>250</v>
      </c>
      <c r="G308" s="16">
        <v>300</v>
      </c>
      <c r="H308" s="16">
        <v>468500</v>
      </c>
      <c r="I308" s="16">
        <v>16866</v>
      </c>
      <c r="J308" s="14" t="s">
        <v>55</v>
      </c>
      <c r="K308" s="20">
        <f>Store[[#This Row],[Quantity]]*Store[[#This Row],[Sale Price]]</f>
        <v>562200</v>
      </c>
      <c r="L308" s="20">
        <f>Store[[#This Row],[Gross Sales]]-Store[[#This Row],[Discount]]</f>
        <v>545334</v>
      </c>
      <c r="M308" s="20">
        <f>Store[[#This Row],[Sales]]-Store[[#This Row],[COGS]]</f>
        <v>76834</v>
      </c>
    </row>
    <row r="309" spans="1:13" x14ac:dyDescent="0.25">
      <c r="A309" t="s">
        <v>49</v>
      </c>
      <c r="B309" t="s">
        <v>48</v>
      </c>
      <c r="C309" s="18" t="s">
        <v>53</v>
      </c>
      <c r="D309" s="19">
        <v>44429</v>
      </c>
      <c r="E309">
        <v>1642</v>
      </c>
      <c r="F309" s="16">
        <v>250</v>
      </c>
      <c r="G309" s="16">
        <v>350</v>
      </c>
      <c r="H309" s="16">
        <v>426920</v>
      </c>
      <c r="I309" s="16">
        <v>17241</v>
      </c>
      <c r="J309" s="14" t="s">
        <v>55</v>
      </c>
      <c r="K309" s="20">
        <f>Store[[#This Row],[Quantity]]*Store[[#This Row],[Sale Price]]</f>
        <v>574700</v>
      </c>
      <c r="L309" s="20">
        <f>Store[[#This Row],[Gross Sales]]-Store[[#This Row],[Discount]]</f>
        <v>557459</v>
      </c>
      <c r="M309" s="20">
        <f>Store[[#This Row],[Sales]]-Store[[#This Row],[COGS]]</f>
        <v>130539</v>
      </c>
    </row>
    <row r="310" spans="1:13" x14ac:dyDescent="0.25">
      <c r="A310" t="s">
        <v>49</v>
      </c>
      <c r="B310" t="s">
        <v>42</v>
      </c>
      <c r="C310" s="18" t="s">
        <v>54</v>
      </c>
      <c r="D310" s="19">
        <v>44319</v>
      </c>
      <c r="E310">
        <v>831</v>
      </c>
      <c r="F310" s="16">
        <v>3</v>
      </c>
      <c r="G310" s="16">
        <v>20</v>
      </c>
      <c r="H310" s="16">
        <v>8310</v>
      </c>
      <c r="I310" s="16">
        <v>498.6</v>
      </c>
      <c r="J310" s="14" t="s">
        <v>55</v>
      </c>
      <c r="K310" s="20">
        <f>Store[[#This Row],[Quantity]]*Store[[#This Row],[Sale Price]]</f>
        <v>16620</v>
      </c>
      <c r="L310" s="20">
        <f>Store[[#This Row],[Gross Sales]]-Store[[#This Row],[Discount]]</f>
        <v>16121.4</v>
      </c>
      <c r="M310" s="20">
        <f>Store[[#This Row],[Sales]]-Store[[#This Row],[COGS]]</f>
        <v>7811.4</v>
      </c>
    </row>
    <row r="311" spans="1:13" x14ac:dyDescent="0.25">
      <c r="A311" t="s">
        <v>49</v>
      </c>
      <c r="B311" t="s">
        <v>42</v>
      </c>
      <c r="C311" s="18" t="s">
        <v>52</v>
      </c>
      <c r="D311" s="19">
        <v>44311</v>
      </c>
      <c r="E311">
        <v>3850.5</v>
      </c>
      <c r="F311" s="16">
        <v>120</v>
      </c>
      <c r="G311" s="16">
        <v>20</v>
      </c>
      <c r="H311" s="16">
        <v>38505</v>
      </c>
      <c r="I311" s="16">
        <v>2310.3000000000002</v>
      </c>
      <c r="J311" s="14" t="s">
        <v>55</v>
      </c>
      <c r="K311" s="20">
        <f>Store[[#This Row],[Quantity]]*Store[[#This Row],[Sale Price]]</f>
        <v>77010</v>
      </c>
      <c r="L311" s="20">
        <f>Store[[#This Row],[Gross Sales]]-Store[[#This Row],[Discount]]</f>
        <v>74699.7</v>
      </c>
      <c r="M311" s="20">
        <f>Store[[#This Row],[Sales]]-Store[[#This Row],[COGS]]</f>
        <v>36194.699999999997</v>
      </c>
    </row>
    <row r="312" spans="1:13" x14ac:dyDescent="0.25">
      <c r="A312" t="s">
        <v>50</v>
      </c>
      <c r="B312" t="s">
        <v>56</v>
      </c>
      <c r="C312" s="18" t="s">
        <v>53</v>
      </c>
      <c r="D312" s="19">
        <v>44226</v>
      </c>
      <c r="E312">
        <v>2479</v>
      </c>
      <c r="F312" s="16">
        <v>250</v>
      </c>
      <c r="G312" s="16">
        <v>12</v>
      </c>
      <c r="H312" s="16">
        <v>7437</v>
      </c>
      <c r="I312" s="16">
        <v>892.44</v>
      </c>
      <c r="J312" s="14" t="s">
        <v>55</v>
      </c>
      <c r="K312" s="20">
        <f>Store[[#This Row],[Quantity]]*Store[[#This Row],[Sale Price]]</f>
        <v>29748</v>
      </c>
      <c r="L312" s="20">
        <f>Store[[#This Row],[Gross Sales]]-Store[[#This Row],[Discount]]</f>
        <v>28855.56</v>
      </c>
      <c r="M312" s="20">
        <f>Store[[#This Row],[Sales]]-Store[[#This Row],[COGS]]</f>
        <v>21418.560000000001</v>
      </c>
    </row>
    <row r="313" spans="1:13" x14ac:dyDescent="0.25">
      <c r="A313" t="s">
        <v>45</v>
      </c>
      <c r="B313" t="s">
        <v>48</v>
      </c>
      <c r="C313" s="18" t="s">
        <v>43</v>
      </c>
      <c r="D313" s="19">
        <v>44471</v>
      </c>
      <c r="E313">
        <v>2031</v>
      </c>
      <c r="F313" s="16">
        <v>5</v>
      </c>
      <c r="G313" s="16">
        <v>15</v>
      </c>
      <c r="H313" s="16">
        <v>20310</v>
      </c>
      <c r="I313" s="16">
        <v>1218.5999999999999</v>
      </c>
      <c r="J313" s="14" t="s">
        <v>55</v>
      </c>
      <c r="K313" s="20">
        <f>Store[[#This Row],[Quantity]]*Store[[#This Row],[Sale Price]]</f>
        <v>30465</v>
      </c>
      <c r="L313" s="20">
        <f>Store[[#This Row],[Gross Sales]]-Store[[#This Row],[Discount]]</f>
        <v>29246.400000000001</v>
      </c>
      <c r="M313" s="20">
        <f>Store[[#This Row],[Sales]]-Store[[#This Row],[COGS]]</f>
        <v>8936.4000000000015</v>
      </c>
    </row>
    <row r="314" spans="1:13" x14ac:dyDescent="0.25">
      <c r="A314" t="s">
        <v>45</v>
      </c>
      <c r="B314" t="s">
        <v>48</v>
      </c>
      <c r="C314" s="18" t="s">
        <v>46</v>
      </c>
      <c r="D314" s="19">
        <v>44497</v>
      </c>
      <c r="E314">
        <v>2031</v>
      </c>
      <c r="F314" s="16">
        <v>10</v>
      </c>
      <c r="G314" s="16">
        <v>15</v>
      </c>
      <c r="H314" s="16">
        <v>20310</v>
      </c>
      <c r="I314" s="16">
        <v>1218.5999999999999</v>
      </c>
      <c r="J314" s="14" t="s">
        <v>55</v>
      </c>
      <c r="K314" s="20">
        <f>Store[[#This Row],[Quantity]]*Store[[#This Row],[Sale Price]]</f>
        <v>30465</v>
      </c>
      <c r="L314" s="20">
        <f>Store[[#This Row],[Gross Sales]]-Store[[#This Row],[Discount]]</f>
        <v>29246.400000000001</v>
      </c>
      <c r="M314" s="20">
        <f>Store[[#This Row],[Sales]]-Store[[#This Row],[COGS]]</f>
        <v>8936.4000000000015</v>
      </c>
    </row>
    <row r="315" spans="1:13" x14ac:dyDescent="0.25">
      <c r="A315" t="s">
        <v>47</v>
      </c>
      <c r="B315" t="s">
        <v>56</v>
      </c>
      <c r="C315" s="18" t="s">
        <v>54</v>
      </c>
      <c r="D315" s="19">
        <v>44475</v>
      </c>
      <c r="E315">
        <v>2021</v>
      </c>
      <c r="F315" s="16">
        <v>3</v>
      </c>
      <c r="G315" s="16">
        <v>300</v>
      </c>
      <c r="H315" s="16">
        <v>505250</v>
      </c>
      <c r="I315" s="16">
        <v>24252</v>
      </c>
      <c r="J315" s="14" t="s">
        <v>55</v>
      </c>
      <c r="K315" s="20">
        <f>Store[[#This Row],[Quantity]]*Store[[#This Row],[Sale Price]]</f>
        <v>606300</v>
      </c>
      <c r="L315" s="20">
        <f>Store[[#This Row],[Gross Sales]]-Store[[#This Row],[Discount]]</f>
        <v>582048</v>
      </c>
      <c r="M315" s="20">
        <f>Store[[#This Row],[Sales]]-Store[[#This Row],[COGS]]</f>
        <v>76798</v>
      </c>
    </row>
    <row r="316" spans="1:13" x14ac:dyDescent="0.25">
      <c r="A316" t="s">
        <v>49</v>
      </c>
      <c r="B316" t="s">
        <v>51</v>
      </c>
      <c r="C316" s="18" t="s">
        <v>54</v>
      </c>
      <c r="D316" s="19">
        <v>44532</v>
      </c>
      <c r="E316">
        <v>274</v>
      </c>
      <c r="F316" s="16">
        <v>3</v>
      </c>
      <c r="G316" s="16">
        <v>350</v>
      </c>
      <c r="H316" s="16">
        <v>71240</v>
      </c>
      <c r="I316" s="16">
        <v>3836</v>
      </c>
      <c r="J316" s="14" t="s">
        <v>55</v>
      </c>
      <c r="K316" s="20">
        <f>Store[[#This Row],[Quantity]]*Store[[#This Row],[Sale Price]]</f>
        <v>95900</v>
      </c>
      <c r="L316" s="20">
        <f>Store[[#This Row],[Gross Sales]]-Store[[#This Row],[Discount]]</f>
        <v>92064</v>
      </c>
      <c r="M316" s="20">
        <f>Store[[#This Row],[Sales]]-Store[[#This Row],[COGS]]</f>
        <v>20824</v>
      </c>
    </row>
    <row r="317" spans="1:13" x14ac:dyDescent="0.25">
      <c r="A317" t="s">
        <v>45</v>
      </c>
      <c r="B317" t="s">
        <v>42</v>
      </c>
      <c r="C317" s="18" t="s">
        <v>43</v>
      </c>
      <c r="D317" s="19">
        <v>44258</v>
      </c>
      <c r="E317">
        <v>1967</v>
      </c>
      <c r="F317" s="16">
        <v>5</v>
      </c>
      <c r="G317" s="16">
        <v>15</v>
      </c>
      <c r="H317" s="16">
        <v>19670</v>
      </c>
      <c r="I317" s="16">
        <v>1180.2</v>
      </c>
      <c r="J317" s="14" t="s">
        <v>55</v>
      </c>
      <c r="K317" s="20">
        <f>Store[[#This Row],[Quantity]]*Store[[#This Row],[Sale Price]]</f>
        <v>29505</v>
      </c>
      <c r="L317" s="20">
        <f>Store[[#This Row],[Gross Sales]]-Store[[#This Row],[Discount]]</f>
        <v>28324.799999999999</v>
      </c>
      <c r="M317" s="20">
        <f>Store[[#This Row],[Sales]]-Store[[#This Row],[COGS]]</f>
        <v>8654.7999999999993</v>
      </c>
    </row>
    <row r="318" spans="1:13" x14ac:dyDescent="0.25">
      <c r="A318" t="s">
        <v>47</v>
      </c>
      <c r="B318" t="s">
        <v>56</v>
      </c>
      <c r="C318" s="18" t="s">
        <v>43</v>
      </c>
      <c r="D318" s="19">
        <v>44433</v>
      </c>
      <c r="E318">
        <v>1859</v>
      </c>
      <c r="F318" s="16">
        <v>5</v>
      </c>
      <c r="G318" s="16">
        <v>300</v>
      </c>
      <c r="H318" s="16">
        <v>464750</v>
      </c>
      <c r="I318" s="16">
        <v>22308</v>
      </c>
      <c r="J318" s="14" t="s">
        <v>55</v>
      </c>
      <c r="K318" s="20">
        <f>Store[[#This Row],[Quantity]]*Store[[#This Row],[Sale Price]]</f>
        <v>557700</v>
      </c>
      <c r="L318" s="20">
        <f>Store[[#This Row],[Gross Sales]]-Store[[#This Row],[Discount]]</f>
        <v>535392</v>
      </c>
      <c r="M318" s="20">
        <f>Store[[#This Row],[Sales]]-Store[[#This Row],[COGS]]</f>
        <v>70642</v>
      </c>
    </row>
    <row r="319" spans="1:13" x14ac:dyDescent="0.25">
      <c r="A319" t="s">
        <v>47</v>
      </c>
      <c r="B319" t="s">
        <v>56</v>
      </c>
      <c r="C319" s="18" t="s">
        <v>43</v>
      </c>
      <c r="D319" s="19">
        <v>44478</v>
      </c>
      <c r="E319">
        <v>2021</v>
      </c>
      <c r="F319" s="16">
        <v>5</v>
      </c>
      <c r="G319" s="16">
        <v>300</v>
      </c>
      <c r="H319" s="16">
        <v>505250</v>
      </c>
      <c r="I319" s="16">
        <v>24252</v>
      </c>
      <c r="J319" s="14" t="s">
        <v>55</v>
      </c>
      <c r="K319" s="20">
        <f>Store[[#This Row],[Quantity]]*Store[[#This Row],[Sale Price]]</f>
        <v>606300</v>
      </c>
      <c r="L319" s="20">
        <f>Store[[#This Row],[Gross Sales]]-Store[[#This Row],[Discount]]</f>
        <v>582048</v>
      </c>
      <c r="M319" s="20">
        <f>Store[[#This Row],[Sales]]-Store[[#This Row],[COGS]]</f>
        <v>76798</v>
      </c>
    </row>
    <row r="320" spans="1:13" x14ac:dyDescent="0.25">
      <c r="A320" t="s">
        <v>41</v>
      </c>
      <c r="B320" t="s">
        <v>48</v>
      </c>
      <c r="C320" s="18" t="s">
        <v>43</v>
      </c>
      <c r="D320" s="19">
        <v>44560</v>
      </c>
      <c r="E320">
        <v>1138</v>
      </c>
      <c r="F320" s="16">
        <v>5</v>
      </c>
      <c r="G320" s="16">
        <v>125</v>
      </c>
      <c r="H320" s="16">
        <v>136560</v>
      </c>
      <c r="I320" s="16">
        <v>5690</v>
      </c>
      <c r="J320" s="14" t="s">
        <v>55</v>
      </c>
      <c r="K320" s="20">
        <f>Store[[#This Row],[Quantity]]*Store[[#This Row],[Sale Price]]</f>
        <v>142250</v>
      </c>
      <c r="L320" s="20">
        <f>Store[[#This Row],[Gross Sales]]-Store[[#This Row],[Discount]]</f>
        <v>136560</v>
      </c>
      <c r="M320" s="20">
        <f>Store[[#This Row],[Sales]]-Store[[#This Row],[COGS]]</f>
        <v>0</v>
      </c>
    </row>
    <row r="321" spans="1:13" x14ac:dyDescent="0.25">
      <c r="A321" t="s">
        <v>49</v>
      </c>
      <c r="B321" t="s">
        <v>42</v>
      </c>
      <c r="C321" s="18" t="s">
        <v>46</v>
      </c>
      <c r="D321" s="19">
        <v>44197</v>
      </c>
      <c r="E321">
        <v>4251</v>
      </c>
      <c r="F321" s="16">
        <v>10</v>
      </c>
      <c r="G321" s="16">
        <v>7</v>
      </c>
      <c r="H321" s="16">
        <v>21255</v>
      </c>
      <c r="I321" s="16">
        <v>1190.28</v>
      </c>
      <c r="J321" s="14" t="s">
        <v>55</v>
      </c>
      <c r="K321" s="20">
        <f>Store[[#This Row],[Quantity]]*Store[[#This Row],[Sale Price]]</f>
        <v>29757</v>
      </c>
      <c r="L321" s="20">
        <f>Store[[#This Row],[Gross Sales]]-Store[[#This Row],[Discount]]</f>
        <v>28566.720000000001</v>
      </c>
      <c r="M321" s="20">
        <f>Store[[#This Row],[Sales]]-Store[[#This Row],[COGS]]</f>
        <v>7311.7200000000012</v>
      </c>
    </row>
    <row r="322" spans="1:13" x14ac:dyDescent="0.25">
      <c r="A322" t="s">
        <v>41</v>
      </c>
      <c r="B322" t="s">
        <v>56</v>
      </c>
      <c r="C322" s="18" t="s">
        <v>46</v>
      </c>
      <c r="D322" s="19">
        <v>44256</v>
      </c>
      <c r="E322">
        <v>795</v>
      </c>
      <c r="F322" s="16">
        <v>10</v>
      </c>
      <c r="G322" s="16">
        <v>125</v>
      </c>
      <c r="H322" s="16">
        <v>95400</v>
      </c>
      <c r="I322" s="16">
        <v>3975</v>
      </c>
      <c r="J322" s="14" t="s">
        <v>55</v>
      </c>
      <c r="K322" s="20">
        <f>Store[[#This Row],[Quantity]]*Store[[#This Row],[Sale Price]]</f>
        <v>99375</v>
      </c>
      <c r="L322" s="20">
        <f>Store[[#This Row],[Gross Sales]]-Store[[#This Row],[Discount]]</f>
        <v>95400</v>
      </c>
      <c r="M322" s="20">
        <f>Store[[#This Row],[Sales]]-Store[[#This Row],[COGS]]</f>
        <v>0</v>
      </c>
    </row>
    <row r="323" spans="1:13" x14ac:dyDescent="0.25">
      <c r="A323" t="s">
        <v>47</v>
      </c>
      <c r="B323" t="s">
        <v>56</v>
      </c>
      <c r="C323" s="18" t="s">
        <v>46</v>
      </c>
      <c r="D323" s="19">
        <v>44304</v>
      </c>
      <c r="E323">
        <v>1414.5</v>
      </c>
      <c r="F323" s="16">
        <v>10</v>
      </c>
      <c r="G323" s="16">
        <v>300</v>
      </c>
      <c r="H323" s="16">
        <v>353625</v>
      </c>
      <c r="I323" s="16">
        <v>16974</v>
      </c>
      <c r="J323" s="14" t="s">
        <v>55</v>
      </c>
      <c r="K323" s="20">
        <f>Store[[#This Row],[Quantity]]*Store[[#This Row],[Sale Price]]</f>
        <v>424350</v>
      </c>
      <c r="L323" s="20">
        <f>Store[[#This Row],[Gross Sales]]-Store[[#This Row],[Discount]]</f>
        <v>407376</v>
      </c>
      <c r="M323" s="20">
        <f>Store[[#This Row],[Sales]]-Store[[#This Row],[COGS]]</f>
        <v>53751</v>
      </c>
    </row>
    <row r="324" spans="1:13" x14ac:dyDescent="0.25">
      <c r="A324" t="s">
        <v>47</v>
      </c>
      <c r="B324" t="s">
        <v>51</v>
      </c>
      <c r="C324" s="18" t="s">
        <v>46</v>
      </c>
      <c r="D324" s="19">
        <v>44334</v>
      </c>
      <c r="E324">
        <v>2918</v>
      </c>
      <c r="F324" s="16">
        <v>10</v>
      </c>
      <c r="G324" s="16">
        <v>300</v>
      </c>
      <c r="H324" s="16">
        <v>729500</v>
      </c>
      <c r="I324" s="16">
        <v>35016</v>
      </c>
      <c r="J324" s="14" t="s">
        <v>55</v>
      </c>
      <c r="K324" s="20">
        <f>Store[[#This Row],[Quantity]]*Store[[#This Row],[Sale Price]]</f>
        <v>875400</v>
      </c>
      <c r="L324" s="20">
        <f>Store[[#This Row],[Gross Sales]]-Store[[#This Row],[Discount]]</f>
        <v>840384</v>
      </c>
      <c r="M324" s="20">
        <f>Store[[#This Row],[Sales]]-Store[[#This Row],[COGS]]</f>
        <v>110884</v>
      </c>
    </row>
    <row r="325" spans="1:13" x14ac:dyDescent="0.25">
      <c r="A325" t="s">
        <v>49</v>
      </c>
      <c r="B325" t="s">
        <v>51</v>
      </c>
      <c r="C325" s="18" t="s">
        <v>46</v>
      </c>
      <c r="D325" s="19">
        <v>44384</v>
      </c>
      <c r="E325">
        <v>3450</v>
      </c>
      <c r="F325" s="16">
        <v>10</v>
      </c>
      <c r="G325" s="16">
        <v>350</v>
      </c>
      <c r="H325" s="16">
        <v>897000</v>
      </c>
      <c r="I325" s="16">
        <v>48300</v>
      </c>
      <c r="J325" s="14" t="s">
        <v>55</v>
      </c>
      <c r="K325" s="20">
        <f>Store[[#This Row],[Quantity]]*Store[[#This Row],[Sale Price]]</f>
        <v>1207500</v>
      </c>
      <c r="L325" s="20">
        <f>Store[[#This Row],[Gross Sales]]-Store[[#This Row],[Discount]]</f>
        <v>1159200</v>
      </c>
      <c r="M325" s="20">
        <f>Store[[#This Row],[Sales]]-Store[[#This Row],[COGS]]</f>
        <v>262200</v>
      </c>
    </row>
    <row r="326" spans="1:13" x14ac:dyDescent="0.25">
      <c r="A326" t="s">
        <v>41</v>
      </c>
      <c r="B326" t="s">
        <v>58</v>
      </c>
      <c r="C326" s="18" t="s">
        <v>46</v>
      </c>
      <c r="D326" s="19">
        <v>44397</v>
      </c>
      <c r="E326">
        <v>2988</v>
      </c>
      <c r="F326" s="16">
        <v>10</v>
      </c>
      <c r="G326" s="16">
        <v>125</v>
      </c>
      <c r="H326" s="16">
        <v>358560</v>
      </c>
      <c r="I326" s="16">
        <v>14940</v>
      </c>
      <c r="J326" s="14" t="s">
        <v>55</v>
      </c>
      <c r="K326" s="20">
        <f>Store[[#This Row],[Quantity]]*Store[[#This Row],[Sale Price]]</f>
        <v>373500</v>
      </c>
      <c r="L326" s="20">
        <f>Store[[#This Row],[Gross Sales]]-Store[[#This Row],[Discount]]</f>
        <v>358560</v>
      </c>
      <c r="M326" s="20">
        <f>Store[[#This Row],[Sales]]-Store[[#This Row],[COGS]]</f>
        <v>0</v>
      </c>
    </row>
    <row r="327" spans="1:13" x14ac:dyDescent="0.25">
      <c r="A327" t="s">
        <v>45</v>
      </c>
      <c r="B327" t="s">
        <v>42</v>
      </c>
      <c r="C327" s="18" t="s">
        <v>46</v>
      </c>
      <c r="D327" s="19">
        <v>44468</v>
      </c>
      <c r="E327">
        <v>218</v>
      </c>
      <c r="F327" s="16">
        <v>10</v>
      </c>
      <c r="G327" s="16">
        <v>15</v>
      </c>
      <c r="H327" s="16">
        <v>2180</v>
      </c>
      <c r="I327" s="16">
        <v>130.80000000000001</v>
      </c>
      <c r="J327" s="14" t="s">
        <v>55</v>
      </c>
      <c r="K327" s="20">
        <f>Store[[#This Row],[Quantity]]*Store[[#This Row],[Sale Price]]</f>
        <v>3270</v>
      </c>
      <c r="L327" s="20">
        <f>Store[[#This Row],[Gross Sales]]-Store[[#This Row],[Discount]]</f>
        <v>3139.2</v>
      </c>
      <c r="M327" s="20">
        <f>Store[[#This Row],[Sales]]-Store[[#This Row],[COGS]]</f>
        <v>959.19999999999982</v>
      </c>
    </row>
    <row r="328" spans="1:13" x14ac:dyDescent="0.25">
      <c r="A328" t="s">
        <v>49</v>
      </c>
      <c r="B328" t="s">
        <v>42</v>
      </c>
      <c r="C328" s="18" t="s">
        <v>46</v>
      </c>
      <c r="D328" s="19">
        <v>44459</v>
      </c>
      <c r="E328">
        <v>2074</v>
      </c>
      <c r="F328" s="16">
        <v>10</v>
      </c>
      <c r="G328" s="16">
        <v>20</v>
      </c>
      <c r="H328" s="16">
        <v>20740</v>
      </c>
      <c r="I328" s="16">
        <v>1659.2</v>
      </c>
      <c r="J328" s="14" t="s">
        <v>55</v>
      </c>
      <c r="K328" s="20">
        <f>Store[[#This Row],[Quantity]]*Store[[#This Row],[Sale Price]]</f>
        <v>41480</v>
      </c>
      <c r="L328" s="20">
        <f>Store[[#This Row],[Gross Sales]]-Store[[#This Row],[Discount]]</f>
        <v>39820.800000000003</v>
      </c>
      <c r="M328" s="20">
        <f>Store[[#This Row],[Sales]]-Store[[#This Row],[COGS]]</f>
        <v>19080.800000000003</v>
      </c>
    </row>
    <row r="329" spans="1:13" x14ac:dyDescent="0.25">
      <c r="A329" t="s">
        <v>49</v>
      </c>
      <c r="B329" t="s">
        <v>51</v>
      </c>
      <c r="C329" s="18" t="s">
        <v>46</v>
      </c>
      <c r="D329" s="19">
        <v>44451</v>
      </c>
      <c r="E329">
        <v>1056</v>
      </c>
      <c r="F329" s="16">
        <v>10</v>
      </c>
      <c r="G329" s="16">
        <v>20</v>
      </c>
      <c r="H329" s="16">
        <v>10560</v>
      </c>
      <c r="I329" s="16">
        <v>844.8</v>
      </c>
      <c r="J329" s="14" t="s">
        <v>55</v>
      </c>
      <c r="K329" s="20">
        <f>Store[[#This Row],[Quantity]]*Store[[#This Row],[Sale Price]]</f>
        <v>21120</v>
      </c>
      <c r="L329" s="20">
        <f>Store[[#This Row],[Gross Sales]]-Store[[#This Row],[Discount]]</f>
        <v>20275.2</v>
      </c>
      <c r="M329" s="20">
        <f>Store[[#This Row],[Sales]]-Store[[#This Row],[COGS]]</f>
        <v>9715.2000000000007</v>
      </c>
    </row>
    <row r="330" spans="1:13" x14ac:dyDescent="0.25">
      <c r="A330" t="s">
        <v>49</v>
      </c>
      <c r="B330" t="s">
        <v>51</v>
      </c>
      <c r="C330" s="18" t="s">
        <v>46</v>
      </c>
      <c r="D330" s="19">
        <v>44540</v>
      </c>
      <c r="E330">
        <v>274</v>
      </c>
      <c r="F330" s="16">
        <v>10</v>
      </c>
      <c r="G330" s="16">
        <v>350</v>
      </c>
      <c r="H330" s="16">
        <v>71240</v>
      </c>
      <c r="I330" s="16">
        <v>3836</v>
      </c>
      <c r="J330" s="14" t="s">
        <v>55</v>
      </c>
      <c r="K330" s="20">
        <f>Store[[#This Row],[Quantity]]*Store[[#This Row],[Sale Price]]</f>
        <v>95900</v>
      </c>
      <c r="L330" s="20">
        <f>Store[[#This Row],[Gross Sales]]-Store[[#This Row],[Discount]]</f>
        <v>92064</v>
      </c>
      <c r="M330" s="20">
        <f>Store[[#This Row],[Sales]]-Store[[#This Row],[COGS]]</f>
        <v>20824</v>
      </c>
    </row>
    <row r="331" spans="1:13" x14ac:dyDescent="0.25">
      <c r="A331" t="s">
        <v>41</v>
      </c>
      <c r="B331" t="s">
        <v>48</v>
      </c>
      <c r="C331" s="18" t="s">
        <v>46</v>
      </c>
      <c r="D331" s="19">
        <v>44538</v>
      </c>
      <c r="E331">
        <v>1138</v>
      </c>
      <c r="F331" s="16">
        <v>10</v>
      </c>
      <c r="G331" s="16">
        <v>125</v>
      </c>
      <c r="H331" s="16">
        <v>136560</v>
      </c>
      <c r="I331" s="16">
        <v>5690</v>
      </c>
      <c r="J331" s="14" t="s">
        <v>55</v>
      </c>
      <c r="K331" s="20">
        <f>Store[[#This Row],[Quantity]]*Store[[#This Row],[Sale Price]]</f>
        <v>142250</v>
      </c>
      <c r="L331" s="20">
        <f>Store[[#This Row],[Gross Sales]]-Store[[#This Row],[Discount]]</f>
        <v>136560</v>
      </c>
      <c r="M331" s="20">
        <f>Store[[#This Row],[Sales]]-Store[[#This Row],[COGS]]</f>
        <v>0</v>
      </c>
    </row>
    <row r="332" spans="1:13" x14ac:dyDescent="0.25">
      <c r="A332" t="s">
        <v>50</v>
      </c>
      <c r="B332" t="s">
        <v>51</v>
      </c>
      <c r="C332" s="18" t="s">
        <v>52</v>
      </c>
      <c r="D332" s="19">
        <v>44271</v>
      </c>
      <c r="E332">
        <v>1465</v>
      </c>
      <c r="F332" s="16">
        <v>120</v>
      </c>
      <c r="G332" s="16">
        <v>12</v>
      </c>
      <c r="H332" s="16">
        <v>4395</v>
      </c>
      <c r="I332" s="16">
        <v>703.2</v>
      </c>
      <c r="J332" s="14" t="s">
        <v>55</v>
      </c>
      <c r="K332" s="20">
        <f>Store[[#This Row],[Quantity]]*Store[[#This Row],[Sale Price]]</f>
        <v>17580</v>
      </c>
      <c r="L332" s="20">
        <f>Store[[#This Row],[Gross Sales]]-Store[[#This Row],[Discount]]</f>
        <v>16876.8</v>
      </c>
      <c r="M332" s="20">
        <f>Store[[#This Row],[Sales]]-Store[[#This Row],[COGS]]</f>
        <v>12481.8</v>
      </c>
    </row>
    <row r="333" spans="1:13" x14ac:dyDescent="0.25">
      <c r="A333" t="s">
        <v>49</v>
      </c>
      <c r="B333" t="s">
        <v>58</v>
      </c>
      <c r="C333" s="18" t="s">
        <v>52</v>
      </c>
      <c r="D333" s="19">
        <v>44486</v>
      </c>
      <c r="E333">
        <v>2177</v>
      </c>
      <c r="F333" s="16">
        <v>120</v>
      </c>
      <c r="G333" s="16">
        <v>350</v>
      </c>
      <c r="H333" s="16">
        <v>566020</v>
      </c>
      <c r="I333" s="16">
        <v>30478</v>
      </c>
      <c r="J333" s="14" t="s">
        <v>55</v>
      </c>
      <c r="K333" s="20">
        <f>Store[[#This Row],[Quantity]]*Store[[#This Row],[Sale Price]]</f>
        <v>761950</v>
      </c>
      <c r="L333" s="20">
        <f>Store[[#This Row],[Gross Sales]]-Store[[#This Row],[Discount]]</f>
        <v>731472</v>
      </c>
      <c r="M333" s="20">
        <f>Store[[#This Row],[Sales]]-Store[[#This Row],[COGS]]</f>
        <v>165452</v>
      </c>
    </row>
    <row r="334" spans="1:13" x14ac:dyDescent="0.25">
      <c r="A334" t="s">
        <v>50</v>
      </c>
      <c r="B334" t="s">
        <v>58</v>
      </c>
      <c r="C334" s="18" t="s">
        <v>53</v>
      </c>
      <c r="D334" s="19">
        <v>44320</v>
      </c>
      <c r="E334">
        <v>866</v>
      </c>
      <c r="F334" s="16">
        <v>250</v>
      </c>
      <c r="G334" s="16">
        <v>12</v>
      </c>
      <c r="H334" s="16">
        <v>2598</v>
      </c>
      <c r="I334" s="16">
        <v>415.68</v>
      </c>
      <c r="J334" s="14" t="s">
        <v>55</v>
      </c>
      <c r="K334" s="20">
        <f>Store[[#This Row],[Quantity]]*Store[[#This Row],[Sale Price]]</f>
        <v>10392</v>
      </c>
      <c r="L334" s="20">
        <f>Store[[#This Row],[Gross Sales]]-Store[[#This Row],[Discount]]</f>
        <v>9976.32</v>
      </c>
      <c r="M334" s="20">
        <f>Store[[#This Row],[Sales]]-Store[[#This Row],[COGS]]</f>
        <v>7378.32</v>
      </c>
    </row>
    <row r="335" spans="1:13" x14ac:dyDescent="0.25">
      <c r="A335" t="s">
        <v>49</v>
      </c>
      <c r="B335" t="s">
        <v>58</v>
      </c>
      <c r="C335" s="18" t="s">
        <v>53</v>
      </c>
      <c r="D335" s="19">
        <v>44482</v>
      </c>
      <c r="E335">
        <v>2177</v>
      </c>
      <c r="F335" s="16">
        <v>250</v>
      </c>
      <c r="G335" s="16">
        <v>350</v>
      </c>
      <c r="H335" s="16">
        <v>566020</v>
      </c>
      <c r="I335" s="16">
        <v>30478</v>
      </c>
      <c r="J335" s="14" t="s">
        <v>55</v>
      </c>
      <c r="K335" s="20">
        <f>Store[[#This Row],[Quantity]]*Store[[#This Row],[Sale Price]]</f>
        <v>761950</v>
      </c>
      <c r="L335" s="20">
        <f>Store[[#This Row],[Gross Sales]]-Store[[#This Row],[Discount]]</f>
        <v>731472</v>
      </c>
      <c r="M335" s="20">
        <f>Store[[#This Row],[Sales]]-Store[[#This Row],[COGS]]</f>
        <v>165452</v>
      </c>
    </row>
    <row r="336" spans="1:13" x14ac:dyDescent="0.25">
      <c r="A336" t="s">
        <v>49</v>
      </c>
      <c r="B336" t="s">
        <v>48</v>
      </c>
      <c r="C336" s="18" t="s">
        <v>57</v>
      </c>
      <c r="D336" s="19">
        <v>44249</v>
      </c>
      <c r="E336">
        <v>1865</v>
      </c>
      <c r="F336" s="16">
        <v>260</v>
      </c>
      <c r="G336" s="16">
        <v>350</v>
      </c>
      <c r="H336" s="16">
        <v>484900</v>
      </c>
      <c r="I336" s="16">
        <v>26110</v>
      </c>
      <c r="J336" s="14" t="s">
        <v>55</v>
      </c>
      <c r="K336" s="20">
        <f>Store[[#This Row],[Quantity]]*Store[[#This Row],[Sale Price]]</f>
        <v>652750</v>
      </c>
      <c r="L336" s="20">
        <f>Store[[#This Row],[Gross Sales]]-Store[[#This Row],[Discount]]</f>
        <v>626640</v>
      </c>
      <c r="M336" s="20">
        <f>Store[[#This Row],[Sales]]-Store[[#This Row],[COGS]]</f>
        <v>141740</v>
      </c>
    </row>
    <row r="337" spans="1:13" x14ac:dyDescent="0.25">
      <c r="A337" t="s">
        <v>41</v>
      </c>
      <c r="B337" t="s">
        <v>48</v>
      </c>
      <c r="C337" s="18" t="s">
        <v>57</v>
      </c>
      <c r="D337" s="19">
        <v>44292</v>
      </c>
      <c r="E337">
        <v>1074</v>
      </c>
      <c r="F337" s="16">
        <v>260</v>
      </c>
      <c r="G337" s="16">
        <v>125</v>
      </c>
      <c r="H337" s="16">
        <v>128880</v>
      </c>
      <c r="I337" s="16">
        <v>5370</v>
      </c>
      <c r="J337" s="14" t="s">
        <v>55</v>
      </c>
      <c r="K337" s="20">
        <f>Store[[#This Row],[Quantity]]*Store[[#This Row],[Sale Price]]</f>
        <v>134250</v>
      </c>
      <c r="L337" s="20">
        <f>Store[[#This Row],[Gross Sales]]-Store[[#This Row],[Discount]]</f>
        <v>128880</v>
      </c>
      <c r="M337" s="20">
        <f>Store[[#This Row],[Sales]]-Store[[#This Row],[COGS]]</f>
        <v>0</v>
      </c>
    </row>
    <row r="338" spans="1:13" x14ac:dyDescent="0.25">
      <c r="A338" t="s">
        <v>49</v>
      </c>
      <c r="B338" t="s">
        <v>56</v>
      </c>
      <c r="C338" s="18" t="s">
        <v>57</v>
      </c>
      <c r="D338" s="19">
        <v>44452</v>
      </c>
      <c r="E338">
        <v>1907</v>
      </c>
      <c r="F338" s="16">
        <v>260</v>
      </c>
      <c r="G338" s="16">
        <v>350</v>
      </c>
      <c r="H338" s="16">
        <v>495820</v>
      </c>
      <c r="I338" s="16">
        <v>26698</v>
      </c>
      <c r="J338" s="14" t="s">
        <v>55</v>
      </c>
      <c r="K338" s="20">
        <f>Store[[#This Row],[Quantity]]*Store[[#This Row],[Sale Price]]</f>
        <v>667450</v>
      </c>
      <c r="L338" s="20">
        <f>Store[[#This Row],[Gross Sales]]-Store[[#This Row],[Discount]]</f>
        <v>640752</v>
      </c>
      <c r="M338" s="20">
        <f>Store[[#This Row],[Sales]]-Store[[#This Row],[COGS]]</f>
        <v>144932</v>
      </c>
    </row>
    <row r="339" spans="1:13" x14ac:dyDescent="0.25">
      <c r="A339" t="s">
        <v>49</v>
      </c>
      <c r="B339" t="s">
        <v>56</v>
      </c>
      <c r="C339" s="18" t="s">
        <v>46</v>
      </c>
      <c r="D339" s="19">
        <v>44220</v>
      </c>
      <c r="E339">
        <v>1372</v>
      </c>
      <c r="F339" s="16">
        <v>10</v>
      </c>
      <c r="G339" s="16">
        <v>7</v>
      </c>
      <c r="H339" s="16">
        <v>6860</v>
      </c>
      <c r="I339" s="16">
        <v>480.2</v>
      </c>
      <c r="J339" s="14" t="s">
        <v>59</v>
      </c>
      <c r="K339" s="20">
        <f>Store[[#This Row],[Quantity]]*Store[[#This Row],[Sale Price]]</f>
        <v>9604</v>
      </c>
      <c r="L339" s="20">
        <f>Store[[#This Row],[Gross Sales]]-Store[[#This Row],[Discount]]</f>
        <v>9123.7999999999993</v>
      </c>
      <c r="M339" s="20">
        <f>Store[[#This Row],[Sales]]-Store[[#This Row],[COGS]]</f>
        <v>2263.7999999999993</v>
      </c>
    </row>
    <row r="340" spans="1:13" x14ac:dyDescent="0.25">
      <c r="A340" t="s">
        <v>49</v>
      </c>
      <c r="B340" t="s">
        <v>48</v>
      </c>
      <c r="C340" s="18" t="s">
        <v>46</v>
      </c>
      <c r="D340" s="19">
        <v>44479</v>
      </c>
      <c r="E340">
        <v>2689</v>
      </c>
      <c r="F340" s="16">
        <v>10</v>
      </c>
      <c r="G340" s="16">
        <v>7</v>
      </c>
      <c r="H340" s="16">
        <v>13445</v>
      </c>
      <c r="I340" s="16">
        <v>941.15</v>
      </c>
      <c r="J340" s="14" t="s">
        <v>59</v>
      </c>
      <c r="K340" s="20">
        <f>Store[[#This Row],[Quantity]]*Store[[#This Row],[Sale Price]]</f>
        <v>18823</v>
      </c>
      <c r="L340" s="20">
        <f>Store[[#This Row],[Gross Sales]]-Store[[#This Row],[Discount]]</f>
        <v>17881.849999999999</v>
      </c>
      <c r="M340" s="20">
        <f>Store[[#This Row],[Sales]]-Store[[#This Row],[COGS]]</f>
        <v>4436.8499999999985</v>
      </c>
    </row>
    <row r="341" spans="1:13" x14ac:dyDescent="0.25">
      <c r="A341" t="s">
        <v>50</v>
      </c>
      <c r="B341" t="s">
        <v>42</v>
      </c>
      <c r="C341" s="18" t="s">
        <v>46</v>
      </c>
      <c r="D341" s="19">
        <v>44537</v>
      </c>
      <c r="E341">
        <v>2431</v>
      </c>
      <c r="F341" s="16">
        <v>10</v>
      </c>
      <c r="G341" s="16">
        <v>12</v>
      </c>
      <c r="H341" s="16">
        <v>7293</v>
      </c>
      <c r="I341" s="16">
        <v>1458.6</v>
      </c>
      <c r="J341" s="14" t="s">
        <v>59</v>
      </c>
      <c r="K341" s="20">
        <f>Store[[#This Row],[Quantity]]*Store[[#This Row],[Sale Price]]</f>
        <v>29172</v>
      </c>
      <c r="L341" s="20">
        <f>Store[[#This Row],[Gross Sales]]-Store[[#This Row],[Discount]]</f>
        <v>27713.4</v>
      </c>
      <c r="M341" s="20">
        <f>Store[[#This Row],[Sales]]-Store[[#This Row],[COGS]]</f>
        <v>20420.400000000001</v>
      </c>
    </row>
    <row r="342" spans="1:13" x14ac:dyDescent="0.25">
      <c r="A342" t="s">
        <v>50</v>
      </c>
      <c r="B342" t="s">
        <v>42</v>
      </c>
      <c r="C342" s="18" t="s">
        <v>52</v>
      </c>
      <c r="D342" s="19">
        <v>44533</v>
      </c>
      <c r="E342">
        <v>2431</v>
      </c>
      <c r="F342" s="16">
        <v>120</v>
      </c>
      <c r="G342" s="16">
        <v>12</v>
      </c>
      <c r="H342" s="16">
        <v>7293</v>
      </c>
      <c r="I342" s="16">
        <v>1458.6</v>
      </c>
      <c r="J342" s="14" t="s">
        <v>59</v>
      </c>
      <c r="K342" s="20">
        <f>Store[[#This Row],[Quantity]]*Store[[#This Row],[Sale Price]]</f>
        <v>29172</v>
      </c>
      <c r="L342" s="20">
        <f>Store[[#This Row],[Gross Sales]]-Store[[#This Row],[Discount]]</f>
        <v>27713.4</v>
      </c>
      <c r="M342" s="20">
        <f>Store[[#This Row],[Sales]]-Store[[#This Row],[COGS]]</f>
        <v>20420.400000000001</v>
      </c>
    </row>
    <row r="343" spans="1:13" x14ac:dyDescent="0.25">
      <c r="A343" t="s">
        <v>49</v>
      </c>
      <c r="B343" t="s">
        <v>48</v>
      </c>
      <c r="C343" s="18" t="s">
        <v>53</v>
      </c>
      <c r="D343" s="19">
        <v>44490</v>
      </c>
      <c r="E343">
        <v>2689</v>
      </c>
      <c r="F343" s="16">
        <v>250</v>
      </c>
      <c r="G343" s="16">
        <v>7</v>
      </c>
      <c r="H343" s="16">
        <v>13445</v>
      </c>
      <c r="I343" s="16">
        <v>941.15</v>
      </c>
      <c r="J343" s="14" t="s">
        <v>59</v>
      </c>
      <c r="K343" s="20">
        <f>Store[[#This Row],[Quantity]]*Store[[#This Row],[Sale Price]]</f>
        <v>18823</v>
      </c>
      <c r="L343" s="20">
        <f>Store[[#This Row],[Gross Sales]]-Store[[#This Row],[Discount]]</f>
        <v>17881.849999999999</v>
      </c>
      <c r="M343" s="20">
        <f>Store[[#This Row],[Sales]]-Store[[#This Row],[COGS]]</f>
        <v>4436.8499999999985</v>
      </c>
    </row>
    <row r="344" spans="1:13" x14ac:dyDescent="0.25">
      <c r="A344" t="s">
        <v>49</v>
      </c>
      <c r="B344" t="s">
        <v>48</v>
      </c>
      <c r="C344" s="18" t="s">
        <v>57</v>
      </c>
      <c r="D344" s="19">
        <v>44406</v>
      </c>
      <c r="E344">
        <v>1683</v>
      </c>
      <c r="F344" s="16">
        <v>260</v>
      </c>
      <c r="G344" s="16">
        <v>7</v>
      </c>
      <c r="H344" s="16">
        <v>8415</v>
      </c>
      <c r="I344" s="16">
        <v>589.04999999999995</v>
      </c>
      <c r="J344" s="14" t="s">
        <v>59</v>
      </c>
      <c r="K344" s="20">
        <f>Store[[#This Row],[Quantity]]*Store[[#This Row],[Sale Price]]</f>
        <v>11781</v>
      </c>
      <c r="L344" s="20">
        <f>Store[[#This Row],[Gross Sales]]-Store[[#This Row],[Discount]]</f>
        <v>11191.95</v>
      </c>
      <c r="M344" s="20">
        <f>Store[[#This Row],[Sales]]-Store[[#This Row],[COGS]]</f>
        <v>2776.9500000000007</v>
      </c>
    </row>
    <row r="345" spans="1:13" x14ac:dyDescent="0.25">
      <c r="A345" t="s">
        <v>50</v>
      </c>
      <c r="B345" t="s">
        <v>48</v>
      </c>
      <c r="C345" s="18" t="s">
        <v>57</v>
      </c>
      <c r="D345" s="19">
        <v>44430</v>
      </c>
      <c r="E345">
        <v>1123</v>
      </c>
      <c r="F345" s="16">
        <v>260</v>
      </c>
      <c r="G345" s="16">
        <v>12</v>
      </c>
      <c r="H345" s="16">
        <v>3369</v>
      </c>
      <c r="I345" s="16">
        <v>673.8</v>
      </c>
      <c r="J345" s="14" t="s">
        <v>59</v>
      </c>
      <c r="K345" s="20">
        <f>Store[[#This Row],[Quantity]]*Store[[#This Row],[Sale Price]]</f>
        <v>13476</v>
      </c>
      <c r="L345" s="20">
        <f>Store[[#This Row],[Gross Sales]]-Store[[#This Row],[Discount]]</f>
        <v>12802.2</v>
      </c>
      <c r="M345" s="20">
        <f>Store[[#This Row],[Sales]]-Store[[#This Row],[COGS]]</f>
        <v>9433.2000000000007</v>
      </c>
    </row>
    <row r="346" spans="1:13" x14ac:dyDescent="0.25">
      <c r="A346" t="s">
        <v>50</v>
      </c>
      <c r="B346" t="s">
        <v>58</v>
      </c>
      <c r="C346" s="18" t="s">
        <v>54</v>
      </c>
      <c r="D346" s="19">
        <v>44249</v>
      </c>
      <c r="E346">
        <v>1865</v>
      </c>
      <c r="F346" s="16">
        <v>3</v>
      </c>
      <c r="G346" s="16">
        <v>12</v>
      </c>
      <c r="H346" s="16">
        <v>5595</v>
      </c>
      <c r="I346" s="16">
        <v>1119</v>
      </c>
      <c r="J346" s="14" t="s">
        <v>59</v>
      </c>
      <c r="K346" s="20">
        <f>Store[[#This Row],[Quantity]]*Store[[#This Row],[Sale Price]]</f>
        <v>22380</v>
      </c>
      <c r="L346" s="20">
        <f>Store[[#This Row],[Gross Sales]]-Store[[#This Row],[Discount]]</f>
        <v>21261</v>
      </c>
      <c r="M346" s="20">
        <f>Store[[#This Row],[Sales]]-Store[[#This Row],[COGS]]</f>
        <v>15666</v>
      </c>
    </row>
    <row r="347" spans="1:13" x14ac:dyDescent="0.25">
      <c r="A347" t="s">
        <v>50</v>
      </c>
      <c r="B347" t="s">
        <v>56</v>
      </c>
      <c r="C347" s="18" t="s">
        <v>54</v>
      </c>
      <c r="D347" s="19">
        <v>44238</v>
      </c>
      <c r="E347">
        <v>1116</v>
      </c>
      <c r="F347" s="16">
        <v>3</v>
      </c>
      <c r="G347" s="16">
        <v>12</v>
      </c>
      <c r="H347" s="16">
        <v>3348</v>
      </c>
      <c r="I347" s="16">
        <v>669.6</v>
      </c>
      <c r="J347" s="14" t="s">
        <v>59</v>
      </c>
      <c r="K347" s="20">
        <f>Store[[#This Row],[Quantity]]*Store[[#This Row],[Sale Price]]</f>
        <v>13392</v>
      </c>
      <c r="L347" s="20">
        <f>Store[[#This Row],[Gross Sales]]-Store[[#This Row],[Discount]]</f>
        <v>12722.4</v>
      </c>
      <c r="M347" s="20">
        <f>Store[[#This Row],[Sales]]-Store[[#This Row],[COGS]]</f>
        <v>9374.4</v>
      </c>
    </row>
    <row r="348" spans="1:13" x14ac:dyDescent="0.25">
      <c r="A348" t="s">
        <v>49</v>
      </c>
      <c r="B348" t="s">
        <v>58</v>
      </c>
      <c r="C348" s="18" t="s">
        <v>54</v>
      </c>
      <c r="D348" s="19">
        <v>44347</v>
      </c>
      <c r="E348">
        <v>1563</v>
      </c>
      <c r="F348" s="16">
        <v>3</v>
      </c>
      <c r="G348" s="16">
        <v>20</v>
      </c>
      <c r="H348" s="16">
        <v>15630</v>
      </c>
      <c r="I348" s="16">
        <v>1563</v>
      </c>
      <c r="J348" s="14" t="s">
        <v>59</v>
      </c>
      <c r="K348" s="20">
        <f>Store[[#This Row],[Quantity]]*Store[[#This Row],[Sale Price]]</f>
        <v>31260</v>
      </c>
      <c r="L348" s="20">
        <f>Store[[#This Row],[Gross Sales]]-Store[[#This Row],[Discount]]</f>
        <v>29697</v>
      </c>
      <c r="M348" s="20">
        <f>Store[[#This Row],[Sales]]-Store[[#This Row],[COGS]]</f>
        <v>14067</v>
      </c>
    </row>
    <row r="349" spans="1:13" x14ac:dyDescent="0.25">
      <c r="A349" t="s">
        <v>47</v>
      </c>
      <c r="B349" t="s">
        <v>51</v>
      </c>
      <c r="C349" s="18" t="s">
        <v>54</v>
      </c>
      <c r="D349" s="19">
        <v>44351</v>
      </c>
      <c r="E349">
        <v>991</v>
      </c>
      <c r="F349" s="16">
        <v>3</v>
      </c>
      <c r="G349" s="16">
        <v>300</v>
      </c>
      <c r="H349" s="16">
        <v>247750</v>
      </c>
      <c r="I349" s="16">
        <v>14865</v>
      </c>
      <c r="J349" s="14" t="s">
        <v>59</v>
      </c>
      <c r="K349" s="20">
        <f>Store[[#This Row],[Quantity]]*Store[[#This Row],[Sale Price]]</f>
        <v>297300</v>
      </c>
      <c r="L349" s="20">
        <f>Store[[#This Row],[Gross Sales]]-Store[[#This Row],[Discount]]</f>
        <v>282435</v>
      </c>
      <c r="M349" s="20">
        <f>Store[[#This Row],[Sales]]-Store[[#This Row],[COGS]]</f>
        <v>34685</v>
      </c>
    </row>
    <row r="350" spans="1:13" x14ac:dyDescent="0.25">
      <c r="A350" t="s">
        <v>45</v>
      </c>
      <c r="B350" t="s">
        <v>48</v>
      </c>
      <c r="C350" s="18" t="s">
        <v>54</v>
      </c>
      <c r="D350" s="19">
        <v>44506</v>
      </c>
      <c r="E350">
        <v>2791</v>
      </c>
      <c r="F350" s="16">
        <v>3</v>
      </c>
      <c r="G350" s="16">
        <v>15</v>
      </c>
      <c r="H350" s="16">
        <v>27910</v>
      </c>
      <c r="I350" s="16">
        <v>2093.25</v>
      </c>
      <c r="J350" s="14" t="s">
        <v>59</v>
      </c>
      <c r="K350" s="20">
        <f>Store[[#This Row],[Quantity]]*Store[[#This Row],[Sale Price]]</f>
        <v>41865</v>
      </c>
      <c r="L350" s="20">
        <f>Store[[#This Row],[Gross Sales]]-Store[[#This Row],[Discount]]</f>
        <v>39771.75</v>
      </c>
      <c r="M350" s="20">
        <f>Store[[#This Row],[Sales]]-Store[[#This Row],[COGS]]</f>
        <v>11861.75</v>
      </c>
    </row>
    <row r="351" spans="1:13" x14ac:dyDescent="0.25">
      <c r="A351" t="s">
        <v>49</v>
      </c>
      <c r="B351" t="s">
        <v>51</v>
      </c>
      <c r="C351" s="18" t="s">
        <v>54</v>
      </c>
      <c r="D351" s="19">
        <v>44550</v>
      </c>
      <c r="E351">
        <v>570</v>
      </c>
      <c r="F351" s="16">
        <v>3</v>
      </c>
      <c r="G351" s="16">
        <v>7</v>
      </c>
      <c r="H351" s="16">
        <v>2850</v>
      </c>
      <c r="I351" s="16">
        <v>199.5</v>
      </c>
      <c r="J351" s="14" t="s">
        <v>59</v>
      </c>
      <c r="K351" s="20">
        <f>Store[[#This Row],[Quantity]]*Store[[#This Row],[Sale Price]]</f>
        <v>3990</v>
      </c>
      <c r="L351" s="20">
        <f>Store[[#This Row],[Gross Sales]]-Store[[#This Row],[Discount]]</f>
        <v>3790.5</v>
      </c>
      <c r="M351" s="20">
        <f>Store[[#This Row],[Sales]]-Store[[#This Row],[COGS]]</f>
        <v>940.5</v>
      </c>
    </row>
    <row r="352" spans="1:13" x14ac:dyDescent="0.25">
      <c r="A352" t="s">
        <v>49</v>
      </c>
      <c r="B352" t="s">
        <v>58</v>
      </c>
      <c r="C352" s="18" t="s">
        <v>54</v>
      </c>
      <c r="D352" s="19">
        <v>44561</v>
      </c>
      <c r="E352">
        <v>2487</v>
      </c>
      <c r="F352" s="16">
        <v>3</v>
      </c>
      <c r="G352" s="16">
        <v>7</v>
      </c>
      <c r="H352" s="16">
        <v>12435</v>
      </c>
      <c r="I352" s="16">
        <v>870.45</v>
      </c>
      <c r="J352" s="14" t="s">
        <v>59</v>
      </c>
      <c r="K352" s="20">
        <f>Store[[#This Row],[Quantity]]*Store[[#This Row],[Sale Price]]</f>
        <v>17409</v>
      </c>
      <c r="L352" s="20">
        <f>Store[[#This Row],[Gross Sales]]-Store[[#This Row],[Discount]]</f>
        <v>16538.55</v>
      </c>
      <c r="M352" s="20">
        <f>Store[[#This Row],[Sales]]-Store[[#This Row],[COGS]]</f>
        <v>4103.5499999999993</v>
      </c>
    </row>
    <row r="353" spans="1:13" x14ac:dyDescent="0.25">
      <c r="A353" t="s">
        <v>49</v>
      </c>
      <c r="B353" t="s">
        <v>58</v>
      </c>
      <c r="C353" s="18" t="s">
        <v>43</v>
      </c>
      <c r="D353" s="19">
        <v>44218</v>
      </c>
      <c r="E353">
        <v>1384.5</v>
      </c>
      <c r="F353" s="16">
        <v>5</v>
      </c>
      <c r="G353" s="16">
        <v>350</v>
      </c>
      <c r="H353" s="16">
        <v>359970</v>
      </c>
      <c r="I353" s="16">
        <v>24228.75</v>
      </c>
      <c r="J353" s="14" t="s">
        <v>59</v>
      </c>
      <c r="K353" s="20">
        <f>Store[[#This Row],[Quantity]]*Store[[#This Row],[Sale Price]]</f>
        <v>484575</v>
      </c>
      <c r="L353" s="20">
        <f>Store[[#This Row],[Gross Sales]]-Store[[#This Row],[Discount]]</f>
        <v>460346.25</v>
      </c>
      <c r="M353" s="20">
        <f>Store[[#This Row],[Sales]]-Store[[#This Row],[COGS]]</f>
        <v>100376.25</v>
      </c>
    </row>
    <row r="354" spans="1:13" x14ac:dyDescent="0.25">
      <c r="A354" t="s">
        <v>41</v>
      </c>
      <c r="B354" t="s">
        <v>51</v>
      </c>
      <c r="C354" s="18" t="s">
        <v>43</v>
      </c>
      <c r="D354" s="19">
        <v>44384</v>
      </c>
      <c r="E354">
        <v>3627</v>
      </c>
      <c r="F354" s="16">
        <v>5</v>
      </c>
      <c r="G354" s="16">
        <v>125</v>
      </c>
      <c r="H354" s="16">
        <v>435240</v>
      </c>
      <c r="I354" s="16">
        <v>22668.75</v>
      </c>
      <c r="J354" s="14" t="s">
        <v>59</v>
      </c>
      <c r="K354" s="20">
        <f>Store[[#This Row],[Quantity]]*Store[[#This Row],[Sale Price]]</f>
        <v>453375</v>
      </c>
      <c r="L354" s="20">
        <f>Store[[#This Row],[Gross Sales]]-Store[[#This Row],[Discount]]</f>
        <v>430706.25</v>
      </c>
      <c r="M354" s="20">
        <f>Store[[#This Row],[Sales]]-Store[[#This Row],[COGS]]</f>
        <v>-4533.75</v>
      </c>
    </row>
    <row r="355" spans="1:13" x14ac:dyDescent="0.25">
      <c r="A355" t="s">
        <v>50</v>
      </c>
      <c r="B355" t="s">
        <v>56</v>
      </c>
      <c r="C355" s="18" t="s">
        <v>43</v>
      </c>
      <c r="D355" s="19">
        <v>44511</v>
      </c>
      <c r="E355">
        <v>2342</v>
      </c>
      <c r="F355" s="16">
        <v>5</v>
      </c>
      <c r="G355" s="16">
        <v>12</v>
      </c>
      <c r="H355" s="16">
        <v>7026</v>
      </c>
      <c r="I355" s="16">
        <v>1405.2</v>
      </c>
      <c r="J355" s="14" t="s">
        <v>59</v>
      </c>
      <c r="K355" s="20">
        <f>Store[[#This Row],[Quantity]]*Store[[#This Row],[Sale Price]]</f>
        <v>28104</v>
      </c>
      <c r="L355" s="20">
        <f>Store[[#This Row],[Gross Sales]]-Store[[#This Row],[Discount]]</f>
        <v>26698.799999999999</v>
      </c>
      <c r="M355" s="20">
        <f>Store[[#This Row],[Sales]]-Store[[#This Row],[COGS]]</f>
        <v>19672.8</v>
      </c>
    </row>
    <row r="356" spans="1:13" x14ac:dyDescent="0.25">
      <c r="A356" t="s">
        <v>49</v>
      </c>
      <c r="B356" t="s">
        <v>58</v>
      </c>
      <c r="C356" s="18" t="s">
        <v>46</v>
      </c>
      <c r="D356" s="19">
        <v>44241</v>
      </c>
      <c r="E356">
        <v>1303</v>
      </c>
      <c r="F356" s="16">
        <v>10</v>
      </c>
      <c r="G356" s="16">
        <v>20</v>
      </c>
      <c r="H356" s="16">
        <v>13030</v>
      </c>
      <c r="I356" s="16">
        <v>1303</v>
      </c>
      <c r="J356" s="14" t="s">
        <v>59</v>
      </c>
      <c r="K356" s="20">
        <f>Store[[#This Row],[Quantity]]*Store[[#This Row],[Sale Price]]</f>
        <v>26060</v>
      </c>
      <c r="L356" s="20">
        <f>Store[[#This Row],[Gross Sales]]-Store[[#This Row],[Discount]]</f>
        <v>24757</v>
      </c>
      <c r="M356" s="20">
        <f>Store[[#This Row],[Sales]]-Store[[#This Row],[COGS]]</f>
        <v>11727</v>
      </c>
    </row>
    <row r="357" spans="1:13" x14ac:dyDescent="0.25">
      <c r="A357" t="s">
        <v>41</v>
      </c>
      <c r="B357" t="s">
        <v>51</v>
      </c>
      <c r="C357" s="18" t="s">
        <v>46</v>
      </c>
      <c r="D357" s="19">
        <v>44284</v>
      </c>
      <c r="E357">
        <v>2992</v>
      </c>
      <c r="F357" s="16">
        <v>10</v>
      </c>
      <c r="G357" s="16">
        <v>125</v>
      </c>
      <c r="H357" s="16">
        <v>359040</v>
      </c>
      <c r="I357" s="16">
        <v>18700</v>
      </c>
      <c r="J357" s="14" t="s">
        <v>59</v>
      </c>
      <c r="K357" s="20">
        <f>Store[[#This Row],[Quantity]]*Store[[#This Row],[Sale Price]]</f>
        <v>374000</v>
      </c>
      <c r="L357" s="20">
        <f>Store[[#This Row],[Gross Sales]]-Store[[#This Row],[Discount]]</f>
        <v>355300</v>
      </c>
      <c r="M357" s="20">
        <f>Store[[#This Row],[Sales]]-Store[[#This Row],[COGS]]</f>
        <v>-3740</v>
      </c>
    </row>
    <row r="358" spans="1:13" x14ac:dyDescent="0.25">
      <c r="A358" t="s">
        <v>41</v>
      </c>
      <c r="B358" t="s">
        <v>58</v>
      </c>
      <c r="C358" s="18" t="s">
        <v>46</v>
      </c>
      <c r="D358" s="19">
        <v>44267</v>
      </c>
      <c r="E358">
        <v>2385</v>
      </c>
      <c r="F358" s="16">
        <v>10</v>
      </c>
      <c r="G358" s="16">
        <v>125</v>
      </c>
      <c r="H358" s="16">
        <v>286200</v>
      </c>
      <c r="I358" s="16">
        <v>14906.25</v>
      </c>
      <c r="J358" s="14" t="s">
        <v>59</v>
      </c>
      <c r="K358" s="20">
        <f>Store[[#This Row],[Quantity]]*Store[[#This Row],[Sale Price]]</f>
        <v>298125</v>
      </c>
      <c r="L358" s="20">
        <f>Store[[#This Row],[Gross Sales]]-Store[[#This Row],[Discount]]</f>
        <v>283218.75</v>
      </c>
      <c r="M358" s="20">
        <f>Store[[#This Row],[Sales]]-Store[[#This Row],[COGS]]</f>
        <v>-2981.25</v>
      </c>
    </row>
    <row r="359" spans="1:13" x14ac:dyDescent="0.25">
      <c r="A359" t="s">
        <v>47</v>
      </c>
      <c r="B359" t="s">
        <v>48</v>
      </c>
      <c r="C359" s="18" t="s">
        <v>46</v>
      </c>
      <c r="D359" s="19">
        <v>44295</v>
      </c>
      <c r="E359">
        <v>1607</v>
      </c>
      <c r="F359" s="16">
        <v>10</v>
      </c>
      <c r="G359" s="16">
        <v>300</v>
      </c>
      <c r="H359" s="16">
        <v>401750</v>
      </c>
      <c r="I359" s="16">
        <v>24105</v>
      </c>
      <c r="J359" s="14" t="s">
        <v>59</v>
      </c>
      <c r="K359" s="20">
        <f>Store[[#This Row],[Quantity]]*Store[[#This Row],[Sale Price]]</f>
        <v>482100</v>
      </c>
      <c r="L359" s="20">
        <f>Store[[#This Row],[Gross Sales]]-Store[[#This Row],[Discount]]</f>
        <v>457995</v>
      </c>
      <c r="M359" s="20">
        <f>Store[[#This Row],[Sales]]-Store[[#This Row],[COGS]]</f>
        <v>56245</v>
      </c>
    </row>
    <row r="360" spans="1:13" x14ac:dyDescent="0.25">
      <c r="A360" t="s">
        <v>49</v>
      </c>
      <c r="B360" t="s">
        <v>51</v>
      </c>
      <c r="C360" s="18" t="s">
        <v>46</v>
      </c>
      <c r="D360" s="19">
        <v>44345</v>
      </c>
      <c r="E360">
        <v>2327</v>
      </c>
      <c r="F360" s="16">
        <v>10</v>
      </c>
      <c r="G360" s="16">
        <v>7</v>
      </c>
      <c r="H360" s="16">
        <v>11635</v>
      </c>
      <c r="I360" s="16">
        <v>814.45</v>
      </c>
      <c r="J360" s="14" t="s">
        <v>59</v>
      </c>
      <c r="K360" s="20">
        <f>Store[[#This Row],[Quantity]]*Store[[#This Row],[Sale Price]]</f>
        <v>16289</v>
      </c>
      <c r="L360" s="20">
        <f>Store[[#This Row],[Gross Sales]]-Store[[#This Row],[Discount]]</f>
        <v>15474.55</v>
      </c>
      <c r="M360" s="20">
        <f>Store[[#This Row],[Sales]]-Store[[#This Row],[COGS]]</f>
        <v>3839.5499999999993</v>
      </c>
    </row>
    <row r="361" spans="1:13" x14ac:dyDescent="0.25">
      <c r="A361" t="s">
        <v>47</v>
      </c>
      <c r="B361" t="s">
        <v>51</v>
      </c>
      <c r="C361" s="18" t="s">
        <v>46</v>
      </c>
      <c r="D361" s="19">
        <v>44377</v>
      </c>
      <c r="E361">
        <v>991</v>
      </c>
      <c r="F361" s="16">
        <v>10</v>
      </c>
      <c r="G361" s="16">
        <v>300</v>
      </c>
      <c r="H361" s="16">
        <v>247750</v>
      </c>
      <c r="I361" s="16">
        <v>14865</v>
      </c>
      <c r="J361" s="14" t="s">
        <v>59</v>
      </c>
      <c r="K361" s="20">
        <f>Store[[#This Row],[Quantity]]*Store[[#This Row],[Sale Price]]</f>
        <v>297300</v>
      </c>
      <c r="L361" s="20">
        <f>Store[[#This Row],[Gross Sales]]-Store[[#This Row],[Discount]]</f>
        <v>282435</v>
      </c>
      <c r="M361" s="20">
        <f>Store[[#This Row],[Sales]]-Store[[#This Row],[COGS]]</f>
        <v>34685</v>
      </c>
    </row>
    <row r="362" spans="1:13" x14ac:dyDescent="0.25">
      <c r="A362" t="s">
        <v>49</v>
      </c>
      <c r="B362" t="s">
        <v>51</v>
      </c>
      <c r="C362" s="18" t="s">
        <v>46</v>
      </c>
      <c r="D362" s="19">
        <v>44360</v>
      </c>
      <c r="E362">
        <v>602</v>
      </c>
      <c r="F362" s="16">
        <v>10</v>
      </c>
      <c r="G362" s="16">
        <v>350</v>
      </c>
      <c r="H362" s="16">
        <v>156520</v>
      </c>
      <c r="I362" s="16">
        <v>10535</v>
      </c>
      <c r="J362" s="14" t="s">
        <v>59</v>
      </c>
      <c r="K362" s="20">
        <f>Store[[#This Row],[Quantity]]*Store[[#This Row],[Sale Price]]</f>
        <v>210700</v>
      </c>
      <c r="L362" s="20">
        <f>Store[[#This Row],[Gross Sales]]-Store[[#This Row],[Discount]]</f>
        <v>200165</v>
      </c>
      <c r="M362" s="20">
        <f>Store[[#This Row],[Sales]]-Store[[#This Row],[COGS]]</f>
        <v>43645</v>
      </c>
    </row>
    <row r="363" spans="1:13" x14ac:dyDescent="0.25">
      <c r="A363" t="s">
        <v>45</v>
      </c>
      <c r="B363" t="s">
        <v>58</v>
      </c>
      <c r="C363" s="18" t="s">
        <v>46</v>
      </c>
      <c r="D363" s="19">
        <v>44469</v>
      </c>
      <c r="E363">
        <v>2620</v>
      </c>
      <c r="F363" s="16">
        <v>10</v>
      </c>
      <c r="G363" s="16">
        <v>15</v>
      </c>
      <c r="H363" s="16">
        <v>26200</v>
      </c>
      <c r="I363" s="16">
        <v>1965</v>
      </c>
      <c r="J363" s="14" t="s">
        <v>59</v>
      </c>
      <c r="K363" s="20">
        <f>Store[[#This Row],[Quantity]]*Store[[#This Row],[Sale Price]]</f>
        <v>39300</v>
      </c>
      <c r="L363" s="20">
        <f>Store[[#This Row],[Gross Sales]]-Store[[#This Row],[Discount]]</f>
        <v>37335</v>
      </c>
      <c r="M363" s="20">
        <f>Store[[#This Row],[Sales]]-Store[[#This Row],[COGS]]</f>
        <v>11135</v>
      </c>
    </row>
    <row r="364" spans="1:13" x14ac:dyDescent="0.25">
      <c r="A364" t="s">
        <v>41</v>
      </c>
      <c r="B364" t="s">
        <v>51</v>
      </c>
      <c r="C364" s="18" t="s">
        <v>46</v>
      </c>
      <c r="D364" s="19">
        <v>44488</v>
      </c>
      <c r="E364">
        <v>861</v>
      </c>
      <c r="F364" s="16">
        <v>10</v>
      </c>
      <c r="G364" s="16">
        <v>125</v>
      </c>
      <c r="H364" s="16">
        <v>103320</v>
      </c>
      <c r="I364" s="16">
        <v>5381.25</v>
      </c>
      <c r="J364" s="14" t="s">
        <v>59</v>
      </c>
      <c r="K364" s="20">
        <f>Store[[#This Row],[Quantity]]*Store[[#This Row],[Sale Price]]</f>
        <v>107625</v>
      </c>
      <c r="L364" s="20">
        <f>Store[[#This Row],[Gross Sales]]-Store[[#This Row],[Discount]]</f>
        <v>102243.75</v>
      </c>
      <c r="M364" s="20">
        <f>Store[[#This Row],[Sales]]-Store[[#This Row],[COGS]]</f>
        <v>-1076.25</v>
      </c>
    </row>
    <row r="365" spans="1:13" x14ac:dyDescent="0.25">
      <c r="A365" t="s">
        <v>49</v>
      </c>
      <c r="B365" t="s">
        <v>51</v>
      </c>
      <c r="C365" s="18" t="s">
        <v>46</v>
      </c>
      <c r="D365" s="19">
        <v>44561</v>
      </c>
      <c r="E365">
        <v>2663</v>
      </c>
      <c r="F365" s="16">
        <v>10</v>
      </c>
      <c r="G365" s="16">
        <v>20</v>
      </c>
      <c r="H365" s="16">
        <v>26630</v>
      </c>
      <c r="I365" s="16">
        <v>2663</v>
      </c>
      <c r="J365" s="14" t="s">
        <v>59</v>
      </c>
      <c r="K365" s="20">
        <f>Store[[#This Row],[Quantity]]*Store[[#This Row],[Sale Price]]</f>
        <v>53260</v>
      </c>
      <c r="L365" s="20">
        <f>Store[[#This Row],[Gross Sales]]-Store[[#This Row],[Discount]]</f>
        <v>50597</v>
      </c>
      <c r="M365" s="20">
        <f>Store[[#This Row],[Sales]]-Store[[#This Row],[COGS]]</f>
        <v>23967</v>
      </c>
    </row>
    <row r="366" spans="1:13" x14ac:dyDescent="0.25">
      <c r="A366" t="s">
        <v>45</v>
      </c>
      <c r="B366" t="s">
        <v>51</v>
      </c>
      <c r="C366" s="18" t="s">
        <v>52</v>
      </c>
      <c r="D366" s="19">
        <v>44216</v>
      </c>
      <c r="E366">
        <v>555</v>
      </c>
      <c r="F366" s="16">
        <v>120</v>
      </c>
      <c r="G366" s="16">
        <v>15</v>
      </c>
      <c r="H366" s="16">
        <v>5550</v>
      </c>
      <c r="I366" s="16">
        <v>416.25</v>
      </c>
      <c r="J366" s="14" t="s">
        <v>59</v>
      </c>
      <c r="K366" s="20">
        <f>Store[[#This Row],[Quantity]]*Store[[#This Row],[Sale Price]]</f>
        <v>8325</v>
      </c>
      <c r="L366" s="20">
        <f>Store[[#This Row],[Gross Sales]]-Store[[#This Row],[Discount]]</f>
        <v>7908.75</v>
      </c>
      <c r="M366" s="20">
        <f>Store[[#This Row],[Sales]]-Store[[#This Row],[COGS]]</f>
        <v>2358.75</v>
      </c>
    </row>
    <row r="367" spans="1:13" x14ac:dyDescent="0.25">
      <c r="A367" t="s">
        <v>45</v>
      </c>
      <c r="B367" t="s">
        <v>48</v>
      </c>
      <c r="C367" s="18" t="s">
        <v>52</v>
      </c>
      <c r="D367" s="19">
        <v>44211</v>
      </c>
      <c r="E367">
        <v>2861</v>
      </c>
      <c r="F367" s="16">
        <v>120</v>
      </c>
      <c r="G367" s="16">
        <v>15</v>
      </c>
      <c r="H367" s="16">
        <v>28610</v>
      </c>
      <c r="I367" s="16">
        <v>2145.75</v>
      </c>
      <c r="J367" s="14" t="s">
        <v>59</v>
      </c>
      <c r="K367" s="20">
        <f>Store[[#This Row],[Quantity]]*Store[[#This Row],[Sale Price]]</f>
        <v>42915</v>
      </c>
      <c r="L367" s="20">
        <f>Store[[#This Row],[Gross Sales]]-Store[[#This Row],[Discount]]</f>
        <v>40769.25</v>
      </c>
      <c r="M367" s="20">
        <f>Store[[#This Row],[Sales]]-Store[[#This Row],[COGS]]</f>
        <v>12159.25</v>
      </c>
    </row>
    <row r="368" spans="1:13" x14ac:dyDescent="0.25">
      <c r="A368" t="s">
        <v>41</v>
      </c>
      <c r="B368" t="s">
        <v>56</v>
      </c>
      <c r="C368" s="18" t="s">
        <v>52</v>
      </c>
      <c r="D368" s="19">
        <v>44241</v>
      </c>
      <c r="E368">
        <v>807</v>
      </c>
      <c r="F368" s="16">
        <v>120</v>
      </c>
      <c r="G368" s="16">
        <v>125</v>
      </c>
      <c r="H368" s="16">
        <v>96840</v>
      </c>
      <c r="I368" s="16">
        <v>5043.75</v>
      </c>
      <c r="J368" s="14" t="s">
        <v>59</v>
      </c>
      <c r="K368" s="20">
        <f>Store[[#This Row],[Quantity]]*Store[[#This Row],[Sale Price]]</f>
        <v>100875</v>
      </c>
      <c r="L368" s="20">
        <f>Store[[#This Row],[Gross Sales]]-Store[[#This Row],[Discount]]</f>
        <v>95831.25</v>
      </c>
      <c r="M368" s="20">
        <f>Store[[#This Row],[Sales]]-Store[[#This Row],[COGS]]</f>
        <v>-1008.75</v>
      </c>
    </row>
    <row r="369" spans="1:13" x14ac:dyDescent="0.25">
      <c r="A369" t="s">
        <v>49</v>
      </c>
      <c r="B369" t="s">
        <v>51</v>
      </c>
      <c r="C369" s="18" t="s">
        <v>52</v>
      </c>
      <c r="D369" s="19">
        <v>44366</v>
      </c>
      <c r="E369">
        <v>602</v>
      </c>
      <c r="F369" s="16">
        <v>120</v>
      </c>
      <c r="G369" s="16">
        <v>350</v>
      </c>
      <c r="H369" s="16">
        <v>156520</v>
      </c>
      <c r="I369" s="16">
        <v>10535</v>
      </c>
      <c r="J369" s="14" t="s">
        <v>59</v>
      </c>
      <c r="K369" s="20">
        <f>Store[[#This Row],[Quantity]]*Store[[#This Row],[Sale Price]]</f>
        <v>210700</v>
      </c>
      <c r="L369" s="20">
        <f>Store[[#This Row],[Gross Sales]]-Store[[#This Row],[Discount]]</f>
        <v>200165</v>
      </c>
      <c r="M369" s="20">
        <f>Store[[#This Row],[Sales]]-Store[[#This Row],[COGS]]</f>
        <v>43645</v>
      </c>
    </row>
    <row r="370" spans="1:13" x14ac:dyDescent="0.25">
      <c r="A370" t="s">
        <v>49</v>
      </c>
      <c r="B370" t="s">
        <v>51</v>
      </c>
      <c r="C370" s="18" t="s">
        <v>52</v>
      </c>
      <c r="D370" s="19">
        <v>44420</v>
      </c>
      <c r="E370">
        <v>2832</v>
      </c>
      <c r="F370" s="16">
        <v>120</v>
      </c>
      <c r="G370" s="16">
        <v>20</v>
      </c>
      <c r="H370" s="16">
        <v>28320</v>
      </c>
      <c r="I370" s="16">
        <v>2832</v>
      </c>
      <c r="J370" s="14" t="s">
        <v>59</v>
      </c>
      <c r="K370" s="20">
        <f>Store[[#This Row],[Quantity]]*Store[[#This Row],[Sale Price]]</f>
        <v>56640</v>
      </c>
      <c r="L370" s="20">
        <f>Store[[#This Row],[Gross Sales]]-Store[[#This Row],[Discount]]</f>
        <v>53808</v>
      </c>
      <c r="M370" s="20">
        <f>Store[[#This Row],[Sales]]-Store[[#This Row],[COGS]]</f>
        <v>25488</v>
      </c>
    </row>
    <row r="371" spans="1:13" x14ac:dyDescent="0.25">
      <c r="A371" t="s">
        <v>49</v>
      </c>
      <c r="B371" t="s">
        <v>58</v>
      </c>
      <c r="C371" s="18" t="s">
        <v>52</v>
      </c>
      <c r="D371" s="19">
        <v>44411</v>
      </c>
      <c r="E371">
        <v>1579</v>
      </c>
      <c r="F371" s="16">
        <v>120</v>
      </c>
      <c r="G371" s="16">
        <v>20</v>
      </c>
      <c r="H371" s="16">
        <v>15790</v>
      </c>
      <c r="I371" s="16">
        <v>1579</v>
      </c>
      <c r="J371" s="14" t="s">
        <v>59</v>
      </c>
      <c r="K371" s="20">
        <f>Store[[#This Row],[Quantity]]*Store[[#This Row],[Sale Price]]</f>
        <v>31580</v>
      </c>
      <c r="L371" s="20">
        <f>Store[[#This Row],[Gross Sales]]-Store[[#This Row],[Discount]]</f>
        <v>30001</v>
      </c>
      <c r="M371" s="20">
        <f>Store[[#This Row],[Sales]]-Store[[#This Row],[COGS]]</f>
        <v>14211</v>
      </c>
    </row>
    <row r="372" spans="1:13" x14ac:dyDescent="0.25">
      <c r="A372" t="s">
        <v>41</v>
      </c>
      <c r="B372" t="s">
        <v>51</v>
      </c>
      <c r="C372" s="18" t="s">
        <v>52</v>
      </c>
      <c r="D372" s="19">
        <v>44486</v>
      </c>
      <c r="E372">
        <v>861</v>
      </c>
      <c r="F372" s="16">
        <v>120</v>
      </c>
      <c r="G372" s="16">
        <v>125</v>
      </c>
      <c r="H372" s="16">
        <v>103320</v>
      </c>
      <c r="I372" s="16">
        <v>5381.25</v>
      </c>
      <c r="J372" s="14" t="s">
        <v>59</v>
      </c>
      <c r="K372" s="20">
        <f>Store[[#This Row],[Quantity]]*Store[[#This Row],[Sale Price]]</f>
        <v>107625</v>
      </c>
      <c r="L372" s="20">
        <f>Store[[#This Row],[Gross Sales]]-Store[[#This Row],[Discount]]</f>
        <v>102243.75</v>
      </c>
      <c r="M372" s="20">
        <f>Store[[#This Row],[Sales]]-Store[[#This Row],[COGS]]</f>
        <v>-1076.25</v>
      </c>
    </row>
    <row r="373" spans="1:13" x14ac:dyDescent="0.25">
      <c r="A373" t="s">
        <v>47</v>
      </c>
      <c r="B373" t="s">
        <v>56</v>
      </c>
      <c r="C373" s="18" t="s">
        <v>52</v>
      </c>
      <c r="D373" s="19">
        <v>44551</v>
      </c>
      <c r="E373">
        <v>1250</v>
      </c>
      <c r="F373" s="16">
        <v>120</v>
      </c>
      <c r="G373" s="16">
        <v>300</v>
      </c>
      <c r="H373" s="16">
        <v>312500</v>
      </c>
      <c r="I373" s="16">
        <v>18750</v>
      </c>
      <c r="J373" s="14" t="s">
        <v>59</v>
      </c>
      <c r="K373" s="20">
        <f>Store[[#This Row],[Quantity]]*Store[[#This Row],[Sale Price]]</f>
        <v>375000</v>
      </c>
      <c r="L373" s="20">
        <f>Store[[#This Row],[Gross Sales]]-Store[[#This Row],[Discount]]</f>
        <v>356250</v>
      </c>
      <c r="M373" s="20">
        <f>Store[[#This Row],[Sales]]-Store[[#This Row],[COGS]]</f>
        <v>43750</v>
      </c>
    </row>
    <row r="374" spans="1:13" x14ac:dyDescent="0.25">
      <c r="A374" t="s">
        <v>49</v>
      </c>
      <c r="B374" t="s">
        <v>51</v>
      </c>
      <c r="C374" s="18" t="s">
        <v>53</v>
      </c>
      <c r="D374" s="19">
        <v>44537</v>
      </c>
      <c r="E374">
        <v>2663</v>
      </c>
      <c r="F374" s="16">
        <v>250</v>
      </c>
      <c r="G374" s="16">
        <v>20</v>
      </c>
      <c r="H374" s="16">
        <v>26630</v>
      </c>
      <c r="I374" s="16">
        <v>2663</v>
      </c>
      <c r="J374" s="14" t="s">
        <v>59</v>
      </c>
      <c r="K374" s="20">
        <f>Store[[#This Row],[Quantity]]*Store[[#This Row],[Sale Price]]</f>
        <v>53260</v>
      </c>
      <c r="L374" s="20">
        <f>Store[[#This Row],[Gross Sales]]-Store[[#This Row],[Discount]]</f>
        <v>50597</v>
      </c>
      <c r="M374" s="20">
        <f>Store[[#This Row],[Sales]]-Store[[#This Row],[COGS]]</f>
        <v>23967</v>
      </c>
    </row>
    <row r="375" spans="1:13" x14ac:dyDescent="0.25">
      <c r="A375" t="s">
        <v>49</v>
      </c>
      <c r="B375" t="s">
        <v>51</v>
      </c>
      <c r="C375" s="18" t="s">
        <v>53</v>
      </c>
      <c r="D375" s="19">
        <v>44535</v>
      </c>
      <c r="E375">
        <v>570</v>
      </c>
      <c r="F375" s="16">
        <v>250</v>
      </c>
      <c r="G375" s="16">
        <v>7</v>
      </c>
      <c r="H375" s="16">
        <v>2850</v>
      </c>
      <c r="I375" s="16">
        <v>199.5</v>
      </c>
      <c r="J375" s="14" t="s">
        <v>59</v>
      </c>
      <c r="K375" s="20">
        <f>Store[[#This Row],[Quantity]]*Store[[#This Row],[Sale Price]]</f>
        <v>3990</v>
      </c>
      <c r="L375" s="20">
        <f>Store[[#This Row],[Gross Sales]]-Store[[#This Row],[Discount]]</f>
        <v>3790.5</v>
      </c>
      <c r="M375" s="20">
        <f>Store[[#This Row],[Sales]]-Store[[#This Row],[COGS]]</f>
        <v>940.5</v>
      </c>
    </row>
    <row r="376" spans="1:13" x14ac:dyDescent="0.25">
      <c r="A376" t="s">
        <v>49</v>
      </c>
      <c r="B376" t="s">
        <v>58</v>
      </c>
      <c r="C376" s="18" t="s">
        <v>53</v>
      </c>
      <c r="D376" s="19">
        <v>44543</v>
      </c>
      <c r="E376">
        <v>2487</v>
      </c>
      <c r="F376" s="16">
        <v>250</v>
      </c>
      <c r="G376" s="16">
        <v>7</v>
      </c>
      <c r="H376" s="16">
        <v>12435</v>
      </c>
      <c r="I376" s="16">
        <v>870.45</v>
      </c>
      <c r="J376" s="14" t="s">
        <v>59</v>
      </c>
      <c r="K376" s="20">
        <f>Store[[#This Row],[Quantity]]*Store[[#This Row],[Sale Price]]</f>
        <v>17409</v>
      </c>
      <c r="L376" s="20">
        <f>Store[[#This Row],[Gross Sales]]-Store[[#This Row],[Discount]]</f>
        <v>16538.55</v>
      </c>
      <c r="M376" s="20">
        <f>Store[[#This Row],[Sales]]-Store[[#This Row],[COGS]]</f>
        <v>4103.5499999999993</v>
      </c>
    </row>
    <row r="377" spans="1:13" x14ac:dyDescent="0.25">
      <c r="A377" t="s">
        <v>49</v>
      </c>
      <c r="B377" t="s">
        <v>56</v>
      </c>
      <c r="C377" s="18" t="s">
        <v>57</v>
      </c>
      <c r="D377" s="19">
        <v>44230</v>
      </c>
      <c r="E377">
        <v>1350</v>
      </c>
      <c r="F377" s="16">
        <v>260</v>
      </c>
      <c r="G377" s="16">
        <v>350</v>
      </c>
      <c r="H377" s="16">
        <v>351000</v>
      </c>
      <c r="I377" s="16">
        <v>23625</v>
      </c>
      <c r="J377" s="14" t="s">
        <v>59</v>
      </c>
      <c r="K377" s="20">
        <f>Store[[#This Row],[Quantity]]*Store[[#This Row],[Sale Price]]</f>
        <v>472500</v>
      </c>
      <c r="L377" s="20">
        <f>Store[[#This Row],[Gross Sales]]-Store[[#This Row],[Discount]]</f>
        <v>448875</v>
      </c>
      <c r="M377" s="20">
        <f>Store[[#This Row],[Sales]]-Store[[#This Row],[COGS]]</f>
        <v>97875</v>
      </c>
    </row>
    <row r="378" spans="1:13" x14ac:dyDescent="0.25">
      <c r="A378" t="s">
        <v>49</v>
      </c>
      <c r="B378" t="s">
        <v>42</v>
      </c>
      <c r="C378" s="18" t="s">
        <v>57</v>
      </c>
      <c r="D378" s="19">
        <v>44426</v>
      </c>
      <c r="E378">
        <v>552</v>
      </c>
      <c r="F378" s="16">
        <v>260</v>
      </c>
      <c r="G378" s="16">
        <v>350</v>
      </c>
      <c r="H378" s="16">
        <v>143520</v>
      </c>
      <c r="I378" s="16">
        <v>9660</v>
      </c>
      <c r="J378" s="14" t="s">
        <v>59</v>
      </c>
      <c r="K378" s="20">
        <f>Store[[#This Row],[Quantity]]*Store[[#This Row],[Sale Price]]</f>
        <v>193200</v>
      </c>
      <c r="L378" s="20">
        <f>Store[[#This Row],[Gross Sales]]-Store[[#This Row],[Discount]]</f>
        <v>183540</v>
      </c>
      <c r="M378" s="20">
        <f>Store[[#This Row],[Sales]]-Store[[#This Row],[COGS]]</f>
        <v>40020</v>
      </c>
    </row>
    <row r="379" spans="1:13" x14ac:dyDescent="0.25">
      <c r="A379" t="s">
        <v>47</v>
      </c>
      <c r="B379" t="s">
        <v>56</v>
      </c>
      <c r="C379" s="18" t="s">
        <v>57</v>
      </c>
      <c r="D379" s="19">
        <v>44543</v>
      </c>
      <c r="E379">
        <v>1250</v>
      </c>
      <c r="F379" s="16">
        <v>260</v>
      </c>
      <c r="G379" s="16">
        <v>300</v>
      </c>
      <c r="H379" s="16">
        <v>312500</v>
      </c>
      <c r="I379" s="16">
        <v>18750</v>
      </c>
      <c r="J379" s="14" t="s">
        <v>59</v>
      </c>
      <c r="K379" s="20">
        <f>Store[[#This Row],[Quantity]]*Store[[#This Row],[Sale Price]]</f>
        <v>375000</v>
      </c>
      <c r="L379" s="20">
        <f>Store[[#This Row],[Gross Sales]]-Store[[#This Row],[Discount]]</f>
        <v>356250</v>
      </c>
      <c r="M379" s="20">
        <f>Store[[#This Row],[Sales]]-Store[[#This Row],[COGS]]</f>
        <v>43750</v>
      </c>
    </row>
    <row r="380" spans="1:13" x14ac:dyDescent="0.25">
      <c r="A380" t="s">
        <v>45</v>
      </c>
      <c r="B380" t="s">
        <v>58</v>
      </c>
      <c r="C380" s="18" t="s">
        <v>46</v>
      </c>
      <c r="D380" s="19">
        <v>44310</v>
      </c>
      <c r="E380">
        <v>3801</v>
      </c>
      <c r="F380" s="16">
        <v>10</v>
      </c>
      <c r="G380" s="16">
        <v>15</v>
      </c>
      <c r="H380" s="16">
        <v>38010</v>
      </c>
      <c r="I380" s="16">
        <v>3420.8999999999996</v>
      </c>
      <c r="J380" s="14" t="s">
        <v>59</v>
      </c>
      <c r="K380" s="20">
        <f>Store[[#This Row],[Quantity]]*Store[[#This Row],[Sale Price]]</f>
        <v>57015</v>
      </c>
      <c r="L380" s="20">
        <f>Store[[#This Row],[Gross Sales]]-Store[[#This Row],[Discount]]</f>
        <v>53594.1</v>
      </c>
      <c r="M380" s="20">
        <f>Store[[#This Row],[Sales]]-Store[[#This Row],[COGS]]</f>
        <v>15584.099999999999</v>
      </c>
    </row>
    <row r="381" spans="1:13" x14ac:dyDescent="0.25">
      <c r="A381" t="s">
        <v>49</v>
      </c>
      <c r="B381" t="s">
        <v>51</v>
      </c>
      <c r="C381" s="18" t="s">
        <v>54</v>
      </c>
      <c r="D381" s="19">
        <v>44221</v>
      </c>
      <c r="E381">
        <v>1117.5</v>
      </c>
      <c r="F381" s="16">
        <v>3</v>
      </c>
      <c r="G381" s="16">
        <v>20</v>
      </c>
      <c r="H381" s="16">
        <v>11175</v>
      </c>
      <c r="I381" s="16">
        <v>1341</v>
      </c>
      <c r="J381" s="14" t="s">
        <v>59</v>
      </c>
      <c r="K381" s="20">
        <f>Store[[#This Row],[Quantity]]*Store[[#This Row],[Sale Price]]</f>
        <v>22350</v>
      </c>
      <c r="L381" s="20">
        <f>Store[[#This Row],[Gross Sales]]-Store[[#This Row],[Discount]]</f>
        <v>21009</v>
      </c>
      <c r="M381" s="20">
        <f>Store[[#This Row],[Sales]]-Store[[#This Row],[COGS]]</f>
        <v>9834</v>
      </c>
    </row>
    <row r="382" spans="1:13" x14ac:dyDescent="0.25">
      <c r="A382" t="s">
        <v>45</v>
      </c>
      <c r="B382" t="s">
        <v>42</v>
      </c>
      <c r="C382" s="18" t="s">
        <v>54</v>
      </c>
      <c r="D382" s="19">
        <v>44374</v>
      </c>
      <c r="E382">
        <v>2844</v>
      </c>
      <c r="F382" s="16">
        <v>3</v>
      </c>
      <c r="G382" s="16">
        <v>15</v>
      </c>
      <c r="H382" s="16">
        <v>28440</v>
      </c>
      <c r="I382" s="16">
        <v>2559.6</v>
      </c>
      <c r="J382" s="14" t="s">
        <v>59</v>
      </c>
      <c r="K382" s="20">
        <f>Store[[#This Row],[Quantity]]*Store[[#This Row],[Sale Price]]</f>
        <v>42660</v>
      </c>
      <c r="L382" s="20">
        <f>Store[[#This Row],[Gross Sales]]-Store[[#This Row],[Discount]]</f>
        <v>40100.400000000001</v>
      </c>
      <c r="M382" s="20">
        <f>Store[[#This Row],[Sales]]-Store[[#This Row],[COGS]]</f>
        <v>11660.400000000001</v>
      </c>
    </row>
    <row r="383" spans="1:13" x14ac:dyDescent="0.25">
      <c r="A383" t="s">
        <v>50</v>
      </c>
      <c r="B383" t="s">
        <v>48</v>
      </c>
      <c r="C383" s="18" t="s">
        <v>54</v>
      </c>
      <c r="D383" s="19">
        <v>44458</v>
      </c>
      <c r="E383">
        <v>562</v>
      </c>
      <c r="F383" s="16">
        <v>3</v>
      </c>
      <c r="G383" s="16">
        <v>12</v>
      </c>
      <c r="H383" s="16">
        <v>1686</v>
      </c>
      <c r="I383" s="16">
        <v>404.64</v>
      </c>
      <c r="J383" s="14" t="s">
        <v>59</v>
      </c>
      <c r="K383" s="20">
        <f>Store[[#This Row],[Quantity]]*Store[[#This Row],[Sale Price]]</f>
        <v>6744</v>
      </c>
      <c r="L383" s="20">
        <f>Store[[#This Row],[Gross Sales]]-Store[[#This Row],[Discount]]</f>
        <v>6339.36</v>
      </c>
      <c r="M383" s="20">
        <f>Store[[#This Row],[Sales]]-Store[[#This Row],[COGS]]</f>
        <v>4653.3599999999997</v>
      </c>
    </row>
    <row r="384" spans="1:13" x14ac:dyDescent="0.25">
      <c r="A384" t="s">
        <v>45</v>
      </c>
      <c r="B384" t="s">
        <v>51</v>
      </c>
      <c r="C384" s="18" t="s">
        <v>54</v>
      </c>
      <c r="D384" s="19">
        <v>44527</v>
      </c>
      <c r="E384">
        <v>2030</v>
      </c>
      <c r="F384" s="16">
        <v>3</v>
      </c>
      <c r="G384" s="16">
        <v>15</v>
      </c>
      <c r="H384" s="16">
        <v>20300</v>
      </c>
      <c r="I384" s="16">
        <v>1827</v>
      </c>
      <c r="J384" s="14" t="s">
        <v>59</v>
      </c>
      <c r="K384" s="20">
        <f>Store[[#This Row],[Quantity]]*Store[[#This Row],[Sale Price]]</f>
        <v>30450</v>
      </c>
      <c r="L384" s="20">
        <f>Store[[#This Row],[Gross Sales]]-Store[[#This Row],[Discount]]</f>
        <v>28623</v>
      </c>
      <c r="M384" s="20">
        <f>Store[[#This Row],[Sales]]-Store[[#This Row],[COGS]]</f>
        <v>8323</v>
      </c>
    </row>
    <row r="385" spans="1:13" x14ac:dyDescent="0.25">
      <c r="A385" t="s">
        <v>49</v>
      </c>
      <c r="B385" t="s">
        <v>48</v>
      </c>
      <c r="C385" s="18" t="s">
        <v>43</v>
      </c>
      <c r="D385" s="19">
        <v>44300</v>
      </c>
      <c r="E385">
        <v>980</v>
      </c>
      <c r="F385" s="16">
        <v>5</v>
      </c>
      <c r="G385" s="16">
        <v>350</v>
      </c>
      <c r="H385" s="16">
        <v>254800</v>
      </c>
      <c r="I385" s="16">
        <v>20580</v>
      </c>
      <c r="J385" s="14" t="s">
        <v>59</v>
      </c>
      <c r="K385" s="20">
        <f>Store[[#This Row],[Quantity]]*Store[[#This Row],[Sale Price]]</f>
        <v>343000</v>
      </c>
      <c r="L385" s="20">
        <f>Store[[#This Row],[Gross Sales]]-Store[[#This Row],[Discount]]</f>
        <v>322420</v>
      </c>
      <c r="M385" s="20">
        <f>Store[[#This Row],[Sales]]-Store[[#This Row],[COGS]]</f>
        <v>67620</v>
      </c>
    </row>
    <row r="386" spans="1:13" x14ac:dyDescent="0.25">
      <c r="A386" t="s">
        <v>49</v>
      </c>
      <c r="B386" t="s">
        <v>56</v>
      </c>
      <c r="C386" s="18" t="s">
        <v>43</v>
      </c>
      <c r="D386" s="19">
        <v>44322</v>
      </c>
      <c r="E386">
        <v>1460</v>
      </c>
      <c r="F386" s="16">
        <v>5</v>
      </c>
      <c r="G386" s="16">
        <v>350</v>
      </c>
      <c r="H386" s="16">
        <v>379600</v>
      </c>
      <c r="I386" s="16">
        <v>30660</v>
      </c>
      <c r="J386" s="14" t="s">
        <v>59</v>
      </c>
      <c r="K386" s="20">
        <f>Store[[#This Row],[Quantity]]*Store[[#This Row],[Sale Price]]</f>
        <v>511000</v>
      </c>
      <c r="L386" s="20">
        <f>Store[[#This Row],[Gross Sales]]-Store[[#This Row],[Discount]]</f>
        <v>480340</v>
      </c>
      <c r="M386" s="20">
        <f>Store[[#This Row],[Sales]]-Store[[#This Row],[COGS]]</f>
        <v>100740</v>
      </c>
    </row>
    <row r="387" spans="1:13" x14ac:dyDescent="0.25">
      <c r="A387" t="s">
        <v>50</v>
      </c>
      <c r="B387" t="s">
        <v>51</v>
      </c>
      <c r="C387" s="18" t="s">
        <v>43</v>
      </c>
      <c r="D387" s="19">
        <v>44502</v>
      </c>
      <c r="E387">
        <v>2723</v>
      </c>
      <c r="F387" s="16">
        <v>5</v>
      </c>
      <c r="G387" s="16">
        <v>12</v>
      </c>
      <c r="H387" s="16">
        <v>8169</v>
      </c>
      <c r="I387" s="16">
        <v>1960.56</v>
      </c>
      <c r="J387" s="14" t="s">
        <v>59</v>
      </c>
      <c r="K387" s="20">
        <f>Store[[#This Row],[Quantity]]*Store[[#This Row],[Sale Price]]</f>
        <v>32676</v>
      </c>
      <c r="L387" s="20">
        <f>Store[[#This Row],[Gross Sales]]-Store[[#This Row],[Discount]]</f>
        <v>30715.439999999999</v>
      </c>
      <c r="M387" s="20">
        <f>Store[[#This Row],[Sales]]-Store[[#This Row],[COGS]]</f>
        <v>22546.44</v>
      </c>
    </row>
    <row r="388" spans="1:13" x14ac:dyDescent="0.25">
      <c r="A388" t="s">
        <v>49</v>
      </c>
      <c r="B388" t="s">
        <v>58</v>
      </c>
      <c r="C388" s="18" t="s">
        <v>46</v>
      </c>
      <c r="D388" s="19">
        <v>44370</v>
      </c>
      <c r="E388">
        <v>1496</v>
      </c>
      <c r="F388" s="16">
        <v>10</v>
      </c>
      <c r="G388" s="16">
        <v>350</v>
      </c>
      <c r="H388" s="16">
        <v>388960</v>
      </c>
      <c r="I388" s="16">
        <v>31416</v>
      </c>
      <c r="J388" s="14" t="s">
        <v>59</v>
      </c>
      <c r="K388" s="20">
        <f>Store[[#This Row],[Quantity]]*Store[[#This Row],[Sale Price]]</f>
        <v>523600</v>
      </c>
      <c r="L388" s="20">
        <f>Store[[#This Row],[Gross Sales]]-Store[[#This Row],[Discount]]</f>
        <v>492184</v>
      </c>
      <c r="M388" s="20">
        <f>Store[[#This Row],[Sales]]-Store[[#This Row],[COGS]]</f>
        <v>103224</v>
      </c>
    </row>
    <row r="389" spans="1:13" x14ac:dyDescent="0.25">
      <c r="A389" t="s">
        <v>41</v>
      </c>
      <c r="B389" t="s">
        <v>42</v>
      </c>
      <c r="C389" s="18" t="s">
        <v>52</v>
      </c>
      <c r="D389" s="19">
        <v>44239</v>
      </c>
      <c r="E389">
        <v>952</v>
      </c>
      <c r="F389" s="16">
        <v>120</v>
      </c>
      <c r="G389" s="16">
        <v>125</v>
      </c>
      <c r="H389" s="16">
        <v>114240</v>
      </c>
      <c r="I389" s="16">
        <v>7140</v>
      </c>
      <c r="J389" s="14" t="s">
        <v>59</v>
      </c>
      <c r="K389" s="20">
        <f>Store[[#This Row],[Quantity]]*Store[[#This Row],[Sale Price]]</f>
        <v>119000</v>
      </c>
      <c r="L389" s="20">
        <f>Store[[#This Row],[Gross Sales]]-Store[[#This Row],[Discount]]</f>
        <v>111860</v>
      </c>
      <c r="M389" s="20">
        <f>Store[[#This Row],[Sales]]-Store[[#This Row],[COGS]]</f>
        <v>-2380</v>
      </c>
    </row>
    <row r="390" spans="1:13" x14ac:dyDescent="0.25">
      <c r="A390" t="s">
        <v>41</v>
      </c>
      <c r="B390" t="s">
        <v>51</v>
      </c>
      <c r="C390" s="18" t="s">
        <v>52</v>
      </c>
      <c r="D390" s="19">
        <v>44255</v>
      </c>
      <c r="E390">
        <v>2755</v>
      </c>
      <c r="F390" s="16">
        <v>120</v>
      </c>
      <c r="G390" s="16">
        <v>125</v>
      </c>
      <c r="H390" s="16">
        <v>330600</v>
      </c>
      <c r="I390" s="16">
        <v>20662.5</v>
      </c>
      <c r="J390" s="14" t="s">
        <v>59</v>
      </c>
      <c r="K390" s="20">
        <f>Store[[#This Row],[Quantity]]*Store[[#This Row],[Sale Price]]</f>
        <v>344375</v>
      </c>
      <c r="L390" s="20">
        <f>Store[[#This Row],[Gross Sales]]-Store[[#This Row],[Discount]]</f>
        <v>323712.5</v>
      </c>
      <c r="M390" s="20">
        <f>Store[[#This Row],[Sales]]-Store[[#This Row],[COGS]]</f>
        <v>-6887.5</v>
      </c>
    </row>
    <row r="391" spans="1:13" x14ac:dyDescent="0.25">
      <c r="A391" t="s">
        <v>45</v>
      </c>
      <c r="B391" t="s">
        <v>56</v>
      </c>
      <c r="C391" s="18" t="s">
        <v>52</v>
      </c>
      <c r="D391" s="19">
        <v>44344</v>
      </c>
      <c r="E391">
        <v>1530</v>
      </c>
      <c r="F391" s="16">
        <v>120</v>
      </c>
      <c r="G391" s="16">
        <v>15</v>
      </c>
      <c r="H391" s="16">
        <v>15300</v>
      </c>
      <c r="I391" s="16">
        <v>1377</v>
      </c>
      <c r="J391" s="14" t="s">
        <v>59</v>
      </c>
      <c r="K391" s="20">
        <f>Store[[#This Row],[Quantity]]*Store[[#This Row],[Sale Price]]</f>
        <v>22950</v>
      </c>
      <c r="L391" s="20">
        <f>Store[[#This Row],[Gross Sales]]-Store[[#This Row],[Discount]]</f>
        <v>21573</v>
      </c>
      <c r="M391" s="20">
        <f>Store[[#This Row],[Sales]]-Store[[#This Row],[COGS]]</f>
        <v>6273</v>
      </c>
    </row>
    <row r="392" spans="1:13" x14ac:dyDescent="0.25">
      <c r="A392" t="s">
        <v>49</v>
      </c>
      <c r="B392" t="s">
        <v>58</v>
      </c>
      <c r="C392" s="18" t="s">
        <v>52</v>
      </c>
      <c r="D392" s="19">
        <v>44376</v>
      </c>
      <c r="E392">
        <v>1496</v>
      </c>
      <c r="F392" s="16">
        <v>120</v>
      </c>
      <c r="G392" s="16">
        <v>350</v>
      </c>
      <c r="H392" s="16">
        <v>388960</v>
      </c>
      <c r="I392" s="16">
        <v>31416</v>
      </c>
      <c r="J392" s="14" t="s">
        <v>59</v>
      </c>
      <c r="K392" s="20">
        <f>Store[[#This Row],[Quantity]]*Store[[#This Row],[Sale Price]]</f>
        <v>523600</v>
      </c>
      <c r="L392" s="20">
        <f>Store[[#This Row],[Gross Sales]]-Store[[#This Row],[Discount]]</f>
        <v>492184</v>
      </c>
      <c r="M392" s="20">
        <f>Store[[#This Row],[Sales]]-Store[[#This Row],[COGS]]</f>
        <v>103224</v>
      </c>
    </row>
    <row r="393" spans="1:13" x14ac:dyDescent="0.25">
      <c r="A393" t="s">
        <v>49</v>
      </c>
      <c r="B393" t="s">
        <v>48</v>
      </c>
      <c r="C393" s="18" t="s">
        <v>52</v>
      </c>
      <c r="D393" s="19">
        <v>44371</v>
      </c>
      <c r="E393">
        <v>1498</v>
      </c>
      <c r="F393" s="16">
        <v>120</v>
      </c>
      <c r="G393" s="16">
        <v>7</v>
      </c>
      <c r="H393" s="16">
        <v>7490</v>
      </c>
      <c r="I393" s="16">
        <v>629.16</v>
      </c>
      <c r="J393" s="14" t="s">
        <v>59</v>
      </c>
      <c r="K393" s="20">
        <f>Store[[#This Row],[Quantity]]*Store[[#This Row],[Sale Price]]</f>
        <v>10486</v>
      </c>
      <c r="L393" s="20">
        <f>Store[[#This Row],[Gross Sales]]-Store[[#This Row],[Discount]]</f>
        <v>9856.84</v>
      </c>
      <c r="M393" s="20">
        <f>Store[[#This Row],[Sales]]-Store[[#This Row],[COGS]]</f>
        <v>2366.84</v>
      </c>
    </row>
    <row r="394" spans="1:13" x14ac:dyDescent="0.25">
      <c r="A394" t="s">
        <v>45</v>
      </c>
      <c r="B394" t="s">
        <v>42</v>
      </c>
      <c r="C394" s="18" t="s">
        <v>53</v>
      </c>
      <c r="D394" s="19">
        <v>44362</v>
      </c>
      <c r="E394">
        <v>2844</v>
      </c>
      <c r="F394" s="16">
        <v>250</v>
      </c>
      <c r="G394" s="16">
        <v>15</v>
      </c>
      <c r="H394" s="16">
        <v>28440</v>
      </c>
      <c r="I394" s="16">
        <v>2559.6</v>
      </c>
      <c r="J394" s="14" t="s">
        <v>59</v>
      </c>
      <c r="K394" s="20">
        <f>Store[[#This Row],[Quantity]]*Store[[#This Row],[Sale Price]]</f>
        <v>42660</v>
      </c>
      <c r="L394" s="20">
        <f>Store[[#This Row],[Gross Sales]]-Store[[#This Row],[Discount]]</f>
        <v>40100.400000000001</v>
      </c>
      <c r="M394" s="20">
        <f>Store[[#This Row],[Sales]]-Store[[#This Row],[COGS]]</f>
        <v>11660.400000000001</v>
      </c>
    </row>
    <row r="395" spans="1:13" x14ac:dyDescent="0.25">
      <c r="A395" t="s">
        <v>49</v>
      </c>
      <c r="B395" t="s">
        <v>48</v>
      </c>
      <c r="C395" s="18" t="s">
        <v>53</v>
      </c>
      <c r="D395" s="19">
        <v>44371</v>
      </c>
      <c r="E395">
        <v>1498</v>
      </c>
      <c r="F395" s="16">
        <v>250</v>
      </c>
      <c r="G395" s="16">
        <v>7</v>
      </c>
      <c r="H395" s="16">
        <v>7490</v>
      </c>
      <c r="I395" s="16">
        <v>629.16</v>
      </c>
      <c r="J395" s="14" t="s">
        <v>59</v>
      </c>
      <c r="K395" s="20">
        <f>Store[[#This Row],[Quantity]]*Store[[#This Row],[Sale Price]]</f>
        <v>10486</v>
      </c>
      <c r="L395" s="20">
        <f>Store[[#This Row],[Gross Sales]]-Store[[#This Row],[Discount]]</f>
        <v>9856.84</v>
      </c>
      <c r="M395" s="20">
        <f>Store[[#This Row],[Sales]]-Store[[#This Row],[COGS]]</f>
        <v>2366.84</v>
      </c>
    </row>
    <row r="396" spans="1:13" x14ac:dyDescent="0.25">
      <c r="A396" t="s">
        <v>41</v>
      </c>
      <c r="B396" t="s">
        <v>58</v>
      </c>
      <c r="C396" s="18" t="s">
        <v>57</v>
      </c>
      <c r="D396" s="19">
        <v>44208</v>
      </c>
      <c r="E396">
        <v>1987.5</v>
      </c>
      <c r="F396" s="16">
        <v>260</v>
      </c>
      <c r="G396" s="16">
        <v>125</v>
      </c>
      <c r="H396" s="16">
        <v>238500</v>
      </c>
      <c r="I396" s="16">
        <v>14906.25</v>
      </c>
      <c r="J396" s="14" t="s">
        <v>59</v>
      </c>
      <c r="K396" s="20">
        <f>Store[[#This Row],[Quantity]]*Store[[#This Row],[Sale Price]]</f>
        <v>248437.5</v>
      </c>
      <c r="L396" s="20">
        <f>Store[[#This Row],[Gross Sales]]-Store[[#This Row],[Discount]]</f>
        <v>233531.25</v>
      </c>
      <c r="M396" s="20">
        <f>Store[[#This Row],[Sales]]-Store[[#This Row],[COGS]]</f>
        <v>-4968.75</v>
      </c>
    </row>
    <row r="397" spans="1:13" x14ac:dyDescent="0.25">
      <c r="A397" t="s">
        <v>49</v>
      </c>
      <c r="B397" t="s">
        <v>48</v>
      </c>
      <c r="C397" s="18" t="s">
        <v>57</v>
      </c>
      <c r="D397" s="19">
        <v>44468</v>
      </c>
      <c r="E397">
        <v>1679</v>
      </c>
      <c r="F397" s="16">
        <v>260</v>
      </c>
      <c r="G397" s="16">
        <v>350</v>
      </c>
      <c r="H397" s="16">
        <v>436540</v>
      </c>
      <c r="I397" s="16">
        <v>35259</v>
      </c>
      <c r="J397" s="14" t="s">
        <v>59</v>
      </c>
      <c r="K397" s="20">
        <f>Store[[#This Row],[Quantity]]*Store[[#This Row],[Sale Price]]</f>
        <v>587650</v>
      </c>
      <c r="L397" s="20">
        <f>Store[[#This Row],[Gross Sales]]-Store[[#This Row],[Discount]]</f>
        <v>552391</v>
      </c>
      <c r="M397" s="20">
        <f>Store[[#This Row],[Sales]]-Store[[#This Row],[COGS]]</f>
        <v>115851</v>
      </c>
    </row>
    <row r="398" spans="1:13" x14ac:dyDescent="0.25">
      <c r="A398" t="s">
        <v>45</v>
      </c>
      <c r="B398" t="s">
        <v>51</v>
      </c>
      <c r="C398" s="18" t="s">
        <v>46</v>
      </c>
      <c r="D398" s="19">
        <v>44426</v>
      </c>
      <c r="E398">
        <v>2198</v>
      </c>
      <c r="F398" s="16">
        <v>10</v>
      </c>
      <c r="G398" s="16">
        <v>15</v>
      </c>
      <c r="H398" s="16">
        <v>21980</v>
      </c>
      <c r="I398" s="16">
        <v>1978.2</v>
      </c>
      <c r="J398" s="14" t="s">
        <v>59</v>
      </c>
      <c r="K398" s="20">
        <f>Store[[#This Row],[Quantity]]*Store[[#This Row],[Sale Price]]</f>
        <v>32970</v>
      </c>
      <c r="L398" s="20">
        <f>Store[[#This Row],[Gross Sales]]-Store[[#This Row],[Discount]]</f>
        <v>30991.8</v>
      </c>
      <c r="M398" s="20">
        <f>Store[[#This Row],[Sales]]-Store[[#This Row],[COGS]]</f>
        <v>9011.7999999999993</v>
      </c>
    </row>
    <row r="399" spans="1:13" x14ac:dyDescent="0.25">
      <c r="A399" t="s">
        <v>45</v>
      </c>
      <c r="B399" t="s">
        <v>56</v>
      </c>
      <c r="C399" s="18" t="s">
        <v>46</v>
      </c>
      <c r="D399" s="19">
        <v>44432</v>
      </c>
      <c r="E399">
        <v>1743</v>
      </c>
      <c r="F399" s="16">
        <v>10</v>
      </c>
      <c r="G399" s="16">
        <v>15</v>
      </c>
      <c r="H399" s="16">
        <v>17430</v>
      </c>
      <c r="I399" s="16">
        <v>1568.7</v>
      </c>
      <c r="J399" s="14" t="s">
        <v>59</v>
      </c>
      <c r="K399" s="20">
        <f>Store[[#This Row],[Quantity]]*Store[[#This Row],[Sale Price]]</f>
        <v>26145</v>
      </c>
      <c r="L399" s="20">
        <f>Store[[#This Row],[Gross Sales]]-Store[[#This Row],[Discount]]</f>
        <v>24576.3</v>
      </c>
      <c r="M399" s="20">
        <f>Store[[#This Row],[Sales]]-Store[[#This Row],[COGS]]</f>
        <v>7146.2999999999993</v>
      </c>
    </row>
    <row r="400" spans="1:13" x14ac:dyDescent="0.25">
      <c r="A400" t="s">
        <v>45</v>
      </c>
      <c r="B400" t="s">
        <v>51</v>
      </c>
      <c r="C400" s="18" t="s">
        <v>46</v>
      </c>
      <c r="D400" s="19">
        <v>44472</v>
      </c>
      <c r="E400">
        <v>1153</v>
      </c>
      <c r="F400" s="16">
        <v>10</v>
      </c>
      <c r="G400" s="16">
        <v>15</v>
      </c>
      <c r="H400" s="16">
        <v>11530</v>
      </c>
      <c r="I400" s="16">
        <v>1037.7</v>
      </c>
      <c r="J400" s="14" t="s">
        <v>59</v>
      </c>
      <c r="K400" s="20">
        <f>Store[[#This Row],[Quantity]]*Store[[#This Row],[Sale Price]]</f>
        <v>17295</v>
      </c>
      <c r="L400" s="20">
        <f>Store[[#This Row],[Gross Sales]]-Store[[#This Row],[Discount]]</f>
        <v>16257.3</v>
      </c>
      <c r="M400" s="20">
        <f>Store[[#This Row],[Sales]]-Store[[#This Row],[COGS]]</f>
        <v>4727.2999999999993</v>
      </c>
    </row>
    <row r="401" spans="1:13" x14ac:dyDescent="0.25">
      <c r="A401" t="s">
        <v>49</v>
      </c>
      <c r="B401" t="s">
        <v>56</v>
      </c>
      <c r="C401" s="18" t="s">
        <v>52</v>
      </c>
      <c r="D401" s="19">
        <v>44410</v>
      </c>
      <c r="E401">
        <v>1001</v>
      </c>
      <c r="F401" s="16">
        <v>120</v>
      </c>
      <c r="G401" s="16">
        <v>20</v>
      </c>
      <c r="H401" s="16">
        <v>10010</v>
      </c>
      <c r="I401" s="16">
        <v>1201.2</v>
      </c>
      <c r="J401" s="14" t="s">
        <v>59</v>
      </c>
      <c r="K401" s="20">
        <f>Store[[#This Row],[Quantity]]*Store[[#This Row],[Sale Price]]</f>
        <v>20020</v>
      </c>
      <c r="L401" s="20">
        <f>Store[[#This Row],[Gross Sales]]-Store[[#This Row],[Discount]]</f>
        <v>18818.8</v>
      </c>
      <c r="M401" s="20">
        <f>Store[[#This Row],[Sales]]-Store[[#This Row],[COGS]]</f>
        <v>8808.7999999999993</v>
      </c>
    </row>
    <row r="402" spans="1:13" x14ac:dyDescent="0.25">
      <c r="A402" t="s">
        <v>49</v>
      </c>
      <c r="B402" t="s">
        <v>48</v>
      </c>
      <c r="C402" s="18" t="s">
        <v>52</v>
      </c>
      <c r="D402" s="19">
        <v>44525</v>
      </c>
      <c r="E402">
        <v>1333</v>
      </c>
      <c r="F402" s="16">
        <v>120</v>
      </c>
      <c r="G402" s="16">
        <v>7</v>
      </c>
      <c r="H402" s="16">
        <v>6665</v>
      </c>
      <c r="I402" s="16">
        <v>559.86</v>
      </c>
      <c r="J402" s="14" t="s">
        <v>59</v>
      </c>
      <c r="K402" s="20">
        <f>Store[[#This Row],[Quantity]]*Store[[#This Row],[Sale Price]]</f>
        <v>9331</v>
      </c>
      <c r="L402" s="20">
        <f>Store[[#This Row],[Gross Sales]]-Store[[#This Row],[Discount]]</f>
        <v>8771.14</v>
      </c>
      <c r="M402" s="20">
        <f>Store[[#This Row],[Sales]]-Store[[#This Row],[COGS]]</f>
        <v>2106.1399999999994</v>
      </c>
    </row>
    <row r="403" spans="1:13" x14ac:dyDescent="0.25">
      <c r="A403" t="s">
        <v>45</v>
      </c>
      <c r="B403" t="s">
        <v>51</v>
      </c>
      <c r="C403" s="18" t="s">
        <v>53</v>
      </c>
      <c r="D403" s="19">
        <v>44481</v>
      </c>
      <c r="E403">
        <v>1153</v>
      </c>
      <c r="F403" s="16">
        <v>250</v>
      </c>
      <c r="G403" s="16">
        <v>15</v>
      </c>
      <c r="H403" s="16">
        <v>11530</v>
      </c>
      <c r="I403" s="16">
        <v>1037.7</v>
      </c>
      <c r="J403" s="14" t="s">
        <v>59</v>
      </c>
      <c r="K403" s="20">
        <f>Store[[#This Row],[Quantity]]*Store[[#This Row],[Sale Price]]</f>
        <v>17295</v>
      </c>
      <c r="L403" s="20">
        <f>Store[[#This Row],[Gross Sales]]-Store[[#This Row],[Discount]]</f>
        <v>16257.3</v>
      </c>
      <c r="M403" s="20">
        <f>Store[[#This Row],[Sales]]-Store[[#This Row],[COGS]]</f>
        <v>4727.2999999999993</v>
      </c>
    </row>
    <row r="404" spans="1:13" x14ac:dyDescent="0.25">
      <c r="A404" t="s">
        <v>50</v>
      </c>
      <c r="B404" t="s">
        <v>48</v>
      </c>
      <c r="C404" s="18" t="s">
        <v>54</v>
      </c>
      <c r="D404" s="19">
        <v>44240</v>
      </c>
      <c r="E404">
        <v>727</v>
      </c>
      <c r="F404" s="16">
        <v>3</v>
      </c>
      <c r="G404" s="16">
        <v>12</v>
      </c>
      <c r="H404" s="16">
        <v>2181</v>
      </c>
      <c r="I404" s="16">
        <v>610.67999999999995</v>
      </c>
      <c r="J404" s="14" t="s">
        <v>59</v>
      </c>
      <c r="K404" s="20">
        <f>Store[[#This Row],[Quantity]]*Store[[#This Row],[Sale Price]]</f>
        <v>8724</v>
      </c>
      <c r="L404" s="20">
        <f>Store[[#This Row],[Gross Sales]]-Store[[#This Row],[Discount]]</f>
        <v>8113.32</v>
      </c>
      <c r="M404" s="20">
        <f>Store[[#This Row],[Sales]]-Store[[#This Row],[COGS]]</f>
        <v>5932.32</v>
      </c>
    </row>
    <row r="405" spans="1:13" x14ac:dyDescent="0.25">
      <c r="A405" t="s">
        <v>50</v>
      </c>
      <c r="B405" t="s">
        <v>42</v>
      </c>
      <c r="C405" s="18" t="s">
        <v>54</v>
      </c>
      <c r="D405" s="19">
        <v>44415</v>
      </c>
      <c r="E405">
        <v>1884</v>
      </c>
      <c r="F405" s="16">
        <v>3</v>
      </c>
      <c r="G405" s="16">
        <v>12</v>
      </c>
      <c r="H405" s="16">
        <v>5652</v>
      </c>
      <c r="I405" s="16">
        <v>1582.56</v>
      </c>
      <c r="J405" s="14" t="s">
        <v>59</v>
      </c>
      <c r="K405" s="20">
        <f>Store[[#This Row],[Quantity]]*Store[[#This Row],[Sale Price]]</f>
        <v>22608</v>
      </c>
      <c r="L405" s="20">
        <f>Store[[#This Row],[Gross Sales]]-Store[[#This Row],[Discount]]</f>
        <v>21025.439999999999</v>
      </c>
      <c r="M405" s="20">
        <f>Store[[#This Row],[Sales]]-Store[[#This Row],[COGS]]</f>
        <v>15373.439999999999</v>
      </c>
    </row>
    <row r="406" spans="1:13" x14ac:dyDescent="0.25">
      <c r="A406" t="s">
        <v>50</v>
      </c>
      <c r="B406" t="s">
        <v>48</v>
      </c>
      <c r="C406" s="18" t="s">
        <v>43</v>
      </c>
      <c r="D406" s="19">
        <v>44219</v>
      </c>
      <c r="E406">
        <v>2340</v>
      </c>
      <c r="F406" s="16">
        <v>5</v>
      </c>
      <c r="G406" s="16">
        <v>12</v>
      </c>
      <c r="H406" s="16">
        <v>7020</v>
      </c>
      <c r="I406" s="16">
        <v>1965.6</v>
      </c>
      <c r="J406" s="14" t="s">
        <v>59</v>
      </c>
      <c r="K406" s="20">
        <f>Store[[#This Row],[Quantity]]*Store[[#This Row],[Sale Price]]</f>
        <v>28080</v>
      </c>
      <c r="L406" s="20">
        <f>Store[[#This Row],[Gross Sales]]-Store[[#This Row],[Discount]]</f>
        <v>26114.400000000001</v>
      </c>
      <c r="M406" s="20">
        <f>Store[[#This Row],[Sales]]-Store[[#This Row],[COGS]]</f>
        <v>19094.400000000001</v>
      </c>
    </row>
    <row r="407" spans="1:13" x14ac:dyDescent="0.25">
      <c r="A407" t="s">
        <v>50</v>
      </c>
      <c r="B407" t="s">
        <v>58</v>
      </c>
      <c r="C407" s="18" t="s">
        <v>43</v>
      </c>
      <c r="D407" s="19">
        <v>44503</v>
      </c>
      <c r="E407">
        <v>2342</v>
      </c>
      <c r="F407" s="16">
        <v>5</v>
      </c>
      <c r="G407" s="16">
        <v>12</v>
      </c>
      <c r="H407" s="16">
        <v>7026</v>
      </c>
      <c r="I407" s="16">
        <v>1967.28</v>
      </c>
      <c r="J407" s="14" t="s">
        <v>59</v>
      </c>
      <c r="K407" s="20">
        <f>Store[[#This Row],[Quantity]]*Store[[#This Row],[Sale Price]]</f>
        <v>28104</v>
      </c>
      <c r="L407" s="20">
        <f>Store[[#This Row],[Gross Sales]]-Store[[#This Row],[Discount]]</f>
        <v>26136.720000000001</v>
      </c>
      <c r="M407" s="20">
        <f>Store[[#This Row],[Sales]]-Store[[#This Row],[COGS]]</f>
        <v>19110.72</v>
      </c>
    </row>
    <row r="408" spans="1:13" x14ac:dyDescent="0.25">
      <c r="A408" t="s">
        <v>45</v>
      </c>
      <c r="B408" t="s">
        <v>42</v>
      </c>
      <c r="C408" s="18" t="s">
        <v>52</v>
      </c>
      <c r="D408" s="19">
        <v>44345</v>
      </c>
      <c r="E408">
        <v>1262</v>
      </c>
      <c r="F408" s="16">
        <v>120</v>
      </c>
      <c r="G408" s="16">
        <v>15</v>
      </c>
      <c r="H408" s="16">
        <v>12620</v>
      </c>
      <c r="I408" s="16">
        <v>1325.1</v>
      </c>
      <c r="J408" s="14" t="s">
        <v>59</v>
      </c>
      <c r="K408" s="20">
        <f>Store[[#This Row],[Quantity]]*Store[[#This Row],[Sale Price]]</f>
        <v>18930</v>
      </c>
      <c r="L408" s="20">
        <f>Store[[#This Row],[Gross Sales]]-Store[[#This Row],[Discount]]</f>
        <v>17604.900000000001</v>
      </c>
      <c r="M408" s="20">
        <f>Store[[#This Row],[Sales]]-Store[[#This Row],[COGS]]</f>
        <v>4984.9000000000015</v>
      </c>
    </row>
    <row r="409" spans="1:13" x14ac:dyDescent="0.25">
      <c r="A409" t="s">
        <v>49</v>
      </c>
      <c r="B409" t="s">
        <v>42</v>
      </c>
      <c r="C409" s="18" t="s">
        <v>52</v>
      </c>
      <c r="D409" s="19">
        <v>44360</v>
      </c>
      <c r="E409">
        <v>1135</v>
      </c>
      <c r="F409" s="16">
        <v>120</v>
      </c>
      <c r="G409" s="16">
        <v>7</v>
      </c>
      <c r="H409" s="16">
        <v>5675</v>
      </c>
      <c r="I409" s="16">
        <v>556.15</v>
      </c>
      <c r="J409" s="14" t="s">
        <v>59</v>
      </c>
      <c r="K409" s="20">
        <f>Store[[#This Row],[Quantity]]*Store[[#This Row],[Sale Price]]</f>
        <v>7945</v>
      </c>
      <c r="L409" s="20">
        <f>Store[[#This Row],[Gross Sales]]-Store[[#This Row],[Discount]]</f>
        <v>7388.85</v>
      </c>
      <c r="M409" s="20">
        <f>Store[[#This Row],[Sales]]-Store[[#This Row],[COGS]]</f>
        <v>1713.8500000000004</v>
      </c>
    </row>
    <row r="410" spans="1:13" x14ac:dyDescent="0.25">
      <c r="A410" t="s">
        <v>49</v>
      </c>
      <c r="B410" t="s">
        <v>51</v>
      </c>
      <c r="C410" s="18" t="s">
        <v>52</v>
      </c>
      <c r="D410" s="19">
        <v>44522</v>
      </c>
      <c r="E410">
        <v>547</v>
      </c>
      <c r="F410" s="16">
        <v>120</v>
      </c>
      <c r="G410" s="16">
        <v>7</v>
      </c>
      <c r="H410" s="16">
        <v>2735</v>
      </c>
      <c r="I410" s="16">
        <v>268.02999999999997</v>
      </c>
      <c r="J410" s="14" t="s">
        <v>59</v>
      </c>
      <c r="K410" s="20">
        <f>Store[[#This Row],[Quantity]]*Store[[#This Row],[Sale Price]]</f>
        <v>3829</v>
      </c>
      <c r="L410" s="20">
        <f>Store[[#This Row],[Gross Sales]]-Store[[#This Row],[Discount]]</f>
        <v>3560.9700000000003</v>
      </c>
      <c r="M410" s="20">
        <f>Store[[#This Row],[Sales]]-Store[[#This Row],[COGS]]</f>
        <v>825.97000000000025</v>
      </c>
    </row>
    <row r="411" spans="1:13" x14ac:dyDescent="0.25">
      <c r="A411" t="s">
        <v>49</v>
      </c>
      <c r="B411" t="s">
        <v>42</v>
      </c>
      <c r="C411" s="18" t="s">
        <v>52</v>
      </c>
      <c r="D411" s="19">
        <v>44549</v>
      </c>
      <c r="E411">
        <v>1582</v>
      </c>
      <c r="F411" s="16">
        <v>120</v>
      </c>
      <c r="G411" s="16">
        <v>7</v>
      </c>
      <c r="H411" s="16">
        <v>7910</v>
      </c>
      <c r="I411" s="16">
        <v>775.18</v>
      </c>
      <c r="J411" s="14" t="s">
        <v>59</v>
      </c>
      <c r="K411" s="20">
        <f>Store[[#This Row],[Quantity]]*Store[[#This Row],[Sale Price]]</f>
        <v>11074</v>
      </c>
      <c r="L411" s="20">
        <f>Store[[#This Row],[Gross Sales]]-Store[[#This Row],[Discount]]</f>
        <v>10298.82</v>
      </c>
      <c r="M411" s="20">
        <f>Store[[#This Row],[Sales]]-Store[[#This Row],[COGS]]</f>
        <v>2388.8199999999997</v>
      </c>
    </row>
    <row r="412" spans="1:13" x14ac:dyDescent="0.25">
      <c r="A412" t="s">
        <v>50</v>
      </c>
      <c r="B412" t="s">
        <v>58</v>
      </c>
      <c r="C412" s="18" t="s">
        <v>53</v>
      </c>
      <c r="D412" s="19">
        <v>44292</v>
      </c>
      <c r="E412">
        <v>1738.5</v>
      </c>
      <c r="F412" s="16">
        <v>250</v>
      </c>
      <c r="G412" s="16">
        <v>12</v>
      </c>
      <c r="H412" s="16">
        <v>5215.5</v>
      </c>
      <c r="I412" s="16">
        <v>1460.34</v>
      </c>
      <c r="J412" s="14" t="s">
        <v>59</v>
      </c>
      <c r="K412" s="20">
        <f>Store[[#This Row],[Quantity]]*Store[[#This Row],[Sale Price]]</f>
        <v>20862</v>
      </c>
      <c r="L412" s="20">
        <f>Store[[#This Row],[Gross Sales]]-Store[[#This Row],[Discount]]</f>
        <v>19401.66</v>
      </c>
      <c r="M412" s="20">
        <f>Store[[#This Row],[Sales]]-Store[[#This Row],[COGS]]</f>
        <v>14186.16</v>
      </c>
    </row>
    <row r="413" spans="1:13" x14ac:dyDescent="0.25">
      <c r="A413" t="s">
        <v>49</v>
      </c>
      <c r="B413" t="s">
        <v>42</v>
      </c>
      <c r="C413" s="18" t="s">
        <v>53</v>
      </c>
      <c r="D413" s="19">
        <v>44541</v>
      </c>
      <c r="E413">
        <v>1582</v>
      </c>
      <c r="F413" s="16">
        <v>250</v>
      </c>
      <c r="G413" s="16">
        <v>7</v>
      </c>
      <c r="H413" s="16">
        <v>7910</v>
      </c>
      <c r="I413" s="16">
        <v>775.18</v>
      </c>
      <c r="J413" s="14" t="s">
        <v>59</v>
      </c>
      <c r="K413" s="20">
        <f>Store[[#This Row],[Quantity]]*Store[[#This Row],[Sale Price]]</f>
        <v>11074</v>
      </c>
      <c r="L413" s="20">
        <f>Store[[#This Row],[Gross Sales]]-Store[[#This Row],[Discount]]</f>
        <v>10298.82</v>
      </c>
      <c r="M413" s="20">
        <f>Store[[#This Row],[Sales]]-Store[[#This Row],[COGS]]</f>
        <v>2388.8199999999997</v>
      </c>
    </row>
    <row r="414" spans="1:13" x14ac:dyDescent="0.25">
      <c r="A414" t="s">
        <v>49</v>
      </c>
      <c r="B414" t="s">
        <v>42</v>
      </c>
      <c r="C414" s="18" t="s">
        <v>57</v>
      </c>
      <c r="D414" s="19">
        <v>44359</v>
      </c>
      <c r="E414">
        <v>1135</v>
      </c>
      <c r="F414" s="16">
        <v>260</v>
      </c>
      <c r="G414" s="16">
        <v>7</v>
      </c>
      <c r="H414" s="16">
        <v>5675</v>
      </c>
      <c r="I414" s="16">
        <v>556.15</v>
      </c>
      <c r="J414" s="14" t="s">
        <v>59</v>
      </c>
      <c r="K414" s="20">
        <f>Store[[#This Row],[Quantity]]*Store[[#This Row],[Sale Price]]</f>
        <v>7945</v>
      </c>
      <c r="L414" s="20">
        <f>Store[[#This Row],[Gross Sales]]-Store[[#This Row],[Discount]]</f>
        <v>7388.85</v>
      </c>
      <c r="M414" s="20">
        <f>Store[[#This Row],[Sales]]-Store[[#This Row],[COGS]]</f>
        <v>1713.8500000000004</v>
      </c>
    </row>
    <row r="415" spans="1:13" x14ac:dyDescent="0.25">
      <c r="A415" t="s">
        <v>49</v>
      </c>
      <c r="B415" t="s">
        <v>51</v>
      </c>
      <c r="C415" s="18" t="s">
        <v>54</v>
      </c>
      <c r="D415" s="19">
        <v>44268</v>
      </c>
      <c r="E415">
        <v>1761</v>
      </c>
      <c r="F415" s="16">
        <v>3</v>
      </c>
      <c r="G415" s="16">
        <v>350</v>
      </c>
      <c r="H415" s="16">
        <v>457860</v>
      </c>
      <c r="I415" s="16">
        <v>43144.5</v>
      </c>
      <c r="J415" s="14" t="s">
        <v>59</v>
      </c>
      <c r="K415" s="20">
        <f>Store[[#This Row],[Quantity]]*Store[[#This Row],[Sale Price]]</f>
        <v>616350</v>
      </c>
      <c r="L415" s="20">
        <f>Store[[#This Row],[Gross Sales]]-Store[[#This Row],[Discount]]</f>
        <v>573205.5</v>
      </c>
      <c r="M415" s="20">
        <f>Store[[#This Row],[Sales]]-Store[[#This Row],[COGS]]</f>
        <v>115345.5</v>
      </c>
    </row>
    <row r="416" spans="1:13" x14ac:dyDescent="0.25">
      <c r="A416" t="s">
        <v>47</v>
      </c>
      <c r="B416" t="s">
        <v>58</v>
      </c>
      <c r="C416" s="18" t="s">
        <v>54</v>
      </c>
      <c r="D416" s="19">
        <v>44371</v>
      </c>
      <c r="E416">
        <v>448</v>
      </c>
      <c r="F416" s="16">
        <v>3</v>
      </c>
      <c r="G416" s="16">
        <v>300</v>
      </c>
      <c r="H416" s="16">
        <v>112000</v>
      </c>
      <c r="I416" s="16">
        <v>9408</v>
      </c>
      <c r="J416" s="14" t="s">
        <v>59</v>
      </c>
      <c r="K416" s="20">
        <f>Store[[#This Row],[Quantity]]*Store[[#This Row],[Sale Price]]</f>
        <v>134400</v>
      </c>
      <c r="L416" s="20">
        <f>Store[[#This Row],[Gross Sales]]-Store[[#This Row],[Discount]]</f>
        <v>124992</v>
      </c>
      <c r="M416" s="20">
        <f>Store[[#This Row],[Sales]]-Store[[#This Row],[COGS]]</f>
        <v>12992</v>
      </c>
    </row>
    <row r="417" spans="1:13" x14ac:dyDescent="0.25">
      <c r="A417" t="s">
        <v>47</v>
      </c>
      <c r="B417" t="s">
        <v>58</v>
      </c>
      <c r="C417" s="18" t="s">
        <v>54</v>
      </c>
      <c r="D417" s="19">
        <v>44470</v>
      </c>
      <c r="E417">
        <v>2181</v>
      </c>
      <c r="F417" s="16">
        <v>3</v>
      </c>
      <c r="G417" s="16">
        <v>300</v>
      </c>
      <c r="H417" s="16">
        <v>545250</v>
      </c>
      <c r="I417" s="16">
        <v>45801</v>
      </c>
      <c r="J417" s="14" t="s">
        <v>59</v>
      </c>
      <c r="K417" s="20">
        <f>Store[[#This Row],[Quantity]]*Store[[#This Row],[Sale Price]]</f>
        <v>654300</v>
      </c>
      <c r="L417" s="20">
        <f>Store[[#This Row],[Gross Sales]]-Store[[#This Row],[Discount]]</f>
        <v>608499</v>
      </c>
      <c r="M417" s="20">
        <f>Store[[#This Row],[Sales]]-Store[[#This Row],[COGS]]</f>
        <v>63249</v>
      </c>
    </row>
    <row r="418" spans="1:13" x14ac:dyDescent="0.25">
      <c r="A418" t="s">
        <v>49</v>
      </c>
      <c r="B418" t="s">
        <v>58</v>
      </c>
      <c r="C418" s="18" t="s">
        <v>43</v>
      </c>
      <c r="D418" s="19">
        <v>44471</v>
      </c>
      <c r="E418">
        <v>1976</v>
      </c>
      <c r="F418" s="16">
        <v>5</v>
      </c>
      <c r="G418" s="16">
        <v>20</v>
      </c>
      <c r="H418" s="16">
        <v>19760</v>
      </c>
      <c r="I418" s="16">
        <v>2766.4</v>
      </c>
      <c r="J418" s="14" t="s">
        <v>59</v>
      </c>
      <c r="K418" s="20">
        <f>Store[[#This Row],[Quantity]]*Store[[#This Row],[Sale Price]]</f>
        <v>39520</v>
      </c>
      <c r="L418" s="20">
        <f>Store[[#This Row],[Gross Sales]]-Store[[#This Row],[Discount]]</f>
        <v>36753.599999999999</v>
      </c>
      <c r="M418" s="20">
        <f>Store[[#This Row],[Sales]]-Store[[#This Row],[COGS]]</f>
        <v>16993.599999999999</v>
      </c>
    </row>
    <row r="419" spans="1:13" x14ac:dyDescent="0.25">
      <c r="A419" t="s">
        <v>47</v>
      </c>
      <c r="B419" t="s">
        <v>58</v>
      </c>
      <c r="C419" s="18" t="s">
        <v>43</v>
      </c>
      <c r="D419" s="19">
        <v>44485</v>
      </c>
      <c r="E419">
        <v>2181</v>
      </c>
      <c r="F419" s="16">
        <v>5</v>
      </c>
      <c r="G419" s="16">
        <v>300</v>
      </c>
      <c r="H419" s="16">
        <v>545250</v>
      </c>
      <c r="I419" s="16">
        <v>45801</v>
      </c>
      <c r="J419" s="14" t="s">
        <v>59</v>
      </c>
      <c r="K419" s="20">
        <f>Store[[#This Row],[Quantity]]*Store[[#This Row],[Sale Price]]</f>
        <v>654300</v>
      </c>
      <c r="L419" s="20">
        <f>Store[[#This Row],[Gross Sales]]-Store[[#This Row],[Discount]]</f>
        <v>608499</v>
      </c>
      <c r="M419" s="20">
        <f>Store[[#This Row],[Sales]]-Store[[#This Row],[COGS]]</f>
        <v>63249</v>
      </c>
    </row>
    <row r="420" spans="1:13" x14ac:dyDescent="0.25">
      <c r="A420" t="s">
        <v>47</v>
      </c>
      <c r="B420" t="s">
        <v>42</v>
      </c>
      <c r="C420" s="18" t="s">
        <v>46</v>
      </c>
      <c r="D420" s="19">
        <v>44343</v>
      </c>
      <c r="E420">
        <v>1702</v>
      </c>
      <c r="F420" s="16">
        <v>10</v>
      </c>
      <c r="G420" s="16">
        <v>300</v>
      </c>
      <c r="H420" s="16">
        <v>425500</v>
      </c>
      <c r="I420" s="16">
        <v>35742</v>
      </c>
      <c r="J420" s="14" t="s">
        <v>59</v>
      </c>
      <c r="K420" s="20">
        <f>Store[[#This Row],[Quantity]]*Store[[#This Row],[Sale Price]]</f>
        <v>510600</v>
      </c>
      <c r="L420" s="20">
        <f>Store[[#This Row],[Gross Sales]]-Store[[#This Row],[Discount]]</f>
        <v>474858</v>
      </c>
      <c r="M420" s="20">
        <f>Store[[#This Row],[Sales]]-Store[[#This Row],[COGS]]</f>
        <v>49358</v>
      </c>
    </row>
    <row r="421" spans="1:13" x14ac:dyDescent="0.25">
      <c r="A421" t="s">
        <v>47</v>
      </c>
      <c r="B421" t="s">
        <v>58</v>
      </c>
      <c r="C421" s="18" t="s">
        <v>46</v>
      </c>
      <c r="D421" s="19">
        <v>44360</v>
      </c>
      <c r="E421">
        <v>448</v>
      </c>
      <c r="F421" s="16">
        <v>10</v>
      </c>
      <c r="G421" s="16">
        <v>300</v>
      </c>
      <c r="H421" s="16">
        <v>112000</v>
      </c>
      <c r="I421" s="16">
        <v>9408</v>
      </c>
      <c r="J421" s="14" t="s">
        <v>59</v>
      </c>
      <c r="K421" s="20">
        <f>Store[[#This Row],[Quantity]]*Store[[#This Row],[Sale Price]]</f>
        <v>134400</v>
      </c>
      <c r="L421" s="20">
        <f>Store[[#This Row],[Gross Sales]]-Store[[#This Row],[Discount]]</f>
        <v>124992</v>
      </c>
      <c r="M421" s="20">
        <f>Store[[#This Row],[Sales]]-Store[[#This Row],[COGS]]</f>
        <v>12992</v>
      </c>
    </row>
    <row r="422" spans="1:13" x14ac:dyDescent="0.25">
      <c r="A422" t="s">
        <v>41</v>
      </c>
      <c r="B422" t="s">
        <v>56</v>
      </c>
      <c r="C422" s="18" t="s">
        <v>46</v>
      </c>
      <c r="D422" s="19">
        <v>44380</v>
      </c>
      <c r="E422">
        <v>3513</v>
      </c>
      <c r="F422" s="16">
        <v>10</v>
      </c>
      <c r="G422" s="16">
        <v>125</v>
      </c>
      <c r="H422" s="16">
        <v>421560</v>
      </c>
      <c r="I422" s="16">
        <v>30738.75</v>
      </c>
      <c r="J422" s="14" t="s">
        <v>59</v>
      </c>
      <c r="K422" s="20">
        <f>Store[[#This Row],[Quantity]]*Store[[#This Row],[Sale Price]]</f>
        <v>439125</v>
      </c>
      <c r="L422" s="20">
        <f>Store[[#This Row],[Gross Sales]]-Store[[#This Row],[Discount]]</f>
        <v>408386.25</v>
      </c>
      <c r="M422" s="20">
        <f>Store[[#This Row],[Sales]]-Store[[#This Row],[COGS]]</f>
        <v>-13173.75</v>
      </c>
    </row>
    <row r="423" spans="1:13" x14ac:dyDescent="0.25">
      <c r="A423" t="s">
        <v>45</v>
      </c>
      <c r="B423" t="s">
        <v>58</v>
      </c>
      <c r="C423" s="18" t="s">
        <v>46</v>
      </c>
      <c r="D423" s="19">
        <v>44425</v>
      </c>
      <c r="E423">
        <v>2101</v>
      </c>
      <c r="F423" s="16">
        <v>10</v>
      </c>
      <c r="G423" s="16">
        <v>15</v>
      </c>
      <c r="H423" s="16">
        <v>21010</v>
      </c>
      <c r="I423" s="16">
        <v>2206.0500000000002</v>
      </c>
      <c r="J423" s="14" t="s">
        <v>59</v>
      </c>
      <c r="K423" s="20">
        <f>Store[[#This Row],[Quantity]]*Store[[#This Row],[Sale Price]]</f>
        <v>31515</v>
      </c>
      <c r="L423" s="20">
        <f>Store[[#This Row],[Gross Sales]]-Store[[#This Row],[Discount]]</f>
        <v>29308.95</v>
      </c>
      <c r="M423" s="20">
        <f>Store[[#This Row],[Sales]]-Store[[#This Row],[COGS]]</f>
        <v>8298.9500000000007</v>
      </c>
    </row>
    <row r="424" spans="1:13" x14ac:dyDescent="0.25">
      <c r="A424" t="s">
        <v>49</v>
      </c>
      <c r="B424" t="s">
        <v>58</v>
      </c>
      <c r="C424" s="18" t="s">
        <v>46</v>
      </c>
      <c r="D424" s="19">
        <v>44450</v>
      </c>
      <c r="E424">
        <v>1535</v>
      </c>
      <c r="F424" s="16">
        <v>10</v>
      </c>
      <c r="G424" s="16">
        <v>20</v>
      </c>
      <c r="H424" s="16">
        <v>15350</v>
      </c>
      <c r="I424" s="16">
        <v>2149</v>
      </c>
      <c r="J424" s="14" t="s">
        <v>59</v>
      </c>
      <c r="K424" s="20">
        <f>Store[[#This Row],[Quantity]]*Store[[#This Row],[Sale Price]]</f>
        <v>30700</v>
      </c>
      <c r="L424" s="20">
        <f>Store[[#This Row],[Gross Sales]]-Store[[#This Row],[Discount]]</f>
        <v>28551</v>
      </c>
      <c r="M424" s="20">
        <f>Store[[#This Row],[Sales]]-Store[[#This Row],[COGS]]</f>
        <v>13201</v>
      </c>
    </row>
    <row r="425" spans="1:13" x14ac:dyDescent="0.25">
      <c r="A425" t="s">
        <v>47</v>
      </c>
      <c r="B425" t="s">
        <v>58</v>
      </c>
      <c r="C425" s="18" t="s">
        <v>52</v>
      </c>
      <c r="D425" s="19">
        <v>44407</v>
      </c>
      <c r="E425">
        <v>1659</v>
      </c>
      <c r="F425" s="16">
        <v>120</v>
      </c>
      <c r="G425" s="16">
        <v>300</v>
      </c>
      <c r="H425" s="16">
        <v>414750</v>
      </c>
      <c r="I425" s="16">
        <v>34839</v>
      </c>
      <c r="J425" s="14" t="s">
        <v>59</v>
      </c>
      <c r="K425" s="20">
        <f>Store[[#This Row],[Quantity]]*Store[[#This Row],[Sale Price]]</f>
        <v>497700</v>
      </c>
      <c r="L425" s="20">
        <f>Store[[#This Row],[Gross Sales]]-Store[[#This Row],[Discount]]</f>
        <v>462861</v>
      </c>
      <c r="M425" s="20">
        <f>Store[[#This Row],[Sales]]-Store[[#This Row],[COGS]]</f>
        <v>48111</v>
      </c>
    </row>
    <row r="426" spans="1:13" x14ac:dyDescent="0.25">
      <c r="A426" t="s">
        <v>49</v>
      </c>
      <c r="B426" t="s">
        <v>48</v>
      </c>
      <c r="C426" s="18" t="s">
        <v>52</v>
      </c>
      <c r="D426" s="19">
        <v>44413</v>
      </c>
      <c r="E426">
        <v>609</v>
      </c>
      <c r="F426" s="16">
        <v>120</v>
      </c>
      <c r="G426" s="16">
        <v>20</v>
      </c>
      <c r="H426" s="16">
        <v>6090</v>
      </c>
      <c r="I426" s="16">
        <v>852.6</v>
      </c>
      <c r="J426" s="14" t="s">
        <v>59</v>
      </c>
      <c r="K426" s="20">
        <f>Store[[#This Row],[Quantity]]*Store[[#This Row],[Sale Price]]</f>
        <v>12180</v>
      </c>
      <c r="L426" s="20">
        <f>Store[[#This Row],[Gross Sales]]-Store[[#This Row],[Discount]]</f>
        <v>11327.4</v>
      </c>
      <c r="M426" s="20">
        <f>Store[[#This Row],[Sales]]-Store[[#This Row],[COGS]]</f>
        <v>5237.3999999999996</v>
      </c>
    </row>
    <row r="427" spans="1:13" x14ac:dyDescent="0.25">
      <c r="A427" t="s">
        <v>41</v>
      </c>
      <c r="B427" t="s">
        <v>56</v>
      </c>
      <c r="C427" s="18" t="s">
        <v>52</v>
      </c>
      <c r="D427" s="19">
        <v>44457</v>
      </c>
      <c r="E427">
        <v>2087</v>
      </c>
      <c r="F427" s="16">
        <v>120</v>
      </c>
      <c r="G427" s="16">
        <v>125</v>
      </c>
      <c r="H427" s="16">
        <v>250440</v>
      </c>
      <c r="I427" s="16">
        <v>18261.25</v>
      </c>
      <c r="J427" s="14" t="s">
        <v>59</v>
      </c>
      <c r="K427" s="20">
        <f>Store[[#This Row],[Quantity]]*Store[[#This Row],[Sale Price]]</f>
        <v>260875</v>
      </c>
      <c r="L427" s="20">
        <f>Store[[#This Row],[Gross Sales]]-Store[[#This Row],[Discount]]</f>
        <v>242613.75</v>
      </c>
      <c r="M427" s="20">
        <f>Store[[#This Row],[Sales]]-Store[[#This Row],[COGS]]</f>
        <v>-7826.25</v>
      </c>
    </row>
    <row r="428" spans="1:13" x14ac:dyDescent="0.25">
      <c r="A428" t="s">
        <v>49</v>
      </c>
      <c r="B428" t="s">
        <v>58</v>
      </c>
      <c r="C428" s="18" t="s">
        <v>52</v>
      </c>
      <c r="D428" s="19">
        <v>44494</v>
      </c>
      <c r="E428">
        <v>1976</v>
      </c>
      <c r="F428" s="16">
        <v>120</v>
      </c>
      <c r="G428" s="16">
        <v>20</v>
      </c>
      <c r="H428" s="16">
        <v>19760</v>
      </c>
      <c r="I428" s="16">
        <v>2766.4</v>
      </c>
      <c r="J428" s="14" t="s">
        <v>59</v>
      </c>
      <c r="K428" s="20">
        <f>Store[[#This Row],[Quantity]]*Store[[#This Row],[Sale Price]]</f>
        <v>39520</v>
      </c>
      <c r="L428" s="20">
        <f>Store[[#This Row],[Gross Sales]]-Store[[#This Row],[Discount]]</f>
        <v>36753.599999999999</v>
      </c>
      <c r="M428" s="20">
        <f>Store[[#This Row],[Sales]]-Store[[#This Row],[COGS]]</f>
        <v>16993.599999999999</v>
      </c>
    </row>
    <row r="429" spans="1:13" x14ac:dyDescent="0.25">
      <c r="A429" t="s">
        <v>47</v>
      </c>
      <c r="B429" t="s">
        <v>51</v>
      </c>
      <c r="C429" s="18" t="s">
        <v>52</v>
      </c>
      <c r="D429" s="19">
        <v>44557</v>
      </c>
      <c r="E429">
        <v>1372</v>
      </c>
      <c r="F429" s="16">
        <v>120</v>
      </c>
      <c r="G429" s="16">
        <v>300</v>
      </c>
      <c r="H429" s="16">
        <v>343000</v>
      </c>
      <c r="I429" s="16">
        <v>28812</v>
      </c>
      <c r="J429" s="14" t="s">
        <v>59</v>
      </c>
      <c r="K429" s="20">
        <f>Store[[#This Row],[Quantity]]*Store[[#This Row],[Sale Price]]</f>
        <v>411600</v>
      </c>
      <c r="L429" s="20">
        <f>Store[[#This Row],[Gross Sales]]-Store[[#This Row],[Discount]]</f>
        <v>382788</v>
      </c>
      <c r="M429" s="20">
        <f>Store[[#This Row],[Sales]]-Store[[#This Row],[COGS]]</f>
        <v>39788</v>
      </c>
    </row>
    <row r="430" spans="1:13" x14ac:dyDescent="0.25">
      <c r="A430" t="s">
        <v>50</v>
      </c>
      <c r="B430" t="s">
        <v>42</v>
      </c>
      <c r="C430" s="18" t="s">
        <v>53</v>
      </c>
      <c r="D430" s="19">
        <v>44211</v>
      </c>
      <c r="E430">
        <v>3244.5</v>
      </c>
      <c r="F430" s="16">
        <v>250</v>
      </c>
      <c r="G430" s="16">
        <v>12</v>
      </c>
      <c r="H430" s="16">
        <v>9733.5</v>
      </c>
      <c r="I430" s="16">
        <v>2725.38</v>
      </c>
      <c r="J430" s="14" t="s">
        <v>59</v>
      </c>
      <c r="K430" s="20">
        <f>Store[[#This Row],[Quantity]]*Store[[#This Row],[Sale Price]]</f>
        <v>38934</v>
      </c>
      <c r="L430" s="20">
        <f>Store[[#This Row],[Gross Sales]]-Store[[#This Row],[Discount]]</f>
        <v>36208.620000000003</v>
      </c>
      <c r="M430" s="20">
        <f>Store[[#This Row],[Sales]]-Store[[#This Row],[COGS]]</f>
        <v>26475.120000000003</v>
      </c>
    </row>
    <row r="431" spans="1:13" x14ac:dyDescent="0.25">
      <c r="A431" t="s">
        <v>47</v>
      </c>
      <c r="B431" t="s">
        <v>58</v>
      </c>
      <c r="C431" s="18" t="s">
        <v>53</v>
      </c>
      <c r="D431" s="19">
        <v>44239</v>
      </c>
      <c r="E431">
        <v>959</v>
      </c>
      <c r="F431" s="16">
        <v>250</v>
      </c>
      <c r="G431" s="16">
        <v>300</v>
      </c>
      <c r="H431" s="16">
        <v>239750</v>
      </c>
      <c r="I431" s="16">
        <v>20139</v>
      </c>
      <c r="J431" s="14" t="s">
        <v>59</v>
      </c>
      <c r="K431" s="20">
        <f>Store[[#This Row],[Quantity]]*Store[[#This Row],[Sale Price]]</f>
        <v>287700</v>
      </c>
      <c r="L431" s="20">
        <f>Store[[#This Row],[Gross Sales]]-Store[[#This Row],[Discount]]</f>
        <v>267561</v>
      </c>
      <c r="M431" s="20">
        <f>Store[[#This Row],[Sales]]-Store[[#This Row],[COGS]]</f>
        <v>27811</v>
      </c>
    </row>
    <row r="432" spans="1:13" x14ac:dyDescent="0.25">
      <c r="A432" t="s">
        <v>47</v>
      </c>
      <c r="B432" t="s">
        <v>48</v>
      </c>
      <c r="C432" s="18" t="s">
        <v>53</v>
      </c>
      <c r="D432" s="19">
        <v>44243</v>
      </c>
      <c r="E432">
        <v>2747</v>
      </c>
      <c r="F432" s="16">
        <v>250</v>
      </c>
      <c r="G432" s="16">
        <v>300</v>
      </c>
      <c r="H432" s="16">
        <v>686750</v>
      </c>
      <c r="I432" s="16">
        <v>57687</v>
      </c>
      <c r="J432" s="14" t="s">
        <v>59</v>
      </c>
      <c r="K432" s="20">
        <f>Store[[#This Row],[Quantity]]*Store[[#This Row],[Sale Price]]</f>
        <v>824100</v>
      </c>
      <c r="L432" s="20">
        <f>Store[[#This Row],[Gross Sales]]-Store[[#This Row],[Discount]]</f>
        <v>766413</v>
      </c>
      <c r="M432" s="20">
        <f>Store[[#This Row],[Sales]]-Store[[#This Row],[COGS]]</f>
        <v>79663</v>
      </c>
    </row>
    <row r="433" spans="1:13" x14ac:dyDescent="0.25">
      <c r="A433" t="s">
        <v>41</v>
      </c>
      <c r="B433" t="s">
        <v>42</v>
      </c>
      <c r="C433" s="18" t="s">
        <v>57</v>
      </c>
      <c r="D433" s="19">
        <v>44335</v>
      </c>
      <c r="E433">
        <v>1645</v>
      </c>
      <c r="F433" s="16">
        <v>260</v>
      </c>
      <c r="G433" s="16">
        <v>125</v>
      </c>
      <c r="H433" s="16">
        <v>197400</v>
      </c>
      <c r="I433" s="16">
        <v>14393.75</v>
      </c>
      <c r="J433" s="14" t="s">
        <v>59</v>
      </c>
      <c r="K433" s="20">
        <f>Store[[#This Row],[Quantity]]*Store[[#This Row],[Sale Price]]</f>
        <v>205625</v>
      </c>
      <c r="L433" s="20">
        <f>Store[[#This Row],[Gross Sales]]-Store[[#This Row],[Discount]]</f>
        <v>191231.25</v>
      </c>
      <c r="M433" s="20">
        <f>Store[[#This Row],[Sales]]-Store[[#This Row],[COGS]]</f>
        <v>-6168.75</v>
      </c>
    </row>
    <row r="434" spans="1:13" x14ac:dyDescent="0.25">
      <c r="A434" t="s">
        <v>49</v>
      </c>
      <c r="B434" t="s">
        <v>58</v>
      </c>
      <c r="C434" s="18" t="s">
        <v>57</v>
      </c>
      <c r="D434" s="19">
        <v>44467</v>
      </c>
      <c r="E434">
        <v>2876</v>
      </c>
      <c r="F434" s="16">
        <v>260</v>
      </c>
      <c r="G434" s="16">
        <v>350</v>
      </c>
      <c r="H434" s="16">
        <v>747760</v>
      </c>
      <c r="I434" s="16">
        <v>70462</v>
      </c>
      <c r="J434" s="14" t="s">
        <v>59</v>
      </c>
      <c r="K434" s="20">
        <f>Store[[#This Row],[Quantity]]*Store[[#This Row],[Sale Price]]</f>
        <v>1006600</v>
      </c>
      <c r="L434" s="20">
        <f>Store[[#This Row],[Gross Sales]]-Store[[#This Row],[Discount]]</f>
        <v>936138</v>
      </c>
      <c r="M434" s="20">
        <f>Store[[#This Row],[Sales]]-Store[[#This Row],[COGS]]</f>
        <v>188378</v>
      </c>
    </row>
    <row r="435" spans="1:13" x14ac:dyDescent="0.25">
      <c r="A435" t="s">
        <v>49</v>
      </c>
      <c r="B435" t="s">
        <v>42</v>
      </c>
      <c r="C435" s="18" t="s">
        <v>57</v>
      </c>
      <c r="D435" s="19">
        <v>44525</v>
      </c>
      <c r="E435">
        <v>1118</v>
      </c>
      <c r="F435" s="16">
        <v>260</v>
      </c>
      <c r="G435" s="16">
        <v>20</v>
      </c>
      <c r="H435" s="16">
        <v>11180</v>
      </c>
      <c r="I435" s="16">
        <v>1565.2</v>
      </c>
      <c r="J435" s="14" t="s">
        <v>59</v>
      </c>
      <c r="K435" s="20">
        <f>Store[[#This Row],[Quantity]]*Store[[#This Row],[Sale Price]]</f>
        <v>22360</v>
      </c>
      <c r="L435" s="20">
        <f>Store[[#This Row],[Gross Sales]]-Store[[#This Row],[Discount]]</f>
        <v>20794.8</v>
      </c>
      <c r="M435" s="20">
        <f>Store[[#This Row],[Sales]]-Store[[#This Row],[COGS]]</f>
        <v>9614.7999999999993</v>
      </c>
    </row>
    <row r="436" spans="1:13" x14ac:dyDescent="0.25">
      <c r="A436" t="s">
        <v>47</v>
      </c>
      <c r="B436" t="s">
        <v>51</v>
      </c>
      <c r="C436" s="18" t="s">
        <v>57</v>
      </c>
      <c r="D436" s="19">
        <v>44550</v>
      </c>
      <c r="E436">
        <v>1372</v>
      </c>
      <c r="F436" s="16">
        <v>260</v>
      </c>
      <c r="G436" s="16">
        <v>300</v>
      </c>
      <c r="H436" s="16">
        <v>343000</v>
      </c>
      <c r="I436" s="16">
        <v>28812</v>
      </c>
      <c r="J436" s="14" t="s">
        <v>59</v>
      </c>
      <c r="K436" s="20">
        <f>Store[[#This Row],[Quantity]]*Store[[#This Row],[Sale Price]]</f>
        <v>411600</v>
      </c>
      <c r="L436" s="20">
        <f>Store[[#This Row],[Gross Sales]]-Store[[#This Row],[Discount]]</f>
        <v>382788</v>
      </c>
      <c r="M436" s="20">
        <f>Store[[#This Row],[Sales]]-Store[[#This Row],[COGS]]</f>
        <v>39788</v>
      </c>
    </row>
    <row r="437" spans="1:13" x14ac:dyDescent="0.25">
      <c r="A437" t="s">
        <v>49</v>
      </c>
      <c r="B437" t="s">
        <v>42</v>
      </c>
      <c r="C437" s="18" t="s">
        <v>43</v>
      </c>
      <c r="D437" s="19">
        <v>44249</v>
      </c>
      <c r="E437">
        <v>488</v>
      </c>
      <c r="F437" s="16">
        <v>5</v>
      </c>
      <c r="G437" s="16">
        <v>7</v>
      </c>
      <c r="H437" s="16">
        <v>2440</v>
      </c>
      <c r="I437" s="16">
        <v>273.27999999999997</v>
      </c>
      <c r="J437" s="14" t="s">
        <v>59</v>
      </c>
      <c r="K437" s="20">
        <f>Store[[#This Row],[Quantity]]*Store[[#This Row],[Sale Price]]</f>
        <v>3416</v>
      </c>
      <c r="L437" s="20">
        <f>Store[[#This Row],[Gross Sales]]-Store[[#This Row],[Discount]]</f>
        <v>3142.7200000000003</v>
      </c>
      <c r="M437" s="20">
        <f>Store[[#This Row],[Sales]]-Store[[#This Row],[COGS]]</f>
        <v>702.72000000000025</v>
      </c>
    </row>
    <row r="438" spans="1:13" x14ac:dyDescent="0.25">
      <c r="A438" t="s">
        <v>49</v>
      </c>
      <c r="B438" t="s">
        <v>51</v>
      </c>
      <c r="C438" s="18" t="s">
        <v>43</v>
      </c>
      <c r="D438" s="19">
        <v>44349</v>
      </c>
      <c r="E438">
        <v>1282</v>
      </c>
      <c r="F438" s="16">
        <v>5</v>
      </c>
      <c r="G438" s="16">
        <v>20</v>
      </c>
      <c r="H438" s="16">
        <v>12820</v>
      </c>
      <c r="I438" s="16">
        <v>2051.1999999999998</v>
      </c>
      <c r="J438" s="14" t="s">
        <v>59</v>
      </c>
      <c r="K438" s="20">
        <f>Store[[#This Row],[Quantity]]*Store[[#This Row],[Sale Price]]</f>
        <v>25640</v>
      </c>
      <c r="L438" s="20">
        <f>Store[[#This Row],[Gross Sales]]-Store[[#This Row],[Discount]]</f>
        <v>23588.799999999999</v>
      </c>
      <c r="M438" s="20">
        <f>Store[[#This Row],[Sales]]-Store[[#This Row],[COGS]]</f>
        <v>10768.8</v>
      </c>
    </row>
    <row r="439" spans="1:13" x14ac:dyDescent="0.25">
      <c r="A439" t="s">
        <v>49</v>
      </c>
      <c r="B439" t="s">
        <v>42</v>
      </c>
      <c r="C439" s="18" t="s">
        <v>46</v>
      </c>
      <c r="D439" s="19">
        <v>44346</v>
      </c>
      <c r="E439">
        <v>257</v>
      </c>
      <c r="F439" s="16">
        <v>10</v>
      </c>
      <c r="G439" s="16">
        <v>7</v>
      </c>
      <c r="H439" s="16">
        <v>1285</v>
      </c>
      <c r="I439" s="16">
        <v>143.91999999999999</v>
      </c>
      <c r="J439" s="14" t="s">
        <v>59</v>
      </c>
      <c r="K439" s="20">
        <f>Store[[#This Row],[Quantity]]*Store[[#This Row],[Sale Price]]</f>
        <v>1799</v>
      </c>
      <c r="L439" s="20">
        <f>Store[[#This Row],[Gross Sales]]-Store[[#This Row],[Discount]]</f>
        <v>1655.08</v>
      </c>
      <c r="M439" s="20">
        <f>Store[[#This Row],[Sales]]-Store[[#This Row],[COGS]]</f>
        <v>370.07999999999993</v>
      </c>
    </row>
    <row r="440" spans="1:13" x14ac:dyDescent="0.25">
      <c r="A440" t="s">
        <v>49</v>
      </c>
      <c r="B440" t="s">
        <v>51</v>
      </c>
      <c r="C440" s="18" t="s">
        <v>57</v>
      </c>
      <c r="D440" s="19">
        <v>44376</v>
      </c>
      <c r="E440">
        <v>1282</v>
      </c>
      <c r="F440" s="16">
        <v>260</v>
      </c>
      <c r="G440" s="16">
        <v>20</v>
      </c>
      <c r="H440" s="16">
        <v>12820</v>
      </c>
      <c r="I440" s="16">
        <v>2051.1999999999998</v>
      </c>
      <c r="J440" s="14" t="s">
        <v>59</v>
      </c>
      <c r="K440" s="20">
        <f>Store[[#This Row],[Quantity]]*Store[[#This Row],[Sale Price]]</f>
        <v>25640</v>
      </c>
      <c r="L440" s="20">
        <f>Store[[#This Row],[Gross Sales]]-Store[[#This Row],[Discount]]</f>
        <v>23588.799999999999</v>
      </c>
      <c r="M440" s="20">
        <f>Store[[#This Row],[Sales]]-Store[[#This Row],[COGS]]</f>
        <v>10768.8</v>
      </c>
    </row>
    <row r="441" spans="1:13" x14ac:dyDescent="0.25">
      <c r="A441" t="s">
        <v>41</v>
      </c>
      <c r="B441" t="s">
        <v>48</v>
      </c>
      <c r="C441" s="18" t="s">
        <v>54</v>
      </c>
      <c r="D441" s="19">
        <v>44435</v>
      </c>
      <c r="E441">
        <v>1540</v>
      </c>
      <c r="F441" s="16">
        <v>3</v>
      </c>
      <c r="G441" s="16">
        <v>125</v>
      </c>
      <c r="H441" s="16">
        <v>184800</v>
      </c>
      <c r="I441" s="16">
        <v>15400</v>
      </c>
      <c r="J441" s="14" t="s">
        <v>59</v>
      </c>
      <c r="K441" s="20">
        <f>Store[[#This Row],[Quantity]]*Store[[#This Row],[Sale Price]]</f>
        <v>192500</v>
      </c>
      <c r="L441" s="20">
        <f>Store[[#This Row],[Gross Sales]]-Store[[#This Row],[Discount]]</f>
        <v>177100</v>
      </c>
      <c r="M441" s="20">
        <f>Store[[#This Row],[Sales]]-Store[[#This Row],[COGS]]</f>
        <v>-7700</v>
      </c>
    </row>
    <row r="442" spans="1:13" x14ac:dyDescent="0.25">
      <c r="A442" t="s">
        <v>45</v>
      </c>
      <c r="B442" t="s">
        <v>58</v>
      </c>
      <c r="C442" s="18" t="s">
        <v>54</v>
      </c>
      <c r="D442" s="19">
        <v>44508</v>
      </c>
      <c r="E442">
        <v>490</v>
      </c>
      <c r="F442" s="16">
        <v>3</v>
      </c>
      <c r="G442" s="16">
        <v>15</v>
      </c>
      <c r="H442" s="16">
        <v>4900</v>
      </c>
      <c r="I442" s="16">
        <v>588</v>
      </c>
      <c r="J442" s="14" t="s">
        <v>59</v>
      </c>
      <c r="K442" s="20">
        <f>Store[[#This Row],[Quantity]]*Store[[#This Row],[Sale Price]]</f>
        <v>7350</v>
      </c>
      <c r="L442" s="20">
        <f>Store[[#This Row],[Gross Sales]]-Store[[#This Row],[Discount]]</f>
        <v>6762</v>
      </c>
      <c r="M442" s="20">
        <f>Store[[#This Row],[Sales]]-Store[[#This Row],[COGS]]</f>
        <v>1862</v>
      </c>
    </row>
    <row r="443" spans="1:13" x14ac:dyDescent="0.25">
      <c r="A443" t="s">
        <v>49</v>
      </c>
      <c r="B443" t="s">
        <v>48</v>
      </c>
      <c r="C443" s="18" t="s">
        <v>54</v>
      </c>
      <c r="D443" s="19">
        <v>44550</v>
      </c>
      <c r="E443">
        <v>1362</v>
      </c>
      <c r="F443" s="16">
        <v>3</v>
      </c>
      <c r="G443" s="16">
        <v>350</v>
      </c>
      <c r="H443" s="16">
        <v>354120</v>
      </c>
      <c r="I443" s="16">
        <v>38136</v>
      </c>
      <c r="J443" s="14" t="s">
        <v>59</v>
      </c>
      <c r="K443" s="20">
        <f>Store[[#This Row],[Quantity]]*Store[[#This Row],[Sale Price]]</f>
        <v>476700</v>
      </c>
      <c r="L443" s="20">
        <f>Store[[#This Row],[Gross Sales]]-Store[[#This Row],[Discount]]</f>
        <v>438564</v>
      </c>
      <c r="M443" s="20">
        <f>Store[[#This Row],[Sales]]-Store[[#This Row],[COGS]]</f>
        <v>84444</v>
      </c>
    </row>
    <row r="444" spans="1:13" x14ac:dyDescent="0.25">
      <c r="A444" t="s">
        <v>45</v>
      </c>
      <c r="B444" t="s">
        <v>58</v>
      </c>
      <c r="C444" s="18" t="s">
        <v>43</v>
      </c>
      <c r="D444" s="19">
        <v>44258</v>
      </c>
      <c r="E444">
        <v>2501</v>
      </c>
      <c r="F444" s="16">
        <v>5</v>
      </c>
      <c r="G444" s="16">
        <v>15</v>
      </c>
      <c r="H444" s="16">
        <v>25010</v>
      </c>
      <c r="I444" s="16">
        <v>3001.2</v>
      </c>
      <c r="J444" s="14" t="s">
        <v>59</v>
      </c>
      <c r="K444" s="20">
        <f>Store[[#This Row],[Quantity]]*Store[[#This Row],[Sale Price]]</f>
        <v>37515</v>
      </c>
      <c r="L444" s="20">
        <f>Store[[#This Row],[Gross Sales]]-Store[[#This Row],[Discount]]</f>
        <v>34513.800000000003</v>
      </c>
      <c r="M444" s="20">
        <f>Store[[#This Row],[Sales]]-Store[[#This Row],[COGS]]</f>
        <v>9503.8000000000029</v>
      </c>
    </row>
    <row r="445" spans="1:13" x14ac:dyDescent="0.25">
      <c r="A445" t="s">
        <v>49</v>
      </c>
      <c r="B445" t="s">
        <v>42</v>
      </c>
      <c r="C445" s="18" t="s">
        <v>43</v>
      </c>
      <c r="D445" s="19">
        <v>44350</v>
      </c>
      <c r="E445">
        <v>708</v>
      </c>
      <c r="F445" s="16">
        <v>5</v>
      </c>
      <c r="G445" s="16">
        <v>20</v>
      </c>
      <c r="H445" s="16">
        <v>7080</v>
      </c>
      <c r="I445" s="16">
        <v>1132.8</v>
      </c>
      <c r="J445" s="14" t="s">
        <v>59</v>
      </c>
      <c r="K445" s="20">
        <f>Store[[#This Row],[Quantity]]*Store[[#This Row],[Sale Price]]</f>
        <v>14160</v>
      </c>
      <c r="L445" s="20">
        <f>Store[[#This Row],[Gross Sales]]-Store[[#This Row],[Discount]]</f>
        <v>13027.2</v>
      </c>
      <c r="M445" s="20">
        <f>Store[[#This Row],[Sales]]-Store[[#This Row],[COGS]]</f>
        <v>5947.2000000000007</v>
      </c>
    </row>
    <row r="446" spans="1:13" x14ac:dyDescent="0.25">
      <c r="A446" t="s">
        <v>49</v>
      </c>
      <c r="B446" t="s">
        <v>56</v>
      </c>
      <c r="C446" s="18" t="s">
        <v>43</v>
      </c>
      <c r="D446" s="19">
        <v>44380</v>
      </c>
      <c r="E446">
        <v>645</v>
      </c>
      <c r="F446" s="16">
        <v>5</v>
      </c>
      <c r="G446" s="16">
        <v>20</v>
      </c>
      <c r="H446" s="16">
        <v>6450</v>
      </c>
      <c r="I446" s="16">
        <v>1032</v>
      </c>
      <c r="J446" s="14" t="s">
        <v>59</v>
      </c>
      <c r="K446" s="20">
        <f>Store[[#This Row],[Quantity]]*Store[[#This Row],[Sale Price]]</f>
        <v>12900</v>
      </c>
      <c r="L446" s="20">
        <f>Store[[#This Row],[Gross Sales]]-Store[[#This Row],[Discount]]</f>
        <v>11868</v>
      </c>
      <c r="M446" s="20">
        <f>Store[[#This Row],[Sales]]-Store[[#This Row],[COGS]]</f>
        <v>5418</v>
      </c>
    </row>
    <row r="447" spans="1:13" x14ac:dyDescent="0.25">
      <c r="A447" t="s">
        <v>47</v>
      </c>
      <c r="B447" t="s">
        <v>58</v>
      </c>
      <c r="C447" s="18" t="s">
        <v>43</v>
      </c>
      <c r="D447" s="19">
        <v>44421</v>
      </c>
      <c r="E447">
        <v>1562</v>
      </c>
      <c r="F447" s="16">
        <v>5</v>
      </c>
      <c r="G447" s="16">
        <v>300</v>
      </c>
      <c r="H447" s="16">
        <v>390500</v>
      </c>
      <c r="I447" s="16">
        <v>37488</v>
      </c>
      <c r="J447" s="14" t="s">
        <v>59</v>
      </c>
      <c r="K447" s="20">
        <f>Store[[#This Row],[Quantity]]*Store[[#This Row],[Sale Price]]</f>
        <v>468600</v>
      </c>
      <c r="L447" s="20">
        <f>Store[[#This Row],[Gross Sales]]-Store[[#This Row],[Discount]]</f>
        <v>431112</v>
      </c>
      <c r="M447" s="20">
        <f>Store[[#This Row],[Sales]]-Store[[#This Row],[COGS]]</f>
        <v>40612</v>
      </c>
    </row>
    <row r="448" spans="1:13" x14ac:dyDescent="0.25">
      <c r="A448" t="s">
        <v>45</v>
      </c>
      <c r="B448" t="s">
        <v>56</v>
      </c>
      <c r="C448" s="18" t="s">
        <v>43</v>
      </c>
      <c r="D448" s="19">
        <v>44547</v>
      </c>
      <c r="E448">
        <v>711</v>
      </c>
      <c r="F448" s="16">
        <v>5</v>
      </c>
      <c r="G448" s="16">
        <v>15</v>
      </c>
      <c r="H448" s="16">
        <v>7110</v>
      </c>
      <c r="I448" s="16">
        <v>853.2</v>
      </c>
      <c r="J448" s="14" t="s">
        <v>59</v>
      </c>
      <c r="K448" s="20">
        <f>Store[[#This Row],[Quantity]]*Store[[#This Row],[Sale Price]]</f>
        <v>10665</v>
      </c>
      <c r="L448" s="20">
        <f>Store[[#This Row],[Gross Sales]]-Store[[#This Row],[Discount]]</f>
        <v>9811.7999999999993</v>
      </c>
      <c r="M448" s="20">
        <f>Store[[#This Row],[Sales]]-Store[[#This Row],[COGS]]</f>
        <v>2701.7999999999993</v>
      </c>
    </row>
    <row r="449" spans="1:13" x14ac:dyDescent="0.25">
      <c r="A449" t="s">
        <v>41</v>
      </c>
      <c r="B449" t="s">
        <v>48</v>
      </c>
      <c r="C449" s="18" t="s">
        <v>46</v>
      </c>
      <c r="D449" s="19">
        <v>44258</v>
      </c>
      <c r="E449">
        <v>1114</v>
      </c>
      <c r="F449" s="16">
        <v>10</v>
      </c>
      <c r="G449" s="16">
        <v>125</v>
      </c>
      <c r="H449" s="16">
        <v>133680</v>
      </c>
      <c r="I449" s="16">
        <v>11140</v>
      </c>
      <c r="J449" s="14" t="s">
        <v>59</v>
      </c>
      <c r="K449" s="20">
        <f>Store[[#This Row],[Quantity]]*Store[[#This Row],[Sale Price]]</f>
        <v>139250</v>
      </c>
      <c r="L449" s="20">
        <f>Store[[#This Row],[Gross Sales]]-Store[[#This Row],[Discount]]</f>
        <v>128110</v>
      </c>
      <c r="M449" s="20">
        <f>Store[[#This Row],[Sales]]-Store[[#This Row],[COGS]]</f>
        <v>-5570</v>
      </c>
    </row>
    <row r="450" spans="1:13" x14ac:dyDescent="0.25">
      <c r="A450" t="s">
        <v>49</v>
      </c>
      <c r="B450" t="s">
        <v>56</v>
      </c>
      <c r="C450" s="18" t="s">
        <v>46</v>
      </c>
      <c r="D450" s="19">
        <v>44289</v>
      </c>
      <c r="E450">
        <v>1259</v>
      </c>
      <c r="F450" s="16">
        <v>10</v>
      </c>
      <c r="G450" s="16">
        <v>7</v>
      </c>
      <c r="H450" s="16">
        <v>6295</v>
      </c>
      <c r="I450" s="16">
        <v>705.04</v>
      </c>
      <c r="J450" s="14" t="s">
        <v>59</v>
      </c>
      <c r="K450" s="20">
        <f>Store[[#This Row],[Quantity]]*Store[[#This Row],[Sale Price]]</f>
        <v>8813</v>
      </c>
      <c r="L450" s="20">
        <f>Store[[#This Row],[Gross Sales]]-Store[[#This Row],[Discount]]</f>
        <v>8107.96</v>
      </c>
      <c r="M450" s="20">
        <f>Store[[#This Row],[Sales]]-Store[[#This Row],[COGS]]</f>
        <v>1812.96</v>
      </c>
    </row>
    <row r="451" spans="1:13" x14ac:dyDescent="0.25">
      <c r="A451" t="s">
        <v>49</v>
      </c>
      <c r="B451" t="s">
        <v>56</v>
      </c>
      <c r="C451" s="18" t="s">
        <v>46</v>
      </c>
      <c r="D451" s="19">
        <v>44320</v>
      </c>
      <c r="E451">
        <v>1095</v>
      </c>
      <c r="F451" s="16">
        <v>10</v>
      </c>
      <c r="G451" s="16">
        <v>7</v>
      </c>
      <c r="H451" s="16">
        <v>5475</v>
      </c>
      <c r="I451" s="16">
        <v>613.20000000000005</v>
      </c>
      <c r="J451" s="14" t="s">
        <v>59</v>
      </c>
      <c r="K451" s="20">
        <f>Store[[#This Row],[Quantity]]*Store[[#This Row],[Sale Price]]</f>
        <v>7665</v>
      </c>
      <c r="L451" s="20">
        <f>Store[[#This Row],[Gross Sales]]-Store[[#This Row],[Discount]]</f>
        <v>7051.8</v>
      </c>
      <c r="M451" s="20">
        <f>Store[[#This Row],[Sales]]-Store[[#This Row],[COGS]]</f>
        <v>1576.8000000000002</v>
      </c>
    </row>
    <row r="452" spans="1:13" x14ac:dyDescent="0.25">
      <c r="A452" t="s">
        <v>49</v>
      </c>
      <c r="B452" t="s">
        <v>56</v>
      </c>
      <c r="C452" s="18" t="s">
        <v>46</v>
      </c>
      <c r="D452" s="19">
        <v>44355</v>
      </c>
      <c r="E452">
        <v>1366</v>
      </c>
      <c r="F452" s="16">
        <v>10</v>
      </c>
      <c r="G452" s="16">
        <v>20</v>
      </c>
      <c r="H452" s="16">
        <v>13660</v>
      </c>
      <c r="I452" s="16">
        <v>2185.6</v>
      </c>
      <c r="J452" s="14" t="s">
        <v>59</v>
      </c>
      <c r="K452" s="20">
        <f>Store[[#This Row],[Quantity]]*Store[[#This Row],[Sale Price]]</f>
        <v>27320</v>
      </c>
      <c r="L452" s="20">
        <f>Store[[#This Row],[Gross Sales]]-Store[[#This Row],[Discount]]</f>
        <v>25134.400000000001</v>
      </c>
      <c r="M452" s="20">
        <f>Store[[#This Row],[Sales]]-Store[[#This Row],[COGS]]</f>
        <v>11474.400000000001</v>
      </c>
    </row>
    <row r="453" spans="1:13" x14ac:dyDescent="0.25">
      <c r="A453" t="s">
        <v>47</v>
      </c>
      <c r="B453" t="s">
        <v>48</v>
      </c>
      <c r="C453" s="18" t="s">
        <v>46</v>
      </c>
      <c r="D453" s="19">
        <v>44370</v>
      </c>
      <c r="E453">
        <v>2460</v>
      </c>
      <c r="F453" s="16">
        <v>10</v>
      </c>
      <c r="G453" s="16">
        <v>300</v>
      </c>
      <c r="H453" s="16">
        <v>615000</v>
      </c>
      <c r="I453" s="16">
        <v>59040</v>
      </c>
      <c r="J453" s="14" t="s">
        <v>59</v>
      </c>
      <c r="K453" s="20">
        <f>Store[[#This Row],[Quantity]]*Store[[#This Row],[Sale Price]]</f>
        <v>738000</v>
      </c>
      <c r="L453" s="20">
        <f>Store[[#This Row],[Gross Sales]]-Store[[#This Row],[Discount]]</f>
        <v>678960</v>
      </c>
      <c r="M453" s="20">
        <f>Store[[#This Row],[Sales]]-Store[[#This Row],[COGS]]</f>
        <v>63960</v>
      </c>
    </row>
    <row r="454" spans="1:13" x14ac:dyDescent="0.25">
      <c r="A454" t="s">
        <v>49</v>
      </c>
      <c r="B454" t="s">
        <v>51</v>
      </c>
      <c r="C454" s="18" t="s">
        <v>46</v>
      </c>
      <c r="D454" s="19">
        <v>44436</v>
      </c>
      <c r="E454">
        <v>678</v>
      </c>
      <c r="F454" s="16">
        <v>10</v>
      </c>
      <c r="G454" s="16">
        <v>7</v>
      </c>
      <c r="H454" s="16">
        <v>3390</v>
      </c>
      <c r="I454" s="16">
        <v>379.68</v>
      </c>
      <c r="J454" s="14" t="s">
        <v>59</v>
      </c>
      <c r="K454" s="20">
        <f>Store[[#This Row],[Quantity]]*Store[[#This Row],[Sale Price]]</f>
        <v>4746</v>
      </c>
      <c r="L454" s="20">
        <f>Store[[#This Row],[Gross Sales]]-Store[[#This Row],[Discount]]</f>
        <v>4366.32</v>
      </c>
      <c r="M454" s="20">
        <f>Store[[#This Row],[Sales]]-Store[[#This Row],[COGS]]</f>
        <v>976.31999999999971</v>
      </c>
    </row>
    <row r="455" spans="1:13" x14ac:dyDescent="0.25">
      <c r="A455" t="s">
        <v>49</v>
      </c>
      <c r="B455" t="s">
        <v>56</v>
      </c>
      <c r="C455" s="18" t="s">
        <v>46</v>
      </c>
      <c r="D455" s="19">
        <v>44425</v>
      </c>
      <c r="E455">
        <v>1598</v>
      </c>
      <c r="F455" s="16">
        <v>10</v>
      </c>
      <c r="G455" s="16">
        <v>7</v>
      </c>
      <c r="H455" s="16">
        <v>7990</v>
      </c>
      <c r="I455" s="16">
        <v>894.88</v>
      </c>
      <c r="J455" s="14" t="s">
        <v>59</v>
      </c>
      <c r="K455" s="20">
        <f>Store[[#This Row],[Quantity]]*Store[[#This Row],[Sale Price]]</f>
        <v>11186</v>
      </c>
      <c r="L455" s="20">
        <f>Store[[#This Row],[Gross Sales]]-Store[[#This Row],[Discount]]</f>
        <v>10291.120000000001</v>
      </c>
      <c r="M455" s="20">
        <f>Store[[#This Row],[Sales]]-Store[[#This Row],[COGS]]</f>
        <v>2301.1200000000008</v>
      </c>
    </row>
    <row r="456" spans="1:13" x14ac:dyDescent="0.25">
      <c r="A456" t="s">
        <v>49</v>
      </c>
      <c r="B456" t="s">
        <v>56</v>
      </c>
      <c r="C456" s="18" t="s">
        <v>46</v>
      </c>
      <c r="D456" s="19">
        <v>44446</v>
      </c>
      <c r="E456">
        <v>1934</v>
      </c>
      <c r="F456" s="16">
        <v>10</v>
      </c>
      <c r="G456" s="16">
        <v>20</v>
      </c>
      <c r="H456" s="16">
        <v>19340</v>
      </c>
      <c r="I456" s="16">
        <v>3094.4</v>
      </c>
      <c r="J456" s="14" t="s">
        <v>59</v>
      </c>
      <c r="K456" s="20">
        <f>Store[[#This Row],[Quantity]]*Store[[#This Row],[Sale Price]]</f>
        <v>38680</v>
      </c>
      <c r="L456" s="20">
        <f>Store[[#This Row],[Gross Sales]]-Store[[#This Row],[Discount]]</f>
        <v>35585.599999999999</v>
      </c>
      <c r="M456" s="20">
        <f>Store[[#This Row],[Sales]]-Store[[#This Row],[COGS]]</f>
        <v>16245.599999999999</v>
      </c>
    </row>
    <row r="457" spans="1:13" x14ac:dyDescent="0.25">
      <c r="A457" t="s">
        <v>49</v>
      </c>
      <c r="B457" t="s">
        <v>48</v>
      </c>
      <c r="C457" s="18" t="s">
        <v>46</v>
      </c>
      <c r="D457" s="19">
        <v>44454</v>
      </c>
      <c r="E457">
        <v>2993</v>
      </c>
      <c r="F457" s="16">
        <v>10</v>
      </c>
      <c r="G457" s="16">
        <v>20</v>
      </c>
      <c r="H457" s="16">
        <v>29930</v>
      </c>
      <c r="I457" s="16">
        <v>4788.8</v>
      </c>
      <c r="J457" s="14" t="s">
        <v>59</v>
      </c>
      <c r="K457" s="20">
        <f>Store[[#This Row],[Quantity]]*Store[[#This Row],[Sale Price]]</f>
        <v>59860</v>
      </c>
      <c r="L457" s="20">
        <f>Store[[#This Row],[Gross Sales]]-Store[[#This Row],[Discount]]</f>
        <v>55071.199999999997</v>
      </c>
      <c r="M457" s="20">
        <f>Store[[#This Row],[Sales]]-Store[[#This Row],[COGS]]</f>
        <v>25141.199999999997</v>
      </c>
    </row>
    <row r="458" spans="1:13" x14ac:dyDescent="0.25">
      <c r="A458" t="s">
        <v>49</v>
      </c>
      <c r="B458" t="s">
        <v>48</v>
      </c>
      <c r="C458" s="18" t="s">
        <v>46</v>
      </c>
      <c r="D458" s="19">
        <v>44547</v>
      </c>
      <c r="E458">
        <v>1362</v>
      </c>
      <c r="F458" s="16">
        <v>10</v>
      </c>
      <c r="G458" s="16">
        <v>350</v>
      </c>
      <c r="H458" s="16">
        <v>354120</v>
      </c>
      <c r="I458" s="16">
        <v>38136</v>
      </c>
      <c r="J458" s="14" t="s">
        <v>59</v>
      </c>
      <c r="K458" s="20">
        <f>Store[[#This Row],[Quantity]]*Store[[#This Row],[Sale Price]]</f>
        <v>476700</v>
      </c>
      <c r="L458" s="20">
        <f>Store[[#This Row],[Gross Sales]]-Store[[#This Row],[Discount]]</f>
        <v>438564</v>
      </c>
      <c r="M458" s="20">
        <f>Store[[#This Row],[Sales]]-Store[[#This Row],[COGS]]</f>
        <v>84444</v>
      </c>
    </row>
    <row r="459" spans="1:13" x14ac:dyDescent="0.25">
      <c r="A459" t="s">
        <v>50</v>
      </c>
      <c r="B459" t="s">
        <v>42</v>
      </c>
      <c r="C459" s="18" t="s">
        <v>52</v>
      </c>
      <c r="D459" s="19">
        <v>44285</v>
      </c>
      <c r="E459">
        <v>598</v>
      </c>
      <c r="F459" s="16">
        <v>120</v>
      </c>
      <c r="G459" s="16">
        <v>12</v>
      </c>
      <c r="H459" s="16">
        <v>1794</v>
      </c>
      <c r="I459" s="16">
        <v>574.08000000000004</v>
      </c>
      <c r="J459" s="14" t="s">
        <v>59</v>
      </c>
      <c r="K459" s="20">
        <f>Store[[#This Row],[Quantity]]*Store[[#This Row],[Sale Price]]</f>
        <v>7176</v>
      </c>
      <c r="L459" s="20">
        <f>Store[[#This Row],[Gross Sales]]-Store[[#This Row],[Discount]]</f>
        <v>6601.92</v>
      </c>
      <c r="M459" s="20">
        <f>Store[[#This Row],[Sales]]-Store[[#This Row],[COGS]]</f>
        <v>4807.92</v>
      </c>
    </row>
    <row r="460" spans="1:13" x14ac:dyDescent="0.25">
      <c r="A460" t="s">
        <v>49</v>
      </c>
      <c r="B460" t="s">
        <v>51</v>
      </c>
      <c r="C460" s="18" t="s">
        <v>52</v>
      </c>
      <c r="D460" s="19">
        <v>44364</v>
      </c>
      <c r="E460">
        <v>2907</v>
      </c>
      <c r="F460" s="16">
        <v>120</v>
      </c>
      <c r="G460" s="16">
        <v>7</v>
      </c>
      <c r="H460" s="16">
        <v>14535</v>
      </c>
      <c r="I460" s="16">
        <v>1627.92</v>
      </c>
      <c r="J460" s="14" t="s">
        <v>59</v>
      </c>
      <c r="K460" s="20">
        <f>Store[[#This Row],[Quantity]]*Store[[#This Row],[Sale Price]]</f>
        <v>20349</v>
      </c>
      <c r="L460" s="20">
        <f>Store[[#This Row],[Gross Sales]]-Store[[#This Row],[Discount]]</f>
        <v>18721.080000000002</v>
      </c>
      <c r="M460" s="20">
        <f>Store[[#This Row],[Sales]]-Store[[#This Row],[COGS]]</f>
        <v>4186.0800000000017</v>
      </c>
    </row>
    <row r="461" spans="1:13" x14ac:dyDescent="0.25">
      <c r="A461" t="s">
        <v>49</v>
      </c>
      <c r="B461" t="s">
        <v>56</v>
      </c>
      <c r="C461" s="18" t="s">
        <v>52</v>
      </c>
      <c r="D461" s="19">
        <v>44359</v>
      </c>
      <c r="E461">
        <v>2338</v>
      </c>
      <c r="F461" s="16">
        <v>120</v>
      </c>
      <c r="G461" s="16">
        <v>7</v>
      </c>
      <c r="H461" s="16">
        <v>11690</v>
      </c>
      <c r="I461" s="16">
        <v>1309.28</v>
      </c>
      <c r="J461" s="14" t="s">
        <v>59</v>
      </c>
      <c r="K461" s="20">
        <f>Store[[#This Row],[Quantity]]*Store[[#This Row],[Sale Price]]</f>
        <v>16366</v>
      </c>
      <c r="L461" s="20">
        <f>Store[[#This Row],[Gross Sales]]-Store[[#This Row],[Discount]]</f>
        <v>15056.72</v>
      </c>
      <c r="M461" s="20">
        <f>Store[[#This Row],[Sales]]-Store[[#This Row],[COGS]]</f>
        <v>3366.7199999999993</v>
      </c>
    </row>
    <row r="462" spans="1:13" x14ac:dyDescent="0.25">
      <c r="A462" t="s">
        <v>47</v>
      </c>
      <c r="B462" t="s">
        <v>48</v>
      </c>
      <c r="C462" s="18" t="s">
        <v>52</v>
      </c>
      <c r="D462" s="19">
        <v>44538</v>
      </c>
      <c r="E462">
        <v>635</v>
      </c>
      <c r="F462" s="16">
        <v>120</v>
      </c>
      <c r="G462" s="16">
        <v>300</v>
      </c>
      <c r="H462" s="16">
        <v>158750</v>
      </c>
      <c r="I462" s="16">
        <v>15240</v>
      </c>
      <c r="J462" s="14" t="s">
        <v>59</v>
      </c>
      <c r="K462" s="20">
        <f>Store[[#This Row],[Quantity]]*Store[[#This Row],[Sale Price]]</f>
        <v>190500</v>
      </c>
      <c r="L462" s="20">
        <f>Store[[#This Row],[Gross Sales]]-Store[[#This Row],[Discount]]</f>
        <v>175260</v>
      </c>
      <c r="M462" s="20">
        <f>Store[[#This Row],[Sales]]-Store[[#This Row],[COGS]]</f>
        <v>16510</v>
      </c>
    </row>
    <row r="463" spans="1:13" x14ac:dyDescent="0.25">
      <c r="A463" t="s">
        <v>49</v>
      </c>
      <c r="B463" t="s">
        <v>58</v>
      </c>
      <c r="C463" s="18" t="s">
        <v>53</v>
      </c>
      <c r="D463" s="19">
        <v>44313</v>
      </c>
      <c r="E463">
        <v>574.5</v>
      </c>
      <c r="F463" s="16">
        <v>250</v>
      </c>
      <c r="G463" s="16">
        <v>350</v>
      </c>
      <c r="H463" s="16">
        <v>149370</v>
      </c>
      <c r="I463" s="16">
        <v>16086</v>
      </c>
      <c r="J463" s="14" t="s">
        <v>59</v>
      </c>
      <c r="K463" s="20">
        <f>Store[[#This Row],[Quantity]]*Store[[#This Row],[Sale Price]]</f>
        <v>201075</v>
      </c>
      <c r="L463" s="20">
        <f>Store[[#This Row],[Gross Sales]]-Store[[#This Row],[Discount]]</f>
        <v>184989</v>
      </c>
      <c r="M463" s="20">
        <f>Store[[#This Row],[Sales]]-Store[[#This Row],[COGS]]</f>
        <v>35619</v>
      </c>
    </row>
    <row r="464" spans="1:13" x14ac:dyDescent="0.25">
      <c r="A464" t="s">
        <v>49</v>
      </c>
      <c r="B464" t="s">
        <v>56</v>
      </c>
      <c r="C464" s="18" t="s">
        <v>53</v>
      </c>
      <c r="D464" s="19">
        <v>44361</v>
      </c>
      <c r="E464">
        <v>2338</v>
      </c>
      <c r="F464" s="16">
        <v>250</v>
      </c>
      <c r="G464" s="16">
        <v>7</v>
      </c>
      <c r="H464" s="16">
        <v>11690</v>
      </c>
      <c r="I464" s="16">
        <v>1309.28</v>
      </c>
      <c r="J464" s="14" t="s">
        <v>59</v>
      </c>
      <c r="K464" s="20">
        <f>Store[[#This Row],[Quantity]]*Store[[#This Row],[Sale Price]]</f>
        <v>16366</v>
      </c>
      <c r="L464" s="20">
        <f>Store[[#This Row],[Gross Sales]]-Store[[#This Row],[Discount]]</f>
        <v>15056.72</v>
      </c>
      <c r="M464" s="20">
        <f>Store[[#This Row],[Sales]]-Store[[#This Row],[COGS]]</f>
        <v>3366.7199999999993</v>
      </c>
    </row>
    <row r="465" spans="1:13" x14ac:dyDescent="0.25">
      <c r="A465" t="s">
        <v>49</v>
      </c>
      <c r="B465" t="s">
        <v>58</v>
      </c>
      <c r="C465" s="18" t="s">
        <v>53</v>
      </c>
      <c r="D465" s="19">
        <v>44426</v>
      </c>
      <c r="E465">
        <v>381</v>
      </c>
      <c r="F465" s="16">
        <v>250</v>
      </c>
      <c r="G465" s="16">
        <v>350</v>
      </c>
      <c r="H465" s="16">
        <v>99060</v>
      </c>
      <c r="I465" s="16">
        <v>10668</v>
      </c>
      <c r="J465" s="14" t="s">
        <v>59</v>
      </c>
      <c r="K465" s="20">
        <f>Store[[#This Row],[Quantity]]*Store[[#This Row],[Sale Price]]</f>
        <v>133350</v>
      </c>
      <c r="L465" s="20">
        <f>Store[[#This Row],[Gross Sales]]-Store[[#This Row],[Discount]]</f>
        <v>122682</v>
      </c>
      <c r="M465" s="20">
        <f>Store[[#This Row],[Sales]]-Store[[#This Row],[COGS]]</f>
        <v>23622</v>
      </c>
    </row>
    <row r="466" spans="1:13" x14ac:dyDescent="0.25">
      <c r="A466" t="s">
        <v>49</v>
      </c>
      <c r="B466" t="s">
        <v>56</v>
      </c>
      <c r="C466" s="18" t="s">
        <v>53</v>
      </c>
      <c r="D466" s="19">
        <v>44414</v>
      </c>
      <c r="E466">
        <v>422</v>
      </c>
      <c r="F466" s="16">
        <v>250</v>
      </c>
      <c r="G466" s="16">
        <v>350</v>
      </c>
      <c r="H466" s="16">
        <v>109720</v>
      </c>
      <c r="I466" s="16">
        <v>11816</v>
      </c>
      <c r="J466" s="14" t="s">
        <v>59</v>
      </c>
      <c r="K466" s="20">
        <f>Store[[#This Row],[Quantity]]*Store[[#This Row],[Sale Price]]</f>
        <v>147700</v>
      </c>
      <c r="L466" s="20">
        <f>Store[[#This Row],[Gross Sales]]-Store[[#This Row],[Discount]]</f>
        <v>135884</v>
      </c>
      <c r="M466" s="20">
        <f>Store[[#This Row],[Sales]]-Store[[#This Row],[COGS]]</f>
        <v>26164</v>
      </c>
    </row>
    <row r="467" spans="1:13" x14ac:dyDescent="0.25">
      <c r="A467" t="s">
        <v>47</v>
      </c>
      <c r="B467" t="s">
        <v>42</v>
      </c>
      <c r="C467" s="18" t="s">
        <v>53</v>
      </c>
      <c r="D467" s="19">
        <v>44441</v>
      </c>
      <c r="E467">
        <v>2134</v>
      </c>
      <c r="F467" s="16">
        <v>250</v>
      </c>
      <c r="G467" s="16">
        <v>300</v>
      </c>
      <c r="H467" s="16">
        <v>533500</v>
      </c>
      <c r="I467" s="16">
        <v>51216</v>
      </c>
      <c r="J467" s="14" t="s">
        <v>59</v>
      </c>
      <c r="K467" s="20">
        <f>Store[[#This Row],[Quantity]]*Store[[#This Row],[Sale Price]]</f>
        <v>640200</v>
      </c>
      <c r="L467" s="20">
        <f>Store[[#This Row],[Gross Sales]]-Store[[#This Row],[Discount]]</f>
        <v>588984</v>
      </c>
      <c r="M467" s="20">
        <f>Store[[#This Row],[Sales]]-Store[[#This Row],[COGS]]</f>
        <v>55484</v>
      </c>
    </row>
    <row r="468" spans="1:13" x14ac:dyDescent="0.25">
      <c r="A468" t="s">
        <v>49</v>
      </c>
      <c r="B468" t="s">
        <v>42</v>
      </c>
      <c r="C468" s="18" t="s">
        <v>57</v>
      </c>
      <c r="D468" s="19">
        <v>44369</v>
      </c>
      <c r="E468">
        <v>708</v>
      </c>
      <c r="F468" s="16">
        <v>260</v>
      </c>
      <c r="G468" s="16">
        <v>20</v>
      </c>
      <c r="H468" s="16">
        <v>7080</v>
      </c>
      <c r="I468" s="16">
        <v>1132.8</v>
      </c>
      <c r="J468" s="14" t="s">
        <v>59</v>
      </c>
      <c r="K468" s="20">
        <f>Store[[#This Row],[Quantity]]*Store[[#This Row],[Sale Price]]</f>
        <v>14160</v>
      </c>
      <c r="L468" s="20">
        <f>Store[[#This Row],[Gross Sales]]-Store[[#This Row],[Discount]]</f>
        <v>13027.2</v>
      </c>
      <c r="M468" s="20">
        <f>Store[[#This Row],[Sales]]-Store[[#This Row],[COGS]]</f>
        <v>5947.2000000000007</v>
      </c>
    </row>
    <row r="469" spans="1:13" x14ac:dyDescent="0.25">
      <c r="A469" t="s">
        <v>49</v>
      </c>
      <c r="B469" t="s">
        <v>51</v>
      </c>
      <c r="C469" s="18" t="s">
        <v>57</v>
      </c>
      <c r="D469" s="19">
        <v>44366</v>
      </c>
      <c r="E469">
        <v>2907</v>
      </c>
      <c r="F469" s="16">
        <v>260</v>
      </c>
      <c r="G469" s="16">
        <v>7</v>
      </c>
      <c r="H469" s="16">
        <v>14535</v>
      </c>
      <c r="I469" s="16">
        <v>1627.92</v>
      </c>
      <c r="J469" s="14" t="s">
        <v>59</v>
      </c>
      <c r="K469" s="20">
        <f>Store[[#This Row],[Quantity]]*Store[[#This Row],[Sale Price]]</f>
        <v>20349</v>
      </c>
      <c r="L469" s="20">
        <f>Store[[#This Row],[Gross Sales]]-Store[[#This Row],[Discount]]</f>
        <v>18721.080000000002</v>
      </c>
      <c r="M469" s="20">
        <f>Store[[#This Row],[Sales]]-Store[[#This Row],[COGS]]</f>
        <v>4186.0800000000017</v>
      </c>
    </row>
    <row r="470" spans="1:13" x14ac:dyDescent="0.25">
      <c r="A470" t="s">
        <v>49</v>
      </c>
      <c r="B470" t="s">
        <v>56</v>
      </c>
      <c r="C470" s="18" t="s">
        <v>57</v>
      </c>
      <c r="D470" s="19">
        <v>44358</v>
      </c>
      <c r="E470">
        <v>1366</v>
      </c>
      <c r="F470" s="16">
        <v>260</v>
      </c>
      <c r="G470" s="16">
        <v>20</v>
      </c>
      <c r="H470" s="16">
        <v>13660</v>
      </c>
      <c r="I470" s="16">
        <v>2185.6</v>
      </c>
      <c r="J470" s="14" t="s">
        <v>59</v>
      </c>
      <c r="K470" s="20">
        <f>Store[[#This Row],[Quantity]]*Store[[#This Row],[Sale Price]]</f>
        <v>27320</v>
      </c>
      <c r="L470" s="20">
        <f>Store[[#This Row],[Gross Sales]]-Store[[#This Row],[Discount]]</f>
        <v>25134.400000000001</v>
      </c>
      <c r="M470" s="20">
        <f>Store[[#This Row],[Sales]]-Store[[#This Row],[COGS]]</f>
        <v>11474.400000000001</v>
      </c>
    </row>
    <row r="471" spans="1:13" x14ac:dyDescent="0.25">
      <c r="A471" t="s">
        <v>47</v>
      </c>
      <c r="B471" t="s">
        <v>48</v>
      </c>
      <c r="C471" s="18" t="s">
        <v>57</v>
      </c>
      <c r="D471" s="19">
        <v>44372</v>
      </c>
      <c r="E471">
        <v>2460</v>
      </c>
      <c r="F471" s="16">
        <v>260</v>
      </c>
      <c r="G471" s="16">
        <v>300</v>
      </c>
      <c r="H471" s="16">
        <v>615000</v>
      </c>
      <c r="I471" s="16">
        <v>59040</v>
      </c>
      <c r="J471" s="14" t="s">
        <v>59</v>
      </c>
      <c r="K471" s="20">
        <f>Store[[#This Row],[Quantity]]*Store[[#This Row],[Sale Price]]</f>
        <v>738000</v>
      </c>
      <c r="L471" s="20">
        <f>Store[[#This Row],[Gross Sales]]-Store[[#This Row],[Discount]]</f>
        <v>678960</v>
      </c>
      <c r="M471" s="20">
        <f>Store[[#This Row],[Sales]]-Store[[#This Row],[COGS]]</f>
        <v>63960</v>
      </c>
    </row>
    <row r="472" spans="1:13" x14ac:dyDescent="0.25">
      <c r="A472" t="s">
        <v>49</v>
      </c>
      <c r="B472" t="s">
        <v>56</v>
      </c>
      <c r="C472" s="18" t="s">
        <v>57</v>
      </c>
      <c r="D472" s="19">
        <v>44502</v>
      </c>
      <c r="E472">
        <v>1520</v>
      </c>
      <c r="F472" s="16">
        <v>260</v>
      </c>
      <c r="G472" s="16">
        <v>20</v>
      </c>
      <c r="H472" s="16">
        <v>15200</v>
      </c>
      <c r="I472" s="16">
        <v>2432</v>
      </c>
      <c r="J472" s="14" t="s">
        <v>59</v>
      </c>
      <c r="K472" s="20">
        <f>Store[[#This Row],[Quantity]]*Store[[#This Row],[Sale Price]]</f>
        <v>30400</v>
      </c>
      <c r="L472" s="20">
        <f>Store[[#This Row],[Gross Sales]]-Store[[#This Row],[Discount]]</f>
        <v>27968</v>
      </c>
      <c r="M472" s="20">
        <f>Store[[#This Row],[Sales]]-Store[[#This Row],[COGS]]</f>
        <v>12768</v>
      </c>
    </row>
    <row r="473" spans="1:13" x14ac:dyDescent="0.25">
      <c r="A473" t="s">
        <v>45</v>
      </c>
      <c r="B473" t="s">
        <v>56</v>
      </c>
      <c r="C473" s="18" t="s">
        <v>57</v>
      </c>
      <c r="D473" s="19">
        <v>44550</v>
      </c>
      <c r="E473">
        <v>711</v>
      </c>
      <c r="F473" s="16">
        <v>260</v>
      </c>
      <c r="G473" s="16">
        <v>15</v>
      </c>
      <c r="H473" s="16">
        <v>7110</v>
      </c>
      <c r="I473" s="16">
        <v>853.2</v>
      </c>
      <c r="J473" s="14" t="s">
        <v>59</v>
      </c>
      <c r="K473" s="20">
        <f>Store[[#This Row],[Quantity]]*Store[[#This Row],[Sale Price]]</f>
        <v>10665</v>
      </c>
      <c r="L473" s="20">
        <f>Store[[#This Row],[Gross Sales]]-Store[[#This Row],[Discount]]</f>
        <v>9811.7999999999993</v>
      </c>
      <c r="M473" s="20">
        <f>Store[[#This Row],[Sales]]-Store[[#This Row],[COGS]]</f>
        <v>2701.7999999999993</v>
      </c>
    </row>
    <row r="474" spans="1:13" x14ac:dyDescent="0.25">
      <c r="A474" t="s">
        <v>47</v>
      </c>
      <c r="B474" t="s">
        <v>48</v>
      </c>
      <c r="C474" s="18" t="s">
        <v>57</v>
      </c>
      <c r="D474" s="19">
        <v>44555</v>
      </c>
      <c r="E474">
        <v>635</v>
      </c>
      <c r="F474" s="16">
        <v>260</v>
      </c>
      <c r="G474" s="16">
        <v>300</v>
      </c>
      <c r="H474" s="16">
        <v>158750</v>
      </c>
      <c r="I474" s="16">
        <v>15240</v>
      </c>
      <c r="J474" s="14" t="s">
        <v>59</v>
      </c>
      <c r="K474" s="20">
        <f>Store[[#This Row],[Quantity]]*Store[[#This Row],[Sale Price]]</f>
        <v>190500</v>
      </c>
      <c r="L474" s="20">
        <f>Store[[#This Row],[Gross Sales]]-Store[[#This Row],[Discount]]</f>
        <v>175260</v>
      </c>
      <c r="M474" s="20">
        <f>Store[[#This Row],[Sales]]-Store[[#This Row],[COGS]]</f>
        <v>16510</v>
      </c>
    </row>
    <row r="475" spans="1:13" x14ac:dyDescent="0.25">
      <c r="A475" t="s">
        <v>49</v>
      </c>
      <c r="B475" t="s">
        <v>51</v>
      </c>
      <c r="C475" s="18" t="s">
        <v>53</v>
      </c>
      <c r="D475" s="19">
        <v>44387</v>
      </c>
      <c r="E475">
        <v>436.5</v>
      </c>
      <c r="F475" s="16">
        <v>250</v>
      </c>
      <c r="G475" s="16">
        <v>20</v>
      </c>
      <c r="H475" s="16">
        <v>4365</v>
      </c>
      <c r="I475" s="16">
        <v>698.40000000000009</v>
      </c>
      <c r="J475" s="14" t="s">
        <v>59</v>
      </c>
      <c r="K475" s="20">
        <f>Store[[#This Row],[Quantity]]*Store[[#This Row],[Sale Price]]</f>
        <v>8730</v>
      </c>
      <c r="L475" s="20">
        <f>Store[[#This Row],[Gross Sales]]-Store[[#This Row],[Discount]]</f>
        <v>8031.6</v>
      </c>
      <c r="M475" s="20">
        <f>Store[[#This Row],[Sales]]-Store[[#This Row],[COGS]]</f>
        <v>3666.6000000000004</v>
      </c>
    </row>
    <row r="476" spans="1:13" x14ac:dyDescent="0.25">
      <c r="A476" t="s">
        <v>47</v>
      </c>
      <c r="B476" t="s">
        <v>42</v>
      </c>
      <c r="C476" s="18" t="s">
        <v>54</v>
      </c>
      <c r="D476" s="19">
        <v>44351</v>
      </c>
      <c r="E476">
        <v>1094</v>
      </c>
      <c r="F476" s="16">
        <v>3</v>
      </c>
      <c r="G476" s="16">
        <v>300</v>
      </c>
      <c r="H476" s="16">
        <v>273500</v>
      </c>
      <c r="I476" s="16">
        <v>29538</v>
      </c>
      <c r="J476" s="14" t="s">
        <v>59</v>
      </c>
      <c r="K476" s="20">
        <f>Store[[#This Row],[Quantity]]*Store[[#This Row],[Sale Price]]</f>
        <v>328200</v>
      </c>
      <c r="L476" s="20">
        <f>Store[[#This Row],[Gross Sales]]-Store[[#This Row],[Discount]]</f>
        <v>298662</v>
      </c>
      <c r="M476" s="20">
        <f>Store[[#This Row],[Sales]]-Store[[#This Row],[COGS]]</f>
        <v>25162</v>
      </c>
    </row>
    <row r="477" spans="1:13" x14ac:dyDescent="0.25">
      <c r="A477" t="s">
        <v>47</v>
      </c>
      <c r="B477" t="s">
        <v>42</v>
      </c>
      <c r="C477" s="18" t="s">
        <v>43</v>
      </c>
      <c r="D477" s="19">
        <v>44297</v>
      </c>
      <c r="E477">
        <v>3802.5</v>
      </c>
      <c r="F477" s="16">
        <v>5</v>
      </c>
      <c r="G477" s="16">
        <v>300</v>
      </c>
      <c r="H477" s="16">
        <v>950625</v>
      </c>
      <c r="I477" s="16">
        <v>102667.5</v>
      </c>
      <c r="J477" s="14" t="s">
        <v>59</v>
      </c>
      <c r="K477" s="20">
        <f>Store[[#This Row],[Quantity]]*Store[[#This Row],[Sale Price]]</f>
        <v>1140750</v>
      </c>
      <c r="L477" s="20">
        <f>Store[[#This Row],[Gross Sales]]-Store[[#This Row],[Discount]]</f>
        <v>1038082.5</v>
      </c>
      <c r="M477" s="20">
        <f>Store[[#This Row],[Sales]]-Store[[#This Row],[COGS]]</f>
        <v>87457.5</v>
      </c>
    </row>
    <row r="478" spans="1:13" x14ac:dyDescent="0.25">
      <c r="A478" t="s">
        <v>49</v>
      </c>
      <c r="B478" t="s">
        <v>58</v>
      </c>
      <c r="C478" s="18" t="s">
        <v>43</v>
      </c>
      <c r="D478" s="19">
        <v>44337</v>
      </c>
      <c r="E478">
        <v>1666</v>
      </c>
      <c r="F478" s="16">
        <v>5</v>
      </c>
      <c r="G478" s="16">
        <v>350</v>
      </c>
      <c r="H478" s="16">
        <v>433160</v>
      </c>
      <c r="I478" s="16">
        <v>52479</v>
      </c>
      <c r="J478" s="14" t="s">
        <v>59</v>
      </c>
      <c r="K478" s="20">
        <f>Store[[#This Row],[Quantity]]*Store[[#This Row],[Sale Price]]</f>
        <v>583100</v>
      </c>
      <c r="L478" s="20">
        <f>Store[[#This Row],[Gross Sales]]-Store[[#This Row],[Discount]]</f>
        <v>530621</v>
      </c>
      <c r="M478" s="20">
        <f>Store[[#This Row],[Sales]]-Store[[#This Row],[COGS]]</f>
        <v>97461</v>
      </c>
    </row>
    <row r="479" spans="1:13" x14ac:dyDescent="0.25">
      <c r="A479" t="s">
        <v>50</v>
      </c>
      <c r="B479" t="s">
        <v>42</v>
      </c>
      <c r="C479" s="18" t="s">
        <v>43</v>
      </c>
      <c r="D479" s="19">
        <v>44516</v>
      </c>
      <c r="E479">
        <v>2321</v>
      </c>
      <c r="F479" s="16">
        <v>5</v>
      </c>
      <c r="G479" s="16">
        <v>12</v>
      </c>
      <c r="H479" s="16">
        <v>6963</v>
      </c>
      <c r="I479" s="16">
        <v>2506.6799999999998</v>
      </c>
      <c r="J479" s="14" t="s">
        <v>59</v>
      </c>
      <c r="K479" s="20">
        <f>Store[[#This Row],[Quantity]]*Store[[#This Row],[Sale Price]]</f>
        <v>27852</v>
      </c>
      <c r="L479" s="20">
        <f>Store[[#This Row],[Gross Sales]]-Store[[#This Row],[Discount]]</f>
        <v>25345.32</v>
      </c>
      <c r="M479" s="20">
        <f>Store[[#This Row],[Sales]]-Store[[#This Row],[COGS]]</f>
        <v>18382.32</v>
      </c>
    </row>
    <row r="480" spans="1:13" x14ac:dyDescent="0.25">
      <c r="A480" t="s">
        <v>41</v>
      </c>
      <c r="B480" t="s">
        <v>51</v>
      </c>
      <c r="C480" s="18" t="s">
        <v>43</v>
      </c>
      <c r="D480" s="19">
        <v>44545</v>
      </c>
      <c r="E480">
        <v>2797</v>
      </c>
      <c r="F480" s="16">
        <v>5</v>
      </c>
      <c r="G480" s="16">
        <v>125</v>
      </c>
      <c r="H480" s="16">
        <v>335640</v>
      </c>
      <c r="I480" s="16">
        <v>31466.25</v>
      </c>
      <c r="J480" s="14" t="s">
        <v>59</v>
      </c>
      <c r="K480" s="20">
        <f>Store[[#This Row],[Quantity]]*Store[[#This Row],[Sale Price]]</f>
        <v>349625</v>
      </c>
      <c r="L480" s="20">
        <f>Store[[#This Row],[Gross Sales]]-Store[[#This Row],[Discount]]</f>
        <v>318158.75</v>
      </c>
      <c r="M480" s="20">
        <f>Store[[#This Row],[Sales]]-Store[[#This Row],[COGS]]</f>
        <v>-17481.25</v>
      </c>
    </row>
    <row r="481" spans="1:13" x14ac:dyDescent="0.25">
      <c r="A481" t="s">
        <v>47</v>
      </c>
      <c r="B481" t="s">
        <v>48</v>
      </c>
      <c r="C481" s="18" t="s">
        <v>46</v>
      </c>
      <c r="D481" s="19">
        <v>44208</v>
      </c>
      <c r="E481">
        <v>2565</v>
      </c>
      <c r="F481" s="16">
        <v>10</v>
      </c>
      <c r="G481" s="16">
        <v>300</v>
      </c>
      <c r="H481" s="16">
        <v>641250</v>
      </c>
      <c r="I481" s="16">
        <v>69255</v>
      </c>
      <c r="J481" s="14" t="s">
        <v>59</v>
      </c>
      <c r="K481" s="20">
        <f>Store[[#This Row],[Quantity]]*Store[[#This Row],[Sale Price]]</f>
        <v>769500</v>
      </c>
      <c r="L481" s="20">
        <f>Store[[#This Row],[Gross Sales]]-Store[[#This Row],[Discount]]</f>
        <v>700245</v>
      </c>
      <c r="M481" s="20">
        <f>Store[[#This Row],[Sales]]-Store[[#This Row],[COGS]]</f>
        <v>58995</v>
      </c>
    </row>
    <row r="482" spans="1:13" x14ac:dyDescent="0.25">
      <c r="A482" t="s">
        <v>49</v>
      </c>
      <c r="B482" t="s">
        <v>48</v>
      </c>
      <c r="C482" s="18" t="s">
        <v>46</v>
      </c>
      <c r="D482" s="19">
        <v>44206</v>
      </c>
      <c r="E482">
        <v>2417</v>
      </c>
      <c r="F482" s="16">
        <v>10</v>
      </c>
      <c r="G482" s="16">
        <v>350</v>
      </c>
      <c r="H482" s="16">
        <v>628420</v>
      </c>
      <c r="I482" s="16">
        <v>76135.5</v>
      </c>
      <c r="J482" s="14" t="s">
        <v>59</v>
      </c>
      <c r="K482" s="20">
        <f>Store[[#This Row],[Quantity]]*Store[[#This Row],[Sale Price]]</f>
        <v>845950</v>
      </c>
      <c r="L482" s="20">
        <f>Store[[#This Row],[Gross Sales]]-Store[[#This Row],[Discount]]</f>
        <v>769814.5</v>
      </c>
      <c r="M482" s="20">
        <f>Store[[#This Row],[Sales]]-Store[[#This Row],[COGS]]</f>
        <v>141394.5</v>
      </c>
    </row>
    <row r="483" spans="1:13" x14ac:dyDescent="0.25">
      <c r="A483" t="s">
        <v>45</v>
      </c>
      <c r="B483" t="s">
        <v>51</v>
      </c>
      <c r="C483" s="18" t="s">
        <v>46</v>
      </c>
      <c r="D483" s="19">
        <v>44316</v>
      </c>
      <c r="E483">
        <v>3675</v>
      </c>
      <c r="F483" s="16">
        <v>10</v>
      </c>
      <c r="G483" s="16">
        <v>15</v>
      </c>
      <c r="H483" s="16">
        <v>36750</v>
      </c>
      <c r="I483" s="16">
        <v>4961.25</v>
      </c>
      <c r="J483" s="14" t="s">
        <v>59</v>
      </c>
      <c r="K483" s="20">
        <f>Store[[#This Row],[Quantity]]*Store[[#This Row],[Sale Price]]</f>
        <v>55125</v>
      </c>
      <c r="L483" s="20">
        <f>Store[[#This Row],[Gross Sales]]-Store[[#This Row],[Discount]]</f>
        <v>50163.75</v>
      </c>
      <c r="M483" s="20">
        <f>Store[[#This Row],[Sales]]-Store[[#This Row],[COGS]]</f>
        <v>13413.75</v>
      </c>
    </row>
    <row r="484" spans="1:13" x14ac:dyDescent="0.25">
      <c r="A484" t="s">
        <v>47</v>
      </c>
      <c r="B484" t="s">
        <v>42</v>
      </c>
      <c r="C484" s="18" t="s">
        <v>46</v>
      </c>
      <c r="D484" s="19">
        <v>44375</v>
      </c>
      <c r="E484">
        <v>1094</v>
      </c>
      <c r="F484" s="16">
        <v>10</v>
      </c>
      <c r="G484" s="16">
        <v>300</v>
      </c>
      <c r="H484" s="16">
        <v>273500</v>
      </c>
      <c r="I484" s="16">
        <v>29538</v>
      </c>
      <c r="J484" s="14" t="s">
        <v>59</v>
      </c>
      <c r="K484" s="20">
        <f>Store[[#This Row],[Quantity]]*Store[[#This Row],[Sale Price]]</f>
        <v>328200</v>
      </c>
      <c r="L484" s="20">
        <f>Store[[#This Row],[Gross Sales]]-Store[[#This Row],[Discount]]</f>
        <v>298662</v>
      </c>
      <c r="M484" s="20">
        <f>Store[[#This Row],[Sales]]-Store[[#This Row],[COGS]]</f>
        <v>25162</v>
      </c>
    </row>
    <row r="485" spans="1:13" x14ac:dyDescent="0.25">
      <c r="A485" t="s">
        <v>45</v>
      </c>
      <c r="B485" t="s">
        <v>58</v>
      </c>
      <c r="C485" s="18" t="s">
        <v>46</v>
      </c>
      <c r="D485" s="19">
        <v>44472</v>
      </c>
      <c r="E485">
        <v>1227</v>
      </c>
      <c r="F485" s="16">
        <v>10</v>
      </c>
      <c r="G485" s="16">
        <v>15</v>
      </c>
      <c r="H485" s="16">
        <v>12270</v>
      </c>
      <c r="I485" s="16">
        <v>1656.45</v>
      </c>
      <c r="J485" s="14" t="s">
        <v>59</v>
      </c>
      <c r="K485" s="20">
        <f>Store[[#This Row],[Quantity]]*Store[[#This Row],[Sale Price]]</f>
        <v>18405</v>
      </c>
      <c r="L485" s="20">
        <f>Store[[#This Row],[Gross Sales]]-Store[[#This Row],[Discount]]</f>
        <v>16748.55</v>
      </c>
      <c r="M485" s="20">
        <f>Store[[#This Row],[Sales]]-Store[[#This Row],[COGS]]</f>
        <v>4478.5499999999993</v>
      </c>
    </row>
    <row r="486" spans="1:13" x14ac:dyDescent="0.25">
      <c r="A486" t="s">
        <v>47</v>
      </c>
      <c r="B486" t="s">
        <v>58</v>
      </c>
      <c r="C486" s="18" t="s">
        <v>46</v>
      </c>
      <c r="D486" s="19">
        <v>44514</v>
      </c>
      <c r="E486">
        <v>1324</v>
      </c>
      <c r="F486" s="16">
        <v>10</v>
      </c>
      <c r="G486" s="16">
        <v>300</v>
      </c>
      <c r="H486" s="16">
        <v>331000</v>
      </c>
      <c r="I486" s="16">
        <v>35748</v>
      </c>
      <c r="J486" s="14" t="s">
        <v>59</v>
      </c>
      <c r="K486" s="20">
        <f>Store[[#This Row],[Quantity]]*Store[[#This Row],[Sale Price]]</f>
        <v>397200</v>
      </c>
      <c r="L486" s="20">
        <f>Store[[#This Row],[Gross Sales]]-Store[[#This Row],[Discount]]</f>
        <v>361452</v>
      </c>
      <c r="M486" s="20">
        <f>Store[[#This Row],[Sales]]-Store[[#This Row],[COGS]]</f>
        <v>30452</v>
      </c>
    </row>
    <row r="487" spans="1:13" x14ac:dyDescent="0.25">
      <c r="A487" t="s">
        <v>41</v>
      </c>
      <c r="B487" t="s">
        <v>51</v>
      </c>
      <c r="C487" s="18" t="s">
        <v>46</v>
      </c>
      <c r="D487" s="19">
        <v>44549</v>
      </c>
      <c r="E487">
        <v>2797</v>
      </c>
      <c r="F487" s="16">
        <v>10</v>
      </c>
      <c r="G487" s="16">
        <v>125</v>
      </c>
      <c r="H487" s="16">
        <v>335640</v>
      </c>
      <c r="I487" s="16">
        <v>31466.25</v>
      </c>
      <c r="J487" s="14" t="s">
        <v>59</v>
      </c>
      <c r="K487" s="20">
        <f>Store[[#This Row],[Quantity]]*Store[[#This Row],[Sale Price]]</f>
        <v>349625</v>
      </c>
      <c r="L487" s="20">
        <f>Store[[#This Row],[Gross Sales]]-Store[[#This Row],[Discount]]</f>
        <v>318158.75</v>
      </c>
      <c r="M487" s="20">
        <f>Store[[#This Row],[Sales]]-Store[[#This Row],[COGS]]</f>
        <v>-17481.25</v>
      </c>
    </row>
    <row r="488" spans="1:13" x14ac:dyDescent="0.25">
      <c r="A488" t="s">
        <v>45</v>
      </c>
      <c r="B488" t="s">
        <v>48</v>
      </c>
      <c r="C488" s="18" t="s">
        <v>52</v>
      </c>
      <c r="D488" s="19">
        <v>44340</v>
      </c>
      <c r="E488">
        <v>245</v>
      </c>
      <c r="F488" s="16">
        <v>120</v>
      </c>
      <c r="G488" s="16">
        <v>15</v>
      </c>
      <c r="H488" s="16">
        <v>2450</v>
      </c>
      <c r="I488" s="16">
        <v>330.75</v>
      </c>
      <c r="J488" s="14" t="s">
        <v>59</v>
      </c>
      <c r="K488" s="20">
        <f>Store[[#This Row],[Quantity]]*Store[[#This Row],[Sale Price]]</f>
        <v>3675</v>
      </c>
      <c r="L488" s="20">
        <f>Store[[#This Row],[Gross Sales]]-Store[[#This Row],[Discount]]</f>
        <v>3344.25</v>
      </c>
      <c r="M488" s="20">
        <f>Store[[#This Row],[Sales]]-Store[[#This Row],[COGS]]</f>
        <v>894.25</v>
      </c>
    </row>
    <row r="489" spans="1:13" x14ac:dyDescent="0.25">
      <c r="A489" t="s">
        <v>47</v>
      </c>
      <c r="B489" t="s">
        <v>42</v>
      </c>
      <c r="C489" s="18" t="s">
        <v>52</v>
      </c>
      <c r="D489" s="19">
        <v>44382</v>
      </c>
      <c r="E489">
        <v>3793.5</v>
      </c>
      <c r="F489" s="16">
        <v>120</v>
      </c>
      <c r="G489" s="16">
        <v>300</v>
      </c>
      <c r="H489" s="16">
        <v>948375</v>
      </c>
      <c r="I489" s="16">
        <v>102424.5</v>
      </c>
      <c r="J489" s="14" t="s">
        <v>59</v>
      </c>
      <c r="K489" s="20">
        <f>Store[[#This Row],[Quantity]]*Store[[#This Row],[Sale Price]]</f>
        <v>1138050</v>
      </c>
      <c r="L489" s="20">
        <f>Store[[#This Row],[Gross Sales]]-Store[[#This Row],[Discount]]</f>
        <v>1035625.5</v>
      </c>
      <c r="M489" s="20">
        <f>Store[[#This Row],[Sales]]-Store[[#This Row],[COGS]]</f>
        <v>87250.5</v>
      </c>
    </row>
    <row r="490" spans="1:13" x14ac:dyDescent="0.25">
      <c r="A490" t="s">
        <v>49</v>
      </c>
      <c r="B490" t="s">
        <v>56</v>
      </c>
      <c r="C490" s="18" t="s">
        <v>52</v>
      </c>
      <c r="D490" s="19">
        <v>44393</v>
      </c>
      <c r="E490">
        <v>1307</v>
      </c>
      <c r="F490" s="16">
        <v>120</v>
      </c>
      <c r="G490" s="16">
        <v>350</v>
      </c>
      <c r="H490" s="16">
        <v>339820</v>
      </c>
      <c r="I490" s="16">
        <v>41170.5</v>
      </c>
      <c r="J490" s="14" t="s">
        <v>59</v>
      </c>
      <c r="K490" s="20">
        <f>Store[[#This Row],[Quantity]]*Store[[#This Row],[Sale Price]]</f>
        <v>457450</v>
      </c>
      <c r="L490" s="20">
        <f>Store[[#This Row],[Gross Sales]]-Store[[#This Row],[Discount]]</f>
        <v>416279.5</v>
      </c>
      <c r="M490" s="20">
        <f>Store[[#This Row],[Sales]]-Store[[#This Row],[COGS]]</f>
        <v>76459.5</v>
      </c>
    </row>
    <row r="491" spans="1:13" x14ac:dyDescent="0.25">
      <c r="A491" t="s">
        <v>41</v>
      </c>
      <c r="B491" t="s">
        <v>42</v>
      </c>
      <c r="C491" s="18" t="s">
        <v>52</v>
      </c>
      <c r="D491" s="19">
        <v>44455</v>
      </c>
      <c r="E491">
        <v>567</v>
      </c>
      <c r="F491" s="16">
        <v>120</v>
      </c>
      <c r="G491" s="16">
        <v>125</v>
      </c>
      <c r="H491" s="16">
        <v>68040</v>
      </c>
      <c r="I491" s="16">
        <v>6378.75</v>
      </c>
      <c r="J491" s="14" t="s">
        <v>59</v>
      </c>
      <c r="K491" s="20">
        <f>Store[[#This Row],[Quantity]]*Store[[#This Row],[Sale Price]]</f>
        <v>70875</v>
      </c>
      <c r="L491" s="20">
        <f>Store[[#This Row],[Gross Sales]]-Store[[#This Row],[Discount]]</f>
        <v>64496.25</v>
      </c>
      <c r="M491" s="20">
        <f>Store[[#This Row],[Sales]]-Store[[#This Row],[COGS]]</f>
        <v>-3543.75</v>
      </c>
    </row>
    <row r="492" spans="1:13" x14ac:dyDescent="0.25">
      <c r="A492" t="s">
        <v>41</v>
      </c>
      <c r="B492" t="s">
        <v>48</v>
      </c>
      <c r="C492" s="18" t="s">
        <v>52</v>
      </c>
      <c r="D492" s="19">
        <v>44460</v>
      </c>
      <c r="E492">
        <v>2110</v>
      </c>
      <c r="F492" s="16">
        <v>120</v>
      </c>
      <c r="G492" s="16">
        <v>125</v>
      </c>
      <c r="H492" s="16">
        <v>253200</v>
      </c>
      <c r="I492" s="16">
        <v>23737.5</v>
      </c>
      <c r="J492" s="14" t="s">
        <v>59</v>
      </c>
      <c r="K492" s="20">
        <f>Store[[#This Row],[Quantity]]*Store[[#This Row],[Sale Price]]</f>
        <v>263750</v>
      </c>
      <c r="L492" s="20">
        <f>Store[[#This Row],[Gross Sales]]-Store[[#This Row],[Discount]]</f>
        <v>240012.5</v>
      </c>
      <c r="M492" s="20">
        <f>Store[[#This Row],[Sales]]-Store[[#This Row],[COGS]]</f>
        <v>-13187.5</v>
      </c>
    </row>
    <row r="493" spans="1:13" x14ac:dyDescent="0.25">
      <c r="A493" t="s">
        <v>49</v>
      </c>
      <c r="B493" t="s">
        <v>42</v>
      </c>
      <c r="C493" s="18" t="s">
        <v>52</v>
      </c>
      <c r="D493" s="19">
        <v>44494</v>
      </c>
      <c r="E493">
        <v>1269</v>
      </c>
      <c r="F493" s="16">
        <v>120</v>
      </c>
      <c r="G493" s="16">
        <v>350</v>
      </c>
      <c r="H493" s="16">
        <v>329940</v>
      </c>
      <c r="I493" s="16">
        <v>39973.5</v>
      </c>
      <c r="J493" s="14" t="s">
        <v>59</v>
      </c>
      <c r="K493" s="20">
        <f>Store[[#This Row],[Quantity]]*Store[[#This Row],[Sale Price]]</f>
        <v>444150</v>
      </c>
      <c r="L493" s="20">
        <f>Store[[#This Row],[Gross Sales]]-Store[[#This Row],[Discount]]</f>
        <v>404176.5</v>
      </c>
      <c r="M493" s="20">
        <f>Store[[#This Row],[Sales]]-Store[[#This Row],[COGS]]</f>
        <v>74236.5</v>
      </c>
    </row>
    <row r="494" spans="1:13" x14ac:dyDescent="0.25">
      <c r="A494" t="s">
        <v>50</v>
      </c>
      <c r="B494" t="s">
        <v>51</v>
      </c>
      <c r="C494" s="18" t="s">
        <v>53</v>
      </c>
      <c r="D494" s="19">
        <v>44213</v>
      </c>
      <c r="E494">
        <v>1956</v>
      </c>
      <c r="F494" s="16">
        <v>250</v>
      </c>
      <c r="G494" s="16">
        <v>12</v>
      </c>
      <c r="H494" s="16">
        <v>5868</v>
      </c>
      <c r="I494" s="16">
        <v>2112.48</v>
      </c>
      <c r="J494" s="14" t="s">
        <v>59</v>
      </c>
      <c r="K494" s="20">
        <f>Store[[#This Row],[Quantity]]*Store[[#This Row],[Sale Price]]</f>
        <v>23472</v>
      </c>
      <c r="L494" s="20">
        <f>Store[[#This Row],[Gross Sales]]-Store[[#This Row],[Discount]]</f>
        <v>21359.52</v>
      </c>
      <c r="M494" s="20">
        <f>Store[[#This Row],[Sales]]-Store[[#This Row],[COGS]]</f>
        <v>15491.52</v>
      </c>
    </row>
    <row r="495" spans="1:13" x14ac:dyDescent="0.25">
      <c r="A495" t="s">
        <v>47</v>
      </c>
      <c r="B495" t="s">
        <v>56</v>
      </c>
      <c r="C495" s="18" t="s">
        <v>53</v>
      </c>
      <c r="D495" s="19">
        <v>44253</v>
      </c>
      <c r="E495">
        <v>2659</v>
      </c>
      <c r="F495" s="16">
        <v>250</v>
      </c>
      <c r="G495" s="16">
        <v>300</v>
      </c>
      <c r="H495" s="16">
        <v>664750</v>
      </c>
      <c r="I495" s="16">
        <v>71793</v>
      </c>
      <c r="J495" s="14" t="s">
        <v>59</v>
      </c>
      <c r="K495" s="20">
        <f>Store[[#This Row],[Quantity]]*Store[[#This Row],[Sale Price]]</f>
        <v>797700</v>
      </c>
      <c r="L495" s="20">
        <f>Store[[#This Row],[Gross Sales]]-Store[[#This Row],[Discount]]</f>
        <v>725907</v>
      </c>
      <c r="M495" s="20">
        <f>Store[[#This Row],[Sales]]-Store[[#This Row],[COGS]]</f>
        <v>61157</v>
      </c>
    </row>
    <row r="496" spans="1:13" x14ac:dyDescent="0.25">
      <c r="A496" t="s">
        <v>49</v>
      </c>
      <c r="B496" t="s">
        <v>51</v>
      </c>
      <c r="C496" s="18" t="s">
        <v>53</v>
      </c>
      <c r="D496" s="19">
        <v>44299</v>
      </c>
      <c r="E496">
        <v>1351.5</v>
      </c>
      <c r="F496" s="16">
        <v>250</v>
      </c>
      <c r="G496" s="16">
        <v>350</v>
      </c>
      <c r="H496" s="16">
        <v>351390</v>
      </c>
      <c r="I496" s="16">
        <v>42572.25</v>
      </c>
      <c r="J496" s="14" t="s">
        <v>59</v>
      </c>
      <c r="K496" s="20">
        <f>Store[[#This Row],[Quantity]]*Store[[#This Row],[Sale Price]]</f>
        <v>473025</v>
      </c>
      <c r="L496" s="20">
        <f>Store[[#This Row],[Gross Sales]]-Store[[#This Row],[Discount]]</f>
        <v>430452.75</v>
      </c>
      <c r="M496" s="20">
        <f>Store[[#This Row],[Sales]]-Store[[#This Row],[COGS]]</f>
        <v>79062.75</v>
      </c>
    </row>
    <row r="497" spans="1:13" x14ac:dyDescent="0.25">
      <c r="A497" t="s">
        <v>50</v>
      </c>
      <c r="B497" t="s">
        <v>56</v>
      </c>
      <c r="C497" s="18" t="s">
        <v>53</v>
      </c>
      <c r="D497" s="19">
        <v>44334</v>
      </c>
      <c r="E497">
        <v>880</v>
      </c>
      <c r="F497" s="16">
        <v>250</v>
      </c>
      <c r="G497" s="16">
        <v>12</v>
      </c>
      <c r="H497" s="16">
        <v>2640</v>
      </c>
      <c r="I497" s="16">
        <v>950.4</v>
      </c>
      <c r="J497" s="14" t="s">
        <v>59</v>
      </c>
      <c r="K497" s="20">
        <f>Store[[#This Row],[Quantity]]*Store[[#This Row],[Sale Price]]</f>
        <v>10560</v>
      </c>
      <c r="L497" s="20">
        <f>Store[[#This Row],[Gross Sales]]-Store[[#This Row],[Discount]]</f>
        <v>9609.6</v>
      </c>
      <c r="M497" s="20">
        <f>Store[[#This Row],[Sales]]-Store[[#This Row],[COGS]]</f>
        <v>6969.6</v>
      </c>
    </row>
    <row r="498" spans="1:13" x14ac:dyDescent="0.25">
      <c r="A498" t="s">
        <v>47</v>
      </c>
      <c r="B498" t="s">
        <v>51</v>
      </c>
      <c r="C498" s="18" t="s">
        <v>53</v>
      </c>
      <c r="D498" s="19">
        <v>44468</v>
      </c>
      <c r="E498">
        <v>1867</v>
      </c>
      <c r="F498" s="16">
        <v>250</v>
      </c>
      <c r="G498" s="16">
        <v>300</v>
      </c>
      <c r="H498" s="16">
        <v>466750</v>
      </c>
      <c r="I498" s="16">
        <v>50409</v>
      </c>
      <c r="J498" s="14" t="s">
        <v>59</v>
      </c>
      <c r="K498" s="20">
        <f>Store[[#This Row],[Quantity]]*Store[[#This Row],[Sale Price]]</f>
        <v>560100</v>
      </c>
      <c r="L498" s="20">
        <f>Store[[#This Row],[Gross Sales]]-Store[[#This Row],[Discount]]</f>
        <v>509691</v>
      </c>
      <c r="M498" s="20">
        <f>Store[[#This Row],[Sales]]-Store[[#This Row],[COGS]]</f>
        <v>42941</v>
      </c>
    </row>
    <row r="499" spans="1:13" x14ac:dyDescent="0.25">
      <c r="A499" t="s">
        <v>45</v>
      </c>
      <c r="B499" t="s">
        <v>58</v>
      </c>
      <c r="C499" s="18" t="s">
        <v>53</v>
      </c>
      <c r="D499" s="19">
        <v>44481</v>
      </c>
      <c r="E499">
        <v>1227</v>
      </c>
      <c r="F499" s="16">
        <v>250</v>
      </c>
      <c r="G499" s="16">
        <v>15</v>
      </c>
      <c r="H499" s="16">
        <v>12270</v>
      </c>
      <c r="I499" s="16">
        <v>1656.45</v>
      </c>
      <c r="J499" s="14" t="s">
        <v>59</v>
      </c>
      <c r="K499" s="20">
        <f>Store[[#This Row],[Quantity]]*Store[[#This Row],[Sale Price]]</f>
        <v>18405</v>
      </c>
      <c r="L499" s="20">
        <f>Store[[#This Row],[Gross Sales]]-Store[[#This Row],[Discount]]</f>
        <v>16748.55</v>
      </c>
      <c r="M499" s="20">
        <f>Store[[#This Row],[Sales]]-Store[[#This Row],[COGS]]</f>
        <v>4478.5499999999993</v>
      </c>
    </row>
    <row r="500" spans="1:13" x14ac:dyDescent="0.25">
      <c r="A500" t="s">
        <v>41</v>
      </c>
      <c r="B500" t="s">
        <v>48</v>
      </c>
      <c r="C500" s="18" t="s">
        <v>53</v>
      </c>
      <c r="D500" s="19">
        <v>44527</v>
      </c>
      <c r="E500">
        <v>877</v>
      </c>
      <c r="F500" s="16">
        <v>250</v>
      </c>
      <c r="G500" s="16">
        <v>125</v>
      </c>
      <c r="H500" s="16">
        <v>105240</v>
      </c>
      <c r="I500" s="16">
        <v>9866.25</v>
      </c>
      <c r="J500" s="14" t="s">
        <v>59</v>
      </c>
      <c r="K500" s="20">
        <f>Store[[#This Row],[Quantity]]*Store[[#This Row],[Sale Price]]</f>
        <v>109625</v>
      </c>
      <c r="L500" s="20">
        <f>Store[[#This Row],[Gross Sales]]-Store[[#This Row],[Discount]]</f>
        <v>99758.75</v>
      </c>
      <c r="M500" s="20">
        <f>Store[[#This Row],[Sales]]-Store[[#This Row],[COGS]]</f>
        <v>-5481.25</v>
      </c>
    </row>
    <row r="501" spans="1:13" x14ac:dyDescent="0.25">
      <c r="A501" t="s">
        <v>49</v>
      </c>
      <c r="B501" t="s">
        <v>51</v>
      </c>
      <c r="C501" s="18" t="s">
        <v>57</v>
      </c>
      <c r="D501" s="19">
        <v>44450</v>
      </c>
      <c r="E501">
        <v>2071</v>
      </c>
      <c r="F501" s="16">
        <v>260</v>
      </c>
      <c r="G501" s="16">
        <v>350</v>
      </c>
      <c r="H501" s="16">
        <v>538460</v>
      </c>
      <c r="I501" s="16">
        <v>65236.5</v>
      </c>
      <c r="J501" s="14" t="s">
        <v>59</v>
      </c>
      <c r="K501" s="20">
        <f>Store[[#This Row],[Quantity]]*Store[[#This Row],[Sale Price]]</f>
        <v>724850</v>
      </c>
      <c r="L501" s="20">
        <f>Store[[#This Row],[Gross Sales]]-Store[[#This Row],[Discount]]</f>
        <v>659613.5</v>
      </c>
      <c r="M501" s="20">
        <f>Store[[#This Row],[Sales]]-Store[[#This Row],[COGS]]</f>
        <v>121153.5</v>
      </c>
    </row>
    <row r="502" spans="1:13" x14ac:dyDescent="0.25">
      <c r="A502" t="s">
        <v>49</v>
      </c>
      <c r="B502" t="s">
        <v>42</v>
      </c>
      <c r="C502" s="18" t="s">
        <v>57</v>
      </c>
      <c r="D502" s="19">
        <v>44478</v>
      </c>
      <c r="E502">
        <v>1269</v>
      </c>
      <c r="F502" s="16">
        <v>260</v>
      </c>
      <c r="G502" s="16">
        <v>350</v>
      </c>
      <c r="H502" s="16">
        <v>329940</v>
      </c>
      <c r="I502" s="16">
        <v>39973.5</v>
      </c>
      <c r="J502" s="14" t="s">
        <v>59</v>
      </c>
      <c r="K502" s="20">
        <f>Store[[#This Row],[Quantity]]*Store[[#This Row],[Sale Price]]</f>
        <v>444150</v>
      </c>
      <c r="L502" s="20">
        <f>Store[[#This Row],[Gross Sales]]-Store[[#This Row],[Discount]]</f>
        <v>404176.5</v>
      </c>
      <c r="M502" s="20">
        <f>Store[[#This Row],[Sales]]-Store[[#This Row],[COGS]]</f>
        <v>74236.5</v>
      </c>
    </row>
    <row r="503" spans="1:13" x14ac:dyDescent="0.25">
      <c r="A503" t="s">
        <v>49</v>
      </c>
      <c r="B503" t="s">
        <v>48</v>
      </c>
      <c r="C503" s="18" t="s">
        <v>57</v>
      </c>
      <c r="D503" s="19">
        <v>44521</v>
      </c>
      <c r="E503">
        <v>1694</v>
      </c>
      <c r="F503" s="16">
        <v>260</v>
      </c>
      <c r="G503" s="16">
        <v>20</v>
      </c>
      <c r="H503" s="16">
        <v>16940</v>
      </c>
      <c r="I503" s="16">
        <v>3049.2</v>
      </c>
      <c r="J503" s="14" t="s">
        <v>59</v>
      </c>
      <c r="K503" s="20">
        <f>Store[[#This Row],[Quantity]]*Store[[#This Row],[Sale Price]]</f>
        <v>33880</v>
      </c>
      <c r="L503" s="20">
        <f>Store[[#This Row],[Gross Sales]]-Store[[#This Row],[Discount]]</f>
        <v>30830.799999999999</v>
      </c>
      <c r="M503" s="20">
        <f>Store[[#This Row],[Sales]]-Store[[#This Row],[COGS]]</f>
        <v>13890.8</v>
      </c>
    </row>
    <row r="504" spans="1:13" x14ac:dyDescent="0.25">
      <c r="A504" t="s">
        <v>49</v>
      </c>
      <c r="B504" t="s">
        <v>56</v>
      </c>
      <c r="C504" s="18" t="s">
        <v>54</v>
      </c>
      <c r="D504" s="19">
        <v>44319</v>
      </c>
      <c r="E504">
        <v>663</v>
      </c>
      <c r="F504" s="16">
        <v>3</v>
      </c>
      <c r="G504" s="16">
        <v>20</v>
      </c>
      <c r="H504" s="16">
        <v>6630</v>
      </c>
      <c r="I504" s="16">
        <v>1193.4000000000001</v>
      </c>
      <c r="J504" s="14" t="s">
        <v>59</v>
      </c>
      <c r="K504" s="20">
        <f>Store[[#This Row],[Quantity]]*Store[[#This Row],[Sale Price]]</f>
        <v>13260</v>
      </c>
      <c r="L504" s="20">
        <f>Store[[#This Row],[Gross Sales]]-Store[[#This Row],[Discount]]</f>
        <v>12066.6</v>
      </c>
      <c r="M504" s="20">
        <f>Store[[#This Row],[Sales]]-Store[[#This Row],[COGS]]</f>
        <v>5436.6</v>
      </c>
    </row>
    <row r="505" spans="1:13" x14ac:dyDescent="0.25">
      <c r="A505" t="s">
        <v>49</v>
      </c>
      <c r="B505" t="s">
        <v>42</v>
      </c>
      <c r="C505" s="18" t="s">
        <v>54</v>
      </c>
      <c r="D505" s="19">
        <v>44390</v>
      </c>
      <c r="E505">
        <v>819</v>
      </c>
      <c r="F505" s="16">
        <v>3</v>
      </c>
      <c r="G505" s="16">
        <v>7</v>
      </c>
      <c r="H505" s="16">
        <v>4095</v>
      </c>
      <c r="I505" s="16">
        <v>515.97</v>
      </c>
      <c r="J505" s="14" t="s">
        <v>59</v>
      </c>
      <c r="K505" s="20">
        <f>Store[[#This Row],[Quantity]]*Store[[#This Row],[Sale Price]]</f>
        <v>5733</v>
      </c>
      <c r="L505" s="20">
        <f>Store[[#This Row],[Gross Sales]]-Store[[#This Row],[Discount]]</f>
        <v>5217.03</v>
      </c>
      <c r="M505" s="20">
        <f>Store[[#This Row],[Sales]]-Store[[#This Row],[COGS]]</f>
        <v>1122.0299999999997</v>
      </c>
    </row>
    <row r="506" spans="1:13" x14ac:dyDescent="0.25">
      <c r="A506" t="s">
        <v>50</v>
      </c>
      <c r="B506" t="s">
        <v>56</v>
      </c>
      <c r="C506" s="18" t="s">
        <v>54</v>
      </c>
      <c r="D506" s="19">
        <v>44464</v>
      </c>
      <c r="E506">
        <v>1580</v>
      </c>
      <c r="F506" s="16">
        <v>3</v>
      </c>
      <c r="G506" s="16">
        <v>12</v>
      </c>
      <c r="H506" s="16">
        <v>4740</v>
      </c>
      <c r="I506" s="16">
        <v>1706.4</v>
      </c>
      <c r="J506" s="14" t="s">
        <v>59</v>
      </c>
      <c r="K506" s="20">
        <f>Store[[#This Row],[Quantity]]*Store[[#This Row],[Sale Price]]</f>
        <v>18960</v>
      </c>
      <c r="L506" s="20">
        <f>Store[[#This Row],[Gross Sales]]-Store[[#This Row],[Discount]]</f>
        <v>17253.599999999999</v>
      </c>
      <c r="M506" s="20">
        <f>Store[[#This Row],[Sales]]-Store[[#This Row],[COGS]]</f>
        <v>12513.599999999999</v>
      </c>
    </row>
    <row r="507" spans="1:13" x14ac:dyDescent="0.25">
      <c r="A507" t="s">
        <v>49</v>
      </c>
      <c r="B507" t="s">
        <v>48</v>
      </c>
      <c r="C507" s="18" t="s">
        <v>54</v>
      </c>
      <c r="D507" s="19">
        <v>44541</v>
      </c>
      <c r="E507">
        <v>521</v>
      </c>
      <c r="F507" s="16">
        <v>3</v>
      </c>
      <c r="G507" s="16">
        <v>7</v>
      </c>
      <c r="H507" s="16">
        <v>2605</v>
      </c>
      <c r="I507" s="16">
        <v>328.23</v>
      </c>
      <c r="J507" s="14" t="s">
        <v>59</v>
      </c>
      <c r="K507" s="20">
        <f>Store[[#This Row],[Quantity]]*Store[[#This Row],[Sale Price]]</f>
        <v>3647</v>
      </c>
      <c r="L507" s="20">
        <f>Store[[#This Row],[Gross Sales]]-Store[[#This Row],[Discount]]</f>
        <v>3318.77</v>
      </c>
      <c r="M507" s="20">
        <f>Store[[#This Row],[Sales]]-Store[[#This Row],[COGS]]</f>
        <v>713.77</v>
      </c>
    </row>
    <row r="508" spans="1:13" x14ac:dyDescent="0.25">
      <c r="A508" t="s">
        <v>49</v>
      </c>
      <c r="B508" t="s">
        <v>51</v>
      </c>
      <c r="C508" s="18" t="s">
        <v>46</v>
      </c>
      <c r="D508" s="19">
        <v>44256</v>
      </c>
      <c r="E508">
        <v>973</v>
      </c>
      <c r="F508" s="16">
        <v>10</v>
      </c>
      <c r="G508" s="16">
        <v>20</v>
      </c>
      <c r="H508" s="16">
        <v>9730</v>
      </c>
      <c r="I508" s="16">
        <v>1751.4</v>
      </c>
      <c r="J508" s="14" t="s">
        <v>59</v>
      </c>
      <c r="K508" s="20">
        <f>Store[[#This Row],[Quantity]]*Store[[#This Row],[Sale Price]]</f>
        <v>19460</v>
      </c>
      <c r="L508" s="20">
        <f>Store[[#This Row],[Gross Sales]]-Store[[#This Row],[Discount]]</f>
        <v>17708.599999999999</v>
      </c>
      <c r="M508" s="20">
        <f>Store[[#This Row],[Sales]]-Store[[#This Row],[COGS]]</f>
        <v>7978.5999999999985</v>
      </c>
    </row>
    <row r="509" spans="1:13" x14ac:dyDescent="0.25">
      <c r="A509" t="s">
        <v>49</v>
      </c>
      <c r="B509" t="s">
        <v>48</v>
      </c>
      <c r="C509" s="18" t="s">
        <v>46</v>
      </c>
      <c r="D509" s="19">
        <v>44351</v>
      </c>
      <c r="E509">
        <v>1038</v>
      </c>
      <c r="F509" s="16">
        <v>10</v>
      </c>
      <c r="G509" s="16">
        <v>20</v>
      </c>
      <c r="H509" s="16">
        <v>10380</v>
      </c>
      <c r="I509" s="16">
        <v>1868.4</v>
      </c>
      <c r="J509" s="14" t="s">
        <v>59</v>
      </c>
      <c r="K509" s="20">
        <f>Store[[#This Row],[Quantity]]*Store[[#This Row],[Sale Price]]</f>
        <v>20760</v>
      </c>
      <c r="L509" s="20">
        <f>Store[[#This Row],[Gross Sales]]-Store[[#This Row],[Discount]]</f>
        <v>18891.599999999999</v>
      </c>
      <c r="M509" s="20">
        <f>Store[[#This Row],[Sales]]-Store[[#This Row],[COGS]]</f>
        <v>8511.5999999999985</v>
      </c>
    </row>
    <row r="510" spans="1:13" x14ac:dyDescent="0.25">
      <c r="A510" t="s">
        <v>49</v>
      </c>
      <c r="B510" t="s">
        <v>56</v>
      </c>
      <c r="C510" s="18" t="s">
        <v>46</v>
      </c>
      <c r="D510" s="19">
        <v>44500</v>
      </c>
      <c r="E510">
        <v>360</v>
      </c>
      <c r="F510" s="16">
        <v>10</v>
      </c>
      <c r="G510" s="16">
        <v>7</v>
      </c>
      <c r="H510" s="16">
        <v>1800</v>
      </c>
      <c r="I510" s="16">
        <v>226.8</v>
      </c>
      <c r="J510" s="14" t="s">
        <v>59</v>
      </c>
      <c r="K510" s="20">
        <f>Store[[#This Row],[Quantity]]*Store[[#This Row],[Sale Price]]</f>
        <v>2520</v>
      </c>
      <c r="L510" s="20">
        <f>Store[[#This Row],[Gross Sales]]-Store[[#This Row],[Discount]]</f>
        <v>2293.1999999999998</v>
      </c>
      <c r="M510" s="20">
        <f>Store[[#This Row],[Sales]]-Store[[#This Row],[COGS]]</f>
        <v>493.19999999999982</v>
      </c>
    </row>
    <row r="511" spans="1:13" x14ac:dyDescent="0.25">
      <c r="A511" t="s">
        <v>50</v>
      </c>
      <c r="B511" t="s">
        <v>58</v>
      </c>
      <c r="C511" s="18" t="s">
        <v>52</v>
      </c>
      <c r="D511" s="19">
        <v>44261</v>
      </c>
      <c r="E511">
        <v>1967</v>
      </c>
      <c r="F511" s="16">
        <v>120</v>
      </c>
      <c r="G511" s="16">
        <v>12</v>
      </c>
      <c r="H511" s="16">
        <v>5901</v>
      </c>
      <c r="I511" s="16">
        <v>2124.36</v>
      </c>
      <c r="J511" s="14" t="s">
        <v>59</v>
      </c>
      <c r="K511" s="20">
        <f>Store[[#This Row],[Quantity]]*Store[[#This Row],[Sale Price]]</f>
        <v>23604</v>
      </c>
      <c r="L511" s="20">
        <f>Store[[#This Row],[Gross Sales]]-Store[[#This Row],[Discount]]</f>
        <v>21479.64</v>
      </c>
      <c r="M511" s="20">
        <f>Store[[#This Row],[Sales]]-Store[[#This Row],[COGS]]</f>
        <v>15578.64</v>
      </c>
    </row>
    <row r="512" spans="1:13" x14ac:dyDescent="0.25">
      <c r="A512" t="s">
        <v>45</v>
      </c>
      <c r="B512" t="s">
        <v>48</v>
      </c>
      <c r="C512" s="18" t="s">
        <v>52</v>
      </c>
      <c r="D512" s="19">
        <v>44300</v>
      </c>
      <c r="E512">
        <v>2628</v>
      </c>
      <c r="F512" s="16">
        <v>120</v>
      </c>
      <c r="G512" s="16">
        <v>15</v>
      </c>
      <c r="H512" s="16">
        <v>26280</v>
      </c>
      <c r="I512" s="16">
        <v>3547.8</v>
      </c>
      <c r="J512" s="14" t="s">
        <v>59</v>
      </c>
      <c r="K512" s="20">
        <f>Store[[#This Row],[Quantity]]*Store[[#This Row],[Sale Price]]</f>
        <v>39420</v>
      </c>
      <c r="L512" s="20">
        <f>Store[[#This Row],[Gross Sales]]-Store[[#This Row],[Discount]]</f>
        <v>35872.199999999997</v>
      </c>
      <c r="M512" s="20">
        <f>Store[[#This Row],[Sales]]-Store[[#This Row],[COGS]]</f>
        <v>9592.1999999999971</v>
      </c>
    </row>
    <row r="513" spans="1:13" x14ac:dyDescent="0.25">
      <c r="A513" t="s">
        <v>49</v>
      </c>
      <c r="B513" t="s">
        <v>56</v>
      </c>
      <c r="C513" s="18" t="s">
        <v>53</v>
      </c>
      <c r="D513" s="19">
        <v>44488</v>
      </c>
      <c r="E513">
        <v>360</v>
      </c>
      <c r="F513" s="16">
        <v>250</v>
      </c>
      <c r="G513" s="16">
        <v>7</v>
      </c>
      <c r="H513" s="16">
        <v>1800</v>
      </c>
      <c r="I513" s="16">
        <v>226.8</v>
      </c>
      <c r="J513" s="14" t="s">
        <v>59</v>
      </c>
      <c r="K513" s="20">
        <f>Store[[#This Row],[Quantity]]*Store[[#This Row],[Sale Price]]</f>
        <v>2520</v>
      </c>
      <c r="L513" s="20">
        <f>Store[[#This Row],[Gross Sales]]-Store[[#This Row],[Discount]]</f>
        <v>2293.1999999999998</v>
      </c>
      <c r="M513" s="20">
        <f>Store[[#This Row],[Sales]]-Store[[#This Row],[COGS]]</f>
        <v>493.19999999999982</v>
      </c>
    </row>
    <row r="514" spans="1:13" x14ac:dyDescent="0.25">
      <c r="A514" t="s">
        <v>49</v>
      </c>
      <c r="B514" t="s">
        <v>48</v>
      </c>
      <c r="C514" s="18" t="s">
        <v>53</v>
      </c>
      <c r="D514" s="19">
        <v>44560</v>
      </c>
      <c r="E514">
        <v>521</v>
      </c>
      <c r="F514" s="16">
        <v>250</v>
      </c>
      <c r="G514" s="16">
        <v>7</v>
      </c>
      <c r="H514" s="16">
        <v>2605</v>
      </c>
      <c r="I514" s="16">
        <v>328.23</v>
      </c>
      <c r="J514" s="14" t="s">
        <v>59</v>
      </c>
      <c r="K514" s="20">
        <f>Store[[#This Row],[Quantity]]*Store[[#This Row],[Sale Price]]</f>
        <v>3647</v>
      </c>
      <c r="L514" s="20">
        <f>Store[[#This Row],[Gross Sales]]-Store[[#This Row],[Discount]]</f>
        <v>3318.77</v>
      </c>
      <c r="M514" s="20">
        <f>Store[[#This Row],[Sales]]-Store[[#This Row],[COGS]]</f>
        <v>713.77</v>
      </c>
    </row>
    <row r="515" spans="1:13" x14ac:dyDescent="0.25">
      <c r="A515" t="s">
        <v>49</v>
      </c>
      <c r="B515" t="s">
        <v>48</v>
      </c>
      <c r="C515" s="18" t="s">
        <v>57</v>
      </c>
      <c r="D515" s="19">
        <v>44365</v>
      </c>
      <c r="E515">
        <v>1038</v>
      </c>
      <c r="F515" s="16">
        <v>260</v>
      </c>
      <c r="G515" s="16">
        <v>20</v>
      </c>
      <c r="H515" s="16">
        <v>10380</v>
      </c>
      <c r="I515" s="16">
        <v>1868.4</v>
      </c>
      <c r="J515" s="14" t="s">
        <v>59</v>
      </c>
      <c r="K515" s="20">
        <f>Store[[#This Row],[Quantity]]*Store[[#This Row],[Sale Price]]</f>
        <v>20760</v>
      </c>
      <c r="L515" s="20">
        <f>Store[[#This Row],[Gross Sales]]-Store[[#This Row],[Discount]]</f>
        <v>18891.599999999999</v>
      </c>
      <c r="M515" s="20">
        <f>Store[[#This Row],[Sales]]-Store[[#This Row],[COGS]]</f>
        <v>8511.5999999999985</v>
      </c>
    </row>
    <row r="516" spans="1:13" x14ac:dyDescent="0.25">
      <c r="A516" t="s">
        <v>45</v>
      </c>
      <c r="B516" t="s">
        <v>42</v>
      </c>
      <c r="C516" s="18" t="s">
        <v>57</v>
      </c>
      <c r="D516" s="19">
        <v>44407</v>
      </c>
      <c r="E516">
        <v>1630.5</v>
      </c>
      <c r="F516" s="16">
        <v>260</v>
      </c>
      <c r="G516" s="16">
        <v>15</v>
      </c>
      <c r="H516" s="16">
        <v>16305</v>
      </c>
      <c r="I516" s="16">
        <v>2201.1750000000002</v>
      </c>
      <c r="J516" s="14" t="s">
        <v>59</v>
      </c>
      <c r="K516" s="20">
        <f>Store[[#This Row],[Quantity]]*Store[[#This Row],[Sale Price]]</f>
        <v>24457.5</v>
      </c>
      <c r="L516" s="20">
        <f>Store[[#This Row],[Gross Sales]]-Store[[#This Row],[Discount]]</f>
        <v>22256.325000000001</v>
      </c>
      <c r="M516" s="20">
        <f>Store[[#This Row],[Sales]]-Store[[#This Row],[COGS]]</f>
        <v>5951.3250000000007</v>
      </c>
    </row>
    <row r="517" spans="1:13" x14ac:dyDescent="0.25">
      <c r="A517" t="s">
        <v>49</v>
      </c>
      <c r="B517" t="s">
        <v>51</v>
      </c>
      <c r="C517" s="18" t="s">
        <v>43</v>
      </c>
      <c r="D517" s="19">
        <v>44451</v>
      </c>
      <c r="E517">
        <v>2328</v>
      </c>
      <c r="F517" s="16">
        <v>5</v>
      </c>
      <c r="G517" s="16">
        <v>7</v>
      </c>
      <c r="H517" s="16">
        <v>11640</v>
      </c>
      <c r="I517" s="16">
        <v>1629.6</v>
      </c>
      <c r="J517" s="14" t="s">
        <v>60</v>
      </c>
      <c r="K517" s="20">
        <f>Store[[#This Row],[Quantity]]*Store[[#This Row],[Sale Price]]</f>
        <v>16296</v>
      </c>
      <c r="L517" s="20">
        <f>Store[[#This Row],[Gross Sales]]-Store[[#This Row],[Discount]]</f>
        <v>14666.4</v>
      </c>
      <c r="M517" s="20">
        <f>Store[[#This Row],[Sales]]-Store[[#This Row],[COGS]]</f>
        <v>3026.3999999999996</v>
      </c>
    </row>
    <row r="518" spans="1:13" x14ac:dyDescent="0.25">
      <c r="A518" t="s">
        <v>41</v>
      </c>
      <c r="B518" t="s">
        <v>51</v>
      </c>
      <c r="C518" s="18" t="s">
        <v>54</v>
      </c>
      <c r="D518" s="19">
        <v>44310</v>
      </c>
      <c r="E518">
        <v>3445.5</v>
      </c>
      <c r="F518" s="16">
        <v>3</v>
      </c>
      <c r="G518" s="16">
        <v>125</v>
      </c>
      <c r="H518" s="16">
        <v>413460</v>
      </c>
      <c r="I518" s="16">
        <v>43068.75</v>
      </c>
      <c r="J518" s="14" t="s">
        <v>60</v>
      </c>
      <c r="K518" s="20">
        <f>Store[[#This Row],[Quantity]]*Store[[#This Row],[Sale Price]]</f>
        <v>430687.5</v>
      </c>
      <c r="L518" s="20">
        <f>Store[[#This Row],[Gross Sales]]-Store[[#This Row],[Discount]]</f>
        <v>387618.75</v>
      </c>
      <c r="M518" s="20">
        <f>Store[[#This Row],[Sales]]-Store[[#This Row],[COGS]]</f>
        <v>-25841.25</v>
      </c>
    </row>
    <row r="519" spans="1:13" x14ac:dyDescent="0.25">
      <c r="A519" t="s">
        <v>49</v>
      </c>
      <c r="B519" t="s">
        <v>51</v>
      </c>
      <c r="C519" s="18" t="s">
        <v>43</v>
      </c>
      <c r="D519" s="19">
        <v>44331</v>
      </c>
      <c r="E519">
        <v>2313</v>
      </c>
      <c r="F519" s="16">
        <v>5</v>
      </c>
      <c r="G519" s="16">
        <v>350</v>
      </c>
      <c r="H519" s="16">
        <v>601380</v>
      </c>
      <c r="I519" s="16">
        <v>80955</v>
      </c>
      <c r="J519" s="14" t="s">
        <v>60</v>
      </c>
      <c r="K519" s="20">
        <f>Store[[#This Row],[Quantity]]*Store[[#This Row],[Sale Price]]</f>
        <v>809550</v>
      </c>
      <c r="L519" s="20">
        <f>Store[[#This Row],[Gross Sales]]-Store[[#This Row],[Discount]]</f>
        <v>728595</v>
      </c>
      <c r="M519" s="20">
        <f>Store[[#This Row],[Sales]]-Store[[#This Row],[COGS]]</f>
        <v>127215</v>
      </c>
    </row>
    <row r="520" spans="1:13" x14ac:dyDescent="0.25">
      <c r="A520" t="s">
        <v>45</v>
      </c>
      <c r="B520" t="s">
        <v>58</v>
      </c>
      <c r="C520" s="18" t="s">
        <v>43</v>
      </c>
      <c r="D520" s="19">
        <v>44556</v>
      </c>
      <c r="E520">
        <v>2072</v>
      </c>
      <c r="F520" s="16">
        <v>5</v>
      </c>
      <c r="G520" s="16">
        <v>15</v>
      </c>
      <c r="H520" s="16">
        <v>20720</v>
      </c>
      <c r="I520" s="16">
        <v>3108</v>
      </c>
      <c r="J520" s="14" t="s">
        <v>60</v>
      </c>
      <c r="K520" s="20">
        <f>Store[[#This Row],[Quantity]]*Store[[#This Row],[Sale Price]]</f>
        <v>31080</v>
      </c>
      <c r="L520" s="20">
        <f>Store[[#This Row],[Gross Sales]]-Store[[#This Row],[Discount]]</f>
        <v>27972</v>
      </c>
      <c r="M520" s="20">
        <f>Store[[#This Row],[Sales]]-Store[[#This Row],[COGS]]</f>
        <v>7252</v>
      </c>
    </row>
    <row r="521" spans="1:13" x14ac:dyDescent="0.25">
      <c r="A521" t="s">
        <v>49</v>
      </c>
      <c r="B521" t="s">
        <v>58</v>
      </c>
      <c r="C521" s="18" t="s">
        <v>46</v>
      </c>
      <c r="D521" s="19">
        <v>44283</v>
      </c>
      <c r="E521">
        <v>1954</v>
      </c>
      <c r="F521" s="16">
        <v>10</v>
      </c>
      <c r="G521" s="16">
        <v>20</v>
      </c>
      <c r="H521" s="16">
        <v>19540</v>
      </c>
      <c r="I521" s="16">
        <v>3908</v>
      </c>
      <c r="J521" s="14" t="s">
        <v>60</v>
      </c>
      <c r="K521" s="20">
        <f>Store[[#This Row],[Quantity]]*Store[[#This Row],[Sale Price]]</f>
        <v>39080</v>
      </c>
      <c r="L521" s="20">
        <f>Store[[#This Row],[Gross Sales]]-Store[[#This Row],[Discount]]</f>
        <v>35172</v>
      </c>
      <c r="M521" s="20">
        <f>Store[[#This Row],[Sales]]-Store[[#This Row],[COGS]]</f>
        <v>15632</v>
      </c>
    </row>
    <row r="522" spans="1:13" x14ac:dyDescent="0.25">
      <c r="A522" t="s">
        <v>47</v>
      </c>
      <c r="B522" t="s">
        <v>48</v>
      </c>
      <c r="C522" s="18" t="s">
        <v>46</v>
      </c>
      <c r="D522" s="19">
        <v>44338</v>
      </c>
      <c r="E522">
        <v>591</v>
      </c>
      <c r="F522" s="16">
        <v>10</v>
      </c>
      <c r="G522" s="16">
        <v>300</v>
      </c>
      <c r="H522" s="16">
        <v>147750</v>
      </c>
      <c r="I522" s="16">
        <v>17730</v>
      </c>
      <c r="J522" s="14" t="s">
        <v>60</v>
      </c>
      <c r="K522" s="20">
        <f>Store[[#This Row],[Quantity]]*Store[[#This Row],[Sale Price]]</f>
        <v>177300</v>
      </c>
      <c r="L522" s="20">
        <f>Store[[#This Row],[Gross Sales]]-Store[[#This Row],[Discount]]</f>
        <v>159570</v>
      </c>
      <c r="M522" s="20">
        <f>Store[[#This Row],[Sales]]-Store[[#This Row],[COGS]]</f>
        <v>11820</v>
      </c>
    </row>
    <row r="523" spans="1:13" x14ac:dyDescent="0.25">
      <c r="A523" t="s">
        <v>49</v>
      </c>
      <c r="B523" t="s">
        <v>56</v>
      </c>
      <c r="C523" s="18" t="s">
        <v>46</v>
      </c>
      <c r="D523" s="19">
        <v>44497</v>
      </c>
      <c r="E523">
        <v>241</v>
      </c>
      <c r="F523" s="16">
        <v>10</v>
      </c>
      <c r="G523" s="16">
        <v>20</v>
      </c>
      <c r="H523" s="16">
        <v>2410</v>
      </c>
      <c r="I523" s="16">
        <v>482</v>
      </c>
      <c r="J523" s="14" t="s">
        <v>60</v>
      </c>
      <c r="K523" s="20">
        <f>Store[[#This Row],[Quantity]]*Store[[#This Row],[Sale Price]]</f>
        <v>4820</v>
      </c>
      <c r="L523" s="20">
        <f>Store[[#This Row],[Gross Sales]]-Store[[#This Row],[Discount]]</f>
        <v>4338</v>
      </c>
      <c r="M523" s="20">
        <f>Store[[#This Row],[Sales]]-Store[[#This Row],[COGS]]</f>
        <v>1928</v>
      </c>
    </row>
    <row r="524" spans="1:13" x14ac:dyDescent="0.25">
      <c r="A524" t="s">
        <v>45</v>
      </c>
      <c r="B524" t="s">
        <v>56</v>
      </c>
      <c r="C524" s="18" t="s">
        <v>52</v>
      </c>
      <c r="D524" s="19">
        <v>44200</v>
      </c>
      <c r="E524">
        <v>681</v>
      </c>
      <c r="F524" s="16">
        <v>120</v>
      </c>
      <c r="G524" s="16">
        <v>15</v>
      </c>
      <c r="H524" s="16">
        <v>6810</v>
      </c>
      <c r="I524" s="16">
        <v>1021.5</v>
      </c>
      <c r="J524" s="14" t="s">
        <v>60</v>
      </c>
      <c r="K524" s="20">
        <f>Store[[#This Row],[Quantity]]*Store[[#This Row],[Sale Price]]</f>
        <v>10215</v>
      </c>
      <c r="L524" s="20">
        <f>Store[[#This Row],[Gross Sales]]-Store[[#This Row],[Discount]]</f>
        <v>9193.5</v>
      </c>
      <c r="M524" s="20">
        <f>Store[[#This Row],[Sales]]-Store[[#This Row],[COGS]]</f>
        <v>2383.5</v>
      </c>
    </row>
    <row r="525" spans="1:13" x14ac:dyDescent="0.25">
      <c r="A525" t="s">
        <v>45</v>
      </c>
      <c r="B525" t="s">
        <v>56</v>
      </c>
      <c r="C525" s="18" t="s">
        <v>52</v>
      </c>
      <c r="D525" s="19">
        <v>44315</v>
      </c>
      <c r="E525">
        <v>510</v>
      </c>
      <c r="F525" s="16">
        <v>120</v>
      </c>
      <c r="G525" s="16">
        <v>15</v>
      </c>
      <c r="H525" s="16">
        <v>5100</v>
      </c>
      <c r="I525" s="16">
        <v>765</v>
      </c>
      <c r="J525" s="14" t="s">
        <v>60</v>
      </c>
      <c r="K525" s="20">
        <f>Store[[#This Row],[Quantity]]*Store[[#This Row],[Sale Price]]</f>
        <v>7650</v>
      </c>
      <c r="L525" s="20">
        <f>Store[[#This Row],[Gross Sales]]-Store[[#This Row],[Discount]]</f>
        <v>6885</v>
      </c>
      <c r="M525" s="20">
        <f>Store[[#This Row],[Sales]]-Store[[#This Row],[COGS]]</f>
        <v>1785</v>
      </c>
    </row>
    <row r="526" spans="1:13" x14ac:dyDescent="0.25">
      <c r="A526" t="s">
        <v>45</v>
      </c>
      <c r="B526" t="s">
        <v>51</v>
      </c>
      <c r="C526" s="18" t="s">
        <v>52</v>
      </c>
      <c r="D526" s="19">
        <v>44322</v>
      </c>
      <c r="E526">
        <v>790</v>
      </c>
      <c r="F526" s="16">
        <v>120</v>
      </c>
      <c r="G526" s="16">
        <v>15</v>
      </c>
      <c r="H526" s="16">
        <v>7900</v>
      </c>
      <c r="I526" s="16">
        <v>1185</v>
      </c>
      <c r="J526" s="14" t="s">
        <v>60</v>
      </c>
      <c r="K526" s="20">
        <f>Store[[#This Row],[Quantity]]*Store[[#This Row],[Sale Price]]</f>
        <v>11850</v>
      </c>
      <c r="L526" s="20">
        <f>Store[[#This Row],[Gross Sales]]-Store[[#This Row],[Discount]]</f>
        <v>10665</v>
      </c>
      <c r="M526" s="20">
        <f>Store[[#This Row],[Sales]]-Store[[#This Row],[COGS]]</f>
        <v>2765</v>
      </c>
    </row>
    <row r="527" spans="1:13" x14ac:dyDescent="0.25">
      <c r="A527" t="s">
        <v>49</v>
      </c>
      <c r="B527" t="s">
        <v>58</v>
      </c>
      <c r="C527" s="18" t="s">
        <v>52</v>
      </c>
      <c r="D527" s="19">
        <v>44394</v>
      </c>
      <c r="E527">
        <v>639</v>
      </c>
      <c r="F527" s="16">
        <v>120</v>
      </c>
      <c r="G527" s="16">
        <v>350</v>
      </c>
      <c r="H527" s="16">
        <v>166140</v>
      </c>
      <c r="I527" s="16">
        <v>22365</v>
      </c>
      <c r="J527" s="14" t="s">
        <v>60</v>
      </c>
      <c r="K527" s="20">
        <f>Store[[#This Row],[Quantity]]*Store[[#This Row],[Sale Price]]</f>
        <v>223650</v>
      </c>
      <c r="L527" s="20">
        <f>Store[[#This Row],[Gross Sales]]-Store[[#This Row],[Discount]]</f>
        <v>201285</v>
      </c>
      <c r="M527" s="20">
        <f>Store[[#This Row],[Sales]]-Store[[#This Row],[COGS]]</f>
        <v>35145</v>
      </c>
    </row>
    <row r="528" spans="1:13" x14ac:dyDescent="0.25">
      <c r="A528" t="s">
        <v>41</v>
      </c>
      <c r="B528" t="s">
        <v>51</v>
      </c>
      <c r="C528" s="18" t="s">
        <v>52</v>
      </c>
      <c r="D528" s="19">
        <v>44445</v>
      </c>
      <c r="E528">
        <v>1596</v>
      </c>
      <c r="F528" s="16">
        <v>120</v>
      </c>
      <c r="G528" s="16">
        <v>125</v>
      </c>
      <c r="H528" s="16">
        <v>191520</v>
      </c>
      <c r="I528" s="16">
        <v>19950</v>
      </c>
      <c r="J528" s="14" t="s">
        <v>60</v>
      </c>
      <c r="K528" s="20">
        <f>Store[[#This Row],[Quantity]]*Store[[#This Row],[Sale Price]]</f>
        <v>199500</v>
      </c>
      <c r="L528" s="20">
        <f>Store[[#This Row],[Gross Sales]]-Store[[#This Row],[Discount]]</f>
        <v>179550</v>
      </c>
      <c r="M528" s="20">
        <f>Store[[#This Row],[Sales]]-Store[[#This Row],[COGS]]</f>
        <v>-11970</v>
      </c>
    </row>
    <row r="529" spans="1:13" x14ac:dyDescent="0.25">
      <c r="A529" t="s">
        <v>49</v>
      </c>
      <c r="B529" t="s">
        <v>56</v>
      </c>
      <c r="C529" s="18" t="s">
        <v>52</v>
      </c>
      <c r="D529" s="19">
        <v>44481</v>
      </c>
      <c r="E529">
        <v>241</v>
      </c>
      <c r="F529" s="16">
        <v>120</v>
      </c>
      <c r="G529" s="16">
        <v>20</v>
      </c>
      <c r="H529" s="16">
        <v>2410</v>
      </c>
      <c r="I529" s="16">
        <v>482</v>
      </c>
      <c r="J529" s="14" t="s">
        <v>60</v>
      </c>
      <c r="K529" s="20">
        <f>Store[[#This Row],[Quantity]]*Store[[#This Row],[Sale Price]]</f>
        <v>4820</v>
      </c>
      <c r="L529" s="20">
        <f>Store[[#This Row],[Gross Sales]]-Store[[#This Row],[Discount]]</f>
        <v>4338</v>
      </c>
      <c r="M529" s="20">
        <f>Store[[#This Row],[Sales]]-Store[[#This Row],[COGS]]</f>
        <v>1928</v>
      </c>
    </row>
    <row r="530" spans="1:13" x14ac:dyDescent="0.25">
      <c r="A530" t="s">
        <v>49</v>
      </c>
      <c r="B530" t="s">
        <v>56</v>
      </c>
      <c r="C530" s="18" t="s">
        <v>52</v>
      </c>
      <c r="D530" s="19">
        <v>44508</v>
      </c>
      <c r="E530">
        <v>2665</v>
      </c>
      <c r="F530" s="16">
        <v>120</v>
      </c>
      <c r="G530" s="16">
        <v>7</v>
      </c>
      <c r="H530" s="16">
        <v>13325</v>
      </c>
      <c r="I530" s="16">
        <v>1865.5</v>
      </c>
      <c r="J530" s="14" t="s">
        <v>60</v>
      </c>
      <c r="K530" s="20">
        <f>Store[[#This Row],[Quantity]]*Store[[#This Row],[Sale Price]]</f>
        <v>18655</v>
      </c>
      <c r="L530" s="20">
        <f>Store[[#This Row],[Gross Sales]]-Store[[#This Row],[Discount]]</f>
        <v>16789.5</v>
      </c>
      <c r="M530" s="20">
        <f>Store[[#This Row],[Sales]]-Store[[#This Row],[COGS]]</f>
        <v>3464.5</v>
      </c>
    </row>
    <row r="531" spans="1:13" x14ac:dyDescent="0.25">
      <c r="A531" t="s">
        <v>47</v>
      </c>
      <c r="B531" t="s">
        <v>58</v>
      </c>
      <c r="C531" s="18" t="s">
        <v>52</v>
      </c>
      <c r="D531" s="19">
        <v>44534</v>
      </c>
      <c r="E531">
        <v>853</v>
      </c>
      <c r="F531" s="16">
        <v>120</v>
      </c>
      <c r="G531" s="16">
        <v>300</v>
      </c>
      <c r="H531" s="16">
        <v>213250</v>
      </c>
      <c r="I531" s="16">
        <v>25590</v>
      </c>
      <c r="J531" s="14" t="s">
        <v>60</v>
      </c>
      <c r="K531" s="20">
        <f>Store[[#This Row],[Quantity]]*Store[[#This Row],[Sale Price]]</f>
        <v>255900</v>
      </c>
      <c r="L531" s="20">
        <f>Store[[#This Row],[Gross Sales]]-Store[[#This Row],[Discount]]</f>
        <v>230310</v>
      </c>
      <c r="M531" s="20">
        <f>Store[[#This Row],[Sales]]-Store[[#This Row],[COGS]]</f>
        <v>17060</v>
      </c>
    </row>
    <row r="532" spans="1:13" x14ac:dyDescent="0.25">
      <c r="A532" t="s">
        <v>41</v>
      </c>
      <c r="B532" t="s">
        <v>48</v>
      </c>
      <c r="C532" s="18" t="s">
        <v>53</v>
      </c>
      <c r="D532" s="19">
        <v>44320</v>
      </c>
      <c r="E532">
        <v>341</v>
      </c>
      <c r="F532" s="16">
        <v>250</v>
      </c>
      <c r="G532" s="16">
        <v>125</v>
      </c>
      <c r="H532" s="16">
        <v>40920</v>
      </c>
      <c r="I532" s="16">
        <v>4262.5</v>
      </c>
      <c r="J532" s="14" t="s">
        <v>60</v>
      </c>
      <c r="K532" s="20">
        <f>Store[[#This Row],[Quantity]]*Store[[#This Row],[Sale Price]]</f>
        <v>42625</v>
      </c>
      <c r="L532" s="20">
        <f>Store[[#This Row],[Gross Sales]]-Store[[#This Row],[Discount]]</f>
        <v>38362.5</v>
      </c>
      <c r="M532" s="20">
        <f>Store[[#This Row],[Sales]]-Store[[#This Row],[COGS]]</f>
        <v>-2557.5</v>
      </c>
    </row>
    <row r="533" spans="1:13" x14ac:dyDescent="0.25">
      <c r="A533" t="s">
        <v>45</v>
      </c>
      <c r="B533" t="s">
        <v>48</v>
      </c>
      <c r="C533" s="18" t="s">
        <v>53</v>
      </c>
      <c r="D533" s="19">
        <v>44382</v>
      </c>
      <c r="E533">
        <v>641</v>
      </c>
      <c r="F533" s="16">
        <v>250</v>
      </c>
      <c r="G533" s="16">
        <v>15</v>
      </c>
      <c r="H533" s="16">
        <v>6410</v>
      </c>
      <c r="I533" s="16">
        <v>961.5</v>
      </c>
      <c r="J533" s="14" t="s">
        <v>60</v>
      </c>
      <c r="K533" s="20">
        <f>Store[[#This Row],[Quantity]]*Store[[#This Row],[Sale Price]]</f>
        <v>9615</v>
      </c>
      <c r="L533" s="20">
        <f>Store[[#This Row],[Gross Sales]]-Store[[#This Row],[Discount]]</f>
        <v>8653.5</v>
      </c>
      <c r="M533" s="20">
        <f>Store[[#This Row],[Sales]]-Store[[#This Row],[COGS]]</f>
        <v>2243.5</v>
      </c>
    </row>
    <row r="534" spans="1:13" x14ac:dyDescent="0.25">
      <c r="A534" t="s">
        <v>49</v>
      </c>
      <c r="B534" t="s">
        <v>51</v>
      </c>
      <c r="C534" s="18" t="s">
        <v>53</v>
      </c>
      <c r="D534" s="19">
        <v>44432</v>
      </c>
      <c r="E534">
        <v>2807</v>
      </c>
      <c r="F534" s="16">
        <v>250</v>
      </c>
      <c r="G534" s="16">
        <v>350</v>
      </c>
      <c r="H534" s="16">
        <v>729820</v>
      </c>
      <c r="I534" s="16">
        <v>98245</v>
      </c>
      <c r="J534" s="14" t="s">
        <v>60</v>
      </c>
      <c r="K534" s="20">
        <f>Store[[#This Row],[Quantity]]*Store[[#This Row],[Sale Price]]</f>
        <v>982450</v>
      </c>
      <c r="L534" s="20">
        <f>Store[[#This Row],[Gross Sales]]-Store[[#This Row],[Discount]]</f>
        <v>884205</v>
      </c>
      <c r="M534" s="20">
        <f>Store[[#This Row],[Sales]]-Store[[#This Row],[COGS]]</f>
        <v>154385</v>
      </c>
    </row>
    <row r="535" spans="1:13" x14ac:dyDescent="0.25">
      <c r="A535" t="s">
        <v>47</v>
      </c>
      <c r="B535" t="s">
        <v>48</v>
      </c>
      <c r="C535" s="18" t="s">
        <v>53</v>
      </c>
      <c r="D535" s="19">
        <v>44441</v>
      </c>
      <c r="E535">
        <v>432</v>
      </c>
      <c r="F535" s="16">
        <v>250</v>
      </c>
      <c r="G535" s="16">
        <v>300</v>
      </c>
      <c r="H535" s="16">
        <v>108000</v>
      </c>
      <c r="I535" s="16">
        <v>12960</v>
      </c>
      <c r="J535" s="14" t="s">
        <v>60</v>
      </c>
      <c r="K535" s="20">
        <f>Store[[#This Row],[Quantity]]*Store[[#This Row],[Sale Price]]</f>
        <v>129600</v>
      </c>
      <c r="L535" s="20">
        <f>Store[[#This Row],[Gross Sales]]-Store[[#This Row],[Discount]]</f>
        <v>116640</v>
      </c>
      <c r="M535" s="20">
        <f>Store[[#This Row],[Sales]]-Store[[#This Row],[COGS]]</f>
        <v>8640</v>
      </c>
    </row>
    <row r="536" spans="1:13" x14ac:dyDescent="0.25">
      <c r="A536" t="s">
        <v>41</v>
      </c>
      <c r="B536" t="s">
        <v>42</v>
      </c>
      <c r="C536" s="18" t="s">
        <v>53</v>
      </c>
      <c r="D536" s="19">
        <v>44525</v>
      </c>
      <c r="E536">
        <v>2529</v>
      </c>
      <c r="F536" s="16">
        <v>250</v>
      </c>
      <c r="G536" s="16">
        <v>125</v>
      </c>
      <c r="H536" s="16">
        <v>303480</v>
      </c>
      <c r="I536" s="16">
        <v>31612.5</v>
      </c>
      <c r="J536" s="14" t="s">
        <v>60</v>
      </c>
      <c r="K536" s="20">
        <f>Store[[#This Row],[Quantity]]*Store[[#This Row],[Sale Price]]</f>
        <v>316125</v>
      </c>
      <c r="L536" s="20">
        <f>Store[[#This Row],[Gross Sales]]-Store[[#This Row],[Discount]]</f>
        <v>284512.5</v>
      </c>
      <c r="M536" s="20">
        <f>Store[[#This Row],[Sales]]-Store[[#This Row],[COGS]]</f>
        <v>-18967.5</v>
      </c>
    </row>
    <row r="537" spans="1:13" x14ac:dyDescent="0.25">
      <c r="A537" t="s">
        <v>41</v>
      </c>
      <c r="B537" t="s">
        <v>51</v>
      </c>
      <c r="C537" s="18" t="s">
        <v>57</v>
      </c>
      <c r="D537" s="19">
        <v>44216</v>
      </c>
      <c r="E537">
        <v>579</v>
      </c>
      <c r="F537" s="16">
        <v>260</v>
      </c>
      <c r="G537" s="16">
        <v>125</v>
      </c>
      <c r="H537" s="16">
        <v>69480</v>
      </c>
      <c r="I537" s="16">
        <v>7237.5</v>
      </c>
      <c r="J537" s="14" t="s">
        <v>60</v>
      </c>
      <c r="K537" s="20">
        <f>Store[[#This Row],[Quantity]]*Store[[#This Row],[Sale Price]]</f>
        <v>72375</v>
      </c>
      <c r="L537" s="20">
        <f>Store[[#This Row],[Gross Sales]]-Store[[#This Row],[Discount]]</f>
        <v>65137.5</v>
      </c>
      <c r="M537" s="20">
        <f>Store[[#This Row],[Sales]]-Store[[#This Row],[COGS]]</f>
        <v>-4342.5</v>
      </c>
    </row>
    <row r="538" spans="1:13" x14ac:dyDescent="0.25">
      <c r="A538" t="s">
        <v>49</v>
      </c>
      <c r="B538" t="s">
        <v>42</v>
      </c>
      <c r="C538" s="18" t="s">
        <v>57</v>
      </c>
      <c r="D538" s="19">
        <v>44235</v>
      </c>
      <c r="E538">
        <v>2240</v>
      </c>
      <c r="F538" s="16">
        <v>260</v>
      </c>
      <c r="G538" s="16">
        <v>350</v>
      </c>
      <c r="H538" s="16">
        <v>582400</v>
      </c>
      <c r="I538" s="16">
        <v>78400</v>
      </c>
      <c r="J538" s="14" t="s">
        <v>60</v>
      </c>
      <c r="K538" s="20">
        <f>Store[[#This Row],[Quantity]]*Store[[#This Row],[Sale Price]]</f>
        <v>784000</v>
      </c>
      <c r="L538" s="20">
        <f>Store[[#This Row],[Gross Sales]]-Store[[#This Row],[Discount]]</f>
        <v>705600</v>
      </c>
      <c r="M538" s="20">
        <f>Store[[#This Row],[Sales]]-Store[[#This Row],[COGS]]</f>
        <v>123200</v>
      </c>
    </row>
    <row r="539" spans="1:13" x14ac:dyDescent="0.25">
      <c r="A539" t="s">
        <v>47</v>
      </c>
      <c r="B539" t="s">
        <v>51</v>
      </c>
      <c r="C539" s="18" t="s">
        <v>57</v>
      </c>
      <c r="D539" s="19">
        <v>44281</v>
      </c>
      <c r="E539">
        <v>2993</v>
      </c>
      <c r="F539" s="16">
        <v>260</v>
      </c>
      <c r="G539" s="16">
        <v>300</v>
      </c>
      <c r="H539" s="16">
        <v>748250</v>
      </c>
      <c r="I539" s="16">
        <v>89790</v>
      </c>
      <c r="J539" s="14" t="s">
        <v>60</v>
      </c>
      <c r="K539" s="20">
        <f>Store[[#This Row],[Quantity]]*Store[[#This Row],[Sale Price]]</f>
        <v>897900</v>
      </c>
      <c r="L539" s="20">
        <f>Store[[#This Row],[Gross Sales]]-Store[[#This Row],[Discount]]</f>
        <v>808110</v>
      </c>
      <c r="M539" s="20">
        <f>Store[[#This Row],[Sales]]-Store[[#This Row],[COGS]]</f>
        <v>59860</v>
      </c>
    </row>
    <row r="540" spans="1:13" x14ac:dyDescent="0.25">
      <c r="A540" t="s">
        <v>50</v>
      </c>
      <c r="B540" t="s">
        <v>42</v>
      </c>
      <c r="C540" s="18" t="s">
        <v>57</v>
      </c>
      <c r="D540" s="19">
        <v>44307</v>
      </c>
      <c r="E540">
        <v>3520.5</v>
      </c>
      <c r="F540" s="16">
        <v>260</v>
      </c>
      <c r="G540" s="16">
        <v>12</v>
      </c>
      <c r="H540" s="16">
        <v>10561.5</v>
      </c>
      <c r="I540" s="16">
        <v>4224.6000000000004</v>
      </c>
      <c r="J540" s="14" t="s">
        <v>60</v>
      </c>
      <c r="K540" s="20">
        <f>Store[[#This Row],[Quantity]]*Store[[#This Row],[Sale Price]]</f>
        <v>42246</v>
      </c>
      <c r="L540" s="20">
        <f>Store[[#This Row],[Gross Sales]]-Store[[#This Row],[Discount]]</f>
        <v>38021.4</v>
      </c>
      <c r="M540" s="20">
        <f>Store[[#This Row],[Sales]]-Store[[#This Row],[COGS]]</f>
        <v>27459.9</v>
      </c>
    </row>
    <row r="541" spans="1:13" x14ac:dyDescent="0.25">
      <c r="A541" t="s">
        <v>49</v>
      </c>
      <c r="B541" t="s">
        <v>48</v>
      </c>
      <c r="C541" s="18" t="s">
        <v>57</v>
      </c>
      <c r="D541" s="19">
        <v>44327</v>
      </c>
      <c r="E541">
        <v>2039</v>
      </c>
      <c r="F541" s="16">
        <v>260</v>
      </c>
      <c r="G541" s="16">
        <v>20</v>
      </c>
      <c r="H541" s="16">
        <v>20390</v>
      </c>
      <c r="I541" s="16">
        <v>4078</v>
      </c>
      <c r="J541" s="14" t="s">
        <v>60</v>
      </c>
      <c r="K541" s="20">
        <f>Store[[#This Row],[Quantity]]*Store[[#This Row],[Sale Price]]</f>
        <v>40780</v>
      </c>
      <c r="L541" s="20">
        <f>Store[[#This Row],[Gross Sales]]-Store[[#This Row],[Discount]]</f>
        <v>36702</v>
      </c>
      <c r="M541" s="20">
        <f>Store[[#This Row],[Sales]]-Store[[#This Row],[COGS]]</f>
        <v>16312</v>
      </c>
    </row>
    <row r="542" spans="1:13" x14ac:dyDescent="0.25">
      <c r="A542" t="s">
        <v>50</v>
      </c>
      <c r="B542" t="s">
        <v>56</v>
      </c>
      <c r="C542" s="18" t="s">
        <v>57</v>
      </c>
      <c r="D542" s="19">
        <v>44429</v>
      </c>
      <c r="E542">
        <v>2574</v>
      </c>
      <c r="F542" s="16">
        <v>260</v>
      </c>
      <c r="G542" s="16">
        <v>12</v>
      </c>
      <c r="H542" s="16">
        <v>7722</v>
      </c>
      <c r="I542" s="16">
        <v>3088.8</v>
      </c>
      <c r="J542" s="14" t="s">
        <v>60</v>
      </c>
      <c r="K542" s="20">
        <f>Store[[#This Row],[Quantity]]*Store[[#This Row],[Sale Price]]</f>
        <v>30888</v>
      </c>
      <c r="L542" s="20">
        <f>Store[[#This Row],[Gross Sales]]-Store[[#This Row],[Discount]]</f>
        <v>27799.200000000001</v>
      </c>
      <c r="M542" s="20">
        <f>Store[[#This Row],[Sales]]-Store[[#This Row],[COGS]]</f>
        <v>20077.2</v>
      </c>
    </row>
    <row r="543" spans="1:13" x14ac:dyDescent="0.25">
      <c r="A543" t="s">
        <v>49</v>
      </c>
      <c r="B543" t="s">
        <v>42</v>
      </c>
      <c r="C543" s="18" t="s">
        <v>57</v>
      </c>
      <c r="D543" s="19">
        <v>44459</v>
      </c>
      <c r="E543">
        <v>707</v>
      </c>
      <c r="F543" s="16">
        <v>260</v>
      </c>
      <c r="G543" s="16">
        <v>350</v>
      </c>
      <c r="H543" s="16">
        <v>183820</v>
      </c>
      <c r="I543" s="16">
        <v>24745</v>
      </c>
      <c r="J543" s="14" t="s">
        <v>60</v>
      </c>
      <c r="K543" s="20">
        <f>Store[[#This Row],[Quantity]]*Store[[#This Row],[Sale Price]]</f>
        <v>247450</v>
      </c>
      <c r="L543" s="20">
        <f>Store[[#This Row],[Gross Sales]]-Store[[#This Row],[Discount]]</f>
        <v>222705</v>
      </c>
      <c r="M543" s="20">
        <f>Store[[#This Row],[Sales]]-Store[[#This Row],[COGS]]</f>
        <v>38885</v>
      </c>
    </row>
    <row r="544" spans="1:13" x14ac:dyDescent="0.25">
      <c r="A544" t="s">
        <v>45</v>
      </c>
      <c r="B544" t="s">
        <v>58</v>
      </c>
      <c r="C544" s="18" t="s">
        <v>57</v>
      </c>
      <c r="D544" s="19">
        <v>44548</v>
      </c>
      <c r="E544">
        <v>2072</v>
      </c>
      <c r="F544" s="16">
        <v>260</v>
      </c>
      <c r="G544" s="16">
        <v>15</v>
      </c>
      <c r="H544" s="16">
        <v>20720</v>
      </c>
      <c r="I544" s="16">
        <v>3108</v>
      </c>
      <c r="J544" s="14" t="s">
        <v>60</v>
      </c>
      <c r="K544" s="20">
        <f>Store[[#This Row],[Quantity]]*Store[[#This Row],[Sale Price]]</f>
        <v>31080</v>
      </c>
      <c r="L544" s="20">
        <f>Store[[#This Row],[Gross Sales]]-Store[[#This Row],[Discount]]</f>
        <v>27972</v>
      </c>
      <c r="M544" s="20">
        <f>Store[[#This Row],[Sales]]-Store[[#This Row],[COGS]]</f>
        <v>7252</v>
      </c>
    </row>
    <row r="545" spans="1:13" x14ac:dyDescent="0.25">
      <c r="A545" t="s">
        <v>47</v>
      </c>
      <c r="B545" t="s">
        <v>58</v>
      </c>
      <c r="C545" s="18" t="s">
        <v>57</v>
      </c>
      <c r="D545" s="19">
        <v>44558</v>
      </c>
      <c r="E545">
        <v>853</v>
      </c>
      <c r="F545" s="16">
        <v>260</v>
      </c>
      <c r="G545" s="16">
        <v>300</v>
      </c>
      <c r="H545" s="16">
        <v>213250</v>
      </c>
      <c r="I545" s="16">
        <v>25590</v>
      </c>
      <c r="J545" s="14" t="s">
        <v>60</v>
      </c>
      <c r="K545" s="20">
        <f>Store[[#This Row],[Quantity]]*Store[[#This Row],[Sale Price]]</f>
        <v>255900</v>
      </c>
      <c r="L545" s="20">
        <f>Store[[#This Row],[Gross Sales]]-Store[[#This Row],[Discount]]</f>
        <v>230310</v>
      </c>
      <c r="M545" s="20">
        <f>Store[[#This Row],[Sales]]-Store[[#This Row],[COGS]]</f>
        <v>17060</v>
      </c>
    </row>
    <row r="546" spans="1:13" x14ac:dyDescent="0.25">
      <c r="A546" t="s">
        <v>49</v>
      </c>
      <c r="B546" t="s">
        <v>58</v>
      </c>
      <c r="C546" s="18" t="s">
        <v>46</v>
      </c>
      <c r="D546" s="19">
        <v>44288</v>
      </c>
      <c r="E546">
        <v>2532</v>
      </c>
      <c r="F546" s="16">
        <v>10</v>
      </c>
      <c r="G546" s="16">
        <v>7</v>
      </c>
      <c r="H546" s="16">
        <v>12660</v>
      </c>
      <c r="I546" s="16">
        <v>1949.6399999999999</v>
      </c>
      <c r="J546" s="14" t="s">
        <v>60</v>
      </c>
      <c r="K546" s="20">
        <f>Store[[#This Row],[Quantity]]*Store[[#This Row],[Sale Price]]</f>
        <v>17724</v>
      </c>
      <c r="L546" s="20">
        <f>Store[[#This Row],[Gross Sales]]-Store[[#This Row],[Discount]]</f>
        <v>15774.36</v>
      </c>
      <c r="M546" s="20">
        <f>Store[[#This Row],[Sales]]-Store[[#This Row],[COGS]]</f>
        <v>3114.3600000000006</v>
      </c>
    </row>
    <row r="547" spans="1:13" x14ac:dyDescent="0.25">
      <c r="A547" t="s">
        <v>45</v>
      </c>
      <c r="B547" t="s">
        <v>42</v>
      </c>
      <c r="C547" s="18" t="s">
        <v>52</v>
      </c>
      <c r="D547" s="19">
        <v>44209</v>
      </c>
      <c r="E547">
        <v>384</v>
      </c>
      <c r="F547" s="16">
        <v>120</v>
      </c>
      <c r="G547" s="16">
        <v>15</v>
      </c>
      <c r="H547" s="16">
        <v>3840</v>
      </c>
      <c r="I547" s="16">
        <v>633.59999999999991</v>
      </c>
      <c r="J547" s="14" t="s">
        <v>60</v>
      </c>
      <c r="K547" s="20">
        <f>Store[[#This Row],[Quantity]]*Store[[#This Row],[Sale Price]]</f>
        <v>5760</v>
      </c>
      <c r="L547" s="20">
        <f>Store[[#This Row],[Gross Sales]]-Store[[#This Row],[Discount]]</f>
        <v>5126.3999999999996</v>
      </c>
      <c r="M547" s="20">
        <f>Store[[#This Row],[Sales]]-Store[[#This Row],[COGS]]</f>
        <v>1286.3999999999996</v>
      </c>
    </row>
    <row r="548" spans="1:13" x14ac:dyDescent="0.25">
      <c r="A548" t="s">
        <v>50</v>
      </c>
      <c r="B548" t="s">
        <v>56</v>
      </c>
      <c r="C548" s="18" t="s">
        <v>52</v>
      </c>
      <c r="D548" s="19">
        <v>44490</v>
      </c>
      <c r="E548">
        <v>472</v>
      </c>
      <c r="F548" s="16">
        <v>120</v>
      </c>
      <c r="G548" s="16">
        <v>12</v>
      </c>
      <c r="H548" s="16">
        <v>1416</v>
      </c>
      <c r="I548" s="16">
        <v>623.04</v>
      </c>
      <c r="J548" s="14" t="s">
        <v>60</v>
      </c>
      <c r="K548" s="20">
        <f>Store[[#This Row],[Quantity]]*Store[[#This Row],[Sale Price]]</f>
        <v>5664</v>
      </c>
      <c r="L548" s="20">
        <f>Store[[#This Row],[Gross Sales]]-Store[[#This Row],[Discount]]</f>
        <v>5040.96</v>
      </c>
      <c r="M548" s="20">
        <f>Store[[#This Row],[Sales]]-Store[[#This Row],[COGS]]</f>
        <v>3624.96</v>
      </c>
    </row>
    <row r="549" spans="1:13" x14ac:dyDescent="0.25">
      <c r="A549" t="s">
        <v>49</v>
      </c>
      <c r="B549" t="s">
        <v>51</v>
      </c>
      <c r="C549" s="18" t="s">
        <v>53</v>
      </c>
      <c r="D549" s="19">
        <v>44258</v>
      </c>
      <c r="E549">
        <v>1579</v>
      </c>
      <c r="F549" s="16">
        <v>250</v>
      </c>
      <c r="G549" s="16">
        <v>7</v>
      </c>
      <c r="H549" s="16">
        <v>7895</v>
      </c>
      <c r="I549" s="16">
        <v>1215.83</v>
      </c>
      <c r="J549" s="14" t="s">
        <v>60</v>
      </c>
      <c r="K549" s="20">
        <f>Store[[#This Row],[Quantity]]*Store[[#This Row],[Sale Price]]</f>
        <v>11053</v>
      </c>
      <c r="L549" s="20">
        <f>Store[[#This Row],[Gross Sales]]-Store[[#This Row],[Discount]]</f>
        <v>9837.17</v>
      </c>
      <c r="M549" s="20">
        <f>Store[[#This Row],[Sales]]-Store[[#This Row],[COGS]]</f>
        <v>1942.17</v>
      </c>
    </row>
    <row r="550" spans="1:13" x14ac:dyDescent="0.25">
      <c r="A550" t="s">
        <v>45</v>
      </c>
      <c r="B550" t="s">
        <v>51</v>
      </c>
      <c r="C550" s="18" t="s">
        <v>57</v>
      </c>
      <c r="D550" s="19">
        <v>44407</v>
      </c>
      <c r="E550">
        <v>3199.5</v>
      </c>
      <c r="F550" s="16">
        <v>260</v>
      </c>
      <c r="G550" s="16">
        <v>15</v>
      </c>
      <c r="H550" s="16">
        <v>31995</v>
      </c>
      <c r="I550" s="16">
        <v>5279.1749999999993</v>
      </c>
      <c r="J550" s="14" t="s">
        <v>60</v>
      </c>
      <c r="K550" s="20">
        <f>Store[[#This Row],[Quantity]]*Store[[#This Row],[Sale Price]]</f>
        <v>47992.5</v>
      </c>
      <c r="L550" s="20">
        <f>Store[[#This Row],[Gross Sales]]-Store[[#This Row],[Discount]]</f>
        <v>42713.324999999997</v>
      </c>
      <c r="M550" s="20">
        <f>Store[[#This Row],[Sales]]-Store[[#This Row],[COGS]]</f>
        <v>10718.324999999997</v>
      </c>
    </row>
    <row r="551" spans="1:13" x14ac:dyDescent="0.25">
      <c r="A551" t="s">
        <v>50</v>
      </c>
      <c r="B551" t="s">
        <v>56</v>
      </c>
      <c r="C551" s="18" t="s">
        <v>57</v>
      </c>
      <c r="D551" s="19">
        <v>44470</v>
      </c>
      <c r="E551">
        <v>472</v>
      </c>
      <c r="F551" s="16">
        <v>260</v>
      </c>
      <c r="G551" s="16">
        <v>12</v>
      </c>
      <c r="H551" s="16">
        <v>1416</v>
      </c>
      <c r="I551" s="16">
        <v>623.04</v>
      </c>
      <c r="J551" s="14" t="s">
        <v>60</v>
      </c>
      <c r="K551" s="20">
        <f>Store[[#This Row],[Quantity]]*Store[[#This Row],[Sale Price]]</f>
        <v>5664</v>
      </c>
      <c r="L551" s="20">
        <f>Store[[#This Row],[Gross Sales]]-Store[[#This Row],[Discount]]</f>
        <v>5040.96</v>
      </c>
      <c r="M551" s="20">
        <f>Store[[#This Row],[Sales]]-Store[[#This Row],[COGS]]</f>
        <v>3624.96</v>
      </c>
    </row>
    <row r="552" spans="1:13" x14ac:dyDescent="0.25">
      <c r="A552" t="s">
        <v>50</v>
      </c>
      <c r="B552" t="s">
        <v>42</v>
      </c>
      <c r="C552" s="18" t="s">
        <v>54</v>
      </c>
      <c r="D552" s="19">
        <v>44232</v>
      </c>
      <c r="E552">
        <v>1937</v>
      </c>
      <c r="F552" s="16">
        <v>3</v>
      </c>
      <c r="G552" s="16">
        <v>12</v>
      </c>
      <c r="H552" s="16">
        <v>5811</v>
      </c>
      <c r="I552" s="16">
        <v>2556.84</v>
      </c>
      <c r="J552" s="14" t="s">
        <v>60</v>
      </c>
      <c r="K552" s="20">
        <f>Store[[#This Row],[Quantity]]*Store[[#This Row],[Sale Price]]</f>
        <v>23244</v>
      </c>
      <c r="L552" s="20">
        <f>Store[[#This Row],[Gross Sales]]-Store[[#This Row],[Discount]]</f>
        <v>20687.16</v>
      </c>
      <c r="M552" s="20">
        <f>Store[[#This Row],[Sales]]-Store[[#This Row],[COGS]]</f>
        <v>14876.16</v>
      </c>
    </row>
    <row r="553" spans="1:13" x14ac:dyDescent="0.25">
      <c r="A553" t="s">
        <v>49</v>
      </c>
      <c r="B553" t="s">
        <v>56</v>
      </c>
      <c r="C553" s="18" t="s">
        <v>54</v>
      </c>
      <c r="D553" s="19">
        <v>44257</v>
      </c>
      <c r="E553">
        <v>792</v>
      </c>
      <c r="F553" s="16">
        <v>3</v>
      </c>
      <c r="G553" s="16">
        <v>350</v>
      </c>
      <c r="H553" s="16">
        <v>205920</v>
      </c>
      <c r="I553" s="16">
        <v>30492</v>
      </c>
      <c r="J553" s="14" t="s">
        <v>60</v>
      </c>
      <c r="K553" s="20">
        <f>Store[[#This Row],[Quantity]]*Store[[#This Row],[Sale Price]]</f>
        <v>277200</v>
      </c>
      <c r="L553" s="20">
        <f>Store[[#This Row],[Gross Sales]]-Store[[#This Row],[Discount]]</f>
        <v>246708</v>
      </c>
      <c r="M553" s="20">
        <f>Store[[#This Row],[Sales]]-Store[[#This Row],[COGS]]</f>
        <v>40788</v>
      </c>
    </row>
    <row r="554" spans="1:13" x14ac:dyDescent="0.25">
      <c r="A554" t="s">
        <v>47</v>
      </c>
      <c r="B554" t="s">
        <v>56</v>
      </c>
      <c r="C554" s="18" t="s">
        <v>54</v>
      </c>
      <c r="D554" s="19">
        <v>44381</v>
      </c>
      <c r="E554">
        <v>2811</v>
      </c>
      <c r="F554" s="16">
        <v>3</v>
      </c>
      <c r="G554" s="16">
        <v>300</v>
      </c>
      <c r="H554" s="16">
        <v>702750</v>
      </c>
      <c r="I554" s="16">
        <v>92763</v>
      </c>
      <c r="J554" s="14" t="s">
        <v>60</v>
      </c>
      <c r="K554" s="20">
        <f>Store[[#This Row],[Quantity]]*Store[[#This Row],[Sale Price]]</f>
        <v>843300</v>
      </c>
      <c r="L554" s="20">
        <f>Store[[#This Row],[Gross Sales]]-Store[[#This Row],[Discount]]</f>
        <v>750537</v>
      </c>
      <c r="M554" s="20">
        <f>Store[[#This Row],[Sales]]-Store[[#This Row],[COGS]]</f>
        <v>47787</v>
      </c>
    </row>
    <row r="555" spans="1:13" x14ac:dyDescent="0.25">
      <c r="A555" t="s">
        <v>41</v>
      </c>
      <c r="B555" t="s">
        <v>58</v>
      </c>
      <c r="C555" s="18" t="s">
        <v>54</v>
      </c>
      <c r="D555" s="19">
        <v>44495</v>
      </c>
      <c r="E555">
        <v>2441</v>
      </c>
      <c r="F555" s="16">
        <v>3</v>
      </c>
      <c r="G555" s="16">
        <v>125</v>
      </c>
      <c r="H555" s="16">
        <v>292920</v>
      </c>
      <c r="I555" s="16">
        <v>33563.75</v>
      </c>
      <c r="J555" s="14" t="s">
        <v>60</v>
      </c>
      <c r="K555" s="20">
        <f>Store[[#This Row],[Quantity]]*Store[[#This Row],[Sale Price]]</f>
        <v>305125</v>
      </c>
      <c r="L555" s="20">
        <f>Store[[#This Row],[Gross Sales]]-Store[[#This Row],[Discount]]</f>
        <v>271561.25</v>
      </c>
      <c r="M555" s="20">
        <f>Store[[#This Row],[Sales]]-Store[[#This Row],[COGS]]</f>
        <v>-21358.75</v>
      </c>
    </row>
    <row r="556" spans="1:13" x14ac:dyDescent="0.25">
      <c r="A556" t="s">
        <v>49</v>
      </c>
      <c r="B556" t="s">
        <v>56</v>
      </c>
      <c r="C556" s="18" t="s">
        <v>43</v>
      </c>
      <c r="D556" s="19">
        <v>44206</v>
      </c>
      <c r="E556">
        <v>766</v>
      </c>
      <c r="F556" s="16">
        <v>5</v>
      </c>
      <c r="G556" s="16">
        <v>350</v>
      </c>
      <c r="H556" s="16">
        <v>199160</v>
      </c>
      <c r="I556" s="16">
        <v>29491</v>
      </c>
      <c r="J556" s="14" t="s">
        <v>60</v>
      </c>
      <c r="K556" s="20">
        <f>Store[[#This Row],[Quantity]]*Store[[#This Row],[Sale Price]]</f>
        <v>268100</v>
      </c>
      <c r="L556" s="20">
        <f>Store[[#This Row],[Gross Sales]]-Store[[#This Row],[Discount]]</f>
        <v>238609</v>
      </c>
      <c r="M556" s="20">
        <f>Store[[#This Row],[Sales]]-Store[[#This Row],[COGS]]</f>
        <v>39449</v>
      </c>
    </row>
    <row r="557" spans="1:13" x14ac:dyDescent="0.25">
      <c r="A557" t="s">
        <v>45</v>
      </c>
      <c r="B557" t="s">
        <v>48</v>
      </c>
      <c r="C557" s="18" t="s">
        <v>43</v>
      </c>
      <c r="D557" s="19">
        <v>44556</v>
      </c>
      <c r="E557">
        <v>2157</v>
      </c>
      <c r="F557" s="16">
        <v>5</v>
      </c>
      <c r="G557" s="16">
        <v>15</v>
      </c>
      <c r="H557" s="16">
        <v>21570</v>
      </c>
      <c r="I557" s="16">
        <v>3559.05</v>
      </c>
      <c r="J557" s="14" t="s">
        <v>60</v>
      </c>
      <c r="K557" s="20">
        <f>Store[[#This Row],[Quantity]]*Store[[#This Row],[Sale Price]]</f>
        <v>32355</v>
      </c>
      <c r="L557" s="20">
        <f>Store[[#This Row],[Gross Sales]]-Store[[#This Row],[Discount]]</f>
        <v>28795.95</v>
      </c>
      <c r="M557" s="20">
        <f>Store[[#This Row],[Sales]]-Store[[#This Row],[COGS]]</f>
        <v>7225.9500000000007</v>
      </c>
    </row>
    <row r="558" spans="1:13" x14ac:dyDescent="0.25">
      <c r="A558" t="s">
        <v>47</v>
      </c>
      <c r="B558" t="s">
        <v>42</v>
      </c>
      <c r="C558" s="18" t="s">
        <v>46</v>
      </c>
      <c r="D558" s="19">
        <v>44216</v>
      </c>
      <c r="E558">
        <v>873</v>
      </c>
      <c r="F558" s="16">
        <v>10</v>
      </c>
      <c r="G558" s="16">
        <v>300</v>
      </c>
      <c r="H558" s="16">
        <v>218250</v>
      </c>
      <c r="I558" s="16">
        <v>28809</v>
      </c>
      <c r="J558" s="14" t="s">
        <v>60</v>
      </c>
      <c r="K558" s="20">
        <f>Store[[#This Row],[Quantity]]*Store[[#This Row],[Sale Price]]</f>
        <v>261900</v>
      </c>
      <c r="L558" s="20">
        <f>Store[[#This Row],[Gross Sales]]-Store[[#This Row],[Discount]]</f>
        <v>233091</v>
      </c>
      <c r="M558" s="20">
        <f>Store[[#This Row],[Sales]]-Store[[#This Row],[COGS]]</f>
        <v>14841</v>
      </c>
    </row>
    <row r="559" spans="1:13" x14ac:dyDescent="0.25">
      <c r="A559" t="s">
        <v>49</v>
      </c>
      <c r="B559" t="s">
        <v>48</v>
      </c>
      <c r="C559" s="18" t="s">
        <v>46</v>
      </c>
      <c r="D559" s="19">
        <v>44276</v>
      </c>
      <c r="E559">
        <v>1122</v>
      </c>
      <c r="F559" s="16">
        <v>10</v>
      </c>
      <c r="G559" s="16">
        <v>20</v>
      </c>
      <c r="H559" s="16">
        <v>11220</v>
      </c>
      <c r="I559" s="16">
        <v>2468.4</v>
      </c>
      <c r="J559" s="14" t="s">
        <v>60</v>
      </c>
      <c r="K559" s="20">
        <f>Store[[#This Row],[Quantity]]*Store[[#This Row],[Sale Price]]</f>
        <v>22440</v>
      </c>
      <c r="L559" s="20">
        <f>Store[[#This Row],[Gross Sales]]-Store[[#This Row],[Discount]]</f>
        <v>19971.599999999999</v>
      </c>
      <c r="M559" s="20">
        <f>Store[[#This Row],[Sales]]-Store[[#This Row],[COGS]]</f>
        <v>8751.5999999999985</v>
      </c>
    </row>
    <row r="560" spans="1:13" x14ac:dyDescent="0.25">
      <c r="A560" t="s">
        <v>49</v>
      </c>
      <c r="B560" t="s">
        <v>42</v>
      </c>
      <c r="C560" s="18" t="s">
        <v>46</v>
      </c>
      <c r="D560" s="19">
        <v>44381</v>
      </c>
      <c r="E560">
        <v>2104.5</v>
      </c>
      <c r="F560" s="16">
        <v>10</v>
      </c>
      <c r="G560" s="16">
        <v>350</v>
      </c>
      <c r="H560" s="16">
        <v>547170</v>
      </c>
      <c r="I560" s="16">
        <v>81023.25</v>
      </c>
      <c r="J560" s="14" t="s">
        <v>60</v>
      </c>
      <c r="K560" s="20">
        <f>Store[[#This Row],[Quantity]]*Store[[#This Row],[Sale Price]]</f>
        <v>736575</v>
      </c>
      <c r="L560" s="20">
        <f>Store[[#This Row],[Gross Sales]]-Store[[#This Row],[Discount]]</f>
        <v>655551.75</v>
      </c>
      <c r="M560" s="20">
        <f>Store[[#This Row],[Sales]]-Store[[#This Row],[COGS]]</f>
        <v>108381.75</v>
      </c>
    </row>
    <row r="561" spans="1:13" x14ac:dyDescent="0.25">
      <c r="A561" t="s">
        <v>50</v>
      </c>
      <c r="B561" t="s">
        <v>42</v>
      </c>
      <c r="C561" s="18" t="s">
        <v>46</v>
      </c>
      <c r="D561" s="19">
        <v>44392</v>
      </c>
      <c r="E561">
        <v>4026</v>
      </c>
      <c r="F561" s="16">
        <v>10</v>
      </c>
      <c r="G561" s="16">
        <v>12</v>
      </c>
      <c r="H561" s="16">
        <v>12078</v>
      </c>
      <c r="I561" s="16">
        <v>5314.32</v>
      </c>
      <c r="J561" s="14" t="s">
        <v>60</v>
      </c>
      <c r="K561" s="20">
        <f>Store[[#This Row],[Quantity]]*Store[[#This Row],[Sale Price]]</f>
        <v>48312</v>
      </c>
      <c r="L561" s="20">
        <f>Store[[#This Row],[Gross Sales]]-Store[[#This Row],[Discount]]</f>
        <v>42997.68</v>
      </c>
      <c r="M561" s="20">
        <f>Store[[#This Row],[Sales]]-Store[[#This Row],[COGS]]</f>
        <v>30919.68</v>
      </c>
    </row>
    <row r="562" spans="1:13" x14ac:dyDescent="0.25">
      <c r="A562" t="s">
        <v>50</v>
      </c>
      <c r="B562" t="s">
        <v>58</v>
      </c>
      <c r="C562" s="18" t="s">
        <v>46</v>
      </c>
      <c r="D562" s="19">
        <v>44398</v>
      </c>
      <c r="E562">
        <v>2425.5</v>
      </c>
      <c r="F562" s="16">
        <v>10</v>
      </c>
      <c r="G562" s="16">
        <v>12</v>
      </c>
      <c r="H562" s="16">
        <v>7276.5</v>
      </c>
      <c r="I562" s="16">
        <v>3201.66</v>
      </c>
      <c r="J562" s="14" t="s">
        <v>60</v>
      </c>
      <c r="K562" s="20">
        <f>Store[[#This Row],[Quantity]]*Store[[#This Row],[Sale Price]]</f>
        <v>29106</v>
      </c>
      <c r="L562" s="20">
        <f>Store[[#This Row],[Gross Sales]]-Store[[#This Row],[Discount]]</f>
        <v>25904.34</v>
      </c>
      <c r="M562" s="20">
        <f>Store[[#This Row],[Sales]]-Store[[#This Row],[COGS]]</f>
        <v>18627.84</v>
      </c>
    </row>
    <row r="563" spans="1:13" x14ac:dyDescent="0.25">
      <c r="A563" t="s">
        <v>49</v>
      </c>
      <c r="B563" t="s">
        <v>42</v>
      </c>
      <c r="C563" s="18" t="s">
        <v>46</v>
      </c>
      <c r="D563" s="19">
        <v>44418</v>
      </c>
      <c r="E563">
        <v>2394</v>
      </c>
      <c r="F563" s="16">
        <v>10</v>
      </c>
      <c r="G563" s="16">
        <v>20</v>
      </c>
      <c r="H563" s="16">
        <v>23940</v>
      </c>
      <c r="I563" s="16">
        <v>5266.8</v>
      </c>
      <c r="J563" s="14" t="s">
        <v>60</v>
      </c>
      <c r="K563" s="20">
        <f>Store[[#This Row],[Quantity]]*Store[[#This Row],[Sale Price]]</f>
        <v>47880</v>
      </c>
      <c r="L563" s="20">
        <f>Store[[#This Row],[Gross Sales]]-Store[[#This Row],[Discount]]</f>
        <v>42613.2</v>
      </c>
      <c r="M563" s="20">
        <f>Store[[#This Row],[Sales]]-Store[[#This Row],[COGS]]</f>
        <v>18673.199999999997</v>
      </c>
    </row>
    <row r="564" spans="1:13" x14ac:dyDescent="0.25">
      <c r="A564" t="s">
        <v>45</v>
      </c>
      <c r="B564" t="s">
        <v>48</v>
      </c>
      <c r="C564" s="18" t="s">
        <v>46</v>
      </c>
      <c r="D564" s="19">
        <v>44414</v>
      </c>
      <c r="E564">
        <v>1984</v>
      </c>
      <c r="F564" s="16">
        <v>10</v>
      </c>
      <c r="G564" s="16">
        <v>15</v>
      </c>
      <c r="H564" s="16">
        <v>19840</v>
      </c>
      <c r="I564" s="16">
        <v>3273.6</v>
      </c>
      <c r="J564" s="14" t="s">
        <v>60</v>
      </c>
      <c r="K564" s="20">
        <f>Store[[#This Row],[Quantity]]*Store[[#This Row],[Sale Price]]</f>
        <v>29760</v>
      </c>
      <c r="L564" s="20">
        <f>Store[[#This Row],[Gross Sales]]-Store[[#This Row],[Discount]]</f>
        <v>26486.400000000001</v>
      </c>
      <c r="M564" s="20">
        <f>Store[[#This Row],[Sales]]-Store[[#This Row],[COGS]]</f>
        <v>6646.4000000000015</v>
      </c>
    </row>
    <row r="565" spans="1:13" x14ac:dyDescent="0.25">
      <c r="A565" t="s">
        <v>41</v>
      </c>
      <c r="B565" t="s">
        <v>58</v>
      </c>
      <c r="C565" s="18" t="s">
        <v>46</v>
      </c>
      <c r="D565" s="19">
        <v>44491</v>
      </c>
      <c r="E565">
        <v>2441</v>
      </c>
      <c r="F565" s="16">
        <v>10</v>
      </c>
      <c r="G565" s="16">
        <v>125</v>
      </c>
      <c r="H565" s="16">
        <v>292920</v>
      </c>
      <c r="I565" s="16">
        <v>33563.75</v>
      </c>
      <c r="J565" s="14" t="s">
        <v>60</v>
      </c>
      <c r="K565" s="20">
        <f>Store[[#This Row],[Quantity]]*Store[[#This Row],[Sale Price]]</f>
        <v>305125</v>
      </c>
      <c r="L565" s="20">
        <f>Store[[#This Row],[Gross Sales]]-Store[[#This Row],[Discount]]</f>
        <v>271561.25</v>
      </c>
      <c r="M565" s="20">
        <f>Store[[#This Row],[Sales]]-Store[[#This Row],[COGS]]</f>
        <v>-21358.75</v>
      </c>
    </row>
    <row r="566" spans="1:13" x14ac:dyDescent="0.25">
      <c r="A566" t="s">
        <v>47</v>
      </c>
      <c r="B566" t="s">
        <v>42</v>
      </c>
      <c r="C566" s="18" t="s">
        <v>46</v>
      </c>
      <c r="D566" s="19">
        <v>44515</v>
      </c>
      <c r="E566">
        <v>1366</v>
      </c>
      <c r="F566" s="16">
        <v>10</v>
      </c>
      <c r="G566" s="16">
        <v>300</v>
      </c>
      <c r="H566" s="16">
        <v>341500</v>
      </c>
      <c r="I566" s="16">
        <v>45078</v>
      </c>
      <c r="J566" s="14" t="s">
        <v>60</v>
      </c>
      <c r="K566" s="20">
        <f>Store[[#This Row],[Quantity]]*Store[[#This Row],[Sale Price]]</f>
        <v>409800</v>
      </c>
      <c r="L566" s="20">
        <f>Store[[#This Row],[Gross Sales]]-Store[[#This Row],[Discount]]</f>
        <v>364722</v>
      </c>
      <c r="M566" s="20">
        <f>Store[[#This Row],[Sales]]-Store[[#This Row],[COGS]]</f>
        <v>23222</v>
      </c>
    </row>
    <row r="567" spans="1:13" x14ac:dyDescent="0.25">
      <c r="A567" t="s">
        <v>49</v>
      </c>
      <c r="B567" t="s">
        <v>42</v>
      </c>
      <c r="C567" s="18" t="s">
        <v>52</v>
      </c>
      <c r="D567" s="19">
        <v>44518</v>
      </c>
      <c r="E567">
        <v>1808</v>
      </c>
      <c r="F567" s="16">
        <v>120</v>
      </c>
      <c r="G567" s="16">
        <v>7</v>
      </c>
      <c r="H567" s="16">
        <v>9040</v>
      </c>
      <c r="I567" s="16">
        <v>1392.16</v>
      </c>
      <c r="J567" s="14" t="s">
        <v>60</v>
      </c>
      <c r="K567" s="20">
        <f>Store[[#This Row],[Quantity]]*Store[[#This Row],[Sale Price]]</f>
        <v>12656</v>
      </c>
      <c r="L567" s="20">
        <f>Store[[#This Row],[Gross Sales]]-Store[[#This Row],[Discount]]</f>
        <v>11263.84</v>
      </c>
      <c r="M567" s="20">
        <f>Store[[#This Row],[Sales]]-Store[[#This Row],[COGS]]</f>
        <v>2223.84</v>
      </c>
    </row>
    <row r="568" spans="1:13" x14ac:dyDescent="0.25">
      <c r="A568" t="s">
        <v>50</v>
      </c>
      <c r="B568" t="s">
        <v>58</v>
      </c>
      <c r="C568" s="18" t="s">
        <v>53</v>
      </c>
      <c r="D568" s="19">
        <v>44215</v>
      </c>
      <c r="E568">
        <v>1734</v>
      </c>
      <c r="F568" s="16">
        <v>250</v>
      </c>
      <c r="G568" s="16">
        <v>12</v>
      </c>
      <c r="H568" s="16">
        <v>5202</v>
      </c>
      <c r="I568" s="16">
        <v>2288.88</v>
      </c>
      <c r="J568" s="14" t="s">
        <v>60</v>
      </c>
      <c r="K568" s="20">
        <f>Store[[#This Row],[Quantity]]*Store[[#This Row],[Sale Price]]</f>
        <v>20808</v>
      </c>
      <c r="L568" s="20">
        <f>Store[[#This Row],[Gross Sales]]-Store[[#This Row],[Discount]]</f>
        <v>18519.12</v>
      </c>
      <c r="M568" s="20">
        <f>Store[[#This Row],[Sales]]-Store[[#This Row],[COGS]]</f>
        <v>13317.119999999999</v>
      </c>
    </row>
    <row r="569" spans="1:13" x14ac:dyDescent="0.25">
      <c r="A569" t="s">
        <v>41</v>
      </c>
      <c r="B569" t="s">
        <v>48</v>
      </c>
      <c r="C569" s="18" t="s">
        <v>53</v>
      </c>
      <c r="D569" s="19">
        <v>44205</v>
      </c>
      <c r="E569">
        <v>554</v>
      </c>
      <c r="F569" s="16">
        <v>250</v>
      </c>
      <c r="G569" s="16">
        <v>125</v>
      </c>
      <c r="H569" s="16">
        <v>66480</v>
      </c>
      <c r="I569" s="16">
        <v>7617.5</v>
      </c>
      <c r="J569" s="14" t="s">
        <v>60</v>
      </c>
      <c r="K569" s="20">
        <f>Store[[#This Row],[Quantity]]*Store[[#This Row],[Sale Price]]</f>
        <v>69250</v>
      </c>
      <c r="L569" s="20">
        <f>Store[[#This Row],[Gross Sales]]-Store[[#This Row],[Discount]]</f>
        <v>61632.5</v>
      </c>
      <c r="M569" s="20">
        <f>Store[[#This Row],[Sales]]-Store[[#This Row],[COGS]]</f>
        <v>-4847.5</v>
      </c>
    </row>
    <row r="570" spans="1:13" x14ac:dyDescent="0.25">
      <c r="A570" t="s">
        <v>41</v>
      </c>
      <c r="B570" t="s">
        <v>56</v>
      </c>
      <c r="C570" s="18" t="s">
        <v>57</v>
      </c>
      <c r="D570" s="19">
        <v>44209</v>
      </c>
      <c r="E570">
        <v>3165</v>
      </c>
      <c r="F570" s="16">
        <v>260</v>
      </c>
      <c r="G570" s="16">
        <v>125</v>
      </c>
      <c r="H570" s="16">
        <v>379800</v>
      </c>
      <c r="I570" s="16">
        <v>43518.75</v>
      </c>
      <c r="J570" s="14" t="s">
        <v>60</v>
      </c>
      <c r="K570" s="20">
        <f>Store[[#This Row],[Quantity]]*Store[[#This Row],[Sale Price]]</f>
        <v>395625</v>
      </c>
      <c r="L570" s="20">
        <f>Store[[#This Row],[Gross Sales]]-Store[[#This Row],[Discount]]</f>
        <v>352106.25</v>
      </c>
      <c r="M570" s="20">
        <f>Store[[#This Row],[Sales]]-Store[[#This Row],[COGS]]</f>
        <v>-27693.75</v>
      </c>
    </row>
    <row r="571" spans="1:13" x14ac:dyDescent="0.25">
      <c r="A571" t="s">
        <v>49</v>
      </c>
      <c r="B571" t="s">
        <v>48</v>
      </c>
      <c r="C571" s="18" t="s">
        <v>57</v>
      </c>
      <c r="D571" s="19">
        <v>44209</v>
      </c>
      <c r="E571">
        <v>2629</v>
      </c>
      <c r="F571" s="16">
        <v>260</v>
      </c>
      <c r="G571" s="16">
        <v>20</v>
      </c>
      <c r="H571" s="16">
        <v>26290</v>
      </c>
      <c r="I571" s="16">
        <v>5783.8</v>
      </c>
      <c r="J571" s="14" t="s">
        <v>60</v>
      </c>
      <c r="K571" s="20">
        <f>Store[[#This Row],[Quantity]]*Store[[#This Row],[Sale Price]]</f>
        <v>52580</v>
      </c>
      <c r="L571" s="20">
        <f>Store[[#This Row],[Gross Sales]]-Store[[#This Row],[Discount]]</f>
        <v>46796.2</v>
      </c>
      <c r="M571" s="20">
        <f>Store[[#This Row],[Sales]]-Store[[#This Row],[COGS]]</f>
        <v>20506.199999999997</v>
      </c>
    </row>
    <row r="572" spans="1:13" x14ac:dyDescent="0.25">
      <c r="A572" t="s">
        <v>41</v>
      </c>
      <c r="B572" t="s">
        <v>58</v>
      </c>
      <c r="C572" s="18" t="s">
        <v>57</v>
      </c>
      <c r="D572" s="19">
        <v>44347</v>
      </c>
      <c r="E572">
        <v>1433</v>
      </c>
      <c r="F572" s="16">
        <v>260</v>
      </c>
      <c r="G572" s="16">
        <v>125</v>
      </c>
      <c r="H572" s="16">
        <v>171960</v>
      </c>
      <c r="I572" s="16">
        <v>19703.75</v>
      </c>
      <c r="J572" s="14" t="s">
        <v>60</v>
      </c>
      <c r="K572" s="20">
        <f>Store[[#This Row],[Quantity]]*Store[[#This Row],[Sale Price]]</f>
        <v>179125</v>
      </c>
      <c r="L572" s="20">
        <f>Store[[#This Row],[Gross Sales]]-Store[[#This Row],[Discount]]</f>
        <v>159421.25</v>
      </c>
      <c r="M572" s="20">
        <f>Store[[#This Row],[Sales]]-Store[[#This Row],[COGS]]</f>
        <v>-12538.75</v>
      </c>
    </row>
    <row r="573" spans="1:13" x14ac:dyDescent="0.25">
      <c r="A573" t="s">
        <v>45</v>
      </c>
      <c r="B573" t="s">
        <v>48</v>
      </c>
      <c r="C573" s="18" t="s">
        <v>57</v>
      </c>
      <c r="D573" s="19">
        <v>44549</v>
      </c>
      <c r="E573">
        <v>2157</v>
      </c>
      <c r="F573" s="16">
        <v>260</v>
      </c>
      <c r="G573" s="16">
        <v>15</v>
      </c>
      <c r="H573" s="16">
        <v>21570</v>
      </c>
      <c r="I573" s="16">
        <v>3559.05</v>
      </c>
      <c r="J573" s="14" t="s">
        <v>60</v>
      </c>
      <c r="K573" s="20">
        <f>Store[[#This Row],[Quantity]]*Store[[#This Row],[Sale Price]]</f>
        <v>32355</v>
      </c>
      <c r="L573" s="20">
        <f>Store[[#This Row],[Gross Sales]]-Store[[#This Row],[Discount]]</f>
        <v>28795.95</v>
      </c>
      <c r="M573" s="20">
        <f>Store[[#This Row],[Sales]]-Store[[#This Row],[COGS]]</f>
        <v>7225.9500000000007</v>
      </c>
    </row>
    <row r="574" spans="1:13" x14ac:dyDescent="0.25">
      <c r="A574" t="s">
        <v>49</v>
      </c>
      <c r="B574" t="s">
        <v>48</v>
      </c>
      <c r="C574" s="18" t="s">
        <v>54</v>
      </c>
      <c r="D574" s="19">
        <v>44354</v>
      </c>
      <c r="E574">
        <v>886</v>
      </c>
      <c r="F574" s="16">
        <v>3</v>
      </c>
      <c r="G574" s="16">
        <v>350</v>
      </c>
      <c r="H574" s="16">
        <v>230360</v>
      </c>
      <c r="I574" s="16">
        <v>37212</v>
      </c>
      <c r="J574" s="14" t="s">
        <v>60</v>
      </c>
      <c r="K574" s="20">
        <f>Store[[#This Row],[Quantity]]*Store[[#This Row],[Sale Price]]</f>
        <v>310100</v>
      </c>
      <c r="L574" s="20">
        <f>Store[[#This Row],[Gross Sales]]-Store[[#This Row],[Discount]]</f>
        <v>272888</v>
      </c>
      <c r="M574" s="20">
        <f>Store[[#This Row],[Sales]]-Store[[#This Row],[COGS]]</f>
        <v>42528</v>
      </c>
    </row>
    <row r="575" spans="1:13" x14ac:dyDescent="0.25">
      <c r="A575" t="s">
        <v>41</v>
      </c>
      <c r="B575" t="s">
        <v>48</v>
      </c>
      <c r="C575" s="18" t="s">
        <v>54</v>
      </c>
      <c r="D575" s="19">
        <v>44473</v>
      </c>
      <c r="E575">
        <v>2156</v>
      </c>
      <c r="F575" s="16">
        <v>3</v>
      </c>
      <c r="G575" s="16">
        <v>125</v>
      </c>
      <c r="H575" s="16">
        <v>258720</v>
      </c>
      <c r="I575" s="16">
        <v>32340</v>
      </c>
      <c r="J575" s="14" t="s">
        <v>60</v>
      </c>
      <c r="K575" s="20">
        <f>Store[[#This Row],[Quantity]]*Store[[#This Row],[Sale Price]]</f>
        <v>269500</v>
      </c>
      <c r="L575" s="20">
        <f>Store[[#This Row],[Gross Sales]]-Store[[#This Row],[Discount]]</f>
        <v>237160</v>
      </c>
      <c r="M575" s="20">
        <f>Store[[#This Row],[Sales]]-Store[[#This Row],[COGS]]</f>
        <v>-21560</v>
      </c>
    </row>
    <row r="576" spans="1:13" x14ac:dyDescent="0.25">
      <c r="A576" t="s">
        <v>45</v>
      </c>
      <c r="B576" t="s">
        <v>42</v>
      </c>
      <c r="C576" s="18" t="s">
        <v>54</v>
      </c>
      <c r="D576" s="19">
        <v>44510</v>
      </c>
      <c r="E576">
        <v>2689</v>
      </c>
      <c r="F576" s="16">
        <v>3</v>
      </c>
      <c r="G576" s="16">
        <v>15</v>
      </c>
      <c r="H576" s="16">
        <v>26890</v>
      </c>
      <c r="I576" s="16">
        <v>4840.2</v>
      </c>
      <c r="J576" s="14" t="s">
        <v>60</v>
      </c>
      <c r="K576" s="20">
        <f>Store[[#This Row],[Quantity]]*Store[[#This Row],[Sale Price]]</f>
        <v>40335</v>
      </c>
      <c r="L576" s="20">
        <f>Store[[#This Row],[Gross Sales]]-Store[[#This Row],[Discount]]</f>
        <v>35494.800000000003</v>
      </c>
      <c r="M576" s="20">
        <f>Store[[#This Row],[Sales]]-Store[[#This Row],[COGS]]</f>
        <v>8604.8000000000029</v>
      </c>
    </row>
    <row r="577" spans="1:13" x14ac:dyDescent="0.25">
      <c r="A577" t="s">
        <v>45</v>
      </c>
      <c r="B577" t="s">
        <v>51</v>
      </c>
      <c r="C577" s="18" t="s">
        <v>43</v>
      </c>
      <c r="D577" s="19">
        <v>44280</v>
      </c>
      <c r="E577">
        <v>677</v>
      </c>
      <c r="F577" s="16">
        <v>5</v>
      </c>
      <c r="G577" s="16">
        <v>15</v>
      </c>
      <c r="H577" s="16">
        <v>6770</v>
      </c>
      <c r="I577" s="16">
        <v>1218.5999999999999</v>
      </c>
      <c r="J577" s="14" t="s">
        <v>60</v>
      </c>
      <c r="K577" s="20">
        <f>Store[[#This Row],[Quantity]]*Store[[#This Row],[Sale Price]]</f>
        <v>10155</v>
      </c>
      <c r="L577" s="20">
        <f>Store[[#This Row],[Gross Sales]]-Store[[#This Row],[Discount]]</f>
        <v>8936.4</v>
      </c>
      <c r="M577" s="20">
        <f>Store[[#This Row],[Sales]]-Store[[#This Row],[COGS]]</f>
        <v>2166.3999999999996</v>
      </c>
    </row>
    <row r="578" spans="1:13" x14ac:dyDescent="0.25">
      <c r="A578" t="s">
        <v>47</v>
      </c>
      <c r="B578" t="s">
        <v>58</v>
      </c>
      <c r="C578" s="18" t="s">
        <v>43</v>
      </c>
      <c r="D578" s="19">
        <v>44297</v>
      </c>
      <c r="E578">
        <v>1773</v>
      </c>
      <c r="F578" s="16">
        <v>5</v>
      </c>
      <c r="G578" s="16">
        <v>300</v>
      </c>
      <c r="H578" s="16">
        <v>443250</v>
      </c>
      <c r="I578" s="16">
        <v>63828</v>
      </c>
      <c r="J578" s="14" t="s">
        <v>60</v>
      </c>
      <c r="K578" s="20">
        <f>Store[[#This Row],[Quantity]]*Store[[#This Row],[Sale Price]]</f>
        <v>531900</v>
      </c>
      <c r="L578" s="20">
        <f>Store[[#This Row],[Gross Sales]]-Store[[#This Row],[Discount]]</f>
        <v>468072</v>
      </c>
      <c r="M578" s="20">
        <f>Store[[#This Row],[Sales]]-Store[[#This Row],[COGS]]</f>
        <v>24822</v>
      </c>
    </row>
    <row r="579" spans="1:13" x14ac:dyDescent="0.25">
      <c r="A579" t="s">
        <v>49</v>
      </c>
      <c r="B579" t="s">
        <v>48</v>
      </c>
      <c r="C579" s="18" t="s">
        <v>43</v>
      </c>
      <c r="D579" s="19">
        <v>44448</v>
      </c>
      <c r="E579">
        <v>2420</v>
      </c>
      <c r="F579" s="16">
        <v>5</v>
      </c>
      <c r="G579" s="16">
        <v>7</v>
      </c>
      <c r="H579" s="16">
        <v>12100</v>
      </c>
      <c r="I579" s="16">
        <v>2032.8</v>
      </c>
      <c r="J579" s="14" t="s">
        <v>60</v>
      </c>
      <c r="K579" s="20">
        <f>Store[[#This Row],[Quantity]]*Store[[#This Row],[Sale Price]]</f>
        <v>16940</v>
      </c>
      <c r="L579" s="20">
        <f>Store[[#This Row],[Gross Sales]]-Store[[#This Row],[Discount]]</f>
        <v>14907.2</v>
      </c>
      <c r="M579" s="20">
        <f>Store[[#This Row],[Sales]]-Store[[#This Row],[COGS]]</f>
        <v>2807.2000000000007</v>
      </c>
    </row>
    <row r="580" spans="1:13" x14ac:dyDescent="0.25">
      <c r="A580" t="s">
        <v>49</v>
      </c>
      <c r="B580" t="s">
        <v>42</v>
      </c>
      <c r="C580" s="18" t="s">
        <v>43</v>
      </c>
      <c r="D580" s="19">
        <v>44499</v>
      </c>
      <c r="E580">
        <v>2734</v>
      </c>
      <c r="F580" s="16">
        <v>5</v>
      </c>
      <c r="G580" s="16">
        <v>7</v>
      </c>
      <c r="H580" s="16">
        <v>13670</v>
      </c>
      <c r="I580" s="16">
        <v>2296.56</v>
      </c>
      <c r="J580" s="14" t="s">
        <v>60</v>
      </c>
      <c r="K580" s="20">
        <f>Store[[#This Row],[Quantity]]*Store[[#This Row],[Sale Price]]</f>
        <v>19138</v>
      </c>
      <c r="L580" s="20">
        <f>Store[[#This Row],[Gross Sales]]-Store[[#This Row],[Discount]]</f>
        <v>16841.439999999999</v>
      </c>
      <c r="M580" s="20">
        <f>Store[[#This Row],[Sales]]-Store[[#This Row],[COGS]]</f>
        <v>3171.4399999999987</v>
      </c>
    </row>
    <row r="581" spans="1:13" x14ac:dyDescent="0.25">
      <c r="A581" t="s">
        <v>47</v>
      </c>
      <c r="B581" t="s">
        <v>51</v>
      </c>
      <c r="C581" s="18" t="s">
        <v>46</v>
      </c>
      <c r="D581" s="19">
        <v>44211</v>
      </c>
      <c r="E581">
        <v>3495</v>
      </c>
      <c r="F581" s="16">
        <v>10</v>
      </c>
      <c r="G581" s="16">
        <v>300</v>
      </c>
      <c r="H581" s="16">
        <v>873750</v>
      </c>
      <c r="I581" s="16">
        <v>125820</v>
      </c>
      <c r="J581" s="14" t="s">
        <v>60</v>
      </c>
      <c r="K581" s="20">
        <f>Store[[#This Row],[Quantity]]*Store[[#This Row],[Sale Price]]</f>
        <v>1048500</v>
      </c>
      <c r="L581" s="20">
        <f>Store[[#This Row],[Gross Sales]]-Store[[#This Row],[Discount]]</f>
        <v>922680</v>
      </c>
      <c r="M581" s="20">
        <f>Store[[#This Row],[Sales]]-Store[[#This Row],[COGS]]</f>
        <v>48930</v>
      </c>
    </row>
    <row r="582" spans="1:13" x14ac:dyDescent="0.25">
      <c r="A582" t="s">
        <v>49</v>
      </c>
      <c r="B582" t="s">
        <v>48</v>
      </c>
      <c r="C582" s="18" t="s">
        <v>46</v>
      </c>
      <c r="D582" s="19">
        <v>44373</v>
      </c>
      <c r="E582">
        <v>886</v>
      </c>
      <c r="F582" s="16">
        <v>10</v>
      </c>
      <c r="G582" s="16">
        <v>350</v>
      </c>
      <c r="H582" s="16">
        <v>230360</v>
      </c>
      <c r="I582" s="16">
        <v>37212</v>
      </c>
      <c r="J582" s="14" t="s">
        <v>60</v>
      </c>
      <c r="K582" s="20">
        <f>Store[[#This Row],[Quantity]]*Store[[#This Row],[Sale Price]]</f>
        <v>310100</v>
      </c>
      <c r="L582" s="20">
        <f>Store[[#This Row],[Gross Sales]]-Store[[#This Row],[Discount]]</f>
        <v>272888</v>
      </c>
      <c r="M582" s="20">
        <f>Store[[#This Row],[Sales]]-Store[[#This Row],[COGS]]</f>
        <v>42528</v>
      </c>
    </row>
    <row r="583" spans="1:13" x14ac:dyDescent="0.25">
      <c r="A583" t="s">
        <v>41</v>
      </c>
      <c r="B583" t="s">
        <v>48</v>
      </c>
      <c r="C583" s="18" t="s">
        <v>46</v>
      </c>
      <c r="D583" s="19">
        <v>44499</v>
      </c>
      <c r="E583">
        <v>2156</v>
      </c>
      <c r="F583" s="16">
        <v>10</v>
      </c>
      <c r="G583" s="16">
        <v>125</v>
      </c>
      <c r="H583" s="16">
        <v>258720</v>
      </c>
      <c r="I583" s="16">
        <v>32340</v>
      </c>
      <c r="J583" s="14" t="s">
        <v>60</v>
      </c>
      <c r="K583" s="20">
        <f>Store[[#This Row],[Quantity]]*Store[[#This Row],[Sale Price]]</f>
        <v>269500</v>
      </c>
      <c r="L583" s="20">
        <f>Store[[#This Row],[Gross Sales]]-Store[[#This Row],[Discount]]</f>
        <v>237160</v>
      </c>
      <c r="M583" s="20">
        <f>Store[[#This Row],[Sales]]-Store[[#This Row],[COGS]]</f>
        <v>-21560</v>
      </c>
    </row>
    <row r="584" spans="1:13" x14ac:dyDescent="0.25">
      <c r="A584" t="s">
        <v>49</v>
      </c>
      <c r="B584" t="s">
        <v>48</v>
      </c>
      <c r="C584" s="18" t="s">
        <v>46</v>
      </c>
      <c r="D584" s="19">
        <v>44493</v>
      </c>
      <c r="E584">
        <v>905</v>
      </c>
      <c r="F584" s="16">
        <v>10</v>
      </c>
      <c r="G584" s="16">
        <v>20</v>
      </c>
      <c r="H584" s="16">
        <v>9050</v>
      </c>
      <c r="I584" s="16">
        <v>2172</v>
      </c>
      <c r="J584" s="14" t="s">
        <v>60</v>
      </c>
      <c r="K584" s="20">
        <f>Store[[#This Row],[Quantity]]*Store[[#This Row],[Sale Price]]</f>
        <v>18100</v>
      </c>
      <c r="L584" s="20">
        <f>Store[[#This Row],[Gross Sales]]-Store[[#This Row],[Discount]]</f>
        <v>15928</v>
      </c>
      <c r="M584" s="20">
        <f>Store[[#This Row],[Sales]]-Store[[#This Row],[COGS]]</f>
        <v>6878</v>
      </c>
    </row>
    <row r="585" spans="1:13" x14ac:dyDescent="0.25">
      <c r="A585" t="s">
        <v>49</v>
      </c>
      <c r="B585" t="s">
        <v>58</v>
      </c>
      <c r="C585" s="18" t="s">
        <v>46</v>
      </c>
      <c r="D585" s="19">
        <v>44517</v>
      </c>
      <c r="E585">
        <v>1594</v>
      </c>
      <c r="F585" s="16">
        <v>10</v>
      </c>
      <c r="G585" s="16">
        <v>350</v>
      </c>
      <c r="H585" s="16">
        <v>414440</v>
      </c>
      <c r="I585" s="16">
        <v>66948</v>
      </c>
      <c r="J585" s="14" t="s">
        <v>60</v>
      </c>
      <c r="K585" s="20">
        <f>Store[[#This Row],[Quantity]]*Store[[#This Row],[Sale Price]]</f>
        <v>557900</v>
      </c>
      <c r="L585" s="20">
        <f>Store[[#This Row],[Gross Sales]]-Store[[#This Row],[Discount]]</f>
        <v>490952</v>
      </c>
      <c r="M585" s="20">
        <f>Store[[#This Row],[Sales]]-Store[[#This Row],[COGS]]</f>
        <v>76512</v>
      </c>
    </row>
    <row r="586" spans="1:13" x14ac:dyDescent="0.25">
      <c r="A586" t="s">
        <v>47</v>
      </c>
      <c r="B586" t="s">
        <v>56</v>
      </c>
      <c r="C586" s="18" t="s">
        <v>46</v>
      </c>
      <c r="D586" s="19">
        <v>44517</v>
      </c>
      <c r="E586">
        <v>1359</v>
      </c>
      <c r="F586" s="16">
        <v>10</v>
      </c>
      <c r="G586" s="16">
        <v>300</v>
      </c>
      <c r="H586" s="16">
        <v>339750</v>
      </c>
      <c r="I586" s="16">
        <v>48924</v>
      </c>
      <c r="J586" s="14" t="s">
        <v>60</v>
      </c>
      <c r="K586" s="20">
        <f>Store[[#This Row],[Quantity]]*Store[[#This Row],[Sale Price]]</f>
        <v>407700</v>
      </c>
      <c r="L586" s="20">
        <f>Store[[#This Row],[Gross Sales]]-Store[[#This Row],[Discount]]</f>
        <v>358776</v>
      </c>
      <c r="M586" s="20">
        <f>Store[[#This Row],[Sales]]-Store[[#This Row],[COGS]]</f>
        <v>19026</v>
      </c>
    </row>
    <row r="587" spans="1:13" x14ac:dyDescent="0.25">
      <c r="A587" t="s">
        <v>47</v>
      </c>
      <c r="B587" t="s">
        <v>48</v>
      </c>
      <c r="C587" s="18" t="s">
        <v>46</v>
      </c>
      <c r="D587" s="19">
        <v>44513</v>
      </c>
      <c r="E587">
        <v>2150</v>
      </c>
      <c r="F587" s="16">
        <v>10</v>
      </c>
      <c r="G587" s="16">
        <v>300</v>
      </c>
      <c r="H587" s="16">
        <v>537500</v>
      </c>
      <c r="I587" s="16">
        <v>77400</v>
      </c>
      <c r="J587" s="14" t="s">
        <v>60</v>
      </c>
      <c r="K587" s="20">
        <f>Store[[#This Row],[Quantity]]*Store[[#This Row],[Sale Price]]</f>
        <v>645000</v>
      </c>
      <c r="L587" s="20">
        <f>Store[[#This Row],[Gross Sales]]-Store[[#This Row],[Discount]]</f>
        <v>567600</v>
      </c>
      <c r="M587" s="20">
        <f>Store[[#This Row],[Sales]]-Store[[#This Row],[COGS]]</f>
        <v>30100</v>
      </c>
    </row>
    <row r="588" spans="1:13" x14ac:dyDescent="0.25">
      <c r="A588" t="s">
        <v>49</v>
      </c>
      <c r="B588" t="s">
        <v>48</v>
      </c>
      <c r="C588" s="18" t="s">
        <v>46</v>
      </c>
      <c r="D588" s="19">
        <v>44506</v>
      </c>
      <c r="E588">
        <v>1197</v>
      </c>
      <c r="F588" s="16">
        <v>10</v>
      </c>
      <c r="G588" s="16">
        <v>350</v>
      </c>
      <c r="H588" s="16">
        <v>311220</v>
      </c>
      <c r="I588" s="16">
        <v>50274</v>
      </c>
      <c r="J588" s="14" t="s">
        <v>60</v>
      </c>
      <c r="K588" s="20">
        <f>Store[[#This Row],[Quantity]]*Store[[#This Row],[Sale Price]]</f>
        <v>418950</v>
      </c>
      <c r="L588" s="20">
        <f>Store[[#This Row],[Gross Sales]]-Store[[#This Row],[Discount]]</f>
        <v>368676</v>
      </c>
      <c r="M588" s="20">
        <f>Store[[#This Row],[Sales]]-Store[[#This Row],[COGS]]</f>
        <v>57456</v>
      </c>
    </row>
    <row r="589" spans="1:13" x14ac:dyDescent="0.25">
      <c r="A589" t="s">
        <v>49</v>
      </c>
      <c r="B589" t="s">
        <v>48</v>
      </c>
      <c r="C589" s="18" t="s">
        <v>46</v>
      </c>
      <c r="D589" s="19">
        <v>44552</v>
      </c>
      <c r="E589">
        <v>1233</v>
      </c>
      <c r="F589" s="16">
        <v>10</v>
      </c>
      <c r="G589" s="16">
        <v>20</v>
      </c>
      <c r="H589" s="16">
        <v>12330</v>
      </c>
      <c r="I589" s="16">
        <v>2959.2</v>
      </c>
      <c r="J589" s="14" t="s">
        <v>60</v>
      </c>
      <c r="K589" s="20">
        <f>Store[[#This Row],[Quantity]]*Store[[#This Row],[Sale Price]]</f>
        <v>24660</v>
      </c>
      <c r="L589" s="20">
        <f>Store[[#This Row],[Gross Sales]]-Store[[#This Row],[Discount]]</f>
        <v>21700.799999999999</v>
      </c>
      <c r="M589" s="20">
        <f>Store[[#This Row],[Sales]]-Store[[#This Row],[COGS]]</f>
        <v>9370.7999999999993</v>
      </c>
    </row>
    <row r="590" spans="1:13" x14ac:dyDescent="0.25">
      <c r="A590" t="s">
        <v>49</v>
      </c>
      <c r="B590" t="s">
        <v>48</v>
      </c>
      <c r="C590" s="18" t="s">
        <v>52</v>
      </c>
      <c r="D590" s="19">
        <v>44407</v>
      </c>
      <c r="E590">
        <v>1395</v>
      </c>
      <c r="F590" s="16">
        <v>120</v>
      </c>
      <c r="G590" s="16">
        <v>350</v>
      </c>
      <c r="H590" s="16">
        <v>362700</v>
      </c>
      <c r="I590" s="16">
        <v>58590</v>
      </c>
      <c r="J590" s="14" t="s">
        <v>60</v>
      </c>
      <c r="K590" s="20">
        <f>Store[[#This Row],[Quantity]]*Store[[#This Row],[Sale Price]]</f>
        <v>488250</v>
      </c>
      <c r="L590" s="20">
        <f>Store[[#This Row],[Gross Sales]]-Store[[#This Row],[Discount]]</f>
        <v>429660</v>
      </c>
      <c r="M590" s="20">
        <f>Store[[#This Row],[Sales]]-Store[[#This Row],[COGS]]</f>
        <v>66960</v>
      </c>
    </row>
    <row r="591" spans="1:13" x14ac:dyDescent="0.25">
      <c r="A591" t="s">
        <v>49</v>
      </c>
      <c r="B591" t="s">
        <v>51</v>
      </c>
      <c r="C591" s="18" t="s">
        <v>52</v>
      </c>
      <c r="D591" s="19">
        <v>44489</v>
      </c>
      <c r="E591">
        <v>986</v>
      </c>
      <c r="F591" s="16">
        <v>120</v>
      </c>
      <c r="G591" s="16">
        <v>350</v>
      </c>
      <c r="H591" s="16">
        <v>256360</v>
      </c>
      <c r="I591" s="16">
        <v>41412</v>
      </c>
      <c r="J591" s="14" t="s">
        <v>60</v>
      </c>
      <c r="K591" s="20">
        <f>Store[[#This Row],[Quantity]]*Store[[#This Row],[Sale Price]]</f>
        <v>345100</v>
      </c>
      <c r="L591" s="20">
        <f>Store[[#This Row],[Gross Sales]]-Store[[#This Row],[Discount]]</f>
        <v>303688</v>
      </c>
      <c r="M591" s="20">
        <f>Store[[#This Row],[Sales]]-Store[[#This Row],[COGS]]</f>
        <v>47328</v>
      </c>
    </row>
    <row r="592" spans="1:13" x14ac:dyDescent="0.25">
      <c r="A592" t="s">
        <v>49</v>
      </c>
      <c r="B592" t="s">
        <v>48</v>
      </c>
      <c r="C592" s="18" t="s">
        <v>52</v>
      </c>
      <c r="D592" s="19">
        <v>44479</v>
      </c>
      <c r="E592">
        <v>905</v>
      </c>
      <c r="F592" s="16">
        <v>120</v>
      </c>
      <c r="G592" s="16">
        <v>20</v>
      </c>
      <c r="H592" s="16">
        <v>9050</v>
      </c>
      <c r="I592" s="16">
        <v>2172</v>
      </c>
      <c r="J592" s="14" t="s">
        <v>60</v>
      </c>
      <c r="K592" s="20">
        <f>Store[[#This Row],[Quantity]]*Store[[#This Row],[Sale Price]]</f>
        <v>18100</v>
      </c>
      <c r="L592" s="20">
        <f>Store[[#This Row],[Gross Sales]]-Store[[#This Row],[Discount]]</f>
        <v>15928</v>
      </c>
      <c r="M592" s="20">
        <f>Store[[#This Row],[Sales]]-Store[[#This Row],[COGS]]</f>
        <v>6878</v>
      </c>
    </row>
    <row r="593" spans="1:13" x14ac:dyDescent="0.25">
      <c r="A593" t="s">
        <v>50</v>
      </c>
      <c r="B593" t="s">
        <v>42</v>
      </c>
      <c r="C593" s="18" t="s">
        <v>53</v>
      </c>
      <c r="D593" s="19">
        <v>44331</v>
      </c>
      <c r="E593">
        <v>2109</v>
      </c>
      <c r="F593" s="16">
        <v>250</v>
      </c>
      <c r="G593" s="16">
        <v>12</v>
      </c>
      <c r="H593" s="16">
        <v>6327</v>
      </c>
      <c r="I593" s="16">
        <v>3036.96</v>
      </c>
      <c r="J593" s="14" t="s">
        <v>60</v>
      </c>
      <c r="K593" s="20">
        <f>Store[[#This Row],[Quantity]]*Store[[#This Row],[Sale Price]]</f>
        <v>25308</v>
      </c>
      <c r="L593" s="20">
        <f>Store[[#This Row],[Gross Sales]]-Store[[#This Row],[Discount]]</f>
        <v>22271.040000000001</v>
      </c>
      <c r="M593" s="20">
        <f>Store[[#This Row],[Sales]]-Store[[#This Row],[COGS]]</f>
        <v>15944.04</v>
      </c>
    </row>
    <row r="594" spans="1:13" x14ac:dyDescent="0.25">
      <c r="A594" t="s">
        <v>45</v>
      </c>
      <c r="B594" t="s">
        <v>58</v>
      </c>
      <c r="C594" s="18" t="s">
        <v>53</v>
      </c>
      <c r="D594" s="19">
        <v>44389</v>
      </c>
      <c r="E594">
        <v>3874.5</v>
      </c>
      <c r="F594" s="16">
        <v>250</v>
      </c>
      <c r="G594" s="16">
        <v>15</v>
      </c>
      <c r="H594" s="16">
        <v>38745</v>
      </c>
      <c r="I594" s="16">
        <v>6974.0999999999995</v>
      </c>
      <c r="J594" s="14" t="s">
        <v>60</v>
      </c>
      <c r="K594" s="20">
        <f>Store[[#This Row],[Quantity]]*Store[[#This Row],[Sale Price]]</f>
        <v>58117.5</v>
      </c>
      <c r="L594" s="20">
        <f>Store[[#This Row],[Gross Sales]]-Store[[#This Row],[Discount]]</f>
        <v>51143.4</v>
      </c>
      <c r="M594" s="20">
        <f>Store[[#This Row],[Sales]]-Store[[#This Row],[COGS]]</f>
        <v>12398.400000000001</v>
      </c>
    </row>
    <row r="595" spans="1:13" x14ac:dyDescent="0.25">
      <c r="A595" t="s">
        <v>49</v>
      </c>
      <c r="B595" t="s">
        <v>51</v>
      </c>
      <c r="C595" s="18" t="s">
        <v>53</v>
      </c>
      <c r="D595" s="19">
        <v>44473</v>
      </c>
      <c r="E595">
        <v>986</v>
      </c>
      <c r="F595" s="16">
        <v>250</v>
      </c>
      <c r="G595" s="16">
        <v>350</v>
      </c>
      <c r="H595" s="16">
        <v>256360</v>
      </c>
      <c r="I595" s="16">
        <v>41412</v>
      </c>
      <c r="J595" s="14" t="s">
        <v>60</v>
      </c>
      <c r="K595" s="20">
        <f>Store[[#This Row],[Quantity]]*Store[[#This Row],[Sale Price]]</f>
        <v>345100</v>
      </c>
      <c r="L595" s="20">
        <f>Store[[#This Row],[Gross Sales]]-Store[[#This Row],[Discount]]</f>
        <v>303688</v>
      </c>
      <c r="M595" s="20">
        <f>Store[[#This Row],[Sales]]-Store[[#This Row],[COGS]]</f>
        <v>47328</v>
      </c>
    </row>
    <row r="596" spans="1:13" x14ac:dyDescent="0.25">
      <c r="A596" t="s">
        <v>41</v>
      </c>
      <c r="B596" t="s">
        <v>51</v>
      </c>
      <c r="C596" s="18" t="s">
        <v>53</v>
      </c>
      <c r="D596" s="19">
        <v>44527</v>
      </c>
      <c r="E596">
        <v>2387</v>
      </c>
      <c r="F596" s="16">
        <v>250</v>
      </c>
      <c r="G596" s="16">
        <v>125</v>
      </c>
      <c r="H596" s="16">
        <v>286440</v>
      </c>
      <c r="I596" s="16">
        <v>35805</v>
      </c>
      <c r="J596" s="14" t="s">
        <v>60</v>
      </c>
      <c r="K596" s="20">
        <f>Store[[#This Row],[Quantity]]*Store[[#This Row],[Sale Price]]</f>
        <v>298375</v>
      </c>
      <c r="L596" s="20">
        <f>Store[[#This Row],[Gross Sales]]-Store[[#This Row],[Discount]]</f>
        <v>262570</v>
      </c>
      <c r="M596" s="20">
        <f>Store[[#This Row],[Sales]]-Store[[#This Row],[COGS]]</f>
        <v>-23870</v>
      </c>
    </row>
    <row r="597" spans="1:13" x14ac:dyDescent="0.25">
      <c r="A597" t="s">
        <v>49</v>
      </c>
      <c r="B597" t="s">
        <v>48</v>
      </c>
      <c r="C597" s="18" t="s">
        <v>53</v>
      </c>
      <c r="D597" s="19">
        <v>44551</v>
      </c>
      <c r="E597">
        <v>1233</v>
      </c>
      <c r="F597" s="16">
        <v>250</v>
      </c>
      <c r="G597" s="16">
        <v>20</v>
      </c>
      <c r="H597" s="16">
        <v>12330</v>
      </c>
      <c r="I597" s="16">
        <v>2959.2</v>
      </c>
      <c r="J597" s="14" t="s">
        <v>60</v>
      </c>
      <c r="K597" s="20">
        <f>Store[[#This Row],[Quantity]]*Store[[#This Row],[Sale Price]]</f>
        <v>24660</v>
      </c>
      <c r="L597" s="20">
        <f>Store[[#This Row],[Gross Sales]]-Store[[#This Row],[Discount]]</f>
        <v>21700.799999999999</v>
      </c>
      <c r="M597" s="20">
        <f>Store[[#This Row],[Sales]]-Store[[#This Row],[COGS]]</f>
        <v>9370.7999999999993</v>
      </c>
    </row>
    <row r="598" spans="1:13" x14ac:dyDescent="0.25">
      <c r="A598" t="s">
        <v>49</v>
      </c>
      <c r="B598" t="s">
        <v>51</v>
      </c>
      <c r="C598" s="18" t="s">
        <v>57</v>
      </c>
      <c r="D598" s="19">
        <v>44233</v>
      </c>
      <c r="E598">
        <v>270</v>
      </c>
      <c r="F598" s="16">
        <v>260</v>
      </c>
      <c r="G598" s="16">
        <v>350</v>
      </c>
      <c r="H598" s="16">
        <v>70200</v>
      </c>
      <c r="I598" s="16">
        <v>11340</v>
      </c>
      <c r="J598" s="14" t="s">
        <v>60</v>
      </c>
      <c r="K598" s="20">
        <f>Store[[#This Row],[Quantity]]*Store[[#This Row],[Sale Price]]</f>
        <v>94500</v>
      </c>
      <c r="L598" s="20">
        <f>Store[[#This Row],[Gross Sales]]-Store[[#This Row],[Discount]]</f>
        <v>83160</v>
      </c>
      <c r="M598" s="20">
        <f>Store[[#This Row],[Sales]]-Store[[#This Row],[COGS]]</f>
        <v>12960</v>
      </c>
    </row>
    <row r="599" spans="1:13" x14ac:dyDescent="0.25">
      <c r="A599" t="s">
        <v>49</v>
      </c>
      <c r="B599" t="s">
        <v>58</v>
      </c>
      <c r="C599" s="18" t="s">
        <v>57</v>
      </c>
      <c r="D599" s="19">
        <v>44402</v>
      </c>
      <c r="E599">
        <v>3421.5</v>
      </c>
      <c r="F599" s="16">
        <v>260</v>
      </c>
      <c r="G599" s="16">
        <v>7</v>
      </c>
      <c r="H599" s="16">
        <v>17107.5</v>
      </c>
      <c r="I599" s="16">
        <v>2874.06</v>
      </c>
      <c r="J599" s="14" t="s">
        <v>60</v>
      </c>
      <c r="K599" s="20">
        <f>Store[[#This Row],[Quantity]]*Store[[#This Row],[Sale Price]]</f>
        <v>23950.5</v>
      </c>
      <c r="L599" s="20">
        <f>Store[[#This Row],[Gross Sales]]-Store[[#This Row],[Discount]]</f>
        <v>21076.44</v>
      </c>
      <c r="M599" s="20">
        <f>Store[[#This Row],[Sales]]-Store[[#This Row],[COGS]]</f>
        <v>3968.9399999999987</v>
      </c>
    </row>
    <row r="600" spans="1:13" x14ac:dyDescent="0.25">
      <c r="A600" t="s">
        <v>49</v>
      </c>
      <c r="B600" t="s">
        <v>42</v>
      </c>
      <c r="C600" s="18" t="s">
        <v>57</v>
      </c>
      <c r="D600" s="19">
        <v>44498</v>
      </c>
      <c r="E600">
        <v>2734</v>
      </c>
      <c r="F600" s="16">
        <v>260</v>
      </c>
      <c r="G600" s="16">
        <v>7</v>
      </c>
      <c r="H600" s="16">
        <v>13670</v>
      </c>
      <c r="I600" s="16">
        <v>2296.56</v>
      </c>
      <c r="J600" s="14" t="s">
        <v>60</v>
      </c>
      <c r="K600" s="20">
        <f>Store[[#This Row],[Quantity]]*Store[[#This Row],[Sale Price]]</f>
        <v>19138</v>
      </c>
      <c r="L600" s="20">
        <f>Store[[#This Row],[Gross Sales]]-Store[[#This Row],[Discount]]</f>
        <v>16841.439999999999</v>
      </c>
      <c r="M600" s="20">
        <f>Store[[#This Row],[Sales]]-Store[[#This Row],[COGS]]</f>
        <v>3171.4399999999987</v>
      </c>
    </row>
    <row r="601" spans="1:13" x14ac:dyDescent="0.25">
      <c r="A601" t="s">
        <v>49</v>
      </c>
      <c r="B601" t="s">
        <v>58</v>
      </c>
      <c r="C601" s="18" t="s">
        <v>54</v>
      </c>
      <c r="D601" s="19">
        <v>44205</v>
      </c>
      <c r="E601">
        <v>2521.5</v>
      </c>
      <c r="F601" s="16">
        <v>3</v>
      </c>
      <c r="G601" s="16">
        <v>20</v>
      </c>
      <c r="H601" s="16">
        <v>25215</v>
      </c>
      <c r="I601" s="16">
        <v>6051.6</v>
      </c>
      <c r="J601" s="14" t="s">
        <v>60</v>
      </c>
      <c r="K601" s="20">
        <f>Store[[#This Row],[Quantity]]*Store[[#This Row],[Sale Price]]</f>
        <v>50430</v>
      </c>
      <c r="L601" s="20">
        <f>Store[[#This Row],[Gross Sales]]-Store[[#This Row],[Discount]]</f>
        <v>44378.400000000001</v>
      </c>
      <c r="M601" s="20">
        <f>Store[[#This Row],[Sales]]-Store[[#This Row],[COGS]]</f>
        <v>19163.400000000001</v>
      </c>
    </row>
    <row r="602" spans="1:13" x14ac:dyDescent="0.25">
      <c r="A602" t="s">
        <v>50</v>
      </c>
      <c r="B602" t="s">
        <v>48</v>
      </c>
      <c r="C602" s="18" t="s">
        <v>43</v>
      </c>
      <c r="D602" s="19">
        <v>44318</v>
      </c>
      <c r="E602">
        <v>2661</v>
      </c>
      <c r="F602" s="16">
        <v>5</v>
      </c>
      <c r="G602" s="16">
        <v>12</v>
      </c>
      <c r="H602" s="16">
        <v>7983</v>
      </c>
      <c r="I602" s="16">
        <v>3831.84</v>
      </c>
      <c r="J602" s="14" t="s">
        <v>60</v>
      </c>
      <c r="K602" s="20">
        <f>Store[[#This Row],[Quantity]]*Store[[#This Row],[Sale Price]]</f>
        <v>31932</v>
      </c>
      <c r="L602" s="20">
        <f>Store[[#This Row],[Gross Sales]]-Store[[#This Row],[Discount]]</f>
        <v>28100.16</v>
      </c>
      <c r="M602" s="20">
        <f>Store[[#This Row],[Sales]]-Store[[#This Row],[COGS]]</f>
        <v>20117.16</v>
      </c>
    </row>
    <row r="603" spans="1:13" x14ac:dyDescent="0.25">
      <c r="A603" t="s">
        <v>49</v>
      </c>
      <c r="B603" t="s">
        <v>56</v>
      </c>
      <c r="C603" s="18" t="s">
        <v>46</v>
      </c>
      <c r="D603" s="19">
        <v>44536</v>
      </c>
      <c r="E603">
        <v>1531</v>
      </c>
      <c r="F603" s="16">
        <v>10</v>
      </c>
      <c r="G603" s="16">
        <v>20</v>
      </c>
      <c r="H603" s="16">
        <v>15310</v>
      </c>
      <c r="I603" s="16">
        <v>3674.4</v>
      </c>
      <c r="J603" s="14" t="s">
        <v>60</v>
      </c>
      <c r="K603" s="20">
        <f>Store[[#This Row],[Quantity]]*Store[[#This Row],[Sale Price]]</f>
        <v>30620</v>
      </c>
      <c r="L603" s="20">
        <f>Store[[#This Row],[Gross Sales]]-Store[[#This Row],[Discount]]</f>
        <v>26945.599999999999</v>
      </c>
      <c r="M603" s="20">
        <f>Store[[#This Row],[Sales]]-Store[[#This Row],[COGS]]</f>
        <v>11635.599999999999</v>
      </c>
    </row>
    <row r="604" spans="1:13" x14ac:dyDescent="0.25">
      <c r="A604" t="s">
        <v>49</v>
      </c>
      <c r="B604" t="s">
        <v>58</v>
      </c>
      <c r="C604" s="18" t="s">
        <v>53</v>
      </c>
      <c r="D604" s="19">
        <v>44261</v>
      </c>
      <c r="E604">
        <v>1491</v>
      </c>
      <c r="F604" s="16">
        <v>250</v>
      </c>
      <c r="G604" s="16">
        <v>7</v>
      </c>
      <c r="H604" s="16">
        <v>7455</v>
      </c>
      <c r="I604" s="16">
        <v>1252.44</v>
      </c>
      <c r="J604" s="14" t="s">
        <v>60</v>
      </c>
      <c r="K604" s="20">
        <f>Store[[#This Row],[Quantity]]*Store[[#This Row],[Sale Price]]</f>
        <v>10437</v>
      </c>
      <c r="L604" s="20">
        <f>Store[[#This Row],[Gross Sales]]-Store[[#This Row],[Discount]]</f>
        <v>9184.56</v>
      </c>
      <c r="M604" s="20">
        <f>Store[[#This Row],[Sales]]-Store[[#This Row],[COGS]]</f>
        <v>1729.5599999999995</v>
      </c>
    </row>
    <row r="605" spans="1:13" x14ac:dyDescent="0.25">
      <c r="A605" t="s">
        <v>49</v>
      </c>
      <c r="B605" t="s">
        <v>56</v>
      </c>
      <c r="C605" s="18" t="s">
        <v>53</v>
      </c>
      <c r="D605" s="19">
        <v>44556</v>
      </c>
      <c r="E605">
        <v>1531</v>
      </c>
      <c r="F605" s="16">
        <v>250</v>
      </c>
      <c r="G605" s="16">
        <v>20</v>
      </c>
      <c r="H605" s="16">
        <v>15310</v>
      </c>
      <c r="I605" s="16">
        <v>3674.4</v>
      </c>
      <c r="J605" s="14" t="s">
        <v>60</v>
      </c>
      <c r="K605" s="20">
        <f>Store[[#This Row],[Quantity]]*Store[[#This Row],[Sale Price]]</f>
        <v>30620</v>
      </c>
      <c r="L605" s="20">
        <f>Store[[#This Row],[Gross Sales]]-Store[[#This Row],[Discount]]</f>
        <v>26945.599999999999</v>
      </c>
      <c r="M605" s="20">
        <f>Store[[#This Row],[Sales]]-Store[[#This Row],[COGS]]</f>
        <v>11635.599999999999</v>
      </c>
    </row>
    <row r="606" spans="1:13" x14ac:dyDescent="0.25">
      <c r="A606" t="s">
        <v>45</v>
      </c>
      <c r="B606" t="s">
        <v>51</v>
      </c>
      <c r="C606" s="18" t="s">
        <v>54</v>
      </c>
      <c r="D606" s="19">
        <v>44363</v>
      </c>
      <c r="E606">
        <v>2567</v>
      </c>
      <c r="F606" s="16">
        <v>3</v>
      </c>
      <c r="G606" s="16">
        <v>15</v>
      </c>
      <c r="H606" s="16">
        <v>25670</v>
      </c>
      <c r="I606" s="16">
        <v>5005.6499999999996</v>
      </c>
      <c r="J606" s="14" t="s">
        <v>60</v>
      </c>
      <c r="K606" s="20">
        <f>Store[[#This Row],[Quantity]]*Store[[#This Row],[Sale Price]]</f>
        <v>38505</v>
      </c>
      <c r="L606" s="20">
        <f>Store[[#This Row],[Gross Sales]]-Store[[#This Row],[Discount]]</f>
        <v>33499.35</v>
      </c>
      <c r="M606" s="20">
        <f>Store[[#This Row],[Sales]]-Store[[#This Row],[COGS]]</f>
        <v>7829.3499999999985</v>
      </c>
    </row>
    <row r="607" spans="1:13" x14ac:dyDescent="0.25">
      <c r="A607" t="s">
        <v>45</v>
      </c>
      <c r="B607" t="s">
        <v>51</v>
      </c>
      <c r="C607" s="18" t="s">
        <v>53</v>
      </c>
      <c r="D607" s="19">
        <v>44357</v>
      </c>
      <c r="E607">
        <v>2567</v>
      </c>
      <c r="F607" s="16">
        <v>250</v>
      </c>
      <c r="G607" s="16">
        <v>15</v>
      </c>
      <c r="H607" s="16">
        <v>25670</v>
      </c>
      <c r="I607" s="16">
        <v>5005.6499999999996</v>
      </c>
      <c r="J607" s="14" t="s">
        <v>60</v>
      </c>
      <c r="K607" s="20">
        <f>Store[[#This Row],[Quantity]]*Store[[#This Row],[Sale Price]]</f>
        <v>38505</v>
      </c>
      <c r="L607" s="20">
        <f>Store[[#This Row],[Gross Sales]]-Store[[#This Row],[Discount]]</f>
        <v>33499.35</v>
      </c>
      <c r="M607" s="20">
        <f>Store[[#This Row],[Sales]]-Store[[#This Row],[COGS]]</f>
        <v>7829.3499999999985</v>
      </c>
    </row>
    <row r="608" spans="1:13" x14ac:dyDescent="0.25">
      <c r="A608" t="s">
        <v>49</v>
      </c>
      <c r="B608" t="s">
        <v>42</v>
      </c>
      <c r="C608" s="18" t="s">
        <v>54</v>
      </c>
      <c r="D608" s="19">
        <v>44261</v>
      </c>
      <c r="E608">
        <v>923</v>
      </c>
      <c r="F608" s="16">
        <v>3</v>
      </c>
      <c r="G608" s="16">
        <v>350</v>
      </c>
      <c r="H608" s="16">
        <v>239980</v>
      </c>
      <c r="I608" s="16">
        <v>41996.5</v>
      </c>
      <c r="J608" s="14" t="s">
        <v>60</v>
      </c>
      <c r="K608" s="20">
        <f>Store[[#This Row],[Quantity]]*Store[[#This Row],[Sale Price]]</f>
        <v>323050</v>
      </c>
      <c r="L608" s="20">
        <f>Store[[#This Row],[Gross Sales]]-Store[[#This Row],[Discount]]</f>
        <v>281053.5</v>
      </c>
      <c r="M608" s="20">
        <f>Store[[#This Row],[Sales]]-Store[[#This Row],[COGS]]</f>
        <v>41073.5</v>
      </c>
    </row>
    <row r="609" spans="1:13" x14ac:dyDescent="0.25">
      <c r="A609" t="s">
        <v>49</v>
      </c>
      <c r="B609" t="s">
        <v>58</v>
      </c>
      <c r="C609" s="18" t="s">
        <v>54</v>
      </c>
      <c r="D609" s="19">
        <v>44259</v>
      </c>
      <c r="E609">
        <v>1790</v>
      </c>
      <c r="F609" s="16">
        <v>3</v>
      </c>
      <c r="G609" s="16">
        <v>350</v>
      </c>
      <c r="H609" s="16">
        <v>465400</v>
      </c>
      <c r="I609" s="16">
        <v>81445</v>
      </c>
      <c r="J609" s="14" t="s">
        <v>60</v>
      </c>
      <c r="K609" s="20">
        <f>Store[[#This Row],[Quantity]]*Store[[#This Row],[Sale Price]]</f>
        <v>626500</v>
      </c>
      <c r="L609" s="20">
        <f>Store[[#This Row],[Gross Sales]]-Store[[#This Row],[Discount]]</f>
        <v>545055</v>
      </c>
      <c r="M609" s="20">
        <f>Store[[#This Row],[Sales]]-Store[[#This Row],[COGS]]</f>
        <v>79655</v>
      </c>
    </row>
    <row r="610" spans="1:13" x14ac:dyDescent="0.25">
      <c r="A610" t="s">
        <v>49</v>
      </c>
      <c r="B610" t="s">
        <v>51</v>
      </c>
      <c r="C610" s="18" t="s">
        <v>43</v>
      </c>
      <c r="D610" s="19">
        <v>44213</v>
      </c>
      <c r="E610">
        <v>982.5</v>
      </c>
      <c r="F610" s="16">
        <v>5</v>
      </c>
      <c r="G610" s="16">
        <v>350</v>
      </c>
      <c r="H610" s="16">
        <v>255450</v>
      </c>
      <c r="I610" s="16">
        <v>44703.75</v>
      </c>
      <c r="J610" s="14" t="s">
        <v>60</v>
      </c>
      <c r="K610" s="20">
        <f>Store[[#This Row],[Quantity]]*Store[[#This Row],[Sale Price]]</f>
        <v>343875</v>
      </c>
      <c r="L610" s="20">
        <f>Store[[#This Row],[Gross Sales]]-Store[[#This Row],[Discount]]</f>
        <v>299171.25</v>
      </c>
      <c r="M610" s="20">
        <f>Store[[#This Row],[Sales]]-Store[[#This Row],[COGS]]</f>
        <v>43721.25</v>
      </c>
    </row>
    <row r="611" spans="1:13" x14ac:dyDescent="0.25">
      <c r="A611" t="s">
        <v>49</v>
      </c>
      <c r="B611" t="s">
        <v>51</v>
      </c>
      <c r="C611" s="18" t="s">
        <v>43</v>
      </c>
      <c r="D611" s="19">
        <v>44239</v>
      </c>
      <c r="E611">
        <v>1298</v>
      </c>
      <c r="F611" s="16">
        <v>5</v>
      </c>
      <c r="G611" s="16">
        <v>7</v>
      </c>
      <c r="H611" s="16">
        <v>6490</v>
      </c>
      <c r="I611" s="16">
        <v>1181.18</v>
      </c>
      <c r="J611" s="14" t="s">
        <v>60</v>
      </c>
      <c r="K611" s="20">
        <f>Store[[#This Row],[Quantity]]*Store[[#This Row],[Sale Price]]</f>
        <v>9086</v>
      </c>
      <c r="L611" s="20">
        <f>Store[[#This Row],[Gross Sales]]-Store[[#This Row],[Discount]]</f>
        <v>7904.82</v>
      </c>
      <c r="M611" s="20">
        <f>Store[[#This Row],[Sales]]-Store[[#This Row],[COGS]]</f>
        <v>1414.8199999999997</v>
      </c>
    </row>
    <row r="612" spans="1:13" x14ac:dyDescent="0.25">
      <c r="A612" t="s">
        <v>50</v>
      </c>
      <c r="B612" t="s">
        <v>48</v>
      </c>
      <c r="C612" s="18" t="s">
        <v>43</v>
      </c>
      <c r="D612" s="19">
        <v>44373</v>
      </c>
      <c r="E612">
        <v>604</v>
      </c>
      <c r="F612" s="16">
        <v>5</v>
      </c>
      <c r="G612" s="16">
        <v>12</v>
      </c>
      <c r="H612" s="16">
        <v>1812</v>
      </c>
      <c r="I612" s="16">
        <v>942.24</v>
      </c>
      <c r="J612" s="14" t="s">
        <v>60</v>
      </c>
      <c r="K612" s="20">
        <f>Store[[#This Row],[Quantity]]*Store[[#This Row],[Sale Price]]</f>
        <v>7248</v>
      </c>
      <c r="L612" s="20">
        <f>Store[[#This Row],[Gross Sales]]-Store[[#This Row],[Discount]]</f>
        <v>6305.76</v>
      </c>
      <c r="M612" s="20">
        <f>Store[[#This Row],[Sales]]-Store[[#This Row],[COGS]]</f>
        <v>4493.76</v>
      </c>
    </row>
    <row r="613" spans="1:13" x14ac:dyDescent="0.25">
      <c r="A613" t="s">
        <v>49</v>
      </c>
      <c r="B613" t="s">
        <v>48</v>
      </c>
      <c r="C613" s="18" t="s">
        <v>43</v>
      </c>
      <c r="D613" s="19">
        <v>44390</v>
      </c>
      <c r="E613">
        <v>2255</v>
      </c>
      <c r="F613" s="16">
        <v>5</v>
      </c>
      <c r="G613" s="16">
        <v>20</v>
      </c>
      <c r="H613" s="16">
        <v>22550</v>
      </c>
      <c r="I613" s="16">
        <v>5863</v>
      </c>
      <c r="J613" s="14" t="s">
        <v>60</v>
      </c>
      <c r="K613" s="20">
        <f>Store[[#This Row],[Quantity]]*Store[[#This Row],[Sale Price]]</f>
        <v>45100</v>
      </c>
      <c r="L613" s="20">
        <f>Store[[#This Row],[Gross Sales]]-Store[[#This Row],[Discount]]</f>
        <v>39237</v>
      </c>
      <c r="M613" s="20">
        <f>Store[[#This Row],[Sales]]-Store[[#This Row],[COGS]]</f>
        <v>16687</v>
      </c>
    </row>
    <row r="614" spans="1:13" x14ac:dyDescent="0.25">
      <c r="A614" t="s">
        <v>49</v>
      </c>
      <c r="B614" t="s">
        <v>42</v>
      </c>
      <c r="C614" s="18" t="s">
        <v>43</v>
      </c>
      <c r="D614" s="19">
        <v>44499</v>
      </c>
      <c r="E614">
        <v>1249</v>
      </c>
      <c r="F614" s="16">
        <v>5</v>
      </c>
      <c r="G614" s="16">
        <v>20</v>
      </c>
      <c r="H614" s="16">
        <v>12490</v>
      </c>
      <c r="I614" s="16">
        <v>3247.4</v>
      </c>
      <c r="J614" s="14" t="s">
        <v>60</v>
      </c>
      <c r="K614" s="20">
        <f>Store[[#This Row],[Quantity]]*Store[[#This Row],[Sale Price]]</f>
        <v>24980</v>
      </c>
      <c r="L614" s="20">
        <f>Store[[#This Row],[Gross Sales]]-Store[[#This Row],[Discount]]</f>
        <v>21732.6</v>
      </c>
      <c r="M614" s="20">
        <f>Store[[#This Row],[Sales]]-Store[[#This Row],[COGS]]</f>
        <v>9242.5999999999985</v>
      </c>
    </row>
    <row r="615" spans="1:13" x14ac:dyDescent="0.25">
      <c r="A615" t="s">
        <v>49</v>
      </c>
      <c r="B615" t="s">
        <v>51</v>
      </c>
      <c r="C615" s="18" t="s">
        <v>46</v>
      </c>
      <c r="D615" s="19">
        <v>44207</v>
      </c>
      <c r="E615">
        <v>1438.5</v>
      </c>
      <c r="F615" s="16">
        <v>10</v>
      </c>
      <c r="G615" s="16">
        <v>7</v>
      </c>
      <c r="H615" s="16">
        <v>7192.5</v>
      </c>
      <c r="I615" s="16">
        <v>1309.0350000000001</v>
      </c>
      <c r="J615" s="14" t="s">
        <v>60</v>
      </c>
      <c r="K615" s="20">
        <f>Store[[#This Row],[Quantity]]*Store[[#This Row],[Sale Price]]</f>
        <v>10069.5</v>
      </c>
      <c r="L615" s="20">
        <f>Store[[#This Row],[Gross Sales]]-Store[[#This Row],[Discount]]</f>
        <v>8760.4650000000001</v>
      </c>
      <c r="M615" s="20">
        <f>Store[[#This Row],[Sales]]-Store[[#This Row],[COGS]]</f>
        <v>1567.9650000000001</v>
      </c>
    </row>
    <row r="616" spans="1:13" x14ac:dyDescent="0.25">
      <c r="A616" t="s">
        <v>47</v>
      </c>
      <c r="B616" t="s">
        <v>56</v>
      </c>
      <c r="C616" s="18" t="s">
        <v>46</v>
      </c>
      <c r="D616" s="19">
        <v>44208</v>
      </c>
      <c r="E616">
        <v>807</v>
      </c>
      <c r="F616" s="16">
        <v>10</v>
      </c>
      <c r="G616" s="16">
        <v>300</v>
      </c>
      <c r="H616" s="16">
        <v>201750</v>
      </c>
      <c r="I616" s="16">
        <v>31473</v>
      </c>
      <c r="J616" s="14" t="s">
        <v>60</v>
      </c>
      <c r="K616" s="20">
        <f>Store[[#This Row],[Quantity]]*Store[[#This Row],[Sale Price]]</f>
        <v>242100</v>
      </c>
      <c r="L616" s="20">
        <f>Store[[#This Row],[Gross Sales]]-Store[[#This Row],[Discount]]</f>
        <v>210627</v>
      </c>
      <c r="M616" s="20">
        <f>Store[[#This Row],[Sales]]-Store[[#This Row],[COGS]]</f>
        <v>8877</v>
      </c>
    </row>
    <row r="617" spans="1:13" x14ac:dyDescent="0.25">
      <c r="A617" t="s">
        <v>49</v>
      </c>
      <c r="B617" t="s">
        <v>51</v>
      </c>
      <c r="C617" s="18" t="s">
        <v>46</v>
      </c>
      <c r="D617" s="19">
        <v>44233</v>
      </c>
      <c r="E617">
        <v>2641</v>
      </c>
      <c r="F617" s="16">
        <v>10</v>
      </c>
      <c r="G617" s="16">
        <v>20</v>
      </c>
      <c r="H617" s="16">
        <v>26410</v>
      </c>
      <c r="I617" s="16">
        <v>6866.6</v>
      </c>
      <c r="J617" s="14" t="s">
        <v>60</v>
      </c>
      <c r="K617" s="20">
        <f>Store[[#This Row],[Quantity]]*Store[[#This Row],[Sale Price]]</f>
        <v>52820</v>
      </c>
      <c r="L617" s="20">
        <f>Store[[#This Row],[Gross Sales]]-Store[[#This Row],[Discount]]</f>
        <v>45953.4</v>
      </c>
      <c r="M617" s="20">
        <f>Store[[#This Row],[Sales]]-Store[[#This Row],[COGS]]</f>
        <v>19543.400000000001</v>
      </c>
    </row>
    <row r="618" spans="1:13" x14ac:dyDescent="0.25">
      <c r="A618" t="s">
        <v>49</v>
      </c>
      <c r="B618" t="s">
        <v>56</v>
      </c>
      <c r="C618" s="18" t="s">
        <v>46</v>
      </c>
      <c r="D618" s="19">
        <v>44239</v>
      </c>
      <c r="E618">
        <v>2708</v>
      </c>
      <c r="F618" s="16">
        <v>10</v>
      </c>
      <c r="G618" s="16">
        <v>20</v>
      </c>
      <c r="H618" s="16">
        <v>27080</v>
      </c>
      <c r="I618" s="16">
        <v>7040.8</v>
      </c>
      <c r="J618" s="14" t="s">
        <v>60</v>
      </c>
      <c r="K618" s="20">
        <f>Store[[#This Row],[Quantity]]*Store[[#This Row],[Sale Price]]</f>
        <v>54160</v>
      </c>
      <c r="L618" s="20">
        <f>Store[[#This Row],[Gross Sales]]-Store[[#This Row],[Discount]]</f>
        <v>47119.199999999997</v>
      </c>
      <c r="M618" s="20">
        <f>Store[[#This Row],[Sales]]-Store[[#This Row],[COGS]]</f>
        <v>20039.199999999997</v>
      </c>
    </row>
    <row r="619" spans="1:13" x14ac:dyDescent="0.25">
      <c r="A619" t="s">
        <v>49</v>
      </c>
      <c r="B619" t="s">
        <v>42</v>
      </c>
      <c r="C619" s="18" t="s">
        <v>46</v>
      </c>
      <c r="D619" s="19">
        <v>44367</v>
      </c>
      <c r="E619">
        <v>2632</v>
      </c>
      <c r="F619" s="16">
        <v>10</v>
      </c>
      <c r="G619" s="16">
        <v>350</v>
      </c>
      <c r="H619" s="16">
        <v>684320</v>
      </c>
      <c r="I619" s="16">
        <v>119756</v>
      </c>
      <c r="J619" s="14" t="s">
        <v>60</v>
      </c>
      <c r="K619" s="20">
        <f>Store[[#This Row],[Quantity]]*Store[[#This Row],[Sale Price]]</f>
        <v>921200</v>
      </c>
      <c r="L619" s="20">
        <f>Store[[#This Row],[Gross Sales]]-Store[[#This Row],[Discount]]</f>
        <v>801444</v>
      </c>
      <c r="M619" s="20">
        <f>Store[[#This Row],[Sales]]-Store[[#This Row],[COGS]]</f>
        <v>117124</v>
      </c>
    </row>
    <row r="620" spans="1:13" x14ac:dyDescent="0.25">
      <c r="A620" t="s">
        <v>41</v>
      </c>
      <c r="B620" t="s">
        <v>42</v>
      </c>
      <c r="C620" s="18" t="s">
        <v>46</v>
      </c>
      <c r="D620" s="19">
        <v>44376</v>
      </c>
      <c r="E620">
        <v>1583</v>
      </c>
      <c r="F620" s="16">
        <v>10</v>
      </c>
      <c r="G620" s="16">
        <v>125</v>
      </c>
      <c r="H620" s="16">
        <v>189960</v>
      </c>
      <c r="I620" s="16">
        <v>25723.75</v>
      </c>
      <c r="J620" s="14" t="s">
        <v>60</v>
      </c>
      <c r="K620" s="20">
        <f>Store[[#This Row],[Quantity]]*Store[[#This Row],[Sale Price]]</f>
        <v>197875</v>
      </c>
      <c r="L620" s="20">
        <f>Store[[#This Row],[Gross Sales]]-Store[[#This Row],[Discount]]</f>
        <v>172151.25</v>
      </c>
      <c r="M620" s="20">
        <f>Store[[#This Row],[Sales]]-Store[[#This Row],[COGS]]</f>
        <v>-17808.75</v>
      </c>
    </row>
    <row r="621" spans="1:13" x14ac:dyDescent="0.25">
      <c r="A621" t="s">
        <v>50</v>
      </c>
      <c r="B621" t="s">
        <v>48</v>
      </c>
      <c r="C621" s="18" t="s">
        <v>46</v>
      </c>
      <c r="D621" s="19">
        <v>44403</v>
      </c>
      <c r="E621">
        <v>571</v>
      </c>
      <c r="F621" s="16">
        <v>10</v>
      </c>
      <c r="G621" s="16">
        <v>12</v>
      </c>
      <c r="H621" s="16">
        <v>1713</v>
      </c>
      <c r="I621" s="16">
        <v>890.76</v>
      </c>
      <c r="J621" s="14" t="s">
        <v>60</v>
      </c>
      <c r="K621" s="20">
        <f>Store[[#This Row],[Quantity]]*Store[[#This Row],[Sale Price]]</f>
        <v>6852</v>
      </c>
      <c r="L621" s="20">
        <f>Store[[#This Row],[Gross Sales]]-Store[[#This Row],[Discount]]</f>
        <v>5961.24</v>
      </c>
      <c r="M621" s="20">
        <f>Store[[#This Row],[Sales]]-Store[[#This Row],[COGS]]</f>
        <v>4248.24</v>
      </c>
    </row>
    <row r="622" spans="1:13" x14ac:dyDescent="0.25">
      <c r="A622" t="s">
        <v>49</v>
      </c>
      <c r="B622" t="s">
        <v>58</v>
      </c>
      <c r="C622" s="18" t="s">
        <v>46</v>
      </c>
      <c r="D622" s="19">
        <v>44427</v>
      </c>
      <c r="E622">
        <v>2696</v>
      </c>
      <c r="F622" s="16">
        <v>10</v>
      </c>
      <c r="G622" s="16">
        <v>7</v>
      </c>
      <c r="H622" s="16">
        <v>13480</v>
      </c>
      <c r="I622" s="16">
        <v>2453.36</v>
      </c>
      <c r="J622" s="14" t="s">
        <v>60</v>
      </c>
      <c r="K622" s="20">
        <f>Store[[#This Row],[Quantity]]*Store[[#This Row],[Sale Price]]</f>
        <v>18872</v>
      </c>
      <c r="L622" s="20">
        <f>Store[[#This Row],[Gross Sales]]-Store[[#This Row],[Discount]]</f>
        <v>16418.64</v>
      </c>
      <c r="M622" s="20">
        <f>Store[[#This Row],[Sales]]-Store[[#This Row],[COGS]]</f>
        <v>2938.6399999999994</v>
      </c>
    </row>
    <row r="623" spans="1:13" x14ac:dyDescent="0.25">
      <c r="A623" t="s">
        <v>45</v>
      </c>
      <c r="B623" t="s">
        <v>42</v>
      </c>
      <c r="C623" s="18" t="s">
        <v>46</v>
      </c>
      <c r="D623" s="19">
        <v>44474</v>
      </c>
      <c r="E623">
        <v>1565</v>
      </c>
      <c r="F623" s="16">
        <v>10</v>
      </c>
      <c r="G623" s="16">
        <v>15</v>
      </c>
      <c r="H623" s="16">
        <v>15650</v>
      </c>
      <c r="I623" s="16">
        <v>3051.75</v>
      </c>
      <c r="J623" s="14" t="s">
        <v>60</v>
      </c>
      <c r="K623" s="20">
        <f>Store[[#This Row],[Quantity]]*Store[[#This Row],[Sale Price]]</f>
        <v>23475</v>
      </c>
      <c r="L623" s="20">
        <f>Store[[#This Row],[Gross Sales]]-Store[[#This Row],[Discount]]</f>
        <v>20423.25</v>
      </c>
      <c r="M623" s="20">
        <f>Store[[#This Row],[Sales]]-Store[[#This Row],[COGS]]</f>
        <v>4773.25</v>
      </c>
    </row>
    <row r="624" spans="1:13" x14ac:dyDescent="0.25">
      <c r="A624" t="s">
        <v>49</v>
      </c>
      <c r="B624" t="s">
        <v>42</v>
      </c>
      <c r="C624" s="18" t="s">
        <v>46</v>
      </c>
      <c r="D624" s="19">
        <v>44494</v>
      </c>
      <c r="E624">
        <v>1249</v>
      </c>
      <c r="F624" s="16">
        <v>10</v>
      </c>
      <c r="G624" s="16">
        <v>20</v>
      </c>
      <c r="H624" s="16">
        <v>12490</v>
      </c>
      <c r="I624" s="16">
        <v>3247.4</v>
      </c>
      <c r="J624" s="14" t="s">
        <v>60</v>
      </c>
      <c r="K624" s="20">
        <f>Store[[#This Row],[Quantity]]*Store[[#This Row],[Sale Price]]</f>
        <v>24980</v>
      </c>
      <c r="L624" s="20">
        <f>Store[[#This Row],[Gross Sales]]-Store[[#This Row],[Discount]]</f>
        <v>21732.6</v>
      </c>
      <c r="M624" s="20">
        <f>Store[[#This Row],[Sales]]-Store[[#This Row],[COGS]]</f>
        <v>9242.5999999999985</v>
      </c>
    </row>
    <row r="625" spans="1:13" x14ac:dyDescent="0.25">
      <c r="A625" t="s">
        <v>49</v>
      </c>
      <c r="B625" t="s">
        <v>56</v>
      </c>
      <c r="C625" s="18" t="s">
        <v>46</v>
      </c>
      <c r="D625" s="19">
        <v>44504</v>
      </c>
      <c r="E625">
        <v>357</v>
      </c>
      <c r="F625" s="16">
        <v>10</v>
      </c>
      <c r="G625" s="16">
        <v>350</v>
      </c>
      <c r="H625" s="16">
        <v>92820</v>
      </c>
      <c r="I625" s="16">
        <v>16243.5</v>
      </c>
      <c r="J625" s="14" t="s">
        <v>60</v>
      </c>
      <c r="K625" s="20">
        <f>Store[[#This Row],[Quantity]]*Store[[#This Row],[Sale Price]]</f>
        <v>124950</v>
      </c>
      <c r="L625" s="20">
        <f>Store[[#This Row],[Gross Sales]]-Store[[#This Row],[Discount]]</f>
        <v>108706.5</v>
      </c>
      <c r="M625" s="20">
        <f>Store[[#This Row],[Sales]]-Store[[#This Row],[COGS]]</f>
        <v>15886.5</v>
      </c>
    </row>
    <row r="626" spans="1:13" x14ac:dyDescent="0.25">
      <c r="A626" t="s">
        <v>50</v>
      </c>
      <c r="B626" t="s">
        <v>56</v>
      </c>
      <c r="C626" s="18" t="s">
        <v>46</v>
      </c>
      <c r="D626" s="19">
        <v>44535</v>
      </c>
      <c r="E626">
        <v>1013</v>
      </c>
      <c r="F626" s="16">
        <v>10</v>
      </c>
      <c r="G626" s="16">
        <v>12</v>
      </c>
      <c r="H626" s="16">
        <v>3039</v>
      </c>
      <c r="I626" s="16">
        <v>1580.28</v>
      </c>
      <c r="J626" s="14" t="s">
        <v>60</v>
      </c>
      <c r="K626" s="20">
        <f>Store[[#This Row],[Quantity]]*Store[[#This Row],[Sale Price]]</f>
        <v>12156</v>
      </c>
      <c r="L626" s="20">
        <f>Store[[#This Row],[Gross Sales]]-Store[[#This Row],[Discount]]</f>
        <v>10575.72</v>
      </c>
      <c r="M626" s="20">
        <f>Store[[#This Row],[Sales]]-Store[[#This Row],[COGS]]</f>
        <v>7536.7199999999993</v>
      </c>
    </row>
    <row r="627" spans="1:13" x14ac:dyDescent="0.25">
      <c r="A627" t="s">
        <v>45</v>
      </c>
      <c r="B627" t="s">
        <v>58</v>
      </c>
      <c r="C627" s="18" t="s">
        <v>52</v>
      </c>
      <c r="D627" s="19">
        <v>44201</v>
      </c>
      <c r="E627">
        <v>3997.5</v>
      </c>
      <c r="F627" s="16">
        <v>120</v>
      </c>
      <c r="G627" s="16">
        <v>15</v>
      </c>
      <c r="H627" s="16">
        <v>39975</v>
      </c>
      <c r="I627" s="16">
        <v>7795.125</v>
      </c>
      <c r="J627" s="14" t="s">
        <v>60</v>
      </c>
      <c r="K627" s="20">
        <f>Store[[#This Row],[Quantity]]*Store[[#This Row],[Sale Price]]</f>
        <v>59962.5</v>
      </c>
      <c r="L627" s="20">
        <f>Store[[#This Row],[Gross Sales]]-Store[[#This Row],[Discount]]</f>
        <v>52167.375</v>
      </c>
      <c r="M627" s="20">
        <f>Store[[#This Row],[Sales]]-Store[[#This Row],[COGS]]</f>
        <v>12192.375</v>
      </c>
    </row>
    <row r="628" spans="1:13" x14ac:dyDescent="0.25">
      <c r="A628" t="s">
        <v>49</v>
      </c>
      <c r="B628" t="s">
        <v>42</v>
      </c>
      <c r="C628" s="18" t="s">
        <v>52</v>
      </c>
      <c r="D628" s="19">
        <v>44373</v>
      </c>
      <c r="E628">
        <v>2632</v>
      </c>
      <c r="F628" s="16">
        <v>120</v>
      </c>
      <c r="G628" s="16">
        <v>350</v>
      </c>
      <c r="H628" s="16">
        <v>684320</v>
      </c>
      <c r="I628" s="16">
        <v>119756</v>
      </c>
      <c r="J628" s="14" t="s">
        <v>60</v>
      </c>
      <c r="K628" s="20">
        <f>Store[[#This Row],[Quantity]]*Store[[#This Row],[Sale Price]]</f>
        <v>921200</v>
      </c>
      <c r="L628" s="20">
        <f>Store[[#This Row],[Gross Sales]]-Store[[#This Row],[Discount]]</f>
        <v>801444</v>
      </c>
      <c r="M628" s="20">
        <f>Store[[#This Row],[Sales]]-Store[[#This Row],[COGS]]</f>
        <v>117124</v>
      </c>
    </row>
    <row r="629" spans="1:13" x14ac:dyDescent="0.25">
      <c r="A629" t="s">
        <v>49</v>
      </c>
      <c r="B629" t="s">
        <v>58</v>
      </c>
      <c r="C629" s="18" t="s">
        <v>52</v>
      </c>
      <c r="D629" s="19">
        <v>44374</v>
      </c>
      <c r="E629">
        <v>1190</v>
      </c>
      <c r="F629" s="16">
        <v>120</v>
      </c>
      <c r="G629" s="16">
        <v>7</v>
      </c>
      <c r="H629" s="16">
        <v>5950</v>
      </c>
      <c r="I629" s="16">
        <v>1082.9000000000001</v>
      </c>
      <c r="J629" s="14" t="s">
        <v>60</v>
      </c>
      <c r="K629" s="20">
        <f>Store[[#This Row],[Quantity]]*Store[[#This Row],[Sale Price]]</f>
        <v>8330</v>
      </c>
      <c r="L629" s="20">
        <f>Store[[#This Row],[Gross Sales]]-Store[[#This Row],[Discount]]</f>
        <v>7247.1</v>
      </c>
      <c r="M629" s="20">
        <f>Store[[#This Row],[Sales]]-Store[[#This Row],[COGS]]</f>
        <v>1297.1000000000004</v>
      </c>
    </row>
    <row r="630" spans="1:13" x14ac:dyDescent="0.25">
      <c r="A630" t="s">
        <v>50</v>
      </c>
      <c r="B630" t="s">
        <v>48</v>
      </c>
      <c r="C630" s="18" t="s">
        <v>52</v>
      </c>
      <c r="D630" s="19">
        <v>44363</v>
      </c>
      <c r="E630">
        <v>604</v>
      </c>
      <c r="F630" s="16">
        <v>120</v>
      </c>
      <c r="G630" s="16">
        <v>12</v>
      </c>
      <c r="H630" s="16">
        <v>1812</v>
      </c>
      <c r="I630" s="16">
        <v>942.24</v>
      </c>
      <c r="J630" s="14" t="s">
        <v>60</v>
      </c>
      <c r="K630" s="20">
        <f>Store[[#This Row],[Quantity]]*Store[[#This Row],[Sale Price]]</f>
        <v>7248</v>
      </c>
      <c r="L630" s="20">
        <f>Store[[#This Row],[Gross Sales]]-Store[[#This Row],[Discount]]</f>
        <v>6305.76</v>
      </c>
      <c r="M630" s="20">
        <f>Store[[#This Row],[Sales]]-Store[[#This Row],[COGS]]</f>
        <v>4493.76</v>
      </c>
    </row>
    <row r="631" spans="1:13" x14ac:dyDescent="0.25">
      <c r="A631" t="s">
        <v>50</v>
      </c>
      <c r="B631" t="s">
        <v>48</v>
      </c>
      <c r="C631" s="18" t="s">
        <v>52</v>
      </c>
      <c r="D631" s="19">
        <v>44472</v>
      </c>
      <c r="E631">
        <v>410</v>
      </c>
      <c r="F631" s="16">
        <v>120</v>
      </c>
      <c r="G631" s="16">
        <v>12</v>
      </c>
      <c r="H631" s="16">
        <v>1230</v>
      </c>
      <c r="I631" s="16">
        <v>639.6</v>
      </c>
      <c r="J631" s="14" t="s">
        <v>60</v>
      </c>
      <c r="K631" s="20">
        <f>Store[[#This Row],[Quantity]]*Store[[#This Row],[Sale Price]]</f>
        <v>4920</v>
      </c>
      <c r="L631" s="20">
        <f>Store[[#This Row],[Gross Sales]]-Store[[#This Row],[Discount]]</f>
        <v>4280.3999999999996</v>
      </c>
      <c r="M631" s="20">
        <f>Store[[#This Row],[Sales]]-Store[[#This Row],[COGS]]</f>
        <v>3050.3999999999996</v>
      </c>
    </row>
    <row r="632" spans="1:13" x14ac:dyDescent="0.25">
      <c r="A632" t="s">
        <v>50</v>
      </c>
      <c r="B632" t="s">
        <v>56</v>
      </c>
      <c r="C632" s="18" t="s">
        <v>52</v>
      </c>
      <c r="D632" s="19">
        <v>44556</v>
      </c>
      <c r="E632">
        <v>1013</v>
      </c>
      <c r="F632" s="16">
        <v>120</v>
      </c>
      <c r="G632" s="16">
        <v>12</v>
      </c>
      <c r="H632" s="16">
        <v>3039</v>
      </c>
      <c r="I632" s="16">
        <v>1580.28</v>
      </c>
      <c r="J632" s="14" t="s">
        <v>60</v>
      </c>
      <c r="K632" s="20">
        <f>Store[[#This Row],[Quantity]]*Store[[#This Row],[Sale Price]]</f>
        <v>12156</v>
      </c>
      <c r="L632" s="20">
        <f>Store[[#This Row],[Gross Sales]]-Store[[#This Row],[Discount]]</f>
        <v>10575.72</v>
      </c>
      <c r="M632" s="20">
        <f>Store[[#This Row],[Sales]]-Store[[#This Row],[COGS]]</f>
        <v>7536.7199999999993</v>
      </c>
    </row>
    <row r="633" spans="1:13" x14ac:dyDescent="0.25">
      <c r="A633" t="s">
        <v>41</v>
      </c>
      <c r="B633" t="s">
        <v>42</v>
      </c>
      <c r="C633" s="18" t="s">
        <v>53</v>
      </c>
      <c r="D633" s="19">
        <v>44362</v>
      </c>
      <c r="E633">
        <v>1583</v>
      </c>
      <c r="F633" s="16">
        <v>250</v>
      </c>
      <c r="G633" s="16">
        <v>125</v>
      </c>
      <c r="H633" s="16">
        <v>189960</v>
      </c>
      <c r="I633" s="16">
        <v>25723.75</v>
      </c>
      <c r="J633" s="14" t="s">
        <v>60</v>
      </c>
      <c r="K633" s="20">
        <f>Store[[#This Row],[Quantity]]*Store[[#This Row],[Sale Price]]</f>
        <v>197875</v>
      </c>
      <c r="L633" s="20">
        <f>Store[[#This Row],[Gross Sales]]-Store[[#This Row],[Discount]]</f>
        <v>172151.25</v>
      </c>
      <c r="M633" s="20">
        <f>Store[[#This Row],[Sales]]-Store[[#This Row],[COGS]]</f>
        <v>-17808.75</v>
      </c>
    </row>
    <row r="634" spans="1:13" x14ac:dyDescent="0.25">
      <c r="A634" t="s">
        <v>45</v>
      </c>
      <c r="B634" t="s">
        <v>42</v>
      </c>
      <c r="C634" s="18" t="s">
        <v>53</v>
      </c>
      <c r="D634" s="19">
        <v>44475</v>
      </c>
      <c r="E634">
        <v>1565</v>
      </c>
      <c r="F634" s="16">
        <v>250</v>
      </c>
      <c r="G634" s="16">
        <v>15</v>
      </c>
      <c r="H634" s="16">
        <v>15650</v>
      </c>
      <c r="I634" s="16">
        <v>3051.75</v>
      </c>
      <c r="J634" s="14" t="s">
        <v>60</v>
      </c>
      <c r="K634" s="20">
        <f>Store[[#This Row],[Quantity]]*Store[[#This Row],[Sale Price]]</f>
        <v>23475</v>
      </c>
      <c r="L634" s="20">
        <f>Store[[#This Row],[Gross Sales]]-Store[[#This Row],[Discount]]</f>
        <v>20423.25</v>
      </c>
      <c r="M634" s="20">
        <f>Store[[#This Row],[Sales]]-Store[[#This Row],[COGS]]</f>
        <v>4773.25</v>
      </c>
    </row>
    <row r="635" spans="1:13" x14ac:dyDescent="0.25">
      <c r="A635" t="s">
        <v>41</v>
      </c>
      <c r="B635" t="s">
        <v>42</v>
      </c>
      <c r="C635" s="18" t="s">
        <v>57</v>
      </c>
      <c r="D635" s="19">
        <v>44198</v>
      </c>
      <c r="E635">
        <v>1659</v>
      </c>
      <c r="F635" s="16">
        <v>260</v>
      </c>
      <c r="G635" s="16">
        <v>125</v>
      </c>
      <c r="H635" s="16">
        <v>199080</v>
      </c>
      <c r="I635" s="16">
        <v>26958.75</v>
      </c>
      <c r="J635" s="14" t="s">
        <v>60</v>
      </c>
      <c r="K635" s="20">
        <f>Store[[#This Row],[Quantity]]*Store[[#This Row],[Sale Price]]</f>
        <v>207375</v>
      </c>
      <c r="L635" s="20">
        <f>Store[[#This Row],[Gross Sales]]-Store[[#This Row],[Discount]]</f>
        <v>180416.25</v>
      </c>
      <c r="M635" s="20">
        <f>Store[[#This Row],[Sales]]-Store[[#This Row],[COGS]]</f>
        <v>-18663.75</v>
      </c>
    </row>
    <row r="636" spans="1:13" x14ac:dyDescent="0.25">
      <c r="A636" t="s">
        <v>49</v>
      </c>
      <c r="B636" t="s">
        <v>58</v>
      </c>
      <c r="C636" s="18" t="s">
        <v>57</v>
      </c>
      <c r="D636" s="19">
        <v>44367</v>
      </c>
      <c r="E636">
        <v>1190</v>
      </c>
      <c r="F636" s="16">
        <v>260</v>
      </c>
      <c r="G636" s="16">
        <v>7</v>
      </c>
      <c r="H636" s="16">
        <v>5950</v>
      </c>
      <c r="I636" s="16">
        <v>1082.9000000000001</v>
      </c>
      <c r="J636" s="14" t="s">
        <v>60</v>
      </c>
      <c r="K636" s="20">
        <f>Store[[#This Row],[Quantity]]*Store[[#This Row],[Sale Price]]</f>
        <v>8330</v>
      </c>
      <c r="L636" s="20">
        <f>Store[[#This Row],[Gross Sales]]-Store[[#This Row],[Discount]]</f>
        <v>7247.1</v>
      </c>
      <c r="M636" s="20">
        <f>Store[[#This Row],[Sales]]-Store[[#This Row],[COGS]]</f>
        <v>1297.1000000000004</v>
      </c>
    </row>
    <row r="637" spans="1:13" x14ac:dyDescent="0.25">
      <c r="A637" t="s">
        <v>50</v>
      </c>
      <c r="B637" t="s">
        <v>48</v>
      </c>
      <c r="C637" s="18" t="s">
        <v>57</v>
      </c>
      <c r="D637" s="19">
        <v>44482</v>
      </c>
      <c r="E637">
        <v>410</v>
      </c>
      <c r="F637" s="16">
        <v>260</v>
      </c>
      <c r="G637" s="16">
        <v>12</v>
      </c>
      <c r="H637" s="16">
        <v>1230</v>
      </c>
      <c r="I637" s="16">
        <v>639.6</v>
      </c>
      <c r="J637" s="14" t="s">
        <v>60</v>
      </c>
      <c r="K637" s="20">
        <f>Store[[#This Row],[Quantity]]*Store[[#This Row],[Sale Price]]</f>
        <v>4920</v>
      </c>
      <c r="L637" s="20">
        <f>Store[[#This Row],[Gross Sales]]-Store[[#This Row],[Discount]]</f>
        <v>4280.3999999999996</v>
      </c>
      <c r="M637" s="20">
        <f>Store[[#This Row],[Sales]]-Store[[#This Row],[COGS]]</f>
        <v>3050.3999999999996</v>
      </c>
    </row>
    <row r="638" spans="1:13" x14ac:dyDescent="0.25">
      <c r="A638" t="s">
        <v>49</v>
      </c>
      <c r="B638" t="s">
        <v>48</v>
      </c>
      <c r="C638" s="18" t="s">
        <v>54</v>
      </c>
      <c r="D638" s="19">
        <v>44311</v>
      </c>
      <c r="E638">
        <v>2579</v>
      </c>
      <c r="F638" s="16">
        <v>3</v>
      </c>
      <c r="G638" s="16">
        <v>20</v>
      </c>
      <c r="H638" s="16">
        <v>25790</v>
      </c>
      <c r="I638" s="16">
        <v>7221.2</v>
      </c>
      <c r="J638" s="14" t="s">
        <v>60</v>
      </c>
      <c r="K638" s="20">
        <f>Store[[#This Row],[Quantity]]*Store[[#This Row],[Sale Price]]</f>
        <v>51580</v>
      </c>
      <c r="L638" s="20">
        <f>Store[[#This Row],[Gross Sales]]-Store[[#This Row],[Discount]]</f>
        <v>44358.8</v>
      </c>
      <c r="M638" s="20">
        <f>Store[[#This Row],[Sales]]-Store[[#This Row],[COGS]]</f>
        <v>18568.800000000003</v>
      </c>
    </row>
    <row r="639" spans="1:13" x14ac:dyDescent="0.25">
      <c r="A639" t="s">
        <v>49</v>
      </c>
      <c r="B639" t="s">
        <v>51</v>
      </c>
      <c r="C639" s="18" t="s">
        <v>54</v>
      </c>
      <c r="D639" s="19">
        <v>44322</v>
      </c>
      <c r="E639">
        <v>1743</v>
      </c>
      <c r="F639" s="16">
        <v>3</v>
      </c>
      <c r="G639" s="16">
        <v>20</v>
      </c>
      <c r="H639" s="16">
        <v>17430</v>
      </c>
      <c r="I639" s="16">
        <v>4880.3999999999996</v>
      </c>
      <c r="J639" s="14" t="s">
        <v>60</v>
      </c>
      <c r="K639" s="20">
        <f>Store[[#This Row],[Quantity]]*Store[[#This Row],[Sale Price]]</f>
        <v>34860</v>
      </c>
      <c r="L639" s="20">
        <f>Store[[#This Row],[Gross Sales]]-Store[[#This Row],[Discount]]</f>
        <v>29979.599999999999</v>
      </c>
      <c r="M639" s="20">
        <f>Store[[#This Row],[Sales]]-Store[[#This Row],[COGS]]</f>
        <v>12549.599999999999</v>
      </c>
    </row>
    <row r="640" spans="1:13" x14ac:dyDescent="0.25">
      <c r="A640" t="s">
        <v>49</v>
      </c>
      <c r="B640" t="s">
        <v>56</v>
      </c>
      <c r="C640" s="18" t="s">
        <v>54</v>
      </c>
      <c r="D640" s="19">
        <v>44537</v>
      </c>
      <c r="E640">
        <v>280</v>
      </c>
      <c r="F640" s="16">
        <v>3</v>
      </c>
      <c r="G640" s="16">
        <v>7</v>
      </c>
      <c r="H640" s="16">
        <v>1400</v>
      </c>
      <c r="I640" s="16">
        <v>274.39999999999998</v>
      </c>
      <c r="J640" s="14" t="s">
        <v>60</v>
      </c>
      <c r="K640" s="20">
        <f>Store[[#This Row],[Quantity]]*Store[[#This Row],[Sale Price]]</f>
        <v>1960</v>
      </c>
      <c r="L640" s="20">
        <f>Store[[#This Row],[Gross Sales]]-Store[[#This Row],[Discount]]</f>
        <v>1685.6</v>
      </c>
      <c r="M640" s="20">
        <f>Store[[#This Row],[Sales]]-Store[[#This Row],[COGS]]</f>
        <v>285.59999999999991</v>
      </c>
    </row>
    <row r="641" spans="1:13" x14ac:dyDescent="0.25">
      <c r="A641" t="s">
        <v>49</v>
      </c>
      <c r="B641" t="s">
        <v>58</v>
      </c>
      <c r="C641" s="18" t="s">
        <v>43</v>
      </c>
      <c r="D641" s="19">
        <v>44234</v>
      </c>
      <c r="E641">
        <v>293</v>
      </c>
      <c r="F641" s="16">
        <v>5</v>
      </c>
      <c r="G641" s="16">
        <v>7</v>
      </c>
      <c r="H641" s="16">
        <v>1465</v>
      </c>
      <c r="I641" s="16">
        <v>287.14</v>
      </c>
      <c r="J641" s="14" t="s">
        <v>60</v>
      </c>
      <c r="K641" s="20">
        <f>Store[[#This Row],[Quantity]]*Store[[#This Row],[Sale Price]]</f>
        <v>2051</v>
      </c>
      <c r="L641" s="20">
        <f>Store[[#This Row],[Gross Sales]]-Store[[#This Row],[Discount]]</f>
        <v>1763.8600000000001</v>
      </c>
      <c r="M641" s="20">
        <f>Store[[#This Row],[Sales]]-Store[[#This Row],[COGS]]</f>
        <v>298.86000000000013</v>
      </c>
    </row>
    <row r="642" spans="1:13" x14ac:dyDescent="0.25">
      <c r="A642" t="s">
        <v>45</v>
      </c>
      <c r="B642" t="s">
        <v>56</v>
      </c>
      <c r="C642" s="18" t="s">
        <v>46</v>
      </c>
      <c r="D642" s="19">
        <v>44249</v>
      </c>
      <c r="E642">
        <v>278</v>
      </c>
      <c r="F642" s="16">
        <v>10</v>
      </c>
      <c r="G642" s="16">
        <v>15</v>
      </c>
      <c r="H642" s="16">
        <v>2780</v>
      </c>
      <c r="I642" s="16">
        <v>583.79999999999995</v>
      </c>
      <c r="J642" s="14" t="s">
        <v>60</v>
      </c>
      <c r="K642" s="20">
        <f>Store[[#This Row],[Quantity]]*Store[[#This Row],[Sale Price]]</f>
        <v>4170</v>
      </c>
      <c r="L642" s="20">
        <f>Store[[#This Row],[Gross Sales]]-Store[[#This Row],[Discount]]</f>
        <v>3586.2</v>
      </c>
      <c r="M642" s="20">
        <f>Store[[#This Row],[Sales]]-Store[[#This Row],[COGS]]</f>
        <v>806.19999999999982</v>
      </c>
    </row>
    <row r="643" spans="1:13" x14ac:dyDescent="0.25">
      <c r="A643" t="s">
        <v>49</v>
      </c>
      <c r="B643" t="s">
        <v>42</v>
      </c>
      <c r="C643" s="18" t="s">
        <v>46</v>
      </c>
      <c r="D643" s="19">
        <v>44272</v>
      </c>
      <c r="E643">
        <v>2428</v>
      </c>
      <c r="F643" s="16">
        <v>10</v>
      </c>
      <c r="G643" s="16">
        <v>20</v>
      </c>
      <c r="H643" s="16">
        <v>24280</v>
      </c>
      <c r="I643" s="16">
        <v>6798.4</v>
      </c>
      <c r="J643" s="14" t="s">
        <v>60</v>
      </c>
      <c r="K643" s="20">
        <f>Store[[#This Row],[Quantity]]*Store[[#This Row],[Sale Price]]</f>
        <v>48560</v>
      </c>
      <c r="L643" s="20">
        <f>Store[[#This Row],[Gross Sales]]-Store[[#This Row],[Discount]]</f>
        <v>41761.599999999999</v>
      </c>
      <c r="M643" s="20">
        <f>Store[[#This Row],[Sales]]-Store[[#This Row],[COGS]]</f>
        <v>17481.599999999999</v>
      </c>
    </row>
    <row r="644" spans="1:13" x14ac:dyDescent="0.25">
      <c r="A644" t="s">
        <v>45</v>
      </c>
      <c r="B644" t="s">
        <v>51</v>
      </c>
      <c r="C644" s="18" t="s">
        <v>46</v>
      </c>
      <c r="D644" s="19">
        <v>44446</v>
      </c>
      <c r="E644">
        <v>1767</v>
      </c>
      <c r="F644" s="16">
        <v>10</v>
      </c>
      <c r="G644" s="16">
        <v>15</v>
      </c>
      <c r="H644" s="16">
        <v>17670</v>
      </c>
      <c r="I644" s="16">
        <v>3710.7</v>
      </c>
      <c r="J644" s="14" t="s">
        <v>60</v>
      </c>
      <c r="K644" s="20">
        <f>Store[[#This Row],[Quantity]]*Store[[#This Row],[Sale Price]]</f>
        <v>26505</v>
      </c>
      <c r="L644" s="20">
        <f>Store[[#This Row],[Gross Sales]]-Store[[#This Row],[Discount]]</f>
        <v>22794.3</v>
      </c>
      <c r="M644" s="20">
        <f>Store[[#This Row],[Sales]]-Store[[#This Row],[COGS]]</f>
        <v>5124.2999999999993</v>
      </c>
    </row>
    <row r="645" spans="1:13" x14ac:dyDescent="0.25">
      <c r="A645" t="s">
        <v>50</v>
      </c>
      <c r="B645" t="s">
        <v>58</v>
      </c>
      <c r="C645" s="18" t="s">
        <v>46</v>
      </c>
      <c r="D645" s="19">
        <v>44488</v>
      </c>
      <c r="E645">
        <v>1393</v>
      </c>
      <c r="F645" s="16">
        <v>10</v>
      </c>
      <c r="G645" s="16">
        <v>12</v>
      </c>
      <c r="H645" s="16">
        <v>4179</v>
      </c>
      <c r="I645" s="16">
        <v>2340.2399999999998</v>
      </c>
      <c r="J645" s="14" t="s">
        <v>60</v>
      </c>
      <c r="K645" s="20">
        <f>Store[[#This Row],[Quantity]]*Store[[#This Row],[Sale Price]]</f>
        <v>16716</v>
      </c>
      <c r="L645" s="20">
        <f>Store[[#This Row],[Gross Sales]]-Store[[#This Row],[Discount]]</f>
        <v>14375.76</v>
      </c>
      <c r="M645" s="20">
        <f>Store[[#This Row],[Sales]]-Store[[#This Row],[COGS]]</f>
        <v>10196.76</v>
      </c>
    </row>
    <row r="646" spans="1:13" x14ac:dyDescent="0.25">
      <c r="A646" t="s">
        <v>49</v>
      </c>
      <c r="B646" t="s">
        <v>56</v>
      </c>
      <c r="C646" s="18" t="s">
        <v>53</v>
      </c>
      <c r="D646" s="19">
        <v>44546</v>
      </c>
      <c r="E646">
        <v>280</v>
      </c>
      <c r="F646" s="16">
        <v>250</v>
      </c>
      <c r="G646" s="16">
        <v>7</v>
      </c>
      <c r="H646" s="16">
        <v>1400</v>
      </c>
      <c r="I646" s="16">
        <v>274.39999999999998</v>
      </c>
      <c r="J646" s="14" t="s">
        <v>60</v>
      </c>
      <c r="K646" s="20">
        <f>Store[[#This Row],[Quantity]]*Store[[#This Row],[Sale Price]]</f>
        <v>1960</v>
      </c>
      <c r="L646" s="20">
        <f>Store[[#This Row],[Gross Sales]]-Store[[#This Row],[Discount]]</f>
        <v>1685.6</v>
      </c>
      <c r="M646" s="20">
        <f>Store[[#This Row],[Sales]]-Store[[#This Row],[COGS]]</f>
        <v>285.59999999999991</v>
      </c>
    </row>
    <row r="647" spans="1:13" x14ac:dyDescent="0.25">
      <c r="A647" t="s">
        <v>50</v>
      </c>
      <c r="B647" t="s">
        <v>58</v>
      </c>
      <c r="C647" s="18" t="s">
        <v>57</v>
      </c>
      <c r="D647" s="19">
        <v>44477</v>
      </c>
      <c r="E647">
        <v>1393</v>
      </c>
      <c r="F647" s="16">
        <v>260</v>
      </c>
      <c r="G647" s="16">
        <v>12</v>
      </c>
      <c r="H647" s="16">
        <v>4179</v>
      </c>
      <c r="I647" s="16">
        <v>2340.2399999999998</v>
      </c>
      <c r="J647" s="14" t="s">
        <v>60</v>
      </c>
      <c r="K647" s="20">
        <f>Store[[#This Row],[Quantity]]*Store[[#This Row],[Sale Price]]</f>
        <v>16716</v>
      </c>
      <c r="L647" s="20">
        <f>Store[[#This Row],[Gross Sales]]-Store[[#This Row],[Discount]]</f>
        <v>14375.76</v>
      </c>
      <c r="M647" s="20">
        <f>Store[[#This Row],[Sales]]-Store[[#This Row],[COGS]]</f>
        <v>10196.76</v>
      </c>
    </row>
    <row r="648" spans="1:13" x14ac:dyDescent="0.25">
      <c r="A648" t="s">
        <v>47</v>
      </c>
      <c r="B648" t="s">
        <v>48</v>
      </c>
      <c r="C648" s="18" t="s">
        <v>54</v>
      </c>
      <c r="D648" s="19">
        <v>44379</v>
      </c>
      <c r="E648">
        <v>801</v>
      </c>
      <c r="F648" s="16">
        <v>3</v>
      </c>
      <c r="G648" s="16">
        <v>300</v>
      </c>
      <c r="H648" s="16">
        <v>200250</v>
      </c>
      <c r="I648" s="16">
        <v>33642</v>
      </c>
      <c r="J648" s="14" t="s">
        <v>60</v>
      </c>
      <c r="K648" s="20">
        <f>Store[[#This Row],[Quantity]]*Store[[#This Row],[Sale Price]]</f>
        <v>240300</v>
      </c>
      <c r="L648" s="20">
        <f>Store[[#This Row],[Gross Sales]]-Store[[#This Row],[Discount]]</f>
        <v>206658</v>
      </c>
      <c r="M648" s="20">
        <f>Store[[#This Row],[Sales]]-Store[[#This Row],[COGS]]</f>
        <v>6408</v>
      </c>
    </row>
    <row r="649" spans="1:13" x14ac:dyDescent="0.25">
      <c r="A649" t="s">
        <v>47</v>
      </c>
      <c r="B649" t="s">
        <v>42</v>
      </c>
      <c r="C649" s="18" t="s">
        <v>54</v>
      </c>
      <c r="D649" s="19">
        <v>44481</v>
      </c>
      <c r="E649">
        <v>1496</v>
      </c>
      <c r="F649" s="16">
        <v>3</v>
      </c>
      <c r="G649" s="16">
        <v>300</v>
      </c>
      <c r="H649" s="16">
        <v>374000</v>
      </c>
      <c r="I649" s="16">
        <v>62832</v>
      </c>
      <c r="J649" s="14" t="s">
        <v>60</v>
      </c>
      <c r="K649" s="20">
        <f>Store[[#This Row],[Quantity]]*Store[[#This Row],[Sale Price]]</f>
        <v>448800</v>
      </c>
      <c r="L649" s="20">
        <f>Store[[#This Row],[Gross Sales]]-Store[[#This Row],[Discount]]</f>
        <v>385968</v>
      </c>
      <c r="M649" s="20">
        <f>Store[[#This Row],[Sales]]-Store[[#This Row],[COGS]]</f>
        <v>11968</v>
      </c>
    </row>
    <row r="650" spans="1:13" x14ac:dyDescent="0.25">
      <c r="A650" t="s">
        <v>47</v>
      </c>
      <c r="B650" t="s">
        <v>51</v>
      </c>
      <c r="C650" s="18" t="s">
        <v>54</v>
      </c>
      <c r="D650" s="19">
        <v>44486</v>
      </c>
      <c r="E650">
        <v>1010</v>
      </c>
      <c r="F650" s="16">
        <v>3</v>
      </c>
      <c r="G650" s="16">
        <v>300</v>
      </c>
      <c r="H650" s="16">
        <v>252500</v>
      </c>
      <c r="I650" s="16">
        <v>42420</v>
      </c>
      <c r="J650" s="14" t="s">
        <v>60</v>
      </c>
      <c r="K650" s="20">
        <f>Store[[#This Row],[Quantity]]*Store[[#This Row],[Sale Price]]</f>
        <v>303000</v>
      </c>
      <c r="L650" s="20">
        <f>Store[[#This Row],[Gross Sales]]-Store[[#This Row],[Discount]]</f>
        <v>260580</v>
      </c>
      <c r="M650" s="20">
        <f>Store[[#This Row],[Sales]]-Store[[#This Row],[COGS]]</f>
        <v>8080</v>
      </c>
    </row>
    <row r="651" spans="1:13" x14ac:dyDescent="0.25">
      <c r="A651" t="s">
        <v>45</v>
      </c>
      <c r="B651" t="s">
        <v>56</v>
      </c>
      <c r="C651" s="18" t="s">
        <v>54</v>
      </c>
      <c r="D651" s="19">
        <v>44505</v>
      </c>
      <c r="E651">
        <v>1513</v>
      </c>
      <c r="F651" s="16">
        <v>3</v>
      </c>
      <c r="G651" s="16">
        <v>15</v>
      </c>
      <c r="H651" s="16">
        <v>15130</v>
      </c>
      <c r="I651" s="16">
        <v>3177.3</v>
      </c>
      <c r="J651" s="14" t="s">
        <v>60</v>
      </c>
      <c r="K651" s="20">
        <f>Store[[#This Row],[Quantity]]*Store[[#This Row],[Sale Price]]</f>
        <v>22695</v>
      </c>
      <c r="L651" s="20">
        <f>Store[[#This Row],[Gross Sales]]-Store[[#This Row],[Discount]]</f>
        <v>19517.7</v>
      </c>
      <c r="M651" s="20">
        <f>Store[[#This Row],[Sales]]-Store[[#This Row],[COGS]]</f>
        <v>4387.7000000000007</v>
      </c>
    </row>
    <row r="652" spans="1:13" x14ac:dyDescent="0.25">
      <c r="A652" t="s">
        <v>45</v>
      </c>
      <c r="B652" t="s">
        <v>42</v>
      </c>
      <c r="C652" s="18" t="s">
        <v>54</v>
      </c>
      <c r="D652" s="19">
        <v>44546</v>
      </c>
      <c r="E652">
        <v>2300</v>
      </c>
      <c r="F652" s="16">
        <v>3</v>
      </c>
      <c r="G652" s="16">
        <v>15</v>
      </c>
      <c r="H652" s="16">
        <v>23000</v>
      </c>
      <c r="I652" s="16">
        <v>4830</v>
      </c>
      <c r="J652" s="14" t="s">
        <v>60</v>
      </c>
      <c r="K652" s="20">
        <f>Store[[#This Row],[Quantity]]*Store[[#This Row],[Sale Price]]</f>
        <v>34500</v>
      </c>
      <c r="L652" s="20">
        <f>Store[[#This Row],[Gross Sales]]-Store[[#This Row],[Discount]]</f>
        <v>29670</v>
      </c>
      <c r="M652" s="20">
        <f>Store[[#This Row],[Sales]]-Store[[#This Row],[COGS]]</f>
        <v>6670</v>
      </c>
    </row>
    <row r="653" spans="1:13" x14ac:dyDescent="0.25">
      <c r="A653" t="s">
        <v>49</v>
      </c>
      <c r="B653" t="s">
        <v>42</v>
      </c>
      <c r="C653" s="18" t="s">
        <v>43</v>
      </c>
      <c r="D653" s="19">
        <v>44213</v>
      </c>
      <c r="E653">
        <v>2227.5</v>
      </c>
      <c r="F653" s="16">
        <v>5</v>
      </c>
      <c r="G653" s="16">
        <v>350</v>
      </c>
      <c r="H653" s="16">
        <v>579150</v>
      </c>
      <c r="I653" s="16">
        <v>109147.5</v>
      </c>
      <c r="J653" s="14" t="s">
        <v>60</v>
      </c>
      <c r="K653" s="20">
        <f>Store[[#This Row],[Quantity]]*Store[[#This Row],[Sale Price]]</f>
        <v>779625</v>
      </c>
      <c r="L653" s="20">
        <f>Store[[#This Row],[Gross Sales]]-Store[[#This Row],[Discount]]</f>
        <v>670477.5</v>
      </c>
      <c r="M653" s="20">
        <f>Store[[#This Row],[Sales]]-Store[[#This Row],[COGS]]</f>
        <v>91327.5</v>
      </c>
    </row>
    <row r="654" spans="1:13" x14ac:dyDescent="0.25">
      <c r="A654" t="s">
        <v>49</v>
      </c>
      <c r="B654" t="s">
        <v>56</v>
      </c>
      <c r="C654" s="18" t="s">
        <v>43</v>
      </c>
      <c r="D654" s="19">
        <v>44290</v>
      </c>
      <c r="E654">
        <v>1199</v>
      </c>
      <c r="F654" s="16">
        <v>5</v>
      </c>
      <c r="G654" s="16">
        <v>350</v>
      </c>
      <c r="H654" s="16">
        <v>311740</v>
      </c>
      <c r="I654" s="16">
        <v>58751</v>
      </c>
      <c r="J654" s="14" t="s">
        <v>60</v>
      </c>
      <c r="K654" s="20">
        <f>Store[[#This Row],[Quantity]]*Store[[#This Row],[Sale Price]]</f>
        <v>419650</v>
      </c>
      <c r="L654" s="20">
        <f>Store[[#This Row],[Gross Sales]]-Store[[#This Row],[Discount]]</f>
        <v>360899</v>
      </c>
      <c r="M654" s="20">
        <f>Store[[#This Row],[Sales]]-Store[[#This Row],[COGS]]</f>
        <v>49159</v>
      </c>
    </row>
    <row r="655" spans="1:13" x14ac:dyDescent="0.25">
      <c r="A655" t="s">
        <v>49</v>
      </c>
      <c r="B655" t="s">
        <v>42</v>
      </c>
      <c r="C655" s="18" t="s">
        <v>43</v>
      </c>
      <c r="D655" s="19">
        <v>44331</v>
      </c>
      <c r="E655">
        <v>200</v>
      </c>
      <c r="F655" s="16">
        <v>5</v>
      </c>
      <c r="G655" s="16">
        <v>350</v>
      </c>
      <c r="H655" s="16">
        <v>52000</v>
      </c>
      <c r="I655" s="16">
        <v>9800</v>
      </c>
      <c r="J655" s="14" t="s">
        <v>60</v>
      </c>
      <c r="K655" s="20">
        <f>Store[[#This Row],[Quantity]]*Store[[#This Row],[Sale Price]]</f>
        <v>70000</v>
      </c>
      <c r="L655" s="20">
        <f>Store[[#This Row],[Gross Sales]]-Store[[#This Row],[Discount]]</f>
        <v>60200</v>
      </c>
      <c r="M655" s="20">
        <f>Store[[#This Row],[Sales]]-Store[[#This Row],[COGS]]</f>
        <v>8200</v>
      </c>
    </row>
    <row r="656" spans="1:13" x14ac:dyDescent="0.25">
      <c r="A656" t="s">
        <v>49</v>
      </c>
      <c r="B656" t="s">
        <v>42</v>
      </c>
      <c r="C656" s="18" t="s">
        <v>43</v>
      </c>
      <c r="D656" s="19">
        <v>44443</v>
      </c>
      <c r="E656">
        <v>388</v>
      </c>
      <c r="F656" s="16">
        <v>5</v>
      </c>
      <c r="G656" s="16">
        <v>7</v>
      </c>
      <c r="H656" s="16">
        <v>1940</v>
      </c>
      <c r="I656" s="16">
        <v>380.24</v>
      </c>
      <c r="J656" s="14" t="s">
        <v>60</v>
      </c>
      <c r="K656" s="20">
        <f>Store[[#This Row],[Quantity]]*Store[[#This Row],[Sale Price]]</f>
        <v>2716</v>
      </c>
      <c r="L656" s="20">
        <f>Store[[#This Row],[Gross Sales]]-Store[[#This Row],[Discount]]</f>
        <v>2335.7600000000002</v>
      </c>
      <c r="M656" s="20">
        <f>Store[[#This Row],[Sales]]-Store[[#This Row],[COGS]]</f>
        <v>395.76000000000022</v>
      </c>
    </row>
    <row r="657" spans="1:13" x14ac:dyDescent="0.25">
      <c r="A657" t="s">
        <v>45</v>
      </c>
      <c r="B657" t="s">
        <v>42</v>
      </c>
      <c r="C657" s="18" t="s">
        <v>43</v>
      </c>
      <c r="D657" s="19">
        <v>44546</v>
      </c>
      <c r="E657">
        <v>2300</v>
      </c>
      <c r="F657" s="16">
        <v>5</v>
      </c>
      <c r="G657" s="16">
        <v>15</v>
      </c>
      <c r="H657" s="16">
        <v>23000</v>
      </c>
      <c r="I657" s="16">
        <v>4830</v>
      </c>
      <c r="J657" s="14" t="s">
        <v>60</v>
      </c>
      <c r="K657" s="20">
        <f>Store[[#This Row],[Quantity]]*Store[[#This Row],[Sale Price]]</f>
        <v>34500</v>
      </c>
      <c r="L657" s="20">
        <f>Store[[#This Row],[Gross Sales]]-Store[[#This Row],[Discount]]</f>
        <v>29670</v>
      </c>
      <c r="M657" s="20">
        <f>Store[[#This Row],[Sales]]-Store[[#This Row],[COGS]]</f>
        <v>6670</v>
      </c>
    </row>
    <row r="658" spans="1:13" x14ac:dyDescent="0.25">
      <c r="A658" t="s">
        <v>49</v>
      </c>
      <c r="B658" t="s">
        <v>48</v>
      </c>
      <c r="C658" s="18" t="s">
        <v>46</v>
      </c>
      <c r="D658" s="19">
        <v>44243</v>
      </c>
      <c r="E658">
        <v>260</v>
      </c>
      <c r="F658" s="16">
        <v>10</v>
      </c>
      <c r="G658" s="16">
        <v>20</v>
      </c>
      <c r="H658" s="16">
        <v>2600</v>
      </c>
      <c r="I658" s="16">
        <v>728</v>
      </c>
      <c r="J658" s="14" t="s">
        <v>60</v>
      </c>
      <c r="K658" s="20">
        <f>Store[[#This Row],[Quantity]]*Store[[#This Row],[Sale Price]]</f>
        <v>5200</v>
      </c>
      <c r="L658" s="20">
        <f>Store[[#This Row],[Gross Sales]]-Store[[#This Row],[Discount]]</f>
        <v>4472</v>
      </c>
      <c r="M658" s="20">
        <f>Store[[#This Row],[Sales]]-Store[[#This Row],[COGS]]</f>
        <v>1872</v>
      </c>
    </row>
    <row r="659" spans="1:13" x14ac:dyDescent="0.25">
      <c r="A659" t="s">
        <v>50</v>
      </c>
      <c r="B659" t="s">
        <v>51</v>
      </c>
      <c r="C659" s="18" t="s">
        <v>46</v>
      </c>
      <c r="D659" s="19">
        <v>44498</v>
      </c>
      <c r="E659">
        <v>2914</v>
      </c>
      <c r="F659" s="16">
        <v>10</v>
      </c>
      <c r="G659" s="16">
        <v>12</v>
      </c>
      <c r="H659" s="16">
        <v>8742</v>
      </c>
      <c r="I659" s="16">
        <v>4895.5200000000004</v>
      </c>
      <c r="J659" s="14" t="s">
        <v>60</v>
      </c>
      <c r="K659" s="20">
        <f>Store[[#This Row],[Quantity]]*Store[[#This Row],[Sale Price]]</f>
        <v>34968</v>
      </c>
      <c r="L659" s="20">
        <f>Store[[#This Row],[Gross Sales]]-Store[[#This Row],[Discount]]</f>
        <v>30072.48</v>
      </c>
      <c r="M659" s="20">
        <f>Store[[#This Row],[Sales]]-Store[[#This Row],[COGS]]</f>
        <v>21330.48</v>
      </c>
    </row>
    <row r="660" spans="1:13" x14ac:dyDescent="0.25">
      <c r="A660" t="s">
        <v>49</v>
      </c>
      <c r="B660" t="s">
        <v>58</v>
      </c>
      <c r="C660" s="18" t="s">
        <v>46</v>
      </c>
      <c r="D660" s="19">
        <v>44481</v>
      </c>
      <c r="E660">
        <v>1731</v>
      </c>
      <c r="F660" s="16">
        <v>10</v>
      </c>
      <c r="G660" s="16">
        <v>7</v>
      </c>
      <c r="H660" s="16">
        <v>8655</v>
      </c>
      <c r="I660" s="16">
        <v>1696.38</v>
      </c>
      <c r="J660" s="14" t="s">
        <v>60</v>
      </c>
      <c r="K660" s="20">
        <f>Store[[#This Row],[Quantity]]*Store[[#This Row],[Sale Price]]</f>
        <v>12117</v>
      </c>
      <c r="L660" s="20">
        <f>Store[[#This Row],[Gross Sales]]-Store[[#This Row],[Discount]]</f>
        <v>10420.619999999999</v>
      </c>
      <c r="M660" s="20">
        <f>Store[[#This Row],[Sales]]-Store[[#This Row],[COGS]]</f>
        <v>1765.619999999999</v>
      </c>
    </row>
    <row r="661" spans="1:13" x14ac:dyDescent="0.25">
      <c r="A661" t="s">
        <v>49</v>
      </c>
      <c r="B661" t="s">
        <v>42</v>
      </c>
      <c r="C661" s="18" t="s">
        <v>46</v>
      </c>
      <c r="D661" s="19">
        <v>44521</v>
      </c>
      <c r="E661">
        <v>700</v>
      </c>
      <c r="F661" s="16">
        <v>10</v>
      </c>
      <c r="G661" s="16">
        <v>350</v>
      </c>
      <c r="H661" s="16">
        <v>182000</v>
      </c>
      <c r="I661" s="16">
        <v>34300</v>
      </c>
      <c r="J661" s="14" t="s">
        <v>60</v>
      </c>
      <c r="K661" s="20">
        <f>Store[[#This Row],[Quantity]]*Store[[#This Row],[Sale Price]]</f>
        <v>245000</v>
      </c>
      <c r="L661" s="20">
        <f>Store[[#This Row],[Gross Sales]]-Store[[#This Row],[Discount]]</f>
        <v>210700</v>
      </c>
      <c r="M661" s="20">
        <f>Store[[#This Row],[Sales]]-Store[[#This Row],[COGS]]</f>
        <v>28700</v>
      </c>
    </row>
    <row r="662" spans="1:13" x14ac:dyDescent="0.25">
      <c r="A662" t="s">
        <v>49</v>
      </c>
      <c r="B662" t="s">
        <v>51</v>
      </c>
      <c r="C662" s="18" t="s">
        <v>46</v>
      </c>
      <c r="D662" s="19">
        <v>44508</v>
      </c>
      <c r="E662">
        <v>1177</v>
      </c>
      <c r="F662" s="16">
        <v>10</v>
      </c>
      <c r="G662" s="16">
        <v>350</v>
      </c>
      <c r="H662" s="16">
        <v>306020</v>
      </c>
      <c r="I662" s="16">
        <v>57673</v>
      </c>
      <c r="J662" s="14" t="s">
        <v>60</v>
      </c>
      <c r="K662" s="20">
        <f>Store[[#This Row],[Quantity]]*Store[[#This Row],[Sale Price]]</f>
        <v>411950</v>
      </c>
      <c r="L662" s="20">
        <f>Store[[#This Row],[Gross Sales]]-Store[[#This Row],[Discount]]</f>
        <v>354277</v>
      </c>
      <c r="M662" s="20">
        <f>Store[[#This Row],[Sales]]-Store[[#This Row],[COGS]]</f>
        <v>48257</v>
      </c>
    </row>
    <row r="663" spans="1:13" x14ac:dyDescent="0.25">
      <c r="A663" t="s">
        <v>41</v>
      </c>
      <c r="B663" t="s">
        <v>48</v>
      </c>
      <c r="C663" s="18" t="s">
        <v>52</v>
      </c>
      <c r="D663" s="19">
        <v>44244</v>
      </c>
      <c r="E663">
        <v>1575</v>
      </c>
      <c r="F663" s="16">
        <v>120</v>
      </c>
      <c r="G663" s="16">
        <v>125</v>
      </c>
      <c r="H663" s="16">
        <v>189000</v>
      </c>
      <c r="I663" s="16">
        <v>27562.5</v>
      </c>
      <c r="J663" s="14" t="s">
        <v>60</v>
      </c>
      <c r="K663" s="20">
        <f>Store[[#This Row],[Quantity]]*Store[[#This Row],[Sale Price]]</f>
        <v>196875</v>
      </c>
      <c r="L663" s="20">
        <f>Store[[#This Row],[Gross Sales]]-Store[[#This Row],[Discount]]</f>
        <v>169312.5</v>
      </c>
      <c r="M663" s="20">
        <f>Store[[#This Row],[Sales]]-Store[[#This Row],[COGS]]</f>
        <v>-19687.5</v>
      </c>
    </row>
    <row r="664" spans="1:13" x14ac:dyDescent="0.25">
      <c r="A664" t="s">
        <v>49</v>
      </c>
      <c r="B664" t="s">
        <v>51</v>
      </c>
      <c r="C664" s="18" t="s">
        <v>52</v>
      </c>
      <c r="D664" s="19">
        <v>44314</v>
      </c>
      <c r="E664">
        <v>606</v>
      </c>
      <c r="F664" s="16">
        <v>120</v>
      </c>
      <c r="G664" s="16">
        <v>20</v>
      </c>
      <c r="H664" s="16">
        <v>6060</v>
      </c>
      <c r="I664" s="16">
        <v>1696.8000000000002</v>
      </c>
      <c r="J664" s="14" t="s">
        <v>60</v>
      </c>
      <c r="K664" s="20">
        <f>Store[[#This Row],[Quantity]]*Store[[#This Row],[Sale Price]]</f>
        <v>12120</v>
      </c>
      <c r="L664" s="20">
        <f>Store[[#This Row],[Gross Sales]]-Store[[#This Row],[Discount]]</f>
        <v>10423.200000000001</v>
      </c>
      <c r="M664" s="20">
        <f>Store[[#This Row],[Sales]]-Store[[#This Row],[COGS]]</f>
        <v>4363.2000000000007</v>
      </c>
    </row>
    <row r="665" spans="1:13" x14ac:dyDescent="0.25">
      <c r="A665" t="s">
        <v>47</v>
      </c>
      <c r="B665" t="s">
        <v>51</v>
      </c>
      <c r="C665" s="18" t="s">
        <v>52</v>
      </c>
      <c r="D665" s="19">
        <v>44402</v>
      </c>
      <c r="E665">
        <v>2460</v>
      </c>
      <c r="F665" s="16">
        <v>120</v>
      </c>
      <c r="G665" s="16">
        <v>300</v>
      </c>
      <c r="H665" s="16">
        <v>615000</v>
      </c>
      <c r="I665" s="16">
        <v>103320</v>
      </c>
      <c r="J665" s="14" t="s">
        <v>60</v>
      </c>
      <c r="K665" s="20">
        <f>Store[[#This Row],[Quantity]]*Store[[#This Row],[Sale Price]]</f>
        <v>738000</v>
      </c>
      <c r="L665" s="20">
        <f>Store[[#This Row],[Gross Sales]]-Store[[#This Row],[Discount]]</f>
        <v>634680</v>
      </c>
      <c r="M665" s="20">
        <f>Store[[#This Row],[Sales]]-Store[[#This Row],[COGS]]</f>
        <v>19680</v>
      </c>
    </row>
    <row r="666" spans="1:13" x14ac:dyDescent="0.25">
      <c r="A666" t="s">
        <v>49</v>
      </c>
      <c r="B666" t="s">
        <v>48</v>
      </c>
      <c r="C666" s="18" t="s">
        <v>53</v>
      </c>
      <c r="D666" s="19">
        <v>44284</v>
      </c>
      <c r="E666">
        <v>2903</v>
      </c>
      <c r="F666" s="16">
        <v>250</v>
      </c>
      <c r="G666" s="16">
        <v>7</v>
      </c>
      <c r="H666" s="16">
        <v>14515</v>
      </c>
      <c r="I666" s="16">
        <v>2844.94</v>
      </c>
      <c r="J666" s="14" t="s">
        <v>60</v>
      </c>
      <c r="K666" s="20">
        <f>Store[[#This Row],[Quantity]]*Store[[#This Row],[Sale Price]]</f>
        <v>20321</v>
      </c>
      <c r="L666" s="20">
        <f>Store[[#This Row],[Gross Sales]]-Store[[#This Row],[Discount]]</f>
        <v>17476.060000000001</v>
      </c>
      <c r="M666" s="20">
        <f>Store[[#This Row],[Sales]]-Store[[#This Row],[COGS]]</f>
        <v>2961.0600000000013</v>
      </c>
    </row>
    <row r="667" spans="1:13" x14ac:dyDescent="0.25">
      <c r="A667" t="s">
        <v>47</v>
      </c>
      <c r="B667" t="s">
        <v>51</v>
      </c>
      <c r="C667" s="18" t="s">
        <v>53</v>
      </c>
      <c r="D667" s="19">
        <v>44438</v>
      </c>
      <c r="E667">
        <v>2541</v>
      </c>
      <c r="F667" s="16">
        <v>250</v>
      </c>
      <c r="G667" s="16">
        <v>300</v>
      </c>
      <c r="H667" s="16">
        <v>635250</v>
      </c>
      <c r="I667" s="16">
        <v>106722</v>
      </c>
      <c r="J667" s="14" t="s">
        <v>60</v>
      </c>
      <c r="K667" s="20">
        <f>Store[[#This Row],[Quantity]]*Store[[#This Row],[Sale Price]]</f>
        <v>762300</v>
      </c>
      <c r="L667" s="20">
        <f>Store[[#This Row],[Gross Sales]]-Store[[#This Row],[Discount]]</f>
        <v>655578</v>
      </c>
      <c r="M667" s="20">
        <f>Store[[#This Row],[Sales]]-Store[[#This Row],[COGS]]</f>
        <v>20328</v>
      </c>
    </row>
    <row r="668" spans="1:13" x14ac:dyDescent="0.25">
      <c r="A668" t="s">
        <v>47</v>
      </c>
      <c r="B668" t="s">
        <v>42</v>
      </c>
      <c r="C668" s="18" t="s">
        <v>53</v>
      </c>
      <c r="D668" s="19">
        <v>44497</v>
      </c>
      <c r="E668">
        <v>1496</v>
      </c>
      <c r="F668" s="16">
        <v>250</v>
      </c>
      <c r="G668" s="16">
        <v>300</v>
      </c>
      <c r="H668" s="16">
        <v>374000</v>
      </c>
      <c r="I668" s="16">
        <v>62832</v>
      </c>
      <c r="J668" s="14" t="s">
        <v>60</v>
      </c>
      <c r="K668" s="20">
        <f>Store[[#This Row],[Quantity]]*Store[[#This Row],[Sale Price]]</f>
        <v>448800</v>
      </c>
      <c r="L668" s="20">
        <f>Store[[#This Row],[Gross Sales]]-Store[[#This Row],[Discount]]</f>
        <v>385968</v>
      </c>
      <c r="M668" s="20">
        <f>Store[[#This Row],[Sales]]-Store[[#This Row],[COGS]]</f>
        <v>11968</v>
      </c>
    </row>
    <row r="669" spans="1:13" x14ac:dyDescent="0.25">
      <c r="A669" t="s">
        <v>47</v>
      </c>
      <c r="B669" t="s">
        <v>51</v>
      </c>
      <c r="C669" s="18" t="s">
        <v>53</v>
      </c>
      <c r="D669" s="19">
        <v>44488</v>
      </c>
      <c r="E669">
        <v>1010</v>
      </c>
      <c r="F669" s="16">
        <v>250</v>
      </c>
      <c r="G669" s="16">
        <v>300</v>
      </c>
      <c r="H669" s="16">
        <v>252500</v>
      </c>
      <c r="I669" s="16">
        <v>42420</v>
      </c>
      <c r="J669" s="14" t="s">
        <v>60</v>
      </c>
      <c r="K669" s="20">
        <f>Store[[#This Row],[Quantity]]*Store[[#This Row],[Sale Price]]</f>
        <v>303000</v>
      </c>
      <c r="L669" s="20">
        <f>Store[[#This Row],[Gross Sales]]-Store[[#This Row],[Discount]]</f>
        <v>260580</v>
      </c>
      <c r="M669" s="20">
        <f>Store[[#This Row],[Sales]]-Store[[#This Row],[COGS]]</f>
        <v>8080</v>
      </c>
    </row>
    <row r="670" spans="1:13" x14ac:dyDescent="0.25">
      <c r="A670" t="s">
        <v>47</v>
      </c>
      <c r="B670" t="s">
        <v>42</v>
      </c>
      <c r="C670" s="18" t="s">
        <v>57</v>
      </c>
      <c r="D670" s="19">
        <v>44278</v>
      </c>
      <c r="E670">
        <v>888</v>
      </c>
      <c r="F670" s="16">
        <v>260</v>
      </c>
      <c r="G670" s="16">
        <v>300</v>
      </c>
      <c r="H670" s="16">
        <v>222000</v>
      </c>
      <c r="I670" s="16">
        <v>37296</v>
      </c>
      <c r="J670" s="14" t="s">
        <v>60</v>
      </c>
      <c r="K670" s="20">
        <f>Store[[#This Row],[Quantity]]*Store[[#This Row],[Sale Price]]</f>
        <v>266400</v>
      </c>
      <c r="L670" s="20">
        <f>Store[[#This Row],[Gross Sales]]-Store[[#This Row],[Discount]]</f>
        <v>229104</v>
      </c>
      <c r="M670" s="20">
        <f>Store[[#This Row],[Sales]]-Store[[#This Row],[COGS]]</f>
        <v>7104</v>
      </c>
    </row>
    <row r="671" spans="1:13" x14ac:dyDescent="0.25">
      <c r="A671" t="s">
        <v>41</v>
      </c>
      <c r="B671" t="s">
        <v>51</v>
      </c>
      <c r="C671" s="18" t="s">
        <v>57</v>
      </c>
      <c r="D671" s="19">
        <v>44321</v>
      </c>
      <c r="E671">
        <v>2844</v>
      </c>
      <c r="F671" s="16">
        <v>260</v>
      </c>
      <c r="G671" s="16">
        <v>125</v>
      </c>
      <c r="H671" s="16">
        <v>341280</v>
      </c>
      <c r="I671" s="16">
        <v>49770</v>
      </c>
      <c r="J671" s="14" t="s">
        <v>60</v>
      </c>
      <c r="K671" s="20">
        <f>Store[[#This Row],[Quantity]]*Store[[#This Row],[Sale Price]]</f>
        <v>355500</v>
      </c>
      <c r="L671" s="20">
        <f>Store[[#This Row],[Gross Sales]]-Store[[#This Row],[Discount]]</f>
        <v>305730</v>
      </c>
      <c r="M671" s="20">
        <f>Store[[#This Row],[Sales]]-Store[[#This Row],[COGS]]</f>
        <v>-35550</v>
      </c>
    </row>
    <row r="672" spans="1:13" x14ac:dyDescent="0.25">
      <c r="A672" t="s">
        <v>50</v>
      </c>
      <c r="B672" t="s">
        <v>58</v>
      </c>
      <c r="C672" s="18" t="s">
        <v>57</v>
      </c>
      <c r="D672" s="19">
        <v>44431</v>
      </c>
      <c r="E672">
        <v>2475</v>
      </c>
      <c r="F672" s="16">
        <v>260</v>
      </c>
      <c r="G672" s="16">
        <v>12</v>
      </c>
      <c r="H672" s="16">
        <v>7425</v>
      </c>
      <c r="I672" s="16">
        <v>4158</v>
      </c>
      <c r="J672" s="14" t="s">
        <v>60</v>
      </c>
      <c r="K672" s="20">
        <f>Store[[#This Row],[Quantity]]*Store[[#This Row],[Sale Price]]</f>
        <v>29700</v>
      </c>
      <c r="L672" s="20">
        <f>Store[[#This Row],[Gross Sales]]-Store[[#This Row],[Discount]]</f>
        <v>25542</v>
      </c>
      <c r="M672" s="20">
        <f>Store[[#This Row],[Sales]]-Store[[#This Row],[COGS]]</f>
        <v>18117</v>
      </c>
    </row>
    <row r="673" spans="1:13" x14ac:dyDescent="0.25">
      <c r="A673" t="s">
        <v>50</v>
      </c>
      <c r="B673" t="s">
        <v>51</v>
      </c>
      <c r="C673" s="18" t="s">
        <v>57</v>
      </c>
      <c r="D673" s="19">
        <v>44480</v>
      </c>
      <c r="E673">
        <v>2914</v>
      </c>
      <c r="F673" s="16">
        <v>260</v>
      </c>
      <c r="G673" s="16">
        <v>12</v>
      </c>
      <c r="H673" s="16">
        <v>8742</v>
      </c>
      <c r="I673" s="16">
        <v>4895.5200000000004</v>
      </c>
      <c r="J673" s="14" t="s">
        <v>60</v>
      </c>
      <c r="K673" s="20">
        <f>Store[[#This Row],[Quantity]]*Store[[#This Row],[Sale Price]]</f>
        <v>34968</v>
      </c>
      <c r="L673" s="20">
        <f>Store[[#This Row],[Gross Sales]]-Store[[#This Row],[Discount]]</f>
        <v>30072.48</v>
      </c>
      <c r="M673" s="20">
        <f>Store[[#This Row],[Sales]]-Store[[#This Row],[COGS]]</f>
        <v>21330.48</v>
      </c>
    </row>
    <row r="674" spans="1:13" x14ac:dyDescent="0.25">
      <c r="A674" t="s">
        <v>49</v>
      </c>
      <c r="B674" t="s">
        <v>58</v>
      </c>
      <c r="C674" s="18" t="s">
        <v>57</v>
      </c>
      <c r="D674" s="19">
        <v>44483</v>
      </c>
      <c r="E674">
        <v>1731</v>
      </c>
      <c r="F674" s="16">
        <v>260</v>
      </c>
      <c r="G674" s="16">
        <v>7</v>
      </c>
      <c r="H674" s="16">
        <v>8655</v>
      </c>
      <c r="I674" s="16">
        <v>1696.38</v>
      </c>
      <c r="J674" s="14" t="s">
        <v>60</v>
      </c>
      <c r="K674" s="20">
        <f>Store[[#This Row],[Quantity]]*Store[[#This Row],[Sale Price]]</f>
        <v>12117</v>
      </c>
      <c r="L674" s="20">
        <f>Store[[#This Row],[Gross Sales]]-Store[[#This Row],[Discount]]</f>
        <v>10420.619999999999</v>
      </c>
      <c r="M674" s="20">
        <f>Store[[#This Row],[Sales]]-Store[[#This Row],[COGS]]</f>
        <v>1765.619999999999</v>
      </c>
    </row>
    <row r="675" spans="1:13" x14ac:dyDescent="0.25">
      <c r="A675" t="s">
        <v>41</v>
      </c>
      <c r="B675" t="s">
        <v>58</v>
      </c>
      <c r="C675" s="18" t="s">
        <v>54</v>
      </c>
      <c r="D675" s="19">
        <v>44420</v>
      </c>
      <c r="E675">
        <v>1174</v>
      </c>
      <c r="F675" s="16">
        <v>3</v>
      </c>
      <c r="G675" s="16">
        <v>125</v>
      </c>
      <c r="H675" s="16">
        <v>140880</v>
      </c>
      <c r="I675" s="16">
        <v>22012.5</v>
      </c>
      <c r="J675" s="14" t="s">
        <v>60</v>
      </c>
      <c r="K675" s="20">
        <f>Store[[#This Row],[Quantity]]*Store[[#This Row],[Sale Price]]</f>
        <v>146750</v>
      </c>
      <c r="L675" s="20">
        <f>Store[[#This Row],[Gross Sales]]-Store[[#This Row],[Discount]]</f>
        <v>124737.5</v>
      </c>
      <c r="M675" s="20">
        <f>Store[[#This Row],[Sales]]-Store[[#This Row],[COGS]]</f>
        <v>-16142.5</v>
      </c>
    </row>
    <row r="676" spans="1:13" x14ac:dyDescent="0.25">
      <c r="A676" t="s">
        <v>41</v>
      </c>
      <c r="B676" t="s">
        <v>56</v>
      </c>
      <c r="C676" s="18" t="s">
        <v>54</v>
      </c>
      <c r="D676" s="19">
        <v>44411</v>
      </c>
      <c r="E676">
        <v>2767</v>
      </c>
      <c r="F676" s="16">
        <v>3</v>
      </c>
      <c r="G676" s="16">
        <v>125</v>
      </c>
      <c r="H676" s="16">
        <v>332040</v>
      </c>
      <c r="I676" s="16">
        <v>51881.25</v>
      </c>
      <c r="J676" s="14" t="s">
        <v>60</v>
      </c>
      <c r="K676" s="20">
        <f>Store[[#This Row],[Quantity]]*Store[[#This Row],[Sale Price]]</f>
        <v>345875</v>
      </c>
      <c r="L676" s="20">
        <f>Store[[#This Row],[Gross Sales]]-Store[[#This Row],[Discount]]</f>
        <v>293993.75</v>
      </c>
      <c r="M676" s="20">
        <f>Store[[#This Row],[Sales]]-Store[[#This Row],[COGS]]</f>
        <v>-38046.25</v>
      </c>
    </row>
    <row r="677" spans="1:13" x14ac:dyDescent="0.25">
      <c r="A677" t="s">
        <v>41</v>
      </c>
      <c r="B677" t="s">
        <v>56</v>
      </c>
      <c r="C677" s="18" t="s">
        <v>54</v>
      </c>
      <c r="D677" s="19">
        <v>44475</v>
      </c>
      <c r="E677">
        <v>1085</v>
      </c>
      <c r="F677" s="16">
        <v>3</v>
      </c>
      <c r="G677" s="16">
        <v>125</v>
      </c>
      <c r="H677" s="16">
        <v>130200</v>
      </c>
      <c r="I677" s="16">
        <v>20343.75</v>
      </c>
      <c r="J677" s="14" t="s">
        <v>60</v>
      </c>
      <c r="K677" s="20">
        <f>Store[[#This Row],[Quantity]]*Store[[#This Row],[Sale Price]]</f>
        <v>135625</v>
      </c>
      <c r="L677" s="20">
        <f>Store[[#This Row],[Gross Sales]]-Store[[#This Row],[Discount]]</f>
        <v>115281.25</v>
      </c>
      <c r="M677" s="20">
        <f>Store[[#This Row],[Sales]]-Store[[#This Row],[COGS]]</f>
        <v>-14918.75</v>
      </c>
    </row>
    <row r="678" spans="1:13" x14ac:dyDescent="0.25">
      <c r="A678" t="s">
        <v>47</v>
      </c>
      <c r="B678" t="s">
        <v>48</v>
      </c>
      <c r="C678" s="18" t="s">
        <v>43</v>
      </c>
      <c r="D678" s="19">
        <v>44491</v>
      </c>
      <c r="E678">
        <v>546</v>
      </c>
      <c r="F678" s="16">
        <v>5</v>
      </c>
      <c r="G678" s="16">
        <v>300</v>
      </c>
      <c r="H678" s="16">
        <v>136500</v>
      </c>
      <c r="I678" s="16">
        <v>24570</v>
      </c>
      <c r="J678" s="14" t="s">
        <v>60</v>
      </c>
      <c r="K678" s="20">
        <f>Store[[#This Row],[Quantity]]*Store[[#This Row],[Sale Price]]</f>
        <v>163800</v>
      </c>
      <c r="L678" s="20">
        <f>Store[[#This Row],[Gross Sales]]-Store[[#This Row],[Discount]]</f>
        <v>139230</v>
      </c>
      <c r="M678" s="20">
        <f>Store[[#This Row],[Sales]]-Store[[#This Row],[COGS]]</f>
        <v>2730</v>
      </c>
    </row>
    <row r="679" spans="1:13" x14ac:dyDescent="0.25">
      <c r="A679" t="s">
        <v>49</v>
      </c>
      <c r="B679" t="s">
        <v>56</v>
      </c>
      <c r="C679" s="18" t="s">
        <v>46</v>
      </c>
      <c r="D679" s="19">
        <v>44271</v>
      </c>
      <c r="E679">
        <v>1158</v>
      </c>
      <c r="F679" s="16">
        <v>10</v>
      </c>
      <c r="G679" s="16">
        <v>20</v>
      </c>
      <c r="H679" s="16">
        <v>11580</v>
      </c>
      <c r="I679" s="16">
        <v>3474</v>
      </c>
      <c r="J679" s="14" t="s">
        <v>60</v>
      </c>
      <c r="K679" s="20">
        <f>Store[[#This Row],[Quantity]]*Store[[#This Row],[Sale Price]]</f>
        <v>23160</v>
      </c>
      <c r="L679" s="20">
        <f>Store[[#This Row],[Gross Sales]]-Store[[#This Row],[Discount]]</f>
        <v>19686</v>
      </c>
      <c r="M679" s="20">
        <f>Store[[#This Row],[Sales]]-Store[[#This Row],[COGS]]</f>
        <v>8106</v>
      </c>
    </row>
    <row r="680" spans="1:13" x14ac:dyDescent="0.25">
      <c r="A680" t="s">
        <v>45</v>
      </c>
      <c r="B680" t="s">
        <v>42</v>
      </c>
      <c r="C680" s="18" t="s">
        <v>46</v>
      </c>
      <c r="D680" s="19">
        <v>44288</v>
      </c>
      <c r="E680">
        <v>1614</v>
      </c>
      <c r="F680" s="16">
        <v>10</v>
      </c>
      <c r="G680" s="16">
        <v>15</v>
      </c>
      <c r="H680" s="16">
        <v>16140</v>
      </c>
      <c r="I680" s="16">
        <v>3631.5</v>
      </c>
      <c r="J680" s="14" t="s">
        <v>60</v>
      </c>
      <c r="K680" s="20">
        <f>Store[[#This Row],[Quantity]]*Store[[#This Row],[Sale Price]]</f>
        <v>24210</v>
      </c>
      <c r="L680" s="20">
        <f>Store[[#This Row],[Gross Sales]]-Store[[#This Row],[Discount]]</f>
        <v>20578.5</v>
      </c>
      <c r="M680" s="20">
        <f>Store[[#This Row],[Sales]]-Store[[#This Row],[COGS]]</f>
        <v>4438.5</v>
      </c>
    </row>
    <row r="681" spans="1:13" x14ac:dyDescent="0.25">
      <c r="A681" t="s">
        <v>49</v>
      </c>
      <c r="B681" t="s">
        <v>48</v>
      </c>
      <c r="C681" s="18" t="s">
        <v>46</v>
      </c>
      <c r="D681" s="19">
        <v>44288</v>
      </c>
      <c r="E681">
        <v>2535</v>
      </c>
      <c r="F681" s="16">
        <v>10</v>
      </c>
      <c r="G681" s="16">
        <v>7</v>
      </c>
      <c r="H681" s="16">
        <v>12675</v>
      </c>
      <c r="I681" s="16">
        <v>2661.75</v>
      </c>
      <c r="J681" s="14" t="s">
        <v>60</v>
      </c>
      <c r="K681" s="20">
        <f>Store[[#This Row],[Quantity]]*Store[[#This Row],[Sale Price]]</f>
        <v>17745</v>
      </c>
      <c r="L681" s="20">
        <f>Store[[#This Row],[Gross Sales]]-Store[[#This Row],[Discount]]</f>
        <v>15083.25</v>
      </c>
      <c r="M681" s="20">
        <f>Store[[#This Row],[Sales]]-Store[[#This Row],[COGS]]</f>
        <v>2408.25</v>
      </c>
    </row>
    <row r="682" spans="1:13" x14ac:dyDescent="0.25">
      <c r="A682" t="s">
        <v>49</v>
      </c>
      <c r="B682" t="s">
        <v>48</v>
      </c>
      <c r="C682" s="18" t="s">
        <v>46</v>
      </c>
      <c r="D682" s="19">
        <v>44343</v>
      </c>
      <c r="E682">
        <v>2851</v>
      </c>
      <c r="F682" s="16">
        <v>10</v>
      </c>
      <c r="G682" s="16">
        <v>350</v>
      </c>
      <c r="H682" s="16">
        <v>741260</v>
      </c>
      <c r="I682" s="16">
        <v>149677.5</v>
      </c>
      <c r="J682" s="14" t="s">
        <v>60</v>
      </c>
      <c r="K682" s="20">
        <f>Store[[#This Row],[Quantity]]*Store[[#This Row],[Sale Price]]</f>
        <v>997850</v>
      </c>
      <c r="L682" s="20">
        <f>Store[[#This Row],[Gross Sales]]-Store[[#This Row],[Discount]]</f>
        <v>848172.5</v>
      </c>
      <c r="M682" s="20">
        <f>Store[[#This Row],[Sales]]-Store[[#This Row],[COGS]]</f>
        <v>106912.5</v>
      </c>
    </row>
    <row r="683" spans="1:13" x14ac:dyDescent="0.25">
      <c r="A683" t="s">
        <v>45</v>
      </c>
      <c r="B683" t="s">
        <v>42</v>
      </c>
      <c r="C683" s="18" t="s">
        <v>46</v>
      </c>
      <c r="D683" s="19">
        <v>44433</v>
      </c>
      <c r="E683">
        <v>2559</v>
      </c>
      <c r="F683" s="16">
        <v>10</v>
      </c>
      <c r="G683" s="16">
        <v>15</v>
      </c>
      <c r="H683" s="16">
        <v>25590</v>
      </c>
      <c r="I683" s="16">
        <v>5757.75</v>
      </c>
      <c r="J683" s="14" t="s">
        <v>60</v>
      </c>
      <c r="K683" s="20">
        <f>Store[[#This Row],[Quantity]]*Store[[#This Row],[Sale Price]]</f>
        <v>38385</v>
      </c>
      <c r="L683" s="20">
        <f>Store[[#This Row],[Gross Sales]]-Store[[#This Row],[Discount]]</f>
        <v>32627.25</v>
      </c>
      <c r="M683" s="20">
        <f>Store[[#This Row],[Sales]]-Store[[#This Row],[COGS]]</f>
        <v>7037.25</v>
      </c>
    </row>
    <row r="684" spans="1:13" x14ac:dyDescent="0.25">
      <c r="A684" t="s">
        <v>41</v>
      </c>
      <c r="B684" t="s">
        <v>56</v>
      </c>
      <c r="C684" s="18" t="s">
        <v>46</v>
      </c>
      <c r="D684" s="19">
        <v>44492</v>
      </c>
      <c r="E684">
        <v>1085</v>
      </c>
      <c r="F684" s="16">
        <v>10</v>
      </c>
      <c r="G684" s="16">
        <v>125</v>
      </c>
      <c r="H684" s="16">
        <v>130200</v>
      </c>
      <c r="I684" s="16">
        <v>20343.75</v>
      </c>
      <c r="J684" s="14" t="s">
        <v>60</v>
      </c>
      <c r="K684" s="20">
        <f>Store[[#This Row],[Quantity]]*Store[[#This Row],[Sale Price]]</f>
        <v>135625</v>
      </c>
      <c r="L684" s="20">
        <f>Store[[#This Row],[Gross Sales]]-Store[[#This Row],[Discount]]</f>
        <v>115281.25</v>
      </c>
      <c r="M684" s="20">
        <f>Store[[#This Row],[Sales]]-Store[[#This Row],[COGS]]</f>
        <v>-14918.75</v>
      </c>
    </row>
    <row r="685" spans="1:13" x14ac:dyDescent="0.25">
      <c r="A685" t="s">
        <v>45</v>
      </c>
      <c r="B685" t="s">
        <v>56</v>
      </c>
      <c r="C685" s="18" t="s">
        <v>46</v>
      </c>
      <c r="D685" s="19">
        <v>44500</v>
      </c>
      <c r="E685">
        <v>1175</v>
      </c>
      <c r="F685" s="16">
        <v>10</v>
      </c>
      <c r="G685" s="16">
        <v>15</v>
      </c>
      <c r="H685" s="16">
        <v>11750</v>
      </c>
      <c r="I685" s="16">
        <v>2643.75</v>
      </c>
      <c r="J685" s="14" t="s">
        <v>60</v>
      </c>
      <c r="K685" s="20">
        <f>Store[[#This Row],[Quantity]]*Store[[#This Row],[Sale Price]]</f>
        <v>17625</v>
      </c>
      <c r="L685" s="20">
        <f>Store[[#This Row],[Gross Sales]]-Store[[#This Row],[Discount]]</f>
        <v>14981.25</v>
      </c>
      <c r="M685" s="20">
        <f>Store[[#This Row],[Sales]]-Store[[#This Row],[COGS]]</f>
        <v>3231.25</v>
      </c>
    </row>
    <row r="686" spans="1:13" x14ac:dyDescent="0.25">
      <c r="A686" t="s">
        <v>50</v>
      </c>
      <c r="B686" t="s">
        <v>51</v>
      </c>
      <c r="C686" s="18" t="s">
        <v>46</v>
      </c>
      <c r="D686" s="19">
        <v>44546</v>
      </c>
      <c r="E686">
        <v>914</v>
      </c>
      <c r="F686" s="16">
        <v>10</v>
      </c>
      <c r="G686" s="16">
        <v>12</v>
      </c>
      <c r="H686" s="16">
        <v>2742</v>
      </c>
      <c r="I686" s="16">
        <v>1645.2</v>
      </c>
      <c r="J686" s="14" t="s">
        <v>60</v>
      </c>
      <c r="K686" s="20">
        <f>Store[[#This Row],[Quantity]]*Store[[#This Row],[Sale Price]]</f>
        <v>10968</v>
      </c>
      <c r="L686" s="20">
        <f>Store[[#This Row],[Gross Sales]]-Store[[#This Row],[Discount]]</f>
        <v>9322.7999999999993</v>
      </c>
      <c r="M686" s="20">
        <f>Store[[#This Row],[Sales]]-Store[[#This Row],[COGS]]</f>
        <v>6580.7999999999993</v>
      </c>
    </row>
    <row r="687" spans="1:13" x14ac:dyDescent="0.25">
      <c r="A687" t="s">
        <v>49</v>
      </c>
      <c r="B687" t="s">
        <v>58</v>
      </c>
      <c r="C687" s="18" t="s">
        <v>46</v>
      </c>
      <c r="D687" s="19">
        <v>44531</v>
      </c>
      <c r="E687">
        <v>293</v>
      </c>
      <c r="F687" s="16">
        <v>10</v>
      </c>
      <c r="G687" s="16">
        <v>20</v>
      </c>
      <c r="H687" s="16">
        <v>2930</v>
      </c>
      <c r="I687" s="16">
        <v>879</v>
      </c>
      <c r="J687" s="14" t="s">
        <v>60</v>
      </c>
      <c r="K687" s="20">
        <f>Store[[#This Row],[Quantity]]*Store[[#This Row],[Sale Price]]</f>
        <v>5860</v>
      </c>
      <c r="L687" s="20">
        <f>Store[[#This Row],[Gross Sales]]-Store[[#This Row],[Discount]]</f>
        <v>4981</v>
      </c>
      <c r="M687" s="20">
        <f>Store[[#This Row],[Sales]]-Store[[#This Row],[COGS]]</f>
        <v>2051</v>
      </c>
    </row>
    <row r="688" spans="1:13" x14ac:dyDescent="0.25">
      <c r="A688" t="s">
        <v>50</v>
      </c>
      <c r="B688" t="s">
        <v>48</v>
      </c>
      <c r="C688" s="18" t="s">
        <v>52</v>
      </c>
      <c r="D688" s="19">
        <v>44267</v>
      </c>
      <c r="E688">
        <v>500</v>
      </c>
      <c r="F688" s="16">
        <v>120</v>
      </c>
      <c r="G688" s="16">
        <v>12</v>
      </c>
      <c r="H688" s="16">
        <v>1500</v>
      </c>
      <c r="I688" s="16">
        <v>900</v>
      </c>
      <c r="J688" s="14" t="s">
        <v>60</v>
      </c>
      <c r="K688" s="20">
        <f>Store[[#This Row],[Quantity]]*Store[[#This Row],[Sale Price]]</f>
        <v>6000</v>
      </c>
      <c r="L688" s="20">
        <f>Store[[#This Row],[Gross Sales]]-Store[[#This Row],[Discount]]</f>
        <v>5100</v>
      </c>
      <c r="M688" s="20">
        <f>Store[[#This Row],[Sales]]-Store[[#This Row],[COGS]]</f>
        <v>3600</v>
      </c>
    </row>
    <row r="689" spans="1:13" x14ac:dyDescent="0.25">
      <c r="A689" t="s">
        <v>45</v>
      </c>
      <c r="B689" t="s">
        <v>58</v>
      </c>
      <c r="C689" s="18" t="s">
        <v>52</v>
      </c>
      <c r="D689" s="19">
        <v>44344</v>
      </c>
      <c r="E689">
        <v>2826</v>
      </c>
      <c r="F689" s="16">
        <v>120</v>
      </c>
      <c r="G689" s="16">
        <v>15</v>
      </c>
      <c r="H689" s="16">
        <v>28260</v>
      </c>
      <c r="I689" s="16">
        <v>6358.5</v>
      </c>
      <c r="J689" s="14" t="s">
        <v>60</v>
      </c>
      <c r="K689" s="20">
        <f>Store[[#This Row],[Quantity]]*Store[[#This Row],[Sale Price]]</f>
        <v>42390</v>
      </c>
      <c r="L689" s="20">
        <f>Store[[#This Row],[Gross Sales]]-Store[[#This Row],[Discount]]</f>
        <v>36031.5</v>
      </c>
      <c r="M689" s="20">
        <f>Store[[#This Row],[Sales]]-Store[[#This Row],[COGS]]</f>
        <v>7771.5</v>
      </c>
    </row>
    <row r="690" spans="1:13" x14ac:dyDescent="0.25">
      <c r="A690" t="s">
        <v>41</v>
      </c>
      <c r="B690" t="s">
        <v>58</v>
      </c>
      <c r="C690" s="18" t="s">
        <v>52</v>
      </c>
      <c r="D690" s="19">
        <v>44441</v>
      </c>
      <c r="E690">
        <v>663</v>
      </c>
      <c r="F690" s="16">
        <v>120</v>
      </c>
      <c r="G690" s="16">
        <v>125</v>
      </c>
      <c r="H690" s="16">
        <v>79560</v>
      </c>
      <c r="I690" s="16">
        <v>12431.25</v>
      </c>
      <c r="J690" s="14" t="s">
        <v>60</v>
      </c>
      <c r="K690" s="20">
        <f>Store[[#This Row],[Quantity]]*Store[[#This Row],[Sale Price]]</f>
        <v>82875</v>
      </c>
      <c r="L690" s="20">
        <f>Store[[#This Row],[Gross Sales]]-Store[[#This Row],[Discount]]</f>
        <v>70443.75</v>
      </c>
      <c r="M690" s="20">
        <f>Store[[#This Row],[Sales]]-Store[[#This Row],[COGS]]</f>
        <v>-9116.25</v>
      </c>
    </row>
    <row r="691" spans="1:13" x14ac:dyDescent="0.25">
      <c r="A691" t="s">
        <v>50</v>
      </c>
      <c r="B691" t="s">
        <v>51</v>
      </c>
      <c r="C691" s="18" t="s">
        <v>52</v>
      </c>
      <c r="D691" s="19">
        <v>44545</v>
      </c>
      <c r="E691">
        <v>914</v>
      </c>
      <c r="F691" s="16">
        <v>120</v>
      </c>
      <c r="G691" s="16">
        <v>12</v>
      </c>
      <c r="H691" s="16">
        <v>2742</v>
      </c>
      <c r="I691" s="16">
        <v>1645.2</v>
      </c>
      <c r="J691" s="14" t="s">
        <v>60</v>
      </c>
      <c r="K691" s="20">
        <f>Store[[#This Row],[Quantity]]*Store[[#This Row],[Sale Price]]</f>
        <v>10968</v>
      </c>
      <c r="L691" s="20">
        <f>Store[[#This Row],[Gross Sales]]-Store[[#This Row],[Discount]]</f>
        <v>9322.7999999999993</v>
      </c>
      <c r="M691" s="20">
        <f>Store[[#This Row],[Sales]]-Store[[#This Row],[COGS]]</f>
        <v>6580.7999999999993</v>
      </c>
    </row>
    <row r="692" spans="1:13" x14ac:dyDescent="0.25">
      <c r="A692" t="s">
        <v>49</v>
      </c>
      <c r="B692" t="s">
        <v>42</v>
      </c>
      <c r="C692" s="18" t="s">
        <v>53</v>
      </c>
      <c r="D692" s="19">
        <v>44381</v>
      </c>
      <c r="E692">
        <v>865.5</v>
      </c>
      <c r="F692" s="16">
        <v>250</v>
      </c>
      <c r="G692" s="16">
        <v>20</v>
      </c>
      <c r="H692" s="16">
        <v>8655</v>
      </c>
      <c r="I692" s="16">
        <v>2596.5</v>
      </c>
      <c r="J692" s="14" t="s">
        <v>60</v>
      </c>
      <c r="K692" s="20">
        <f>Store[[#This Row],[Quantity]]*Store[[#This Row],[Sale Price]]</f>
        <v>17310</v>
      </c>
      <c r="L692" s="20">
        <f>Store[[#This Row],[Gross Sales]]-Store[[#This Row],[Discount]]</f>
        <v>14713.5</v>
      </c>
      <c r="M692" s="20">
        <f>Store[[#This Row],[Sales]]-Store[[#This Row],[COGS]]</f>
        <v>6058.5</v>
      </c>
    </row>
    <row r="693" spans="1:13" x14ac:dyDescent="0.25">
      <c r="A693" t="s">
        <v>45</v>
      </c>
      <c r="B693" t="s">
        <v>56</v>
      </c>
      <c r="C693" s="18" t="s">
        <v>53</v>
      </c>
      <c r="D693" s="19">
        <v>44392</v>
      </c>
      <c r="E693">
        <v>492</v>
      </c>
      <c r="F693" s="16">
        <v>250</v>
      </c>
      <c r="G693" s="16">
        <v>15</v>
      </c>
      <c r="H693" s="16">
        <v>4920</v>
      </c>
      <c r="I693" s="16">
        <v>1107</v>
      </c>
      <c r="J693" s="14" t="s">
        <v>60</v>
      </c>
      <c r="K693" s="20">
        <f>Store[[#This Row],[Quantity]]*Store[[#This Row],[Sale Price]]</f>
        <v>7380</v>
      </c>
      <c r="L693" s="20">
        <f>Store[[#This Row],[Gross Sales]]-Store[[#This Row],[Discount]]</f>
        <v>6273</v>
      </c>
      <c r="M693" s="20">
        <f>Store[[#This Row],[Sales]]-Store[[#This Row],[COGS]]</f>
        <v>1353</v>
      </c>
    </row>
    <row r="694" spans="1:13" x14ac:dyDescent="0.25">
      <c r="A694" t="s">
        <v>45</v>
      </c>
      <c r="B694" t="s">
        <v>56</v>
      </c>
      <c r="C694" s="18" t="s">
        <v>53</v>
      </c>
      <c r="D694" s="19">
        <v>44488</v>
      </c>
      <c r="E694">
        <v>1175</v>
      </c>
      <c r="F694" s="16">
        <v>250</v>
      </c>
      <c r="G694" s="16">
        <v>15</v>
      </c>
      <c r="H694" s="16">
        <v>11750</v>
      </c>
      <c r="I694" s="16">
        <v>2643.75</v>
      </c>
      <c r="J694" s="14" t="s">
        <v>60</v>
      </c>
      <c r="K694" s="20">
        <f>Store[[#This Row],[Quantity]]*Store[[#This Row],[Sale Price]]</f>
        <v>17625</v>
      </c>
      <c r="L694" s="20">
        <f>Store[[#This Row],[Gross Sales]]-Store[[#This Row],[Discount]]</f>
        <v>14981.25</v>
      </c>
      <c r="M694" s="20">
        <f>Store[[#This Row],[Sales]]-Store[[#This Row],[COGS]]</f>
        <v>3231.25</v>
      </c>
    </row>
    <row r="695" spans="1:13" x14ac:dyDescent="0.25">
      <c r="A695" t="s">
        <v>41</v>
      </c>
      <c r="B695" t="s">
        <v>56</v>
      </c>
      <c r="C695" s="18" t="s">
        <v>53</v>
      </c>
      <c r="D695" s="19">
        <v>44512</v>
      </c>
      <c r="E695">
        <v>552</v>
      </c>
      <c r="F695" s="16">
        <v>250</v>
      </c>
      <c r="G695" s="16">
        <v>125</v>
      </c>
      <c r="H695" s="16">
        <v>66240</v>
      </c>
      <c r="I695" s="16">
        <v>10350</v>
      </c>
      <c r="J695" s="14" t="s">
        <v>60</v>
      </c>
      <c r="K695" s="20">
        <f>Store[[#This Row],[Quantity]]*Store[[#This Row],[Sale Price]]</f>
        <v>69000</v>
      </c>
      <c r="L695" s="20">
        <f>Store[[#This Row],[Gross Sales]]-Store[[#This Row],[Discount]]</f>
        <v>58650</v>
      </c>
      <c r="M695" s="20">
        <f>Store[[#This Row],[Sales]]-Store[[#This Row],[COGS]]</f>
        <v>-7590</v>
      </c>
    </row>
    <row r="696" spans="1:13" x14ac:dyDescent="0.25">
      <c r="A696" t="s">
        <v>49</v>
      </c>
      <c r="B696" t="s">
        <v>58</v>
      </c>
      <c r="C696" s="18" t="s">
        <v>53</v>
      </c>
      <c r="D696" s="19">
        <v>44559</v>
      </c>
      <c r="E696">
        <v>293</v>
      </c>
      <c r="F696" s="16">
        <v>250</v>
      </c>
      <c r="G696" s="16">
        <v>20</v>
      </c>
      <c r="H696" s="16">
        <v>2930</v>
      </c>
      <c r="I696" s="16">
        <v>879</v>
      </c>
      <c r="J696" s="14" t="s">
        <v>60</v>
      </c>
      <c r="K696" s="20">
        <f>Store[[#This Row],[Quantity]]*Store[[#This Row],[Sale Price]]</f>
        <v>5860</v>
      </c>
      <c r="L696" s="20">
        <f>Store[[#This Row],[Gross Sales]]-Store[[#This Row],[Discount]]</f>
        <v>4981</v>
      </c>
      <c r="M696" s="20">
        <f>Store[[#This Row],[Sales]]-Store[[#This Row],[COGS]]</f>
        <v>2051</v>
      </c>
    </row>
    <row r="697" spans="1:13" x14ac:dyDescent="0.25">
      <c r="A697" t="s">
        <v>47</v>
      </c>
      <c r="B697" t="s">
        <v>58</v>
      </c>
      <c r="C697" s="18" t="s">
        <v>57</v>
      </c>
      <c r="D697" s="19">
        <v>44264</v>
      </c>
      <c r="E697">
        <v>2475</v>
      </c>
      <c r="F697" s="16">
        <v>260</v>
      </c>
      <c r="G697" s="16">
        <v>300</v>
      </c>
      <c r="H697" s="16">
        <v>618750</v>
      </c>
      <c r="I697" s="16">
        <v>111375</v>
      </c>
      <c r="J697" s="14" t="s">
        <v>60</v>
      </c>
      <c r="K697" s="20">
        <f>Store[[#This Row],[Quantity]]*Store[[#This Row],[Sale Price]]</f>
        <v>742500</v>
      </c>
      <c r="L697" s="20">
        <f>Store[[#This Row],[Gross Sales]]-Store[[#This Row],[Discount]]</f>
        <v>631125</v>
      </c>
      <c r="M697" s="20">
        <f>Store[[#This Row],[Sales]]-Store[[#This Row],[COGS]]</f>
        <v>12375</v>
      </c>
    </row>
    <row r="698" spans="1:13" x14ac:dyDescent="0.25">
      <c r="A698" t="s">
        <v>47</v>
      </c>
      <c r="B698" t="s">
        <v>48</v>
      </c>
      <c r="C698" s="18" t="s">
        <v>57</v>
      </c>
      <c r="D698" s="19">
        <v>44487</v>
      </c>
      <c r="E698">
        <v>546</v>
      </c>
      <c r="F698" s="16">
        <v>260</v>
      </c>
      <c r="G698" s="16">
        <v>300</v>
      </c>
      <c r="H698" s="16">
        <v>136500</v>
      </c>
      <c r="I698" s="16">
        <v>24570</v>
      </c>
      <c r="J698" s="14" t="s">
        <v>60</v>
      </c>
      <c r="K698" s="20">
        <f>Store[[#This Row],[Quantity]]*Store[[#This Row],[Sale Price]]</f>
        <v>163800</v>
      </c>
      <c r="L698" s="20">
        <f>Store[[#This Row],[Gross Sales]]-Store[[#This Row],[Discount]]</f>
        <v>139230</v>
      </c>
      <c r="M698" s="20">
        <f>Store[[#This Row],[Sales]]-Store[[#This Row],[COGS]]</f>
        <v>2730</v>
      </c>
    </row>
    <row r="699" spans="1:13" x14ac:dyDescent="0.25">
      <c r="A699" t="s">
        <v>49</v>
      </c>
      <c r="B699" t="s">
        <v>48</v>
      </c>
      <c r="C699" s="18" t="s">
        <v>43</v>
      </c>
      <c r="D699" s="19">
        <v>44243</v>
      </c>
      <c r="E699">
        <v>1368</v>
      </c>
      <c r="F699" s="16">
        <v>5</v>
      </c>
      <c r="G699" s="16">
        <v>7</v>
      </c>
      <c r="H699" s="16">
        <v>6840</v>
      </c>
      <c r="I699" s="16">
        <v>1436.4</v>
      </c>
      <c r="J699" s="14" t="s">
        <v>60</v>
      </c>
      <c r="K699" s="20">
        <f>Store[[#This Row],[Quantity]]*Store[[#This Row],[Sale Price]]</f>
        <v>9576</v>
      </c>
      <c r="L699" s="20">
        <f>Store[[#This Row],[Gross Sales]]-Store[[#This Row],[Discount]]</f>
        <v>8139.6</v>
      </c>
      <c r="M699" s="20">
        <f>Store[[#This Row],[Sales]]-Store[[#This Row],[COGS]]</f>
        <v>1299.6000000000004</v>
      </c>
    </row>
    <row r="700" spans="1:13" x14ac:dyDescent="0.25">
      <c r="A700" t="s">
        <v>49</v>
      </c>
      <c r="B700" t="s">
        <v>42</v>
      </c>
      <c r="C700" s="18" t="s">
        <v>46</v>
      </c>
      <c r="D700" s="19">
        <v>44288</v>
      </c>
      <c r="E700">
        <v>723</v>
      </c>
      <c r="F700" s="16">
        <v>10</v>
      </c>
      <c r="G700" s="16">
        <v>7</v>
      </c>
      <c r="H700" s="16">
        <v>3615</v>
      </c>
      <c r="I700" s="16">
        <v>759.15000000000009</v>
      </c>
      <c r="J700" s="14" t="s">
        <v>60</v>
      </c>
      <c r="K700" s="20">
        <f>Store[[#This Row],[Quantity]]*Store[[#This Row],[Sale Price]]</f>
        <v>5061</v>
      </c>
      <c r="L700" s="20">
        <f>Store[[#This Row],[Gross Sales]]-Store[[#This Row],[Discount]]</f>
        <v>4301.8500000000004</v>
      </c>
      <c r="M700" s="20">
        <f>Store[[#This Row],[Sales]]-Store[[#This Row],[COGS]]</f>
        <v>686.85000000000036</v>
      </c>
    </row>
    <row r="701" spans="1:13" x14ac:dyDescent="0.25">
      <c r="A701" t="s">
        <v>50</v>
      </c>
      <c r="B701" t="s">
        <v>51</v>
      </c>
      <c r="C701" s="18" t="s">
        <v>53</v>
      </c>
      <c r="D701" s="19">
        <v>44330</v>
      </c>
      <c r="E701">
        <v>1806</v>
      </c>
      <c r="F701" s="16">
        <v>250</v>
      </c>
      <c r="G701" s="16">
        <v>12</v>
      </c>
      <c r="H701" s="16">
        <v>5418</v>
      </c>
      <c r="I701" s="16">
        <v>3250.8</v>
      </c>
      <c r="J701" s="14" t="s">
        <v>60</v>
      </c>
      <c r="K701" s="20">
        <f>Store[[#This Row],[Quantity]]*Store[[#This Row],[Sale Price]]</f>
        <v>21672</v>
      </c>
      <c r="L701" s="20">
        <f>Store[[#This Row],[Gross Sales]]-Store[[#This Row],[Discount]]</f>
        <v>18421.2</v>
      </c>
      <c r="M701" s="20">
        <f>Store[[#This Row],[Sales]]-Store[[#This Row],[COGS]]</f>
        <v>13003.2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A4D1-77CD-48E4-B340-F6030CD223A6}">
  <sheetPr>
    <tabColor theme="8" tint="0.39997558519241921"/>
  </sheetPr>
  <dimension ref="A1:K91"/>
  <sheetViews>
    <sheetView zoomScaleNormal="100" workbookViewId="0">
      <selection activeCell="G15" sqref="G15"/>
    </sheetView>
  </sheetViews>
  <sheetFormatPr defaultRowHeight="15" x14ac:dyDescent="0.25"/>
  <cols>
    <col min="1" max="1" width="9" style="49"/>
    <col min="2" max="2" width="17.375" style="49" bestFit="1" customWidth="1"/>
    <col min="3" max="4" width="9" style="49"/>
    <col min="5" max="5" width="10.5" style="49" customWidth="1"/>
    <col min="6" max="6" width="10.625" style="49" customWidth="1"/>
    <col min="7" max="7" width="10.375" style="49" customWidth="1"/>
    <col min="8" max="8" width="10.75" style="49" customWidth="1"/>
    <col min="9" max="9" width="8.25" style="49" customWidth="1"/>
    <col min="10" max="10" width="11.75" style="49" customWidth="1"/>
    <col min="11" max="11" width="8.5" style="49" customWidth="1"/>
    <col min="12" max="16384" width="9" style="49"/>
  </cols>
  <sheetData>
    <row r="1" spans="1:11" x14ac:dyDescent="0.25">
      <c r="A1" s="72" t="s">
        <v>449</v>
      </c>
    </row>
    <row r="2" spans="1:11" x14ac:dyDescent="0.25">
      <c r="B2" s="49" t="s">
        <v>448</v>
      </c>
    </row>
    <row r="4" spans="1:11" x14ac:dyDescent="0.25">
      <c r="B4" s="49" t="s">
        <v>447</v>
      </c>
      <c r="C4" s="49" t="s">
        <v>117</v>
      </c>
      <c r="D4" s="49" t="s">
        <v>446</v>
      </c>
      <c r="E4" s="49" t="s">
        <v>445</v>
      </c>
      <c r="F4" s="49" t="s">
        <v>444</v>
      </c>
      <c r="G4" s="49" t="s">
        <v>443</v>
      </c>
      <c r="H4" s="49" t="s">
        <v>442</v>
      </c>
      <c r="I4" s="49" t="s">
        <v>441</v>
      </c>
      <c r="J4" s="49" t="s">
        <v>440</v>
      </c>
      <c r="K4" s="49" t="s">
        <v>439</v>
      </c>
    </row>
    <row r="5" spans="1:11" x14ac:dyDescent="0.25">
      <c r="B5" s="49" t="s">
        <v>118</v>
      </c>
      <c r="C5" s="49">
        <v>172</v>
      </c>
      <c r="D5" s="49">
        <v>77</v>
      </c>
      <c r="E5" s="49" t="s">
        <v>365</v>
      </c>
      <c r="F5" s="49" t="s">
        <v>257</v>
      </c>
      <c r="G5" s="49" t="s">
        <v>230</v>
      </c>
      <c r="H5" s="49" t="s">
        <v>436</v>
      </c>
      <c r="I5" s="49" t="s">
        <v>212</v>
      </c>
      <c r="J5" s="49" t="s">
        <v>292</v>
      </c>
      <c r="K5" s="49" t="s">
        <v>200</v>
      </c>
    </row>
    <row r="6" spans="1:11" x14ac:dyDescent="0.25">
      <c r="B6" s="49" t="s">
        <v>119</v>
      </c>
      <c r="C6" s="49">
        <v>167</v>
      </c>
      <c r="D6" s="49">
        <v>75</v>
      </c>
      <c r="F6" s="49" t="s">
        <v>243</v>
      </c>
      <c r="G6" s="49" t="s">
        <v>265</v>
      </c>
      <c r="H6" s="49" t="s">
        <v>438</v>
      </c>
      <c r="J6" s="49" t="s">
        <v>292</v>
      </c>
      <c r="K6" s="49" t="s">
        <v>208</v>
      </c>
    </row>
    <row r="7" spans="1:11" x14ac:dyDescent="0.25">
      <c r="B7" s="49" t="s">
        <v>120</v>
      </c>
      <c r="C7" s="49">
        <v>96</v>
      </c>
      <c r="D7" s="49">
        <v>32</v>
      </c>
      <c r="F7" s="49" t="s">
        <v>332</v>
      </c>
      <c r="G7" s="49" t="s">
        <v>346</v>
      </c>
      <c r="H7" s="49" t="s">
        <v>437</v>
      </c>
      <c r="J7" s="49" t="s">
        <v>201</v>
      </c>
      <c r="K7" s="49" t="s">
        <v>208</v>
      </c>
    </row>
    <row r="8" spans="1:11" x14ac:dyDescent="0.25">
      <c r="B8" s="49" t="s">
        <v>121</v>
      </c>
      <c r="C8" s="49">
        <v>202</v>
      </c>
      <c r="D8" s="49">
        <v>136</v>
      </c>
      <c r="E8" s="49" t="s">
        <v>209</v>
      </c>
      <c r="F8" s="49" t="s">
        <v>223</v>
      </c>
      <c r="G8" s="49" t="s">
        <v>265</v>
      </c>
      <c r="H8" s="49" t="s">
        <v>427</v>
      </c>
      <c r="I8" s="49" t="s">
        <v>212</v>
      </c>
      <c r="J8" s="49" t="s">
        <v>292</v>
      </c>
      <c r="K8" s="49" t="s">
        <v>200</v>
      </c>
    </row>
    <row r="9" spans="1:11" x14ac:dyDescent="0.25">
      <c r="B9" s="49" t="s">
        <v>122</v>
      </c>
      <c r="C9" s="49">
        <v>150</v>
      </c>
      <c r="D9" s="49">
        <v>49</v>
      </c>
      <c r="E9" s="49" t="s">
        <v>204</v>
      </c>
      <c r="F9" s="49" t="s">
        <v>205</v>
      </c>
      <c r="G9" s="49" t="s">
        <v>204</v>
      </c>
      <c r="H9" s="49" t="s">
        <v>436</v>
      </c>
      <c r="I9" s="49" t="s">
        <v>202</v>
      </c>
      <c r="J9" s="49" t="s">
        <v>226</v>
      </c>
      <c r="K9" s="49" t="s">
        <v>200</v>
      </c>
    </row>
    <row r="10" spans="1:11" x14ac:dyDescent="0.25">
      <c r="B10" s="49" t="s">
        <v>123</v>
      </c>
      <c r="C10" s="49">
        <v>178</v>
      </c>
      <c r="D10" s="49">
        <v>120</v>
      </c>
      <c r="E10" s="49" t="s">
        <v>435</v>
      </c>
      <c r="F10" s="49" t="s">
        <v>205</v>
      </c>
      <c r="G10" s="49" t="s">
        <v>230</v>
      </c>
      <c r="H10" s="49" t="s">
        <v>362</v>
      </c>
      <c r="I10" s="49" t="s">
        <v>212</v>
      </c>
      <c r="J10" s="49" t="s">
        <v>292</v>
      </c>
      <c r="K10" s="49" t="s">
        <v>200</v>
      </c>
    </row>
    <row r="11" spans="1:11" x14ac:dyDescent="0.25">
      <c r="B11" s="49" t="s">
        <v>124</v>
      </c>
      <c r="C11" s="49">
        <v>165</v>
      </c>
      <c r="D11" s="49">
        <v>75</v>
      </c>
      <c r="E11" s="49" t="s">
        <v>204</v>
      </c>
      <c r="F11" s="49" t="s">
        <v>205</v>
      </c>
      <c r="G11" s="49" t="s">
        <v>230</v>
      </c>
      <c r="H11" s="49" t="s">
        <v>434</v>
      </c>
      <c r="I11" s="49" t="s">
        <v>202</v>
      </c>
      <c r="J11" s="49" t="s">
        <v>292</v>
      </c>
      <c r="K11" s="49" t="s">
        <v>200</v>
      </c>
    </row>
    <row r="12" spans="1:11" x14ac:dyDescent="0.25">
      <c r="B12" s="49" t="s">
        <v>125</v>
      </c>
      <c r="C12" s="49">
        <v>97</v>
      </c>
      <c r="D12" s="49">
        <v>32</v>
      </c>
      <c r="F12" s="49" t="s">
        <v>433</v>
      </c>
      <c r="G12" s="49" t="s">
        <v>346</v>
      </c>
      <c r="J12" s="49" t="s">
        <v>292</v>
      </c>
      <c r="K12" s="49" t="s">
        <v>208</v>
      </c>
    </row>
    <row r="13" spans="1:11" x14ac:dyDescent="0.25">
      <c r="B13" s="49" t="s">
        <v>126</v>
      </c>
      <c r="C13" s="49">
        <v>183</v>
      </c>
      <c r="D13" s="49">
        <v>84</v>
      </c>
      <c r="E13" s="49" t="s">
        <v>210</v>
      </c>
      <c r="F13" s="49" t="s">
        <v>205</v>
      </c>
      <c r="G13" s="49" t="s">
        <v>204</v>
      </c>
      <c r="H13" s="49" t="s">
        <v>432</v>
      </c>
      <c r="I13" s="49" t="s">
        <v>212</v>
      </c>
      <c r="J13" s="49" t="s">
        <v>292</v>
      </c>
      <c r="K13" s="49" t="s">
        <v>200</v>
      </c>
    </row>
    <row r="14" spans="1:11" x14ac:dyDescent="0.25">
      <c r="B14" s="49" t="s">
        <v>127</v>
      </c>
      <c r="C14" s="49">
        <v>182</v>
      </c>
      <c r="D14" s="49">
        <v>77</v>
      </c>
      <c r="E14" s="49" t="s">
        <v>431</v>
      </c>
      <c r="F14" s="49" t="s">
        <v>257</v>
      </c>
      <c r="G14" s="49" t="s">
        <v>430</v>
      </c>
      <c r="H14" s="49" t="s">
        <v>429</v>
      </c>
      <c r="I14" s="49" t="s">
        <v>212</v>
      </c>
      <c r="J14" s="49" t="s">
        <v>428</v>
      </c>
      <c r="K14" s="49" t="s">
        <v>200</v>
      </c>
    </row>
    <row r="15" spans="1:11" x14ac:dyDescent="0.25">
      <c r="B15" s="49" t="s">
        <v>128</v>
      </c>
      <c r="C15" s="49">
        <v>188</v>
      </c>
      <c r="D15" s="49">
        <v>84</v>
      </c>
      <c r="E15" s="49" t="s">
        <v>365</v>
      </c>
      <c r="F15" s="49" t="s">
        <v>257</v>
      </c>
      <c r="G15" s="49" t="s">
        <v>230</v>
      </c>
      <c r="H15" s="49" t="s">
        <v>427</v>
      </c>
      <c r="I15" s="49" t="s">
        <v>212</v>
      </c>
      <c r="J15" s="49" t="s">
        <v>292</v>
      </c>
      <c r="K15" s="49" t="s">
        <v>200</v>
      </c>
    </row>
    <row r="16" spans="1:11" x14ac:dyDescent="0.25">
      <c r="B16" s="49" t="s">
        <v>129</v>
      </c>
      <c r="C16" s="49">
        <v>180</v>
      </c>
      <c r="E16" s="49" t="s">
        <v>426</v>
      </c>
      <c r="F16" s="49" t="s">
        <v>257</v>
      </c>
      <c r="G16" s="49" t="s">
        <v>230</v>
      </c>
      <c r="H16" s="49" t="s">
        <v>425</v>
      </c>
      <c r="I16" s="49" t="s">
        <v>212</v>
      </c>
      <c r="J16" s="49" t="s">
        <v>424</v>
      </c>
      <c r="K16" s="49" t="s">
        <v>200</v>
      </c>
    </row>
    <row r="17" spans="2:11" x14ac:dyDescent="0.25">
      <c r="B17" s="49" t="s">
        <v>130</v>
      </c>
      <c r="C17" s="49">
        <v>228</v>
      </c>
      <c r="D17" s="49">
        <v>112</v>
      </c>
      <c r="E17" s="49" t="s">
        <v>204</v>
      </c>
      <c r="G17" s="49" t="s">
        <v>230</v>
      </c>
      <c r="H17" s="49" t="s">
        <v>423</v>
      </c>
      <c r="I17" s="49" t="s">
        <v>212</v>
      </c>
      <c r="J17" s="49" t="s">
        <v>229</v>
      </c>
      <c r="K17" s="49" t="s">
        <v>228</v>
      </c>
    </row>
    <row r="18" spans="2:11" x14ac:dyDescent="0.25">
      <c r="B18" s="49" t="s">
        <v>131</v>
      </c>
      <c r="C18" s="49">
        <v>180</v>
      </c>
      <c r="D18" s="49">
        <v>80</v>
      </c>
      <c r="E18" s="49" t="s">
        <v>204</v>
      </c>
      <c r="F18" s="49" t="s">
        <v>257</v>
      </c>
      <c r="G18" s="49" t="s">
        <v>204</v>
      </c>
      <c r="H18" s="49" t="s">
        <v>422</v>
      </c>
      <c r="I18" s="49" t="s">
        <v>212</v>
      </c>
      <c r="J18" s="49" t="s">
        <v>409</v>
      </c>
      <c r="K18" s="49" t="s">
        <v>200</v>
      </c>
    </row>
    <row r="19" spans="2:11" x14ac:dyDescent="0.25">
      <c r="B19" s="49" t="s">
        <v>421</v>
      </c>
      <c r="C19" s="49">
        <v>173</v>
      </c>
      <c r="D19" s="49">
        <v>74</v>
      </c>
      <c r="F19" s="49" t="s">
        <v>290</v>
      </c>
      <c r="G19" s="49" t="s">
        <v>210</v>
      </c>
      <c r="H19" s="49" t="s">
        <v>420</v>
      </c>
      <c r="I19" s="49" t="s">
        <v>212</v>
      </c>
      <c r="J19" s="49" t="s">
        <v>419</v>
      </c>
      <c r="K19" s="49" t="s">
        <v>418</v>
      </c>
    </row>
    <row r="20" spans="2:11" x14ac:dyDescent="0.25">
      <c r="B20" s="49" t="s">
        <v>417</v>
      </c>
      <c r="C20" s="49">
        <v>175</v>
      </c>
      <c r="D20" s="49">
        <v>1358</v>
      </c>
      <c r="F20" s="49" t="s">
        <v>416</v>
      </c>
      <c r="G20" s="49" t="s">
        <v>303</v>
      </c>
      <c r="H20" s="49" t="s">
        <v>415</v>
      </c>
      <c r="I20" s="49" t="s">
        <v>414</v>
      </c>
      <c r="J20" s="49" t="s">
        <v>413</v>
      </c>
      <c r="K20" s="49" t="s">
        <v>412</v>
      </c>
    </row>
    <row r="21" spans="2:11" x14ac:dyDescent="0.25">
      <c r="B21" s="49" t="s">
        <v>411</v>
      </c>
      <c r="C21" s="49">
        <v>170</v>
      </c>
      <c r="D21" s="49">
        <v>77</v>
      </c>
      <c r="E21" s="49" t="s">
        <v>204</v>
      </c>
      <c r="F21" s="49" t="s">
        <v>257</v>
      </c>
      <c r="G21" s="49" t="s">
        <v>214</v>
      </c>
      <c r="H21" s="49" t="s">
        <v>410</v>
      </c>
      <c r="I21" s="49" t="s">
        <v>212</v>
      </c>
      <c r="J21" s="49" t="s">
        <v>409</v>
      </c>
      <c r="K21" s="49" t="s">
        <v>200</v>
      </c>
    </row>
    <row r="22" spans="2:11" x14ac:dyDescent="0.25">
      <c r="B22" s="49" t="s">
        <v>408</v>
      </c>
      <c r="C22" s="49">
        <v>180</v>
      </c>
      <c r="D22" s="49">
        <v>110</v>
      </c>
      <c r="E22" s="49" t="s">
        <v>204</v>
      </c>
      <c r="F22" s="49" t="s">
        <v>257</v>
      </c>
      <c r="G22" s="49" t="s">
        <v>230</v>
      </c>
      <c r="I22" s="49" t="s">
        <v>212</v>
      </c>
      <c r="J22" s="49" t="s">
        <v>407</v>
      </c>
      <c r="K22" s="49" t="s">
        <v>200</v>
      </c>
    </row>
    <row r="23" spans="2:11" x14ac:dyDescent="0.25">
      <c r="B23" s="49" t="s">
        <v>406</v>
      </c>
      <c r="C23" s="49">
        <v>66</v>
      </c>
      <c r="D23" s="49">
        <v>17</v>
      </c>
      <c r="E23" s="49" t="s">
        <v>223</v>
      </c>
      <c r="F23" s="49" t="s">
        <v>290</v>
      </c>
      <c r="G23" s="49" t="s">
        <v>204</v>
      </c>
      <c r="H23" s="49" t="s">
        <v>405</v>
      </c>
      <c r="I23" s="49" t="s">
        <v>212</v>
      </c>
      <c r="K23" s="49" t="s">
        <v>404</v>
      </c>
    </row>
    <row r="24" spans="2:11" x14ac:dyDescent="0.25">
      <c r="B24" s="49" t="s">
        <v>403</v>
      </c>
      <c r="C24" s="49">
        <v>170</v>
      </c>
      <c r="D24" s="49">
        <v>75</v>
      </c>
      <c r="E24" s="49" t="s">
        <v>220</v>
      </c>
      <c r="F24" s="49" t="s">
        <v>224</v>
      </c>
      <c r="G24" s="49" t="s">
        <v>265</v>
      </c>
      <c r="H24" s="49" t="s">
        <v>293</v>
      </c>
      <c r="I24" s="49" t="s">
        <v>212</v>
      </c>
      <c r="J24" s="49" t="s">
        <v>201</v>
      </c>
      <c r="K24" s="49" t="s">
        <v>200</v>
      </c>
    </row>
    <row r="25" spans="2:11" x14ac:dyDescent="0.25">
      <c r="B25" s="49" t="s">
        <v>402</v>
      </c>
      <c r="C25" s="49">
        <v>183</v>
      </c>
      <c r="D25" s="49">
        <v>78.2</v>
      </c>
      <c r="E25" s="49" t="s">
        <v>210</v>
      </c>
      <c r="F25" s="49" t="s">
        <v>257</v>
      </c>
      <c r="G25" s="49" t="s">
        <v>204</v>
      </c>
      <c r="H25" s="49" t="s">
        <v>401</v>
      </c>
      <c r="I25" s="49" t="s">
        <v>212</v>
      </c>
      <c r="J25" s="49" t="s">
        <v>260</v>
      </c>
      <c r="K25" s="49" t="s">
        <v>200</v>
      </c>
    </row>
    <row r="26" spans="2:11" x14ac:dyDescent="0.25">
      <c r="B26" s="49" t="s">
        <v>400</v>
      </c>
      <c r="C26" s="49">
        <v>200</v>
      </c>
      <c r="D26" s="49">
        <v>140</v>
      </c>
      <c r="E26" s="49" t="s">
        <v>209</v>
      </c>
      <c r="F26" s="49" t="s">
        <v>399</v>
      </c>
      <c r="G26" s="49" t="s">
        <v>346</v>
      </c>
      <c r="H26" s="49" t="s">
        <v>398</v>
      </c>
      <c r="I26" s="49" t="s">
        <v>209</v>
      </c>
      <c r="K26" s="49" t="s">
        <v>208</v>
      </c>
    </row>
    <row r="27" spans="2:11" x14ac:dyDescent="0.25">
      <c r="B27" s="49" t="s">
        <v>397</v>
      </c>
      <c r="C27" s="49">
        <v>190</v>
      </c>
      <c r="D27" s="49">
        <v>113</v>
      </c>
      <c r="E27" s="49" t="s">
        <v>209</v>
      </c>
      <c r="F27" s="49" t="s">
        <v>290</v>
      </c>
      <c r="G27" s="49" t="s">
        <v>346</v>
      </c>
      <c r="H27" s="49" t="s">
        <v>396</v>
      </c>
      <c r="I27" s="49" t="s">
        <v>212</v>
      </c>
      <c r="J27" s="49" t="s">
        <v>395</v>
      </c>
      <c r="K27" s="49" t="s">
        <v>394</v>
      </c>
    </row>
    <row r="28" spans="2:11" x14ac:dyDescent="0.25">
      <c r="B28" s="49" t="s">
        <v>393</v>
      </c>
      <c r="C28" s="49">
        <v>177</v>
      </c>
      <c r="D28" s="49">
        <v>79</v>
      </c>
      <c r="E28" s="49" t="s">
        <v>210</v>
      </c>
      <c r="F28" s="49" t="s">
        <v>216</v>
      </c>
      <c r="G28" s="49" t="s">
        <v>204</v>
      </c>
      <c r="H28" s="49" t="s">
        <v>392</v>
      </c>
      <c r="I28" s="49" t="s">
        <v>212</v>
      </c>
      <c r="J28" s="49" t="s">
        <v>391</v>
      </c>
      <c r="K28" s="49" t="s">
        <v>200</v>
      </c>
    </row>
    <row r="29" spans="2:11" x14ac:dyDescent="0.25">
      <c r="B29" s="49" t="s">
        <v>390</v>
      </c>
      <c r="C29" s="49">
        <v>175</v>
      </c>
      <c r="D29" s="49">
        <v>79</v>
      </c>
      <c r="E29" s="49" t="s">
        <v>209</v>
      </c>
      <c r="F29" s="49" t="s">
        <v>205</v>
      </c>
      <c r="G29" s="49" t="s">
        <v>230</v>
      </c>
      <c r="H29" s="49" t="s">
        <v>389</v>
      </c>
      <c r="I29" s="49" t="s">
        <v>212</v>
      </c>
      <c r="J29" s="49" t="s">
        <v>388</v>
      </c>
      <c r="K29" s="49" t="s">
        <v>200</v>
      </c>
    </row>
    <row r="30" spans="2:11" x14ac:dyDescent="0.25">
      <c r="B30" s="49" t="s">
        <v>387</v>
      </c>
      <c r="C30" s="49">
        <v>180</v>
      </c>
      <c r="D30" s="49">
        <v>83</v>
      </c>
      <c r="E30" s="49" t="s">
        <v>209</v>
      </c>
      <c r="F30" s="49" t="s">
        <v>386</v>
      </c>
      <c r="G30" s="49" t="s">
        <v>303</v>
      </c>
      <c r="H30" s="49" t="s">
        <v>385</v>
      </c>
      <c r="I30" s="49" t="s">
        <v>212</v>
      </c>
      <c r="J30" s="49" t="s">
        <v>384</v>
      </c>
      <c r="K30" s="49" t="s">
        <v>383</v>
      </c>
    </row>
    <row r="31" spans="2:11" x14ac:dyDescent="0.25">
      <c r="B31" s="49" t="s">
        <v>382</v>
      </c>
      <c r="C31" s="49">
        <v>150</v>
      </c>
      <c r="E31" s="49" t="s">
        <v>381</v>
      </c>
      <c r="F31" s="49" t="s">
        <v>257</v>
      </c>
      <c r="G31" s="49" t="s">
        <v>230</v>
      </c>
      <c r="H31" s="49" t="s">
        <v>340</v>
      </c>
      <c r="I31" s="49" t="s">
        <v>202</v>
      </c>
      <c r="J31" s="49" t="s">
        <v>380</v>
      </c>
      <c r="K31" s="49" t="s">
        <v>200</v>
      </c>
    </row>
    <row r="32" spans="2:11" x14ac:dyDescent="0.25">
      <c r="B32" s="49" t="s">
        <v>379</v>
      </c>
      <c r="E32" s="49" t="s">
        <v>204</v>
      </c>
      <c r="F32" s="49" t="s">
        <v>257</v>
      </c>
      <c r="G32" s="49" t="s">
        <v>204</v>
      </c>
      <c r="I32" s="49" t="s">
        <v>212</v>
      </c>
      <c r="K32" s="49" t="s">
        <v>200</v>
      </c>
    </row>
    <row r="33" spans="2:11" x14ac:dyDescent="0.25">
      <c r="B33" s="49" t="s">
        <v>378</v>
      </c>
      <c r="C33" s="49">
        <v>88</v>
      </c>
      <c r="D33" s="49">
        <v>20</v>
      </c>
      <c r="E33" s="49" t="s">
        <v>204</v>
      </c>
      <c r="F33" s="49" t="s">
        <v>204</v>
      </c>
      <c r="G33" s="49" t="s">
        <v>204</v>
      </c>
      <c r="H33" s="49" t="s">
        <v>377</v>
      </c>
      <c r="I33" s="49" t="s">
        <v>212</v>
      </c>
      <c r="J33" s="49" t="s">
        <v>376</v>
      </c>
      <c r="K33" s="49" t="s">
        <v>375</v>
      </c>
    </row>
    <row r="34" spans="2:11" x14ac:dyDescent="0.25">
      <c r="B34" s="49" t="s">
        <v>374</v>
      </c>
      <c r="C34" s="49">
        <v>160</v>
      </c>
      <c r="D34" s="49">
        <v>68</v>
      </c>
      <c r="E34" s="49" t="s">
        <v>209</v>
      </c>
      <c r="F34" s="49" t="s">
        <v>220</v>
      </c>
      <c r="G34" s="49" t="s">
        <v>210</v>
      </c>
      <c r="I34" s="49" t="s">
        <v>212</v>
      </c>
      <c r="J34" s="49" t="s">
        <v>373</v>
      </c>
      <c r="K34" s="49" t="s">
        <v>372</v>
      </c>
    </row>
    <row r="35" spans="2:11" x14ac:dyDescent="0.25">
      <c r="B35" s="49" t="s">
        <v>371</v>
      </c>
      <c r="C35" s="49">
        <v>193</v>
      </c>
      <c r="D35" s="49">
        <v>89</v>
      </c>
      <c r="E35" s="49" t="s">
        <v>204</v>
      </c>
      <c r="F35" s="49" t="s">
        <v>257</v>
      </c>
      <c r="G35" s="49" t="s">
        <v>230</v>
      </c>
      <c r="H35" s="49" t="s">
        <v>321</v>
      </c>
      <c r="I35" s="49" t="s">
        <v>212</v>
      </c>
      <c r="K35" s="49" t="s">
        <v>200</v>
      </c>
    </row>
    <row r="36" spans="2:11" x14ac:dyDescent="0.25">
      <c r="B36" s="49" t="s">
        <v>370</v>
      </c>
      <c r="C36" s="49">
        <v>191</v>
      </c>
      <c r="D36" s="49">
        <v>90</v>
      </c>
      <c r="E36" s="49" t="s">
        <v>209</v>
      </c>
      <c r="F36" s="49" t="s">
        <v>369</v>
      </c>
      <c r="G36" s="49" t="s">
        <v>346</v>
      </c>
      <c r="I36" s="49" t="s">
        <v>212</v>
      </c>
      <c r="J36" s="49" t="s">
        <v>368</v>
      </c>
      <c r="K36" s="49" t="s">
        <v>367</v>
      </c>
    </row>
    <row r="37" spans="2:11" x14ac:dyDescent="0.25">
      <c r="B37" s="49" t="s">
        <v>366</v>
      </c>
      <c r="C37" s="49">
        <v>170</v>
      </c>
      <c r="E37" s="49" t="s">
        <v>365</v>
      </c>
      <c r="F37" s="49" t="s">
        <v>257</v>
      </c>
      <c r="G37" s="49" t="s">
        <v>230</v>
      </c>
      <c r="H37" s="49" t="s">
        <v>364</v>
      </c>
      <c r="I37" s="49" t="s">
        <v>212</v>
      </c>
      <c r="J37" s="49" t="s">
        <v>256</v>
      </c>
      <c r="K37" s="49" t="s">
        <v>200</v>
      </c>
    </row>
    <row r="38" spans="2:11" x14ac:dyDescent="0.25">
      <c r="B38" s="49" t="s">
        <v>363</v>
      </c>
      <c r="C38" s="49">
        <v>196</v>
      </c>
      <c r="D38" s="49">
        <v>66</v>
      </c>
      <c r="E38" s="49" t="s">
        <v>209</v>
      </c>
      <c r="F38" s="49" t="s">
        <v>303</v>
      </c>
      <c r="G38" s="49" t="s">
        <v>303</v>
      </c>
      <c r="H38" s="49" t="s">
        <v>362</v>
      </c>
      <c r="I38" s="49" t="s">
        <v>212</v>
      </c>
      <c r="J38" s="49" t="s">
        <v>201</v>
      </c>
      <c r="K38" s="49" t="s">
        <v>359</v>
      </c>
    </row>
    <row r="39" spans="2:11" x14ac:dyDescent="0.25">
      <c r="B39" s="49" t="s">
        <v>361</v>
      </c>
      <c r="C39" s="49">
        <v>224</v>
      </c>
      <c r="D39" s="49">
        <v>82</v>
      </c>
      <c r="E39" s="49" t="s">
        <v>209</v>
      </c>
      <c r="F39" s="49" t="s">
        <v>220</v>
      </c>
      <c r="G39" s="49" t="s">
        <v>303</v>
      </c>
      <c r="I39" s="49" t="s">
        <v>212</v>
      </c>
      <c r="J39" s="49" t="s">
        <v>201</v>
      </c>
      <c r="K39" s="49" t="s">
        <v>359</v>
      </c>
    </row>
    <row r="40" spans="2:11" x14ac:dyDescent="0.25">
      <c r="B40" s="49" t="s">
        <v>360</v>
      </c>
      <c r="C40" s="49">
        <v>206</v>
      </c>
      <c r="E40" s="49" t="s">
        <v>209</v>
      </c>
      <c r="F40" s="49" t="s">
        <v>290</v>
      </c>
      <c r="G40" s="49" t="s">
        <v>303</v>
      </c>
      <c r="I40" s="49" t="s">
        <v>212</v>
      </c>
      <c r="J40" s="49" t="s">
        <v>201</v>
      </c>
      <c r="K40" s="49" t="s">
        <v>359</v>
      </c>
    </row>
    <row r="41" spans="2:11" x14ac:dyDescent="0.25">
      <c r="B41" s="49" t="s">
        <v>358</v>
      </c>
      <c r="C41" s="49">
        <v>183</v>
      </c>
      <c r="E41" s="49" t="s">
        <v>204</v>
      </c>
      <c r="F41" s="49" t="s">
        <v>257</v>
      </c>
      <c r="G41" s="49" t="s">
        <v>230</v>
      </c>
      <c r="I41" s="49" t="s">
        <v>212</v>
      </c>
      <c r="J41" s="49" t="s">
        <v>201</v>
      </c>
    </row>
    <row r="42" spans="2:11" x14ac:dyDescent="0.25">
      <c r="B42" s="49" t="s">
        <v>357</v>
      </c>
      <c r="C42" s="49">
        <v>137</v>
      </c>
      <c r="E42" s="49" t="s">
        <v>210</v>
      </c>
      <c r="F42" s="49" t="s">
        <v>336</v>
      </c>
      <c r="G42" s="49" t="s">
        <v>265</v>
      </c>
      <c r="I42" s="49" t="s">
        <v>212</v>
      </c>
      <c r="J42" s="49" t="s">
        <v>356</v>
      </c>
      <c r="K42" s="49" t="s">
        <v>355</v>
      </c>
    </row>
    <row r="43" spans="2:11" x14ac:dyDescent="0.25">
      <c r="B43" s="49" t="s">
        <v>354</v>
      </c>
      <c r="C43" s="49">
        <v>112</v>
      </c>
      <c r="D43" s="49">
        <v>40</v>
      </c>
      <c r="E43" s="49" t="s">
        <v>209</v>
      </c>
      <c r="F43" s="49" t="s">
        <v>353</v>
      </c>
      <c r="G43" s="49" t="s">
        <v>303</v>
      </c>
      <c r="I43" s="49" t="s">
        <v>212</v>
      </c>
      <c r="J43" s="49" t="s">
        <v>352</v>
      </c>
      <c r="K43" s="49" t="s">
        <v>351</v>
      </c>
    </row>
    <row r="44" spans="2:11" x14ac:dyDescent="0.25">
      <c r="B44" s="49" t="s">
        <v>350</v>
      </c>
      <c r="C44" s="49">
        <v>183</v>
      </c>
      <c r="E44" s="49" t="s">
        <v>210</v>
      </c>
      <c r="F44" s="49" t="s">
        <v>216</v>
      </c>
      <c r="G44" s="49" t="s">
        <v>204</v>
      </c>
      <c r="H44" s="49" t="s">
        <v>349</v>
      </c>
      <c r="I44" s="49" t="s">
        <v>212</v>
      </c>
      <c r="J44" s="49" t="s">
        <v>201</v>
      </c>
    </row>
    <row r="45" spans="2:11" x14ac:dyDescent="0.25">
      <c r="B45" s="49" t="s">
        <v>348</v>
      </c>
      <c r="C45" s="49">
        <v>163</v>
      </c>
      <c r="E45" s="49" t="s">
        <v>210</v>
      </c>
      <c r="F45" s="49" t="s">
        <v>257</v>
      </c>
      <c r="G45" s="49" t="s">
        <v>204</v>
      </c>
      <c r="H45" s="49" t="s">
        <v>324</v>
      </c>
      <c r="I45" s="49" t="s">
        <v>202</v>
      </c>
      <c r="J45" s="49" t="s">
        <v>292</v>
      </c>
      <c r="K45" s="49" t="s">
        <v>200</v>
      </c>
    </row>
    <row r="46" spans="2:11" x14ac:dyDescent="0.25">
      <c r="B46" s="49" t="s">
        <v>347</v>
      </c>
      <c r="C46" s="49">
        <v>175</v>
      </c>
      <c r="D46" s="49">
        <v>80</v>
      </c>
      <c r="E46" s="49" t="s">
        <v>209</v>
      </c>
      <c r="F46" s="49" t="s">
        <v>346</v>
      </c>
      <c r="G46" s="49" t="s">
        <v>265</v>
      </c>
      <c r="H46" s="49" t="s">
        <v>345</v>
      </c>
      <c r="I46" s="49" t="s">
        <v>212</v>
      </c>
      <c r="J46" s="49" t="s">
        <v>344</v>
      </c>
      <c r="K46" s="49" t="s">
        <v>313</v>
      </c>
    </row>
    <row r="47" spans="2:11" x14ac:dyDescent="0.25">
      <c r="B47" s="49" t="s">
        <v>343</v>
      </c>
      <c r="C47" s="49">
        <v>180</v>
      </c>
      <c r="E47" s="49" t="s">
        <v>209</v>
      </c>
      <c r="F47" s="49" t="s">
        <v>224</v>
      </c>
      <c r="G47" s="49" t="s">
        <v>342</v>
      </c>
      <c r="I47" s="49" t="s">
        <v>212</v>
      </c>
      <c r="J47" s="49" t="s">
        <v>339</v>
      </c>
      <c r="K47" s="49" t="s">
        <v>338</v>
      </c>
    </row>
    <row r="48" spans="2:11" x14ac:dyDescent="0.25">
      <c r="B48" s="49" t="s">
        <v>341</v>
      </c>
      <c r="C48" s="49">
        <v>178</v>
      </c>
      <c r="D48" s="49">
        <v>55</v>
      </c>
      <c r="E48" s="49" t="s">
        <v>209</v>
      </c>
      <c r="F48" s="49" t="s">
        <v>230</v>
      </c>
      <c r="G48" s="49" t="s">
        <v>214</v>
      </c>
      <c r="H48" s="49" t="s">
        <v>340</v>
      </c>
      <c r="I48" s="49" t="s">
        <v>202</v>
      </c>
      <c r="J48" s="49" t="s">
        <v>339</v>
      </c>
      <c r="K48" s="49" t="s">
        <v>338</v>
      </c>
    </row>
    <row r="49" spans="2:11" x14ac:dyDescent="0.25">
      <c r="B49" s="49" t="s">
        <v>337</v>
      </c>
      <c r="C49" s="49">
        <v>94</v>
      </c>
      <c r="D49" s="49">
        <v>45</v>
      </c>
      <c r="E49" s="49" t="s">
        <v>209</v>
      </c>
      <c r="F49" s="49" t="s">
        <v>336</v>
      </c>
      <c r="G49" s="49" t="s">
        <v>265</v>
      </c>
      <c r="I49" s="49" t="s">
        <v>212</v>
      </c>
      <c r="J49" s="49" t="s">
        <v>335</v>
      </c>
      <c r="K49" s="49" t="s">
        <v>334</v>
      </c>
    </row>
    <row r="50" spans="2:11" x14ac:dyDescent="0.25">
      <c r="B50" s="49" t="s">
        <v>333</v>
      </c>
      <c r="C50" s="49">
        <v>122</v>
      </c>
      <c r="E50" s="49" t="s">
        <v>209</v>
      </c>
      <c r="F50" s="49" t="s">
        <v>332</v>
      </c>
      <c r="G50" s="49" t="s">
        <v>210</v>
      </c>
      <c r="I50" s="49" t="s">
        <v>212</v>
      </c>
      <c r="J50" s="49" t="s">
        <v>331</v>
      </c>
      <c r="K50" s="49" t="s">
        <v>330</v>
      </c>
    </row>
    <row r="51" spans="2:11" x14ac:dyDescent="0.25">
      <c r="B51" s="49" t="s">
        <v>329</v>
      </c>
      <c r="C51" s="49">
        <v>163</v>
      </c>
      <c r="D51" s="49">
        <v>65</v>
      </c>
      <c r="E51" s="49" t="s">
        <v>209</v>
      </c>
      <c r="F51" s="49" t="s">
        <v>328</v>
      </c>
      <c r="G51" s="49" t="s">
        <v>303</v>
      </c>
      <c r="I51" s="49" t="s">
        <v>212</v>
      </c>
      <c r="J51" s="49" t="s">
        <v>327</v>
      </c>
      <c r="K51" s="49" t="s">
        <v>326</v>
      </c>
    </row>
    <row r="52" spans="2:11" x14ac:dyDescent="0.25">
      <c r="B52" s="49" t="s">
        <v>325</v>
      </c>
      <c r="C52" s="49">
        <v>188</v>
      </c>
      <c r="D52" s="49">
        <v>84</v>
      </c>
      <c r="E52" s="49" t="s">
        <v>209</v>
      </c>
      <c r="F52" s="49" t="s">
        <v>216</v>
      </c>
      <c r="G52" s="49" t="s">
        <v>204</v>
      </c>
      <c r="H52" s="49" t="s">
        <v>324</v>
      </c>
      <c r="I52" s="49" t="s">
        <v>212</v>
      </c>
      <c r="J52" s="49" t="s">
        <v>323</v>
      </c>
      <c r="K52" s="49" t="s">
        <v>200</v>
      </c>
    </row>
    <row r="53" spans="2:11" x14ac:dyDescent="0.25">
      <c r="B53" s="49" t="s">
        <v>322</v>
      </c>
      <c r="C53" s="49">
        <v>198</v>
      </c>
      <c r="D53" s="49">
        <v>82</v>
      </c>
      <c r="E53" s="49" t="s">
        <v>223</v>
      </c>
      <c r="F53" s="49" t="s">
        <v>224</v>
      </c>
      <c r="G53" s="49" t="s">
        <v>265</v>
      </c>
      <c r="H53" s="49" t="s">
        <v>321</v>
      </c>
      <c r="I53" s="49" t="s">
        <v>212</v>
      </c>
      <c r="J53" s="49" t="s">
        <v>320</v>
      </c>
      <c r="K53" s="49" t="s">
        <v>319</v>
      </c>
    </row>
    <row r="54" spans="2:11" x14ac:dyDescent="0.25">
      <c r="B54" s="49" t="s">
        <v>318</v>
      </c>
      <c r="C54" s="49">
        <v>196</v>
      </c>
      <c r="D54" s="49">
        <v>87</v>
      </c>
      <c r="E54" s="49" t="s">
        <v>209</v>
      </c>
      <c r="F54" s="49" t="s">
        <v>290</v>
      </c>
      <c r="G54" s="49" t="s">
        <v>210</v>
      </c>
      <c r="I54" s="49" t="s">
        <v>212</v>
      </c>
      <c r="J54" s="49" t="s">
        <v>317</v>
      </c>
      <c r="K54" s="49" t="s">
        <v>316</v>
      </c>
    </row>
    <row r="55" spans="2:11" x14ac:dyDescent="0.25">
      <c r="B55" s="49" t="s">
        <v>315</v>
      </c>
      <c r="C55" s="49">
        <v>171</v>
      </c>
      <c r="E55" s="49" t="s">
        <v>210</v>
      </c>
      <c r="F55" s="49" t="s">
        <v>204</v>
      </c>
      <c r="G55" s="49" t="s">
        <v>204</v>
      </c>
      <c r="I55" s="49" t="s">
        <v>212</v>
      </c>
      <c r="J55" s="49" t="s">
        <v>314</v>
      </c>
      <c r="K55" s="49" t="s">
        <v>313</v>
      </c>
    </row>
    <row r="56" spans="2:11" x14ac:dyDescent="0.25">
      <c r="B56" s="49" t="s">
        <v>312</v>
      </c>
      <c r="C56" s="49">
        <v>184</v>
      </c>
      <c r="D56" s="49">
        <v>50</v>
      </c>
      <c r="E56" s="49" t="s">
        <v>209</v>
      </c>
      <c r="F56" s="49" t="s">
        <v>216</v>
      </c>
      <c r="G56" s="49" t="s">
        <v>230</v>
      </c>
      <c r="I56" s="49" t="s">
        <v>202</v>
      </c>
      <c r="J56" s="49" t="s">
        <v>256</v>
      </c>
      <c r="K56" s="49" t="s">
        <v>311</v>
      </c>
    </row>
    <row r="57" spans="2:11" x14ac:dyDescent="0.25">
      <c r="B57" s="49" t="s">
        <v>310</v>
      </c>
      <c r="C57" s="49">
        <v>188</v>
      </c>
      <c r="E57" s="49" t="s">
        <v>209</v>
      </c>
      <c r="F57" s="49" t="s">
        <v>224</v>
      </c>
      <c r="G57" s="49" t="s">
        <v>303</v>
      </c>
      <c r="I57" s="49" t="s">
        <v>212</v>
      </c>
      <c r="J57" s="49" t="s">
        <v>309</v>
      </c>
      <c r="K57" s="49" t="s">
        <v>308</v>
      </c>
    </row>
    <row r="58" spans="2:11" x14ac:dyDescent="0.25">
      <c r="B58" s="49" t="s">
        <v>307</v>
      </c>
      <c r="C58" s="49">
        <v>264</v>
      </c>
      <c r="E58" s="49" t="s">
        <v>209</v>
      </c>
      <c r="F58" s="49" t="s">
        <v>223</v>
      </c>
      <c r="G58" s="49" t="s">
        <v>265</v>
      </c>
      <c r="I58" s="49" t="s">
        <v>212</v>
      </c>
      <c r="J58" s="49" t="s">
        <v>306</v>
      </c>
      <c r="K58" s="49" t="s">
        <v>305</v>
      </c>
    </row>
    <row r="59" spans="2:11" x14ac:dyDescent="0.25">
      <c r="B59" s="49" t="s">
        <v>304</v>
      </c>
      <c r="C59" s="49">
        <v>188</v>
      </c>
      <c r="D59" s="49">
        <v>80</v>
      </c>
      <c r="E59" s="49" t="s">
        <v>209</v>
      </c>
      <c r="F59" s="49" t="s">
        <v>303</v>
      </c>
      <c r="G59" s="49" t="s">
        <v>210</v>
      </c>
      <c r="H59" s="49" t="s">
        <v>302</v>
      </c>
      <c r="I59" s="49" t="s">
        <v>212</v>
      </c>
      <c r="J59" s="49" t="s">
        <v>301</v>
      </c>
      <c r="K59" s="49" t="s">
        <v>300</v>
      </c>
    </row>
    <row r="60" spans="2:11" x14ac:dyDescent="0.25">
      <c r="B60" s="49" t="s">
        <v>299</v>
      </c>
      <c r="C60" s="49">
        <v>196</v>
      </c>
      <c r="E60" s="49" t="s">
        <v>209</v>
      </c>
      <c r="F60" s="49" t="s">
        <v>230</v>
      </c>
      <c r="G60" s="49" t="s">
        <v>230</v>
      </c>
      <c r="I60" s="49" t="s">
        <v>212</v>
      </c>
      <c r="J60" s="49" t="s">
        <v>298</v>
      </c>
      <c r="K60" s="49" t="s">
        <v>297</v>
      </c>
    </row>
    <row r="61" spans="2:11" x14ac:dyDescent="0.25">
      <c r="B61" s="49" t="s">
        <v>296</v>
      </c>
      <c r="C61" s="49">
        <v>185</v>
      </c>
      <c r="D61" s="49">
        <v>85</v>
      </c>
      <c r="E61" s="49" t="s">
        <v>210</v>
      </c>
      <c r="F61" s="49" t="s">
        <v>216</v>
      </c>
      <c r="G61" s="49" t="s">
        <v>204</v>
      </c>
      <c r="I61" s="49" t="s">
        <v>212</v>
      </c>
      <c r="J61" s="49" t="s">
        <v>201</v>
      </c>
      <c r="K61" s="49" t="s">
        <v>200</v>
      </c>
    </row>
    <row r="62" spans="2:11" x14ac:dyDescent="0.25">
      <c r="B62" s="49" t="s">
        <v>295</v>
      </c>
      <c r="C62" s="49">
        <v>157</v>
      </c>
      <c r="E62" s="49" t="s">
        <v>204</v>
      </c>
      <c r="F62" s="49" t="s">
        <v>205</v>
      </c>
      <c r="G62" s="49" t="s">
        <v>204</v>
      </c>
      <c r="I62" s="49" t="s">
        <v>202</v>
      </c>
      <c r="J62" s="49" t="s">
        <v>201</v>
      </c>
      <c r="K62" s="49" t="s">
        <v>200</v>
      </c>
    </row>
    <row r="63" spans="2:11" x14ac:dyDescent="0.25">
      <c r="B63" s="49" t="s">
        <v>294</v>
      </c>
      <c r="C63" s="49">
        <v>183</v>
      </c>
      <c r="E63" s="49" t="s">
        <v>204</v>
      </c>
      <c r="F63" s="49" t="s">
        <v>257</v>
      </c>
      <c r="G63" s="49" t="s">
        <v>230</v>
      </c>
      <c r="H63" s="49" t="s">
        <v>293</v>
      </c>
      <c r="I63" s="49" t="s">
        <v>212</v>
      </c>
      <c r="J63" s="49" t="s">
        <v>292</v>
      </c>
      <c r="K63" s="49" t="s">
        <v>200</v>
      </c>
    </row>
    <row r="64" spans="2:11" x14ac:dyDescent="0.25">
      <c r="B64" s="49" t="s">
        <v>291</v>
      </c>
      <c r="C64" s="49">
        <v>183</v>
      </c>
      <c r="D64" s="49">
        <v>80</v>
      </c>
      <c r="E64" s="49" t="s">
        <v>209</v>
      </c>
      <c r="F64" s="49" t="s">
        <v>290</v>
      </c>
      <c r="G64" s="49" t="s">
        <v>265</v>
      </c>
      <c r="I64" s="49" t="s">
        <v>212</v>
      </c>
      <c r="J64" s="49" t="s">
        <v>289</v>
      </c>
      <c r="K64" s="49" t="s">
        <v>288</v>
      </c>
    </row>
    <row r="65" spans="2:11" x14ac:dyDescent="0.25">
      <c r="B65" s="49" t="s">
        <v>287</v>
      </c>
      <c r="C65" s="49">
        <v>170</v>
      </c>
      <c r="D65" s="49">
        <v>56.2</v>
      </c>
      <c r="E65" s="49" t="s">
        <v>210</v>
      </c>
      <c r="F65" s="49" t="s">
        <v>265</v>
      </c>
      <c r="G65" s="49" t="s">
        <v>230</v>
      </c>
      <c r="H65" s="49" t="s">
        <v>286</v>
      </c>
      <c r="I65" s="49" t="s">
        <v>202</v>
      </c>
      <c r="J65" s="49" t="s">
        <v>283</v>
      </c>
      <c r="K65" s="49" t="s">
        <v>282</v>
      </c>
    </row>
    <row r="66" spans="2:11" x14ac:dyDescent="0.25">
      <c r="B66" s="49" t="s">
        <v>285</v>
      </c>
      <c r="C66" s="49">
        <v>166</v>
      </c>
      <c r="D66" s="49">
        <v>50</v>
      </c>
      <c r="E66" s="49" t="s">
        <v>210</v>
      </c>
      <c r="F66" s="49" t="s">
        <v>265</v>
      </c>
      <c r="G66" s="49" t="s">
        <v>230</v>
      </c>
      <c r="H66" s="49" t="s">
        <v>284</v>
      </c>
      <c r="I66" s="49" t="s">
        <v>202</v>
      </c>
      <c r="J66" s="49" t="s">
        <v>283</v>
      </c>
      <c r="K66" s="49" t="s">
        <v>282</v>
      </c>
    </row>
    <row r="67" spans="2:11" x14ac:dyDescent="0.25">
      <c r="B67" s="49" t="s">
        <v>281</v>
      </c>
      <c r="C67" s="49">
        <v>165</v>
      </c>
      <c r="E67" s="49" t="s">
        <v>204</v>
      </c>
      <c r="F67" s="49" t="s">
        <v>205</v>
      </c>
      <c r="G67" s="49" t="s">
        <v>204</v>
      </c>
      <c r="I67" s="49" t="s">
        <v>202</v>
      </c>
      <c r="J67" s="49" t="s">
        <v>201</v>
      </c>
      <c r="K67" s="49" t="s">
        <v>200</v>
      </c>
    </row>
    <row r="68" spans="2:11" x14ac:dyDescent="0.25">
      <c r="B68" s="49" t="s">
        <v>280</v>
      </c>
      <c r="C68" s="49">
        <v>193</v>
      </c>
      <c r="D68" s="49">
        <v>80</v>
      </c>
      <c r="E68" s="49" t="s">
        <v>223</v>
      </c>
      <c r="F68" s="49" t="s">
        <v>257</v>
      </c>
      <c r="G68" s="49" t="s">
        <v>204</v>
      </c>
      <c r="H68" s="49" t="s">
        <v>279</v>
      </c>
      <c r="I68" s="49" t="s">
        <v>212</v>
      </c>
      <c r="J68" s="49" t="s">
        <v>278</v>
      </c>
      <c r="K68" s="49" t="s">
        <v>200</v>
      </c>
    </row>
    <row r="69" spans="2:11" x14ac:dyDescent="0.25">
      <c r="B69" s="49" t="s">
        <v>277</v>
      </c>
      <c r="C69" s="49">
        <v>191</v>
      </c>
      <c r="E69" s="49" t="s">
        <v>210</v>
      </c>
      <c r="F69" s="49" t="s">
        <v>274</v>
      </c>
      <c r="G69" s="49" t="s">
        <v>204</v>
      </c>
      <c r="H69" s="49" t="s">
        <v>276</v>
      </c>
      <c r="I69" s="49" t="s">
        <v>212</v>
      </c>
      <c r="J69" s="49" t="s">
        <v>226</v>
      </c>
      <c r="K69" s="49" t="s">
        <v>200</v>
      </c>
    </row>
    <row r="70" spans="2:11" x14ac:dyDescent="0.25">
      <c r="B70" s="49" t="s">
        <v>275</v>
      </c>
      <c r="C70" s="49">
        <v>183</v>
      </c>
      <c r="D70" s="49">
        <v>79</v>
      </c>
      <c r="E70" s="49" t="s">
        <v>210</v>
      </c>
      <c r="F70" s="49" t="s">
        <v>274</v>
      </c>
      <c r="G70" s="49" t="s">
        <v>204</v>
      </c>
      <c r="H70" s="49" t="s">
        <v>273</v>
      </c>
      <c r="I70" s="49" t="s">
        <v>212</v>
      </c>
      <c r="J70" s="49" t="s">
        <v>272</v>
      </c>
      <c r="K70" s="49" t="s">
        <v>200</v>
      </c>
    </row>
    <row r="71" spans="2:11" x14ac:dyDescent="0.25">
      <c r="B71" s="49" t="s">
        <v>271</v>
      </c>
      <c r="C71" s="49">
        <v>168</v>
      </c>
      <c r="D71" s="49">
        <v>55</v>
      </c>
      <c r="E71" s="49" t="s">
        <v>270</v>
      </c>
      <c r="F71" s="49" t="s">
        <v>269</v>
      </c>
      <c r="G71" s="49" t="s">
        <v>265</v>
      </c>
      <c r="I71" s="49" t="s">
        <v>202</v>
      </c>
      <c r="J71" s="49" t="s">
        <v>268</v>
      </c>
      <c r="K71" s="49" t="s">
        <v>267</v>
      </c>
    </row>
    <row r="72" spans="2:11" x14ac:dyDescent="0.25">
      <c r="B72" s="49" t="s">
        <v>266</v>
      </c>
      <c r="C72" s="49">
        <v>198</v>
      </c>
      <c r="D72" s="49">
        <v>102</v>
      </c>
      <c r="E72" s="49" t="s">
        <v>209</v>
      </c>
      <c r="F72" s="49" t="s">
        <v>204</v>
      </c>
      <c r="G72" s="49" t="s">
        <v>265</v>
      </c>
      <c r="I72" s="49" t="s">
        <v>212</v>
      </c>
      <c r="J72" s="49" t="s">
        <v>264</v>
      </c>
      <c r="K72" s="49" t="s">
        <v>263</v>
      </c>
    </row>
    <row r="73" spans="2:11" x14ac:dyDescent="0.25">
      <c r="B73" s="49" t="s">
        <v>262</v>
      </c>
      <c r="C73" s="49">
        <v>229</v>
      </c>
      <c r="D73" s="49">
        <v>88</v>
      </c>
      <c r="E73" s="49" t="s">
        <v>209</v>
      </c>
      <c r="F73" s="49" t="s">
        <v>220</v>
      </c>
      <c r="G73" s="49" t="s">
        <v>210</v>
      </c>
      <c r="I73" s="49" t="s">
        <v>212</v>
      </c>
      <c r="J73" s="49" t="s">
        <v>260</v>
      </c>
      <c r="K73" s="49" t="s">
        <v>259</v>
      </c>
    </row>
    <row r="74" spans="2:11" x14ac:dyDescent="0.25">
      <c r="B74" s="49" t="s">
        <v>261</v>
      </c>
      <c r="C74" s="49">
        <v>213</v>
      </c>
      <c r="E74" s="49" t="s">
        <v>209</v>
      </c>
      <c r="F74" s="49" t="s">
        <v>220</v>
      </c>
      <c r="G74" s="49" t="s">
        <v>210</v>
      </c>
      <c r="I74" s="49" t="s">
        <v>202</v>
      </c>
      <c r="J74" s="49" t="s">
        <v>260</v>
      </c>
      <c r="K74" s="49" t="s">
        <v>259</v>
      </c>
    </row>
    <row r="75" spans="2:11" x14ac:dyDescent="0.25">
      <c r="B75" s="49" t="s">
        <v>258</v>
      </c>
      <c r="C75" s="49">
        <v>167</v>
      </c>
      <c r="E75" s="49" t="s">
        <v>223</v>
      </c>
      <c r="F75" s="49" t="s">
        <v>257</v>
      </c>
      <c r="G75" s="49" t="s">
        <v>230</v>
      </c>
      <c r="I75" s="49" t="s">
        <v>202</v>
      </c>
      <c r="J75" s="49" t="s">
        <v>256</v>
      </c>
      <c r="K75" s="49" t="s">
        <v>200</v>
      </c>
    </row>
    <row r="76" spans="2:11" x14ac:dyDescent="0.25">
      <c r="B76" s="49" t="s">
        <v>255</v>
      </c>
      <c r="C76" s="49">
        <v>79</v>
      </c>
      <c r="D76" s="49">
        <v>15</v>
      </c>
      <c r="E76" s="49" t="s">
        <v>209</v>
      </c>
      <c r="F76" s="49" t="s">
        <v>254</v>
      </c>
      <c r="I76" s="49" t="s">
        <v>212</v>
      </c>
      <c r="J76" s="49" t="s">
        <v>253</v>
      </c>
      <c r="K76" s="49" t="s">
        <v>252</v>
      </c>
    </row>
    <row r="77" spans="2:11" x14ac:dyDescent="0.25">
      <c r="B77" s="49" t="s">
        <v>251</v>
      </c>
      <c r="C77" s="49">
        <v>96</v>
      </c>
      <c r="E77" s="49" t="s">
        <v>209</v>
      </c>
      <c r="F77" s="49" t="s">
        <v>250</v>
      </c>
      <c r="G77" s="49" t="s">
        <v>249</v>
      </c>
      <c r="I77" s="49" t="s">
        <v>202</v>
      </c>
    </row>
    <row r="78" spans="2:11" x14ac:dyDescent="0.25">
      <c r="B78" s="49" t="s">
        <v>248</v>
      </c>
      <c r="C78" s="49">
        <v>193</v>
      </c>
      <c r="D78" s="49">
        <v>48</v>
      </c>
      <c r="E78" s="49" t="s">
        <v>209</v>
      </c>
      <c r="F78" s="49" t="s">
        <v>247</v>
      </c>
      <c r="I78" s="49" t="s">
        <v>212</v>
      </c>
      <c r="J78" s="49" t="s">
        <v>246</v>
      </c>
      <c r="K78" s="49" t="s">
        <v>245</v>
      </c>
    </row>
    <row r="79" spans="2:11" x14ac:dyDescent="0.25">
      <c r="B79" s="49" t="s">
        <v>244</v>
      </c>
      <c r="C79" s="49">
        <v>191</v>
      </c>
      <c r="E79" s="49" t="s">
        <v>209</v>
      </c>
      <c r="F79" s="49" t="s">
        <v>220</v>
      </c>
      <c r="G79" s="49" t="s">
        <v>243</v>
      </c>
      <c r="I79" s="49" t="s">
        <v>212</v>
      </c>
      <c r="J79" s="49" t="s">
        <v>242</v>
      </c>
      <c r="K79" s="49" t="s">
        <v>241</v>
      </c>
    </row>
    <row r="80" spans="2:11" x14ac:dyDescent="0.25">
      <c r="B80" s="49" t="s">
        <v>240</v>
      </c>
      <c r="C80" s="49">
        <v>178</v>
      </c>
      <c r="D80" s="49">
        <v>57</v>
      </c>
      <c r="E80" s="49" t="s">
        <v>209</v>
      </c>
      <c r="F80" s="49" t="s">
        <v>239</v>
      </c>
      <c r="G80" s="49" t="s">
        <v>210</v>
      </c>
      <c r="I80" s="49" t="s">
        <v>202</v>
      </c>
      <c r="J80" s="49" t="s">
        <v>238</v>
      </c>
      <c r="K80" s="49" t="s">
        <v>237</v>
      </c>
    </row>
    <row r="81" spans="2:11" x14ac:dyDescent="0.25">
      <c r="B81" s="49" t="s">
        <v>236</v>
      </c>
      <c r="C81" s="49">
        <v>216</v>
      </c>
      <c r="D81" s="49">
        <v>159</v>
      </c>
      <c r="E81" s="49" t="s">
        <v>209</v>
      </c>
      <c r="F81" s="49" t="s">
        <v>235</v>
      </c>
      <c r="G81" s="49" t="s">
        <v>234</v>
      </c>
      <c r="I81" s="49" t="s">
        <v>212</v>
      </c>
      <c r="J81" s="49" t="s">
        <v>233</v>
      </c>
      <c r="K81" s="49" t="s">
        <v>232</v>
      </c>
    </row>
    <row r="82" spans="2:11" x14ac:dyDescent="0.25">
      <c r="B82" s="49" t="s">
        <v>231</v>
      </c>
      <c r="C82" s="49">
        <v>234</v>
      </c>
      <c r="D82" s="49">
        <v>136</v>
      </c>
      <c r="E82" s="49" t="s">
        <v>204</v>
      </c>
      <c r="F82" s="49" t="s">
        <v>204</v>
      </c>
      <c r="G82" s="49" t="s">
        <v>230</v>
      </c>
      <c r="I82" s="49" t="s">
        <v>212</v>
      </c>
      <c r="J82" s="49" t="s">
        <v>229</v>
      </c>
      <c r="K82" s="49" t="s">
        <v>228</v>
      </c>
    </row>
    <row r="83" spans="2:11" x14ac:dyDescent="0.25">
      <c r="B83" s="49" t="s">
        <v>227</v>
      </c>
      <c r="C83" s="49">
        <v>188</v>
      </c>
      <c r="D83" s="49">
        <v>79</v>
      </c>
      <c r="E83" s="49" t="s">
        <v>204</v>
      </c>
      <c r="F83" s="49" t="s">
        <v>205</v>
      </c>
      <c r="G83" s="49" t="s">
        <v>204</v>
      </c>
      <c r="I83" s="49" t="s">
        <v>212</v>
      </c>
      <c r="J83" s="49" t="s">
        <v>226</v>
      </c>
      <c r="K83" s="49" t="s">
        <v>200</v>
      </c>
    </row>
    <row r="84" spans="2:11" x14ac:dyDescent="0.25">
      <c r="B84" s="49" t="s">
        <v>225</v>
      </c>
      <c r="C84" s="49">
        <v>178</v>
      </c>
      <c r="D84" s="49">
        <v>48</v>
      </c>
      <c r="E84" s="49" t="s">
        <v>209</v>
      </c>
      <c r="F84" s="49" t="s">
        <v>224</v>
      </c>
      <c r="G84" s="49" t="s">
        <v>223</v>
      </c>
      <c r="I84" s="49" t="s">
        <v>202</v>
      </c>
      <c r="J84" s="49" t="s">
        <v>222</v>
      </c>
    </row>
    <row r="85" spans="2:11" x14ac:dyDescent="0.25">
      <c r="B85" s="49" t="s">
        <v>221</v>
      </c>
      <c r="C85" s="49">
        <v>206</v>
      </c>
      <c r="D85" s="49">
        <v>80</v>
      </c>
      <c r="E85" s="49" t="s">
        <v>209</v>
      </c>
      <c r="F85" s="49" t="s">
        <v>220</v>
      </c>
      <c r="G85" s="49" t="s">
        <v>210</v>
      </c>
      <c r="I85" s="49" t="s">
        <v>212</v>
      </c>
      <c r="J85" s="49" t="s">
        <v>219</v>
      </c>
      <c r="K85" s="49" t="s">
        <v>218</v>
      </c>
    </row>
    <row r="86" spans="2:11" x14ac:dyDescent="0.25">
      <c r="B86" s="49" t="s">
        <v>217</v>
      </c>
      <c r="E86" s="49" t="s">
        <v>210</v>
      </c>
      <c r="F86" s="49" t="s">
        <v>216</v>
      </c>
      <c r="G86" s="49" t="s">
        <v>216</v>
      </c>
      <c r="I86" s="49" t="s">
        <v>212</v>
      </c>
      <c r="K86" s="49" t="s">
        <v>200</v>
      </c>
    </row>
    <row r="87" spans="2:11" x14ac:dyDescent="0.25">
      <c r="B87" s="49" t="s">
        <v>215</v>
      </c>
      <c r="E87" s="49" t="s">
        <v>204</v>
      </c>
      <c r="F87" s="49" t="s">
        <v>205</v>
      </c>
      <c r="G87" s="49" t="s">
        <v>214</v>
      </c>
      <c r="I87" s="49" t="s">
        <v>202</v>
      </c>
      <c r="K87" s="49" t="s">
        <v>200</v>
      </c>
    </row>
    <row r="88" spans="2:11" x14ac:dyDescent="0.25">
      <c r="B88" s="49" t="s">
        <v>213</v>
      </c>
      <c r="E88" s="49" t="s">
        <v>204</v>
      </c>
      <c r="F88" s="49" t="s">
        <v>205</v>
      </c>
      <c r="G88" s="49" t="s">
        <v>204</v>
      </c>
      <c r="I88" s="49" t="s">
        <v>212</v>
      </c>
      <c r="K88" s="49" t="s">
        <v>200</v>
      </c>
    </row>
    <row r="89" spans="2:11" x14ac:dyDescent="0.25">
      <c r="B89" s="49" t="s">
        <v>211</v>
      </c>
      <c r="E89" s="49" t="s">
        <v>209</v>
      </c>
      <c r="F89" s="49" t="s">
        <v>209</v>
      </c>
      <c r="G89" s="49" t="s">
        <v>210</v>
      </c>
      <c r="I89" s="49" t="s">
        <v>209</v>
      </c>
      <c r="K89" s="49" t="s">
        <v>208</v>
      </c>
    </row>
    <row r="90" spans="2:11" x14ac:dyDescent="0.25">
      <c r="B90" s="49" t="s">
        <v>207</v>
      </c>
      <c r="I90" s="49" t="s">
        <v>202</v>
      </c>
    </row>
    <row r="91" spans="2:11" x14ac:dyDescent="0.25">
      <c r="B91" s="49" t="s">
        <v>206</v>
      </c>
      <c r="C91" s="49">
        <v>165</v>
      </c>
      <c r="D91" s="49">
        <v>45</v>
      </c>
      <c r="E91" s="49" t="s">
        <v>204</v>
      </c>
      <c r="F91" s="49" t="s">
        <v>205</v>
      </c>
      <c r="G91" s="49" t="s">
        <v>204</v>
      </c>
      <c r="H91" s="49" t="s">
        <v>203</v>
      </c>
      <c r="I91" s="49" t="s">
        <v>202</v>
      </c>
      <c r="J91" s="49" t="s">
        <v>201</v>
      </c>
      <c r="K91" s="49" t="s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022B-D335-4B11-9486-87BB58F7C5FE}">
  <sheetPr>
    <tabColor theme="0"/>
  </sheetPr>
  <dimension ref="A1:M28"/>
  <sheetViews>
    <sheetView zoomScale="115" zoomScaleNormal="115" workbookViewId="0">
      <selection activeCell="C8" sqref="C8"/>
    </sheetView>
  </sheetViews>
  <sheetFormatPr defaultRowHeight="15.75" x14ac:dyDescent="0.25"/>
  <cols>
    <col min="4" max="4" width="9.875" customWidth="1"/>
    <col min="6" max="6" width="4.875" customWidth="1"/>
  </cols>
  <sheetData>
    <row r="1" spans="1:13" x14ac:dyDescent="0.25">
      <c r="A1" t="s">
        <v>1</v>
      </c>
    </row>
    <row r="2" spans="1:13" x14ac:dyDescent="0.25">
      <c r="A2" t="s">
        <v>2</v>
      </c>
    </row>
    <row r="4" spans="1:13" x14ac:dyDescent="0.25">
      <c r="A4" t="s">
        <v>24</v>
      </c>
    </row>
    <row r="5" spans="1:13" x14ac:dyDescent="0.25">
      <c r="B5" s="2" t="s">
        <v>3</v>
      </c>
      <c r="C5" s="2" t="s">
        <v>4</v>
      </c>
      <c r="D5" s="2" t="s">
        <v>0</v>
      </c>
      <c r="G5" s="5" t="s">
        <v>5</v>
      </c>
      <c r="K5" s="6" t="s">
        <v>6</v>
      </c>
    </row>
    <row r="6" spans="1:13" x14ac:dyDescent="0.25">
      <c r="B6" s="2" t="s">
        <v>7</v>
      </c>
      <c r="C6" s="1">
        <v>10</v>
      </c>
      <c r="D6">
        <v>5</v>
      </c>
      <c r="E6" s="1"/>
      <c r="G6" s="1"/>
      <c r="H6" s="8" t="s">
        <v>4</v>
      </c>
      <c r="I6" s="2" t="s">
        <v>0</v>
      </c>
      <c r="K6" s="7"/>
      <c r="L6" s="9" t="s">
        <v>4</v>
      </c>
      <c r="M6" s="10" t="s">
        <v>0</v>
      </c>
    </row>
    <row r="7" spans="1:13" x14ac:dyDescent="0.25">
      <c r="B7" s="2" t="s">
        <v>9</v>
      </c>
      <c r="C7" s="1">
        <v>20</v>
      </c>
      <c r="D7">
        <v>6</v>
      </c>
      <c r="E7" s="1"/>
      <c r="G7" s="1" t="s">
        <v>8</v>
      </c>
      <c r="H7" s="3"/>
      <c r="I7" s="3"/>
      <c r="K7" s="7" t="s">
        <v>8</v>
      </c>
      <c r="L7" s="6">
        <f>VLOOKUP($K7, $B$6:$D$9, 2,FALSE )</f>
        <v>40</v>
      </c>
      <c r="M7" s="6">
        <f>VLOOKUP($K7, $B$6:$D$9, 3,FALSE )</f>
        <v>8</v>
      </c>
    </row>
    <row r="8" spans="1:13" x14ac:dyDescent="0.25">
      <c r="B8" s="2" t="s">
        <v>10</v>
      </c>
      <c r="C8" s="1">
        <v>30</v>
      </c>
      <c r="D8">
        <v>7</v>
      </c>
      <c r="E8" s="1"/>
      <c r="G8" s="1" t="s">
        <v>10</v>
      </c>
      <c r="H8" s="3"/>
      <c r="I8" s="3"/>
      <c r="K8" s="7" t="s">
        <v>10</v>
      </c>
      <c r="L8" s="6">
        <f>VLOOKUP($K8, $B$6:$D$9, 2,FALSE )</f>
        <v>30</v>
      </c>
      <c r="M8" s="6">
        <f>VLOOKUP($K8, $B$6:$D$9, 3,FALSE )</f>
        <v>7</v>
      </c>
    </row>
    <row r="9" spans="1:13" x14ac:dyDescent="0.25">
      <c r="B9" s="2" t="s">
        <v>8</v>
      </c>
      <c r="C9" s="1">
        <v>40</v>
      </c>
      <c r="D9">
        <v>8</v>
      </c>
      <c r="E9" s="1"/>
    </row>
    <row r="10" spans="1:13" x14ac:dyDescent="0.25">
      <c r="B10" s="2"/>
      <c r="C10" s="1"/>
      <c r="E10" s="1"/>
    </row>
    <row r="11" spans="1:13" x14ac:dyDescent="0.25">
      <c r="G11" s="5" t="s">
        <v>11</v>
      </c>
      <c r="K11" s="6" t="s">
        <v>12</v>
      </c>
    </row>
    <row r="12" spans="1:13" x14ac:dyDescent="0.25">
      <c r="B12" t="s">
        <v>7</v>
      </c>
      <c r="C12" t="s">
        <v>9</v>
      </c>
      <c r="D12" t="s">
        <v>10</v>
      </c>
      <c r="E12" t="s">
        <v>8</v>
      </c>
      <c r="H12" s="8" t="s">
        <v>4</v>
      </c>
      <c r="I12" s="2" t="s">
        <v>0</v>
      </c>
      <c r="K12" s="7"/>
      <c r="L12" s="9" t="s">
        <v>4</v>
      </c>
      <c r="M12" s="10" t="s">
        <v>0</v>
      </c>
    </row>
    <row r="13" spans="1:13" x14ac:dyDescent="0.25">
      <c r="A13" s="2" t="s">
        <v>4</v>
      </c>
      <c r="B13">
        <v>10</v>
      </c>
      <c r="C13">
        <v>20</v>
      </c>
      <c r="D13">
        <v>30</v>
      </c>
      <c r="E13">
        <v>40</v>
      </c>
      <c r="G13" t="s">
        <v>8</v>
      </c>
      <c r="H13" s="4"/>
      <c r="I13" s="4"/>
      <c r="K13" s="7" t="s">
        <v>8</v>
      </c>
      <c r="L13" s="6">
        <f>HLOOKUP($K13, $B$12:$E$14, 2,FALSE)</f>
        <v>40</v>
      </c>
      <c r="M13" s="6">
        <f>HLOOKUP($K13, $B$12:$E$14, 3,FALSE)</f>
        <v>8</v>
      </c>
    </row>
    <row r="14" spans="1:13" x14ac:dyDescent="0.25">
      <c r="A14" s="2" t="s">
        <v>0</v>
      </c>
      <c r="B14">
        <v>5</v>
      </c>
      <c r="C14">
        <v>6</v>
      </c>
      <c r="D14">
        <v>7</v>
      </c>
      <c r="E14">
        <v>8</v>
      </c>
      <c r="G14" t="s">
        <v>10</v>
      </c>
      <c r="H14" s="4"/>
      <c r="I14" s="4"/>
      <c r="K14" s="7" t="s">
        <v>10</v>
      </c>
      <c r="L14" s="6">
        <f>HLOOKUP($K14, $B$12:$E$14, 2,FALSE)</f>
        <v>30</v>
      </c>
      <c r="M14" s="6">
        <f>HLOOKUP($K14, $B$12:$E$14, 3,FALSE)</f>
        <v>7</v>
      </c>
    </row>
    <row r="16" spans="1:13" x14ac:dyDescent="0.25">
      <c r="A16" t="s">
        <v>15</v>
      </c>
    </row>
    <row r="17" spans="1:11" x14ac:dyDescent="0.25">
      <c r="B17" s="2"/>
      <c r="C17" s="2" t="s">
        <v>4</v>
      </c>
      <c r="D17" s="2" t="s">
        <v>3</v>
      </c>
    </row>
    <row r="18" spans="1:11" x14ac:dyDescent="0.25">
      <c r="B18" s="2"/>
      <c r="C18" s="1">
        <v>10</v>
      </c>
      <c r="D18" s="2" t="s">
        <v>7</v>
      </c>
      <c r="G18" s="1" t="s">
        <v>8</v>
      </c>
      <c r="H18" s="3"/>
      <c r="K18" s="6" t="s">
        <v>13</v>
      </c>
    </row>
    <row r="19" spans="1:11" x14ac:dyDescent="0.25">
      <c r="B19" s="2"/>
      <c r="C19" s="1">
        <v>20</v>
      </c>
      <c r="D19" s="2" t="s">
        <v>9</v>
      </c>
      <c r="G19" s="1" t="s">
        <v>10</v>
      </c>
      <c r="H19" s="3"/>
    </row>
    <row r="20" spans="1:11" x14ac:dyDescent="0.25">
      <c r="B20" s="2"/>
      <c r="C20" s="1">
        <v>30</v>
      </c>
      <c r="D20" s="2" t="s">
        <v>10</v>
      </c>
    </row>
    <row r="21" spans="1:11" x14ac:dyDescent="0.25">
      <c r="B21" s="2"/>
      <c r="C21" s="1">
        <v>40</v>
      </c>
      <c r="D21" s="2" t="s">
        <v>8</v>
      </c>
    </row>
    <row r="23" spans="1:11" x14ac:dyDescent="0.25">
      <c r="A23" t="s">
        <v>16</v>
      </c>
    </row>
    <row r="24" spans="1:11" x14ac:dyDescent="0.25">
      <c r="B24" s="2" t="s">
        <v>3</v>
      </c>
      <c r="C24" s="2" t="s">
        <v>4</v>
      </c>
      <c r="D24" s="2" t="s">
        <v>0</v>
      </c>
      <c r="G24" s="5" t="s">
        <v>14</v>
      </c>
    </row>
    <row r="25" spans="1:11" x14ac:dyDescent="0.25">
      <c r="B25" s="2" t="s">
        <v>7</v>
      </c>
      <c r="C25" s="1">
        <v>10</v>
      </c>
      <c r="D25">
        <v>5</v>
      </c>
      <c r="G25" s="1"/>
      <c r="H25" s="8" t="s">
        <v>4</v>
      </c>
      <c r="I25" s="2" t="s">
        <v>0</v>
      </c>
    </row>
    <row r="26" spans="1:11" x14ac:dyDescent="0.25">
      <c r="B26" s="2" t="s">
        <v>9</v>
      </c>
      <c r="C26" s="1">
        <v>20</v>
      </c>
      <c r="D26">
        <v>6</v>
      </c>
      <c r="G26" s="1" t="s">
        <v>8</v>
      </c>
      <c r="H26" s="3"/>
      <c r="I26" s="3"/>
    </row>
    <row r="27" spans="1:11" x14ac:dyDescent="0.25">
      <c r="B27" s="2" t="s">
        <v>10</v>
      </c>
      <c r="C27" s="1">
        <v>30</v>
      </c>
      <c r="D27">
        <v>7</v>
      </c>
      <c r="G27" s="1" t="s">
        <v>10</v>
      </c>
      <c r="H27" s="3"/>
      <c r="I27" s="3"/>
    </row>
    <row r="28" spans="1:11" x14ac:dyDescent="0.25">
      <c r="B28" s="2" t="s">
        <v>8</v>
      </c>
      <c r="C28" s="1">
        <v>40</v>
      </c>
      <c r="D28">
        <v>8</v>
      </c>
    </row>
  </sheetData>
  <conditionalFormatting sqref="C6:C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{E7AF041C-8CFE-4910-A4DF-C4BF7FCDB257}</x14:id>
        </ext>
      </extLst>
    </cfRule>
  </conditionalFormatting>
  <conditionalFormatting sqref="C18:C2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{EDAC1C1D-F760-442A-B8E4-7D78FC17E0DB}</x14:id>
        </ext>
      </extLst>
    </cfRule>
  </conditionalFormatting>
  <conditionalFormatting sqref="D6:D10">
    <cfRule type="dataBar" priority="5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{590AC530-FDFC-4744-B7CD-FD23E9F771E6}</x14:id>
        </ext>
      </extLst>
    </cfRule>
  </conditionalFormatting>
  <conditionalFormatting sqref="B13:E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{EE290938-6E63-42B4-9894-6BA97A7EEF2E}</x14:id>
        </ext>
      </extLst>
    </cfRule>
  </conditionalFormatting>
  <conditionalFormatting sqref="B14:E14">
    <cfRule type="dataBar" priority="3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{2806E287-C59E-4D24-8509-0FBBADCF8815}</x14:id>
        </ext>
      </extLst>
    </cfRule>
  </conditionalFormatting>
  <conditionalFormatting sqref="C25:C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{305340D8-6A96-4E0D-819F-1126EAAC87E9}</x14:id>
        </ext>
      </extLst>
    </cfRule>
  </conditionalFormatting>
  <conditionalFormatting sqref="D25:D28">
    <cfRule type="dataBar" priority="1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{75A95895-A2C9-4907-A465-2A93976D436B}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AF041C-8CFE-4910-A4DF-C4BF7FCDB2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C6:C10</xm:sqref>
        </x14:conditionalFormatting>
        <x14:conditionalFormatting xmlns:xm="http://schemas.microsoft.com/office/excel/2006/main">
          <x14:cfRule type="dataBar" id="{EDAC1C1D-F760-442A-B8E4-7D78FC17E0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C18:C21</xm:sqref>
        </x14:conditionalFormatting>
        <x14:conditionalFormatting xmlns:xm="http://schemas.microsoft.com/office/excel/2006/main">
          <x14:cfRule type="dataBar" id="{590AC530-FDFC-4744-B7CD-FD23E9F77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D6:D10</xm:sqref>
        </x14:conditionalFormatting>
        <x14:conditionalFormatting xmlns:xm="http://schemas.microsoft.com/office/excel/2006/main">
          <x14:cfRule type="dataBar" id="{EE290938-6E63-42B4-9894-6BA97A7EE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B13:E13</xm:sqref>
        </x14:conditionalFormatting>
        <x14:conditionalFormatting xmlns:xm="http://schemas.microsoft.com/office/excel/2006/main">
          <x14:cfRule type="dataBar" id="{2806E287-C59E-4D24-8509-0FBBADCF88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B14:E14</xm:sqref>
        </x14:conditionalFormatting>
        <x14:conditionalFormatting xmlns:xm="http://schemas.microsoft.com/office/excel/2006/main">
          <x14:cfRule type="dataBar" id="{305340D8-6A96-4E0D-819F-1126EAAC8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C25:C28</xm:sqref>
        </x14:conditionalFormatting>
        <x14:conditionalFormatting xmlns:xm="http://schemas.microsoft.com/office/excel/2006/main">
          <x14:cfRule type="dataBar" id="{75A95895-A2C9-4907-A465-2A93976D43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D25:D28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679B-7881-4A72-ADEA-7F19C4BFA71D}">
  <sheetPr>
    <tabColor theme="0"/>
  </sheetPr>
  <dimension ref="A1:K67"/>
  <sheetViews>
    <sheetView topLeftCell="A14" zoomScaleNormal="100" workbookViewId="0">
      <selection activeCell="J28" sqref="J28"/>
    </sheetView>
  </sheetViews>
  <sheetFormatPr defaultRowHeight="15.75" x14ac:dyDescent="0.25"/>
  <cols>
    <col min="2" max="2" width="16.5" bestFit="1" customWidth="1"/>
    <col min="3" max="3" width="13" bestFit="1" customWidth="1"/>
    <col min="5" max="5" width="10.875" bestFit="1" customWidth="1"/>
    <col min="6" max="6" width="11.875" customWidth="1"/>
  </cols>
  <sheetData>
    <row r="1" spans="1:11" x14ac:dyDescent="0.25">
      <c r="A1" t="s">
        <v>61</v>
      </c>
    </row>
    <row r="2" spans="1:11" x14ac:dyDescent="0.25">
      <c r="A2" t="s">
        <v>62</v>
      </c>
    </row>
    <row r="3" spans="1:11" x14ac:dyDescent="0.25">
      <c r="A3" t="s">
        <v>63</v>
      </c>
    </row>
    <row r="4" spans="1:11" x14ac:dyDescent="0.25">
      <c r="A4" t="s">
        <v>64</v>
      </c>
    </row>
    <row r="5" spans="1:11" x14ac:dyDescent="0.25">
      <c r="A5" t="s">
        <v>65</v>
      </c>
    </row>
    <row r="6" spans="1:11" x14ac:dyDescent="0.25">
      <c r="A6" t="s">
        <v>66</v>
      </c>
    </row>
    <row r="7" spans="1:11" x14ac:dyDescent="0.25">
      <c r="A7" t="s">
        <v>67</v>
      </c>
    </row>
    <row r="8" spans="1:11" x14ac:dyDescent="0.25">
      <c r="A8" s="12"/>
    </row>
    <row r="9" spans="1:11" x14ac:dyDescent="0.25">
      <c r="A9" t="s">
        <v>68</v>
      </c>
    </row>
    <row r="11" spans="1:11" x14ac:dyDescent="0.25">
      <c r="B11" s="24" t="s">
        <v>69</v>
      </c>
      <c r="D11" s="24" t="s">
        <v>70</v>
      </c>
      <c r="F11" s="25" t="s">
        <v>71</v>
      </c>
      <c r="G11" s="26"/>
      <c r="H11" s="26"/>
      <c r="I11" s="26"/>
    </row>
    <row r="12" spans="1:11" x14ac:dyDescent="0.25">
      <c r="B12" s="4"/>
      <c r="D12" s="4"/>
      <c r="F12" s="4"/>
    </row>
    <row r="13" spans="1:11" x14ac:dyDescent="0.25">
      <c r="J13" s="27"/>
      <c r="K13" s="27"/>
    </row>
    <row r="15" spans="1:11" x14ac:dyDescent="0.25">
      <c r="F15" s="25" t="s">
        <v>72</v>
      </c>
      <c r="G15" s="26"/>
      <c r="H15" s="26"/>
      <c r="I15" s="26"/>
    </row>
    <row r="16" spans="1:11" x14ac:dyDescent="0.25">
      <c r="F16" s="4"/>
    </row>
    <row r="19" spans="1:8" x14ac:dyDescent="0.25">
      <c r="A19" t="s">
        <v>73</v>
      </c>
    </row>
    <row r="21" spans="1:8" x14ac:dyDescent="0.25">
      <c r="B21" s="24" t="s">
        <v>69</v>
      </c>
      <c r="C21" s="28" t="s">
        <v>74</v>
      </c>
      <c r="E21" s="28" t="s">
        <v>75</v>
      </c>
      <c r="H21" s="28" t="s">
        <v>76</v>
      </c>
    </row>
    <row r="22" spans="1:8" x14ac:dyDescent="0.25">
      <c r="B22" s="4"/>
      <c r="C22" s="29"/>
      <c r="E22" s="4"/>
      <c r="F22" s="1"/>
      <c r="H22" s="4"/>
    </row>
    <row r="23" spans="1:8" x14ac:dyDescent="0.25">
      <c r="C23" s="1"/>
      <c r="F23" s="1"/>
    </row>
    <row r="24" spans="1:8" x14ac:dyDescent="0.25">
      <c r="C24" s="1"/>
      <c r="F24" s="1"/>
    </row>
    <row r="25" spans="1:8" x14ac:dyDescent="0.25">
      <c r="C25" s="1"/>
      <c r="F25" s="1"/>
    </row>
    <row r="26" spans="1:8" x14ac:dyDescent="0.25">
      <c r="C26" s="1"/>
      <c r="F26" s="1"/>
    </row>
    <row r="27" spans="1:8" x14ac:dyDescent="0.25">
      <c r="C27" s="1"/>
      <c r="F27" s="1"/>
    </row>
    <row r="29" spans="1:8" x14ac:dyDescent="0.25">
      <c r="A29" t="s">
        <v>77</v>
      </c>
    </row>
    <row r="30" spans="1:8" x14ac:dyDescent="0.25">
      <c r="A30" t="s">
        <v>78</v>
      </c>
    </row>
    <row r="32" spans="1:8" x14ac:dyDescent="0.25">
      <c r="B32" t="s">
        <v>79</v>
      </c>
      <c r="E32" s="30">
        <f ca="1">TODAY()</f>
        <v>44970</v>
      </c>
    </row>
    <row r="33" spans="2:5" x14ac:dyDescent="0.25">
      <c r="B33" t="s">
        <v>80</v>
      </c>
      <c r="E33" s="30">
        <f ca="1">DATE(YEAR(E32), MONTH(E32), 1)</f>
        <v>44958</v>
      </c>
    </row>
    <row r="34" spans="2:5" x14ac:dyDescent="0.25">
      <c r="B34" t="s">
        <v>81</v>
      </c>
      <c r="E34" s="30">
        <f ca="1">EOMONTH(E33, 0)</f>
        <v>44985</v>
      </c>
    </row>
    <row r="35" spans="2:5" x14ac:dyDescent="0.25">
      <c r="B35" t="s">
        <v>82</v>
      </c>
      <c r="E35" s="31" t="str">
        <f ca="1">TEXT(E34, "DD")</f>
        <v>28</v>
      </c>
    </row>
    <row r="37" spans="2:5" x14ac:dyDescent="0.25">
      <c r="B37" s="24" t="s">
        <v>83</v>
      </c>
      <c r="E37" s="28" t="s">
        <v>84</v>
      </c>
    </row>
    <row r="38" spans="2:5" x14ac:dyDescent="0.25">
      <c r="B38" s="32"/>
    </row>
    <row r="39" spans="2:5" x14ac:dyDescent="0.25">
      <c r="B39" s="33"/>
    </row>
    <row r="40" spans="2:5" x14ac:dyDescent="0.25">
      <c r="B40" s="33"/>
    </row>
    <row r="41" spans="2:5" x14ac:dyDescent="0.25">
      <c r="B41" s="33"/>
    </row>
    <row r="42" spans="2:5" x14ac:dyDescent="0.25">
      <c r="B42" s="33"/>
    </row>
    <row r="43" spans="2:5" x14ac:dyDescent="0.25">
      <c r="B43" s="33"/>
    </row>
    <row r="44" spans="2:5" x14ac:dyDescent="0.25">
      <c r="B44" s="33"/>
    </row>
    <row r="45" spans="2:5" x14ac:dyDescent="0.25">
      <c r="B45" s="33"/>
    </row>
    <row r="46" spans="2:5" x14ac:dyDescent="0.25">
      <c r="B46" s="33"/>
    </row>
    <row r="47" spans="2:5" x14ac:dyDescent="0.25">
      <c r="B47" s="33"/>
    </row>
    <row r="48" spans="2:5" x14ac:dyDescent="0.25">
      <c r="B48" s="33"/>
    </row>
    <row r="49" spans="2:2" x14ac:dyDescent="0.25">
      <c r="B49" s="33"/>
    </row>
    <row r="50" spans="2:2" x14ac:dyDescent="0.25">
      <c r="B50" s="33"/>
    </row>
    <row r="51" spans="2:2" x14ac:dyDescent="0.25">
      <c r="B51" s="33"/>
    </row>
    <row r="52" spans="2:2" x14ac:dyDescent="0.25">
      <c r="B52" s="33"/>
    </row>
    <row r="53" spans="2:2" x14ac:dyDescent="0.25">
      <c r="B53" s="33"/>
    </row>
    <row r="54" spans="2:2" x14ac:dyDescent="0.25">
      <c r="B54" s="33"/>
    </row>
    <row r="55" spans="2:2" x14ac:dyDescent="0.25">
      <c r="B55" s="33"/>
    </row>
    <row r="56" spans="2:2" x14ac:dyDescent="0.25">
      <c r="B56" s="33"/>
    </row>
    <row r="57" spans="2:2" x14ac:dyDescent="0.25">
      <c r="B57" s="33"/>
    </row>
    <row r="58" spans="2:2" x14ac:dyDescent="0.25">
      <c r="B58" s="33"/>
    </row>
    <row r="59" spans="2:2" x14ac:dyDescent="0.25">
      <c r="B59" s="33"/>
    </row>
    <row r="60" spans="2:2" x14ac:dyDescent="0.25">
      <c r="B60" s="33"/>
    </row>
    <row r="61" spans="2:2" x14ac:dyDescent="0.25">
      <c r="B61" s="33"/>
    </row>
    <row r="62" spans="2:2" x14ac:dyDescent="0.25">
      <c r="B62" s="33"/>
    </row>
    <row r="63" spans="2:2" x14ac:dyDescent="0.25">
      <c r="B63" s="33"/>
    </row>
    <row r="64" spans="2:2" x14ac:dyDescent="0.25">
      <c r="B64" s="33"/>
    </row>
    <row r="65" spans="2:2" x14ac:dyDescent="0.25">
      <c r="B65" s="33"/>
    </row>
    <row r="66" spans="2:2" x14ac:dyDescent="0.25">
      <c r="B66" s="33"/>
    </row>
    <row r="67" spans="2:2" x14ac:dyDescent="0.25">
      <c r="B67" s="33"/>
    </row>
  </sheetData>
  <conditionalFormatting sqref="C22:C27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{A9953E0E-5C54-4C82-86B2-852BBFA46DAF}</x14:id>
        </ext>
      </extLst>
    </cfRule>
  </conditionalFormatting>
  <conditionalFormatting sqref="F22:F27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{99E00C21-1698-4B1C-9485-39CF71B368B1}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953E0E-5C54-4C82-86B2-852BBFA46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C22:C27</xm:sqref>
        </x14:conditionalFormatting>
        <x14:conditionalFormatting xmlns:xm="http://schemas.microsoft.com/office/excel/2006/main">
          <x14:cfRule type="dataBar" id="{99E00C21-1698-4B1C-9485-39CF71B36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E131-F230-4A8E-8CAF-88C008C05A3E}">
  <sheetPr>
    <tabColor theme="0"/>
  </sheetPr>
  <dimension ref="A1:R41"/>
  <sheetViews>
    <sheetView zoomScale="115" zoomScaleNormal="115" workbookViewId="0">
      <selection activeCell="A4" sqref="A4"/>
    </sheetView>
  </sheetViews>
  <sheetFormatPr defaultRowHeight="15.75" x14ac:dyDescent="0.25"/>
  <cols>
    <col min="1" max="1" width="27.25" customWidth="1"/>
    <col min="2" max="3" width="15.5" customWidth="1"/>
    <col min="4" max="4" width="4.125" customWidth="1"/>
    <col min="5" max="5" width="14.25" customWidth="1"/>
    <col min="6" max="6" width="5.25" customWidth="1"/>
    <col min="7" max="7" width="17.75" customWidth="1"/>
    <col min="8" max="8" width="3.875" customWidth="1"/>
    <col min="9" max="9" width="23.375" customWidth="1"/>
    <col min="10" max="10" width="10.375" bestFit="1" customWidth="1"/>
    <col min="11" max="11" width="16.5" customWidth="1"/>
    <col min="12" max="18" width="10.375" bestFit="1" customWidth="1"/>
  </cols>
  <sheetData>
    <row r="1" spans="1:18" x14ac:dyDescent="0.25">
      <c r="A1" t="s">
        <v>85</v>
      </c>
    </row>
    <row r="3" spans="1:18" x14ac:dyDescent="0.25">
      <c r="A3" t="s">
        <v>86</v>
      </c>
      <c r="I3" s="34"/>
    </row>
    <row r="4" spans="1:18" x14ac:dyDescent="0.25">
      <c r="A4" t="s">
        <v>87</v>
      </c>
      <c r="D4" s="35"/>
      <c r="E4" s="35"/>
      <c r="F4" s="35"/>
    </row>
    <row r="5" spans="1:18" x14ac:dyDescent="0.25">
      <c r="D5" s="35"/>
      <c r="E5" s="35"/>
      <c r="F5" s="35"/>
    </row>
    <row r="6" spans="1:18" x14ac:dyDescent="0.25">
      <c r="A6" t="s">
        <v>88</v>
      </c>
      <c r="B6" s="36">
        <f ca="1">TODAY()</f>
        <v>44970</v>
      </c>
      <c r="C6" s="36"/>
      <c r="G6" s="37"/>
      <c r="H6" s="37"/>
    </row>
    <row r="7" spans="1:18" x14ac:dyDescent="0.25">
      <c r="A7" t="s">
        <v>89</v>
      </c>
      <c r="B7" s="36">
        <f ca="1">DATE(YEAR(B6), MONTH(B6), 1)</f>
        <v>44958</v>
      </c>
      <c r="C7" s="36"/>
      <c r="G7" s="37"/>
      <c r="H7" s="37"/>
    </row>
    <row r="8" spans="1:18" x14ac:dyDescent="0.25">
      <c r="A8" t="s">
        <v>90</v>
      </c>
      <c r="B8" s="38" t="str">
        <f ca="1">TEXT(EOMONTH(B6, 0), "DD")</f>
        <v>28</v>
      </c>
      <c r="C8" s="38"/>
    </row>
    <row r="9" spans="1:18" x14ac:dyDescent="0.25">
      <c r="I9" s="39" t="s">
        <v>91</v>
      </c>
    </row>
    <row r="10" spans="1:18" s="40" customFormat="1" ht="45" customHeight="1" x14ac:dyDescent="0.25">
      <c r="B10" s="41" t="s">
        <v>92</v>
      </c>
      <c r="C10" s="41" t="s">
        <v>93</v>
      </c>
      <c r="E10" s="40" t="s">
        <v>94</v>
      </c>
      <c r="G10" s="41" t="s">
        <v>95</v>
      </c>
      <c r="I10" s="41" t="s">
        <v>96</v>
      </c>
      <c r="K10" s="41" t="s">
        <v>97</v>
      </c>
    </row>
    <row r="11" spans="1:18" x14ac:dyDescent="0.25">
      <c r="B11" s="42"/>
      <c r="C11" s="42"/>
      <c r="D11" s="37"/>
      <c r="E11" s="42"/>
      <c r="F11" s="37"/>
      <c r="G11" s="43"/>
      <c r="H11" s="37"/>
      <c r="I11" s="42"/>
      <c r="J11" s="37"/>
      <c r="K11" s="42"/>
      <c r="L11" s="37"/>
      <c r="M11" s="37"/>
      <c r="N11" s="37"/>
      <c r="O11" s="37"/>
      <c r="P11" s="37"/>
      <c r="Q11" s="37"/>
      <c r="R11" s="37"/>
    </row>
    <row r="12" spans="1:18" x14ac:dyDescent="0.25">
      <c r="B12" s="44"/>
      <c r="C12" s="44"/>
      <c r="E12" s="44"/>
      <c r="G12" s="45"/>
      <c r="I12" s="44"/>
      <c r="K12" s="44"/>
    </row>
    <row r="13" spans="1:18" x14ac:dyDescent="0.25">
      <c r="B13" s="44"/>
      <c r="C13" s="44"/>
      <c r="E13" s="44"/>
      <c r="G13" s="45"/>
      <c r="I13" s="44"/>
      <c r="K13" s="44"/>
    </row>
    <row r="14" spans="1:18" x14ac:dyDescent="0.25">
      <c r="B14" s="44"/>
      <c r="C14" s="44"/>
      <c r="E14" s="44"/>
      <c r="G14" s="45"/>
      <c r="I14" s="44"/>
      <c r="K14" s="44"/>
    </row>
    <row r="15" spans="1:18" x14ac:dyDescent="0.25">
      <c r="B15" s="44"/>
      <c r="C15" s="44"/>
      <c r="E15" s="44"/>
      <c r="G15" s="45"/>
      <c r="I15" s="44"/>
      <c r="K15" s="44"/>
    </row>
    <row r="16" spans="1:18" x14ac:dyDescent="0.25">
      <c r="B16" s="44"/>
      <c r="C16" s="44"/>
      <c r="E16" s="44"/>
      <c r="G16" s="45"/>
      <c r="I16" s="44"/>
      <c r="K16" s="44"/>
    </row>
    <row r="17" spans="2:11" x14ac:dyDescent="0.25">
      <c r="B17" s="44"/>
      <c r="C17" s="44"/>
      <c r="G17" s="45"/>
      <c r="I17" s="44"/>
      <c r="K17" s="44"/>
    </row>
    <row r="18" spans="2:11" x14ac:dyDescent="0.25">
      <c r="B18" s="44"/>
      <c r="C18" s="44"/>
      <c r="G18" s="45"/>
      <c r="I18" s="44"/>
      <c r="K18" s="44"/>
    </row>
    <row r="19" spans="2:11" x14ac:dyDescent="0.25">
      <c r="B19" s="44"/>
      <c r="C19" s="44"/>
      <c r="G19" s="45"/>
      <c r="I19" s="44"/>
      <c r="K19" s="44"/>
    </row>
    <row r="20" spans="2:11" x14ac:dyDescent="0.25">
      <c r="B20" s="44"/>
      <c r="C20" s="44"/>
      <c r="G20" s="45"/>
      <c r="I20" s="44"/>
      <c r="K20" s="44"/>
    </row>
    <row r="21" spans="2:11" x14ac:dyDescent="0.25">
      <c r="B21" s="44"/>
      <c r="C21" s="44"/>
      <c r="G21" s="45"/>
      <c r="I21" s="44"/>
      <c r="K21" s="44"/>
    </row>
    <row r="22" spans="2:11" x14ac:dyDescent="0.25">
      <c r="B22" s="44"/>
      <c r="C22" s="44"/>
      <c r="G22" s="45"/>
      <c r="I22" s="44"/>
      <c r="K22" s="44"/>
    </row>
    <row r="23" spans="2:11" x14ac:dyDescent="0.25">
      <c r="B23" s="44"/>
      <c r="C23" s="44"/>
      <c r="G23" s="45"/>
      <c r="I23" s="44"/>
      <c r="K23" s="44"/>
    </row>
    <row r="24" spans="2:11" x14ac:dyDescent="0.25">
      <c r="B24" s="44"/>
      <c r="C24" s="44"/>
      <c r="G24" s="45"/>
      <c r="I24" s="44"/>
      <c r="K24" s="44"/>
    </row>
    <row r="25" spans="2:11" x14ac:dyDescent="0.25">
      <c r="B25" s="44"/>
      <c r="C25" s="44"/>
      <c r="G25" s="45"/>
      <c r="I25" s="44"/>
      <c r="K25" s="44"/>
    </row>
    <row r="26" spans="2:11" x14ac:dyDescent="0.25">
      <c r="B26" s="44"/>
      <c r="C26" s="44"/>
      <c r="G26" s="45"/>
      <c r="I26" s="44"/>
      <c r="K26" s="44"/>
    </row>
    <row r="27" spans="2:11" x14ac:dyDescent="0.25">
      <c r="B27" s="44"/>
      <c r="C27" s="44"/>
      <c r="G27" s="45"/>
      <c r="I27" s="44"/>
      <c r="K27" s="44"/>
    </row>
    <row r="28" spans="2:11" x14ac:dyDescent="0.25">
      <c r="B28" s="44"/>
      <c r="C28" s="44"/>
      <c r="G28" s="45"/>
      <c r="I28" s="44"/>
      <c r="K28" s="44"/>
    </row>
    <row r="29" spans="2:11" x14ac:dyDescent="0.25">
      <c r="B29" s="44"/>
      <c r="C29" s="44"/>
      <c r="G29" s="45"/>
      <c r="I29" s="44"/>
      <c r="K29" s="44"/>
    </row>
    <row r="30" spans="2:11" x14ac:dyDescent="0.25">
      <c r="B30" s="44"/>
      <c r="C30" s="44"/>
      <c r="G30" s="45"/>
      <c r="I30" s="44"/>
      <c r="K30" s="44"/>
    </row>
    <row r="31" spans="2:11" x14ac:dyDescent="0.25">
      <c r="B31" s="44"/>
      <c r="C31" s="44"/>
      <c r="G31" s="45"/>
      <c r="I31" s="44"/>
      <c r="K31" s="44"/>
    </row>
    <row r="32" spans="2:11" x14ac:dyDescent="0.25">
      <c r="B32" s="44"/>
      <c r="C32" s="44"/>
      <c r="G32" s="45"/>
      <c r="I32" s="44"/>
      <c r="K32" s="44"/>
    </row>
    <row r="33" spans="2:11" x14ac:dyDescent="0.25">
      <c r="B33" s="44"/>
      <c r="C33" s="44"/>
      <c r="G33" s="45"/>
      <c r="I33" s="44"/>
      <c r="K33" s="44"/>
    </row>
    <row r="34" spans="2:11" x14ac:dyDescent="0.25">
      <c r="B34" s="44"/>
      <c r="C34" s="44"/>
      <c r="G34" s="45"/>
      <c r="I34" s="44"/>
      <c r="K34" s="44"/>
    </row>
    <row r="35" spans="2:11" x14ac:dyDescent="0.25">
      <c r="B35" s="44"/>
      <c r="C35" s="44"/>
      <c r="G35" s="45"/>
      <c r="I35" s="44"/>
      <c r="K35" s="44"/>
    </row>
    <row r="36" spans="2:11" x14ac:dyDescent="0.25">
      <c r="B36" s="44"/>
      <c r="C36" s="44"/>
      <c r="I36" s="44"/>
      <c r="K36" s="44"/>
    </row>
    <row r="37" spans="2:11" x14ac:dyDescent="0.25">
      <c r="B37" s="44"/>
      <c r="C37" s="44"/>
      <c r="I37" s="44"/>
      <c r="K37" s="44"/>
    </row>
    <row r="38" spans="2:11" x14ac:dyDescent="0.25">
      <c r="B38" s="44"/>
      <c r="C38" s="44"/>
      <c r="I38" s="44"/>
      <c r="K38" s="44"/>
    </row>
    <row r="39" spans="2:11" x14ac:dyDescent="0.25">
      <c r="B39" s="44"/>
      <c r="C39" s="44"/>
      <c r="I39" s="44"/>
      <c r="K39" s="44"/>
    </row>
    <row r="40" spans="2:11" x14ac:dyDescent="0.25">
      <c r="B40" s="44"/>
      <c r="C40" s="44"/>
      <c r="I40" s="44"/>
      <c r="K40" s="44"/>
    </row>
    <row r="41" spans="2:11" x14ac:dyDescent="0.25">
      <c r="B41" s="44"/>
      <c r="C41" s="44"/>
      <c r="I41" s="44"/>
      <c r="K41" s="4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CD5F-2F20-489E-A69A-E11FE99186C3}">
  <dimension ref="A1:H24"/>
  <sheetViews>
    <sheetView zoomScale="115" zoomScaleNormal="115" workbookViewId="0">
      <selection activeCell="D21" sqref="D21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6.375" bestFit="1" customWidth="1"/>
  </cols>
  <sheetData>
    <row r="1" spans="1:8" x14ac:dyDescent="0.25">
      <c r="A1" s="12" t="s">
        <v>98</v>
      </c>
    </row>
    <row r="3" spans="1:8" x14ac:dyDescent="0.25">
      <c r="F3" s="2" t="s">
        <v>99</v>
      </c>
    </row>
    <row r="4" spans="1:8" x14ac:dyDescent="0.25">
      <c r="B4" t="s">
        <v>100</v>
      </c>
      <c r="C4" t="s">
        <v>101</v>
      </c>
      <c r="D4" s="1" t="s">
        <v>40</v>
      </c>
      <c r="F4" t="s">
        <v>100</v>
      </c>
      <c r="G4" s="46"/>
    </row>
    <row r="5" spans="1:8" x14ac:dyDescent="0.25">
      <c r="B5" t="s">
        <v>102</v>
      </c>
      <c r="C5" t="s">
        <v>103</v>
      </c>
      <c r="D5" s="1">
        <v>-2871.049400000004</v>
      </c>
      <c r="F5" s="2"/>
    </row>
    <row r="6" spans="1:8" x14ac:dyDescent="0.25">
      <c r="B6" t="s">
        <v>102</v>
      </c>
      <c r="C6" t="s">
        <v>104</v>
      </c>
      <c r="D6" s="1">
        <v>8879.9798999999857</v>
      </c>
      <c r="F6" s="4" t="s">
        <v>105</v>
      </c>
      <c r="H6" s="1"/>
    </row>
    <row r="7" spans="1:8" x14ac:dyDescent="0.25">
      <c r="B7" t="s">
        <v>102</v>
      </c>
      <c r="C7" t="s">
        <v>106</v>
      </c>
      <c r="D7" s="1">
        <v>33697.431999999979</v>
      </c>
      <c r="H7" s="1"/>
    </row>
    <row r="8" spans="1:8" x14ac:dyDescent="0.25">
      <c r="B8" t="s">
        <v>107</v>
      </c>
      <c r="C8" t="s">
        <v>103</v>
      </c>
      <c r="D8" s="1">
        <v>3046.1657999999993</v>
      </c>
      <c r="H8" s="1"/>
    </row>
    <row r="9" spans="1:8" x14ac:dyDescent="0.25">
      <c r="B9" t="s">
        <v>107</v>
      </c>
      <c r="C9" t="s">
        <v>104</v>
      </c>
      <c r="D9" s="1">
        <v>41014.579099999966</v>
      </c>
    </row>
    <row r="10" spans="1:8" x14ac:dyDescent="0.25">
      <c r="B10" t="s">
        <v>107</v>
      </c>
      <c r="C10" t="s">
        <v>106</v>
      </c>
      <c r="D10" s="1">
        <v>47462.035099999921</v>
      </c>
      <c r="F10" s="2" t="s">
        <v>108</v>
      </c>
    </row>
    <row r="11" spans="1:8" x14ac:dyDescent="0.25">
      <c r="B11" t="s">
        <v>109</v>
      </c>
      <c r="C11" t="s">
        <v>103</v>
      </c>
      <c r="D11" s="1">
        <v>6771.2060999999949</v>
      </c>
      <c r="F11" t="s">
        <v>110</v>
      </c>
      <c r="G11" s="28">
        <v>30000</v>
      </c>
    </row>
    <row r="12" spans="1:8" x14ac:dyDescent="0.25">
      <c r="B12" t="s">
        <v>109</v>
      </c>
      <c r="C12" t="s">
        <v>104</v>
      </c>
      <c r="D12" s="1">
        <v>19986.392799999972</v>
      </c>
    </row>
    <row r="13" spans="1:8" x14ac:dyDescent="0.25">
      <c r="B13" t="s">
        <v>109</v>
      </c>
      <c r="C13" t="s">
        <v>106</v>
      </c>
      <c r="D13" s="1">
        <v>19991.831399999999</v>
      </c>
      <c r="F13" s="4" t="s">
        <v>105</v>
      </c>
      <c r="H13" s="1"/>
    </row>
    <row r="14" spans="1:8" x14ac:dyDescent="0.25">
      <c r="B14" t="s">
        <v>111</v>
      </c>
      <c r="C14" t="s">
        <v>103</v>
      </c>
      <c r="D14" s="1">
        <v>11504.950299999995</v>
      </c>
      <c r="H14" s="1"/>
    </row>
    <row r="15" spans="1:8" x14ac:dyDescent="0.25">
      <c r="B15" t="s">
        <v>111</v>
      </c>
      <c r="C15" t="s">
        <v>104</v>
      </c>
      <c r="D15" s="1">
        <v>52609.849000000155</v>
      </c>
      <c r="H15" s="1"/>
    </row>
    <row r="16" spans="1:8" x14ac:dyDescent="0.25">
      <c r="B16" t="s">
        <v>111</v>
      </c>
      <c r="C16" t="s">
        <v>106</v>
      </c>
      <c r="D16" s="1">
        <v>44303.649599999953</v>
      </c>
      <c r="H16" s="1"/>
    </row>
    <row r="17" spans="6:8" x14ac:dyDescent="0.25">
      <c r="H17" s="1"/>
    </row>
    <row r="19" spans="6:8" x14ac:dyDescent="0.25">
      <c r="F19" s="2" t="s">
        <v>112</v>
      </c>
    </row>
    <row r="20" spans="6:8" x14ac:dyDescent="0.25">
      <c r="F20" s="2" t="s">
        <v>113</v>
      </c>
    </row>
    <row r="21" spans="6:8" x14ac:dyDescent="0.25">
      <c r="F21" t="s">
        <v>100</v>
      </c>
      <c r="G21" s="46" t="s">
        <v>107</v>
      </c>
    </row>
    <row r="22" spans="6:8" x14ac:dyDescent="0.25">
      <c r="F22" t="s">
        <v>110</v>
      </c>
      <c r="G22" s="28">
        <v>30000</v>
      </c>
    </row>
    <row r="24" spans="6:8" x14ac:dyDescent="0.25">
      <c r="F24" s="4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FAA0-652E-4CFF-93C3-53C0FA064502}">
  <dimension ref="A1:I65"/>
  <sheetViews>
    <sheetView topLeftCell="A5" zoomScale="130" zoomScaleNormal="130" workbookViewId="0">
      <selection activeCell="C14" sqref="C14"/>
    </sheetView>
  </sheetViews>
  <sheetFormatPr defaultRowHeight="15" x14ac:dyDescent="0.25"/>
  <cols>
    <col min="1" max="1" width="17" style="13" customWidth="1"/>
    <col min="2" max="2" width="17.875" style="13" customWidth="1"/>
    <col min="3" max="3" width="12.125" style="13" customWidth="1"/>
    <col min="4" max="4" width="13.625" style="13" customWidth="1"/>
    <col min="5" max="5" width="9" style="13"/>
    <col min="6" max="6" width="12.375" style="13" customWidth="1"/>
    <col min="7" max="13" width="9" style="13"/>
    <col min="14" max="14" width="14" style="13" customWidth="1"/>
    <col min="15" max="16384" width="9" style="13"/>
  </cols>
  <sheetData>
    <row r="1" spans="1:4" x14ac:dyDescent="0.25">
      <c r="A1" s="50" t="s">
        <v>132</v>
      </c>
    </row>
    <row r="3" spans="1:4" x14ac:dyDescent="0.25">
      <c r="A3" s="13" t="s">
        <v>133</v>
      </c>
    </row>
    <row r="4" spans="1:4" x14ac:dyDescent="0.25">
      <c r="A4" s="13" t="s">
        <v>134</v>
      </c>
    </row>
    <row r="5" spans="1:4" x14ac:dyDescent="0.25">
      <c r="A5" s="13" t="s">
        <v>135</v>
      </c>
    </row>
    <row r="6" spans="1:4" x14ac:dyDescent="0.25">
      <c r="A6" s="13" t="s">
        <v>136</v>
      </c>
    </row>
    <row r="7" spans="1:4" x14ac:dyDescent="0.25">
      <c r="A7" s="13" t="s">
        <v>137</v>
      </c>
    </row>
    <row r="8" spans="1:4" x14ac:dyDescent="0.25">
      <c r="A8" s="13" t="s">
        <v>138</v>
      </c>
    </row>
    <row r="9" spans="1:4" x14ac:dyDescent="0.25">
      <c r="A9" s="13" t="s">
        <v>139</v>
      </c>
    </row>
    <row r="11" spans="1:4" x14ac:dyDescent="0.25">
      <c r="A11" s="50" t="s">
        <v>140</v>
      </c>
    </row>
    <row r="12" spans="1:4" x14ac:dyDescent="0.25">
      <c r="C12" s="13" t="s">
        <v>141</v>
      </c>
      <c r="D12" s="51" t="s">
        <v>142</v>
      </c>
    </row>
    <row r="13" spans="1:4" x14ac:dyDescent="0.25">
      <c r="A13" s="52" t="s">
        <v>143</v>
      </c>
      <c r="B13" s="52" t="s">
        <v>144</v>
      </c>
      <c r="C13" s="52" t="s">
        <v>145</v>
      </c>
      <c r="D13" s="53" t="s">
        <v>145</v>
      </c>
    </row>
    <row r="14" spans="1:4" x14ac:dyDescent="0.25">
      <c r="A14" s="54">
        <v>4</v>
      </c>
      <c r="B14" s="54">
        <v>4</v>
      </c>
      <c r="C14" s="55"/>
      <c r="D14" s="56"/>
    </row>
    <row r="15" spans="1:4" x14ac:dyDescent="0.25">
      <c r="A15" s="54">
        <v>7</v>
      </c>
      <c r="B15" s="54">
        <v>2</v>
      </c>
      <c r="D15" s="56"/>
    </row>
    <row r="16" spans="1:4" x14ac:dyDescent="0.25">
      <c r="A16" s="54">
        <v>3</v>
      </c>
      <c r="B16" s="54">
        <v>9</v>
      </c>
      <c r="D16" s="56"/>
    </row>
    <row r="17" spans="1:4" x14ac:dyDescent="0.25">
      <c r="A17" s="54">
        <v>6</v>
      </c>
      <c r="B17" s="54">
        <v>1</v>
      </c>
      <c r="D17" s="56"/>
    </row>
    <row r="19" spans="1:4" x14ac:dyDescent="0.25">
      <c r="A19" s="13" t="s">
        <v>146</v>
      </c>
    </row>
    <row r="20" spans="1:4" x14ac:dyDescent="0.25">
      <c r="B20" s="13" t="s">
        <v>147</v>
      </c>
      <c r="C20" s="51" t="s">
        <v>148</v>
      </c>
    </row>
    <row r="21" spans="1:4" x14ac:dyDescent="0.25">
      <c r="B21" s="13" t="s">
        <v>141</v>
      </c>
      <c r="C21" s="51" t="s">
        <v>142</v>
      </c>
    </row>
    <row r="22" spans="1:4" x14ac:dyDescent="0.25">
      <c r="A22" s="52" t="s">
        <v>149</v>
      </c>
      <c r="B22" s="52" t="s">
        <v>150</v>
      </c>
      <c r="C22" s="53" t="s">
        <v>150</v>
      </c>
    </row>
    <row r="23" spans="1:4" x14ac:dyDescent="0.25">
      <c r="A23" s="54">
        <v>0</v>
      </c>
      <c r="B23" s="55"/>
      <c r="C23" s="56"/>
    </row>
    <row r="24" spans="1:4" x14ac:dyDescent="0.25">
      <c r="A24" s="54">
        <v>20</v>
      </c>
      <c r="C24" s="56"/>
    </row>
    <row r="25" spans="1:4" x14ac:dyDescent="0.25">
      <c r="A25" s="54">
        <v>60</v>
      </c>
      <c r="C25" s="56"/>
    </row>
    <row r="26" spans="1:4" x14ac:dyDescent="0.25">
      <c r="A26" s="54">
        <v>100</v>
      </c>
      <c r="C26" s="56"/>
    </row>
    <row r="28" spans="1:4" x14ac:dyDescent="0.25">
      <c r="A28" s="50" t="s">
        <v>151</v>
      </c>
    </row>
    <row r="29" spans="1:4" x14ac:dyDescent="0.25">
      <c r="B29" s="13" t="s">
        <v>141</v>
      </c>
    </row>
    <row r="30" spans="1:4" x14ac:dyDescent="0.25">
      <c r="A30" s="52" t="s">
        <v>149</v>
      </c>
      <c r="B30" s="52" t="s">
        <v>150</v>
      </c>
      <c r="C30" s="52"/>
    </row>
    <row r="31" spans="1:4" x14ac:dyDescent="0.25">
      <c r="A31" s="13" cm="1">
        <f t="array" ref="A31:A36">_xlfn.SEQUENCE(6,1, 0, 20)</f>
        <v>0</v>
      </c>
      <c r="B31" s="55"/>
    </row>
    <row r="32" spans="1:4" x14ac:dyDescent="0.25">
      <c r="A32" s="13">
        <v>20</v>
      </c>
    </row>
    <row r="33" spans="1:8" x14ac:dyDescent="0.25">
      <c r="A33" s="13">
        <v>40</v>
      </c>
    </row>
    <row r="34" spans="1:8" x14ac:dyDescent="0.25">
      <c r="A34" s="13">
        <v>60</v>
      </c>
    </row>
    <row r="35" spans="1:8" x14ac:dyDescent="0.25">
      <c r="A35" s="13">
        <v>80</v>
      </c>
    </row>
    <row r="36" spans="1:8" x14ac:dyDescent="0.25">
      <c r="A36" s="13">
        <v>100</v>
      </c>
    </row>
    <row r="38" spans="1:8" x14ac:dyDescent="0.25">
      <c r="A38" s="50" t="s">
        <v>152</v>
      </c>
    </row>
    <row r="39" spans="1:8" x14ac:dyDescent="0.25">
      <c r="B39" s="13" t="s">
        <v>141</v>
      </c>
      <c r="F39" s="51" t="s">
        <v>153</v>
      </c>
      <c r="G39" s="51"/>
      <c r="H39" s="51"/>
    </row>
    <row r="40" spans="1:8" x14ac:dyDescent="0.25">
      <c r="C40" s="54">
        <v>4</v>
      </c>
      <c r="D40" s="54">
        <v>6</v>
      </c>
      <c r="F40" s="51"/>
      <c r="G40" s="57">
        <v>4</v>
      </c>
      <c r="H40" s="57">
        <v>6</v>
      </c>
    </row>
    <row r="41" spans="1:8" x14ac:dyDescent="0.25">
      <c r="B41" s="54">
        <v>3</v>
      </c>
      <c r="C41" s="55"/>
      <c r="F41" s="57">
        <v>3</v>
      </c>
      <c r="G41" s="56"/>
      <c r="H41" s="56"/>
    </row>
    <row r="42" spans="1:8" x14ac:dyDescent="0.25">
      <c r="B42" s="54">
        <v>5</v>
      </c>
      <c r="F42" s="57">
        <v>5</v>
      </c>
      <c r="G42" s="56"/>
      <c r="H42" s="56"/>
    </row>
    <row r="45" spans="1:8" x14ac:dyDescent="0.25">
      <c r="A45" s="50" t="s">
        <v>164</v>
      </c>
    </row>
    <row r="46" spans="1:8" x14ac:dyDescent="0.25">
      <c r="C46" s="52" t="s">
        <v>147</v>
      </c>
      <c r="D46" s="53" t="s">
        <v>148</v>
      </c>
    </row>
    <row r="47" spans="1:8" x14ac:dyDescent="0.25">
      <c r="A47" s="58" t="s">
        <v>165</v>
      </c>
      <c r="C47" s="52" t="s">
        <v>141</v>
      </c>
      <c r="D47" s="53" t="s">
        <v>142</v>
      </c>
    </row>
    <row r="48" spans="1:8" x14ac:dyDescent="0.25">
      <c r="B48" s="52" t="s">
        <v>116</v>
      </c>
      <c r="C48" s="52" t="s">
        <v>166</v>
      </c>
      <c r="D48" s="53" t="s">
        <v>166</v>
      </c>
    </row>
    <row r="49" spans="1:9" x14ac:dyDescent="0.25">
      <c r="B49" s="54" t="s">
        <v>118</v>
      </c>
      <c r="C49" s="55"/>
      <c r="D49" s="56"/>
    </row>
    <row r="50" spans="1:9" x14ac:dyDescent="0.25">
      <c r="B50" s="54" t="s">
        <v>119</v>
      </c>
      <c r="D50" s="56"/>
    </row>
    <row r="51" spans="1:9" x14ac:dyDescent="0.25">
      <c r="B51" s="54" t="s">
        <v>120</v>
      </c>
      <c r="D51" s="56"/>
    </row>
    <row r="52" spans="1:9" x14ac:dyDescent="0.25">
      <c r="B52" s="54" t="s">
        <v>121</v>
      </c>
      <c r="D52" s="56"/>
    </row>
    <row r="53" spans="1:9" x14ac:dyDescent="0.25">
      <c r="B53" s="54" t="s">
        <v>122</v>
      </c>
      <c r="D53" s="56"/>
    </row>
    <row r="54" spans="1:9" x14ac:dyDescent="0.25">
      <c r="B54" s="54" t="s">
        <v>123</v>
      </c>
      <c r="D54" s="56"/>
    </row>
    <row r="55" spans="1:9" x14ac:dyDescent="0.25">
      <c r="B55" s="54" t="s">
        <v>124</v>
      </c>
      <c r="D55" s="56"/>
    </row>
    <row r="59" spans="1:9" x14ac:dyDescent="0.25">
      <c r="A59" s="13" t="s">
        <v>170</v>
      </c>
    </row>
    <row r="60" spans="1:9" x14ac:dyDescent="0.25">
      <c r="B60" s="52" t="s">
        <v>116</v>
      </c>
      <c r="C60" s="52" t="s">
        <v>171</v>
      </c>
      <c r="D60" s="52" t="s">
        <v>172</v>
      </c>
      <c r="E60" s="52" t="s">
        <v>173</v>
      </c>
      <c r="I60" s="52" t="s">
        <v>174</v>
      </c>
    </row>
    <row r="61" spans="1:9" x14ac:dyDescent="0.25">
      <c r="B61" s="54" t="s">
        <v>118</v>
      </c>
      <c r="C61" s="55"/>
      <c r="D61" s="55"/>
      <c r="E61" s="55"/>
      <c r="I61" s="55"/>
    </row>
    <row r="62" spans="1:9" x14ac:dyDescent="0.25">
      <c r="B62" s="54" t="s">
        <v>121</v>
      </c>
      <c r="E62" s="55"/>
      <c r="I62" s="55"/>
    </row>
    <row r="63" spans="1:9" x14ac:dyDescent="0.25">
      <c r="B63" s="54" t="s">
        <v>122</v>
      </c>
      <c r="E63" s="55"/>
      <c r="I63" s="55"/>
    </row>
    <row r="64" spans="1:9" x14ac:dyDescent="0.25">
      <c r="B64" s="54" t="s">
        <v>123</v>
      </c>
      <c r="E64" s="55"/>
      <c r="I64" s="55"/>
    </row>
    <row r="65" spans="2:9" x14ac:dyDescent="0.25">
      <c r="B65" s="54" t="s">
        <v>124</v>
      </c>
      <c r="E65" s="55"/>
      <c r="I65" s="5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D64C-1669-482E-8EF8-8FF60B664FDC}">
  <dimension ref="A1:Q40"/>
  <sheetViews>
    <sheetView workbookViewId="0">
      <selection activeCell="A44" sqref="A44:XFD49"/>
    </sheetView>
  </sheetViews>
  <sheetFormatPr defaultRowHeight="15" x14ac:dyDescent="0.25"/>
  <cols>
    <col min="1" max="1" width="10.5" style="13" customWidth="1"/>
    <col min="2" max="2" width="10" style="13" bestFit="1" customWidth="1"/>
    <col min="3" max="3" width="9.625" style="13" customWidth="1"/>
    <col min="4" max="4" width="9" style="13" customWidth="1"/>
    <col min="5" max="5" width="4.375" style="13" customWidth="1"/>
    <col min="6" max="6" width="9.75" style="13" bestFit="1" customWidth="1"/>
    <col min="7" max="7" width="9.625" style="13" customWidth="1"/>
    <col min="8" max="8" width="9" style="13" customWidth="1"/>
    <col min="9" max="9" width="9" style="13"/>
    <col min="10" max="10" width="11" style="13" customWidth="1"/>
    <col min="11" max="12" width="9.625" style="13" customWidth="1"/>
    <col min="13" max="13" width="9" style="13"/>
    <col min="14" max="14" width="9.375" style="13" bestFit="1" customWidth="1"/>
    <col min="15" max="16" width="9" style="13"/>
    <col min="17" max="17" width="9.375" style="13" bestFit="1" customWidth="1"/>
    <col min="18" max="16384" width="9" style="13"/>
  </cols>
  <sheetData>
    <row r="1" spans="1:17" x14ac:dyDescent="0.25">
      <c r="A1" s="50" t="s">
        <v>180</v>
      </c>
    </row>
    <row r="2" spans="1:17" x14ac:dyDescent="0.25">
      <c r="A2" s="50" t="s">
        <v>181</v>
      </c>
      <c r="N2" s="50" t="s">
        <v>182</v>
      </c>
    </row>
    <row r="3" spans="1:17" x14ac:dyDescent="0.25">
      <c r="B3" s="13" t="s">
        <v>183</v>
      </c>
      <c r="F3" s="13" t="s">
        <v>184</v>
      </c>
      <c r="J3" s="13" t="s">
        <v>185</v>
      </c>
      <c r="N3" s="52" t="s">
        <v>186</v>
      </c>
    </row>
    <row r="4" spans="1:17" x14ac:dyDescent="0.25">
      <c r="A4" s="13" t="s">
        <v>187</v>
      </c>
    </row>
    <row r="5" spans="1:17" x14ac:dyDescent="0.25">
      <c r="B5" s="54" t="s">
        <v>32</v>
      </c>
      <c r="C5" s="54" t="s">
        <v>101</v>
      </c>
      <c r="D5" s="54" t="s">
        <v>188</v>
      </c>
      <c r="F5" s="54" t="s">
        <v>32</v>
      </c>
      <c r="G5" s="54" t="s">
        <v>101</v>
      </c>
      <c r="H5" s="54" t="s">
        <v>188</v>
      </c>
      <c r="J5" s="54" t="s">
        <v>32</v>
      </c>
      <c r="K5" s="54" t="s">
        <v>101</v>
      </c>
      <c r="L5" s="54" t="s">
        <v>188</v>
      </c>
      <c r="N5" s="55"/>
    </row>
    <row r="6" spans="1:17" x14ac:dyDescent="0.25">
      <c r="B6" s="59">
        <v>44574</v>
      </c>
      <c r="C6" s="54" t="s">
        <v>189</v>
      </c>
      <c r="D6" s="54">
        <v>10</v>
      </c>
      <c r="F6" s="59">
        <v>44593</v>
      </c>
      <c r="G6" s="54" t="s">
        <v>189</v>
      </c>
      <c r="H6" s="54">
        <v>30</v>
      </c>
      <c r="J6" s="59">
        <v>44632</v>
      </c>
      <c r="K6" s="54" t="s">
        <v>189</v>
      </c>
      <c r="L6" s="54">
        <v>12</v>
      </c>
      <c r="N6" s="60"/>
      <c r="Q6" s="60"/>
    </row>
    <row r="7" spans="1:17" x14ac:dyDescent="0.25">
      <c r="B7" s="59">
        <v>44587</v>
      </c>
      <c r="C7" s="54" t="s">
        <v>190</v>
      </c>
      <c r="D7" s="54">
        <v>20</v>
      </c>
      <c r="F7" s="59">
        <v>44602</v>
      </c>
      <c r="G7" s="54" t="s">
        <v>190</v>
      </c>
      <c r="H7" s="54">
        <v>35</v>
      </c>
      <c r="J7" s="59">
        <v>44635</v>
      </c>
      <c r="K7" s="54" t="s">
        <v>190</v>
      </c>
      <c r="L7" s="54">
        <v>24</v>
      </c>
      <c r="N7" s="60"/>
      <c r="Q7" s="60"/>
    </row>
    <row r="8" spans="1:17" x14ac:dyDescent="0.25">
      <c r="B8" s="60"/>
      <c r="F8" s="60"/>
    </row>
    <row r="9" spans="1:17" x14ac:dyDescent="0.25">
      <c r="A9" s="50" t="s">
        <v>191</v>
      </c>
    </row>
    <row r="10" spans="1:17" x14ac:dyDescent="0.25">
      <c r="A10" s="52" t="s">
        <v>192</v>
      </c>
    </row>
    <row r="11" spans="1:17" x14ac:dyDescent="0.25">
      <c r="B11" s="61"/>
    </row>
    <row r="12" spans="1:17" x14ac:dyDescent="0.25">
      <c r="B12" s="60"/>
    </row>
    <row r="13" spans="1:17" x14ac:dyDescent="0.25">
      <c r="B13" s="60"/>
    </row>
    <row r="14" spans="1:17" x14ac:dyDescent="0.25">
      <c r="B14" s="60"/>
    </row>
    <row r="15" spans="1:17" x14ac:dyDescent="0.25">
      <c r="B15" s="60"/>
    </row>
    <row r="16" spans="1:17" x14ac:dyDescent="0.25">
      <c r="B16" s="60"/>
    </row>
    <row r="18" spans="1:12" x14ac:dyDescent="0.25">
      <c r="B18" s="60"/>
    </row>
    <row r="19" spans="1:12" x14ac:dyDescent="0.25">
      <c r="A19" s="50" t="s">
        <v>193</v>
      </c>
    </row>
    <row r="20" spans="1:12" x14ac:dyDescent="0.25">
      <c r="B20" s="13" t="s">
        <v>194</v>
      </c>
      <c r="F20" s="13" t="s">
        <v>195</v>
      </c>
      <c r="J20" s="49" t="s">
        <v>196</v>
      </c>
      <c r="K20" s="49"/>
      <c r="L20" s="49"/>
    </row>
    <row r="21" spans="1:12" x14ac:dyDescent="0.25">
      <c r="B21" s="62" t="s">
        <v>32</v>
      </c>
      <c r="C21" s="63" t="s">
        <v>101</v>
      </c>
      <c r="D21" s="64" t="s">
        <v>188</v>
      </c>
      <c r="F21" s="62" t="s">
        <v>32</v>
      </c>
      <c r="G21" s="63" t="s">
        <v>101</v>
      </c>
      <c r="H21" s="64" t="s">
        <v>188</v>
      </c>
      <c r="J21" s="65" t="s">
        <v>32</v>
      </c>
      <c r="K21" s="66" t="s">
        <v>101</v>
      </c>
      <c r="L21" s="66" t="s">
        <v>188</v>
      </c>
    </row>
    <row r="22" spans="1:12" x14ac:dyDescent="0.25">
      <c r="B22" s="59">
        <v>44574</v>
      </c>
      <c r="C22" s="54" t="s">
        <v>189</v>
      </c>
      <c r="D22" s="67">
        <v>10</v>
      </c>
      <c r="F22" s="59">
        <v>44593</v>
      </c>
      <c r="G22" s="54" t="s">
        <v>189</v>
      </c>
      <c r="H22" s="67">
        <v>10</v>
      </c>
      <c r="J22" s="68">
        <v>44632</v>
      </c>
      <c r="K22" s="69" t="s">
        <v>189</v>
      </c>
      <c r="L22" s="69">
        <v>12</v>
      </c>
    </row>
    <row r="23" spans="1:12" x14ac:dyDescent="0.25">
      <c r="B23" s="59">
        <v>44587</v>
      </c>
      <c r="C23" s="70" t="s">
        <v>190</v>
      </c>
      <c r="D23" s="69">
        <v>20</v>
      </c>
      <c r="F23" s="59">
        <v>44602</v>
      </c>
      <c r="G23" s="70" t="s">
        <v>190</v>
      </c>
      <c r="H23" s="69">
        <v>20</v>
      </c>
      <c r="J23" s="68">
        <v>44635</v>
      </c>
      <c r="K23" s="69" t="s">
        <v>190</v>
      </c>
      <c r="L23" s="69">
        <v>24</v>
      </c>
    </row>
    <row r="26" spans="1:12" x14ac:dyDescent="0.25">
      <c r="A26" s="52" t="s">
        <v>197</v>
      </c>
    </row>
    <row r="27" spans="1:12" x14ac:dyDescent="0.25">
      <c r="B27" s="61"/>
    </row>
    <row r="28" spans="1:12" x14ac:dyDescent="0.25">
      <c r="B28" s="60"/>
    </row>
    <row r="29" spans="1:12" x14ac:dyDescent="0.25">
      <c r="B29" s="60"/>
    </row>
    <row r="30" spans="1:12" x14ac:dyDescent="0.25">
      <c r="B30" s="60"/>
    </row>
    <row r="35" spans="1:2" x14ac:dyDescent="0.25">
      <c r="A35" s="52" t="s">
        <v>198</v>
      </c>
    </row>
    <row r="36" spans="1:2" x14ac:dyDescent="0.25">
      <c r="B36" s="55"/>
    </row>
    <row r="37" spans="1:2" x14ac:dyDescent="0.25">
      <c r="B37" s="60"/>
    </row>
    <row r="38" spans="1:2" x14ac:dyDescent="0.25">
      <c r="B38" s="60"/>
    </row>
    <row r="39" spans="1:2" x14ac:dyDescent="0.25">
      <c r="B39" s="60"/>
    </row>
    <row r="40" spans="1:2" x14ac:dyDescent="0.25">
      <c r="B40" s="6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DC11-DF3F-47DF-8854-63FD5AF148F5}">
  <sheetPr>
    <tabColor rgb="FF92D050"/>
  </sheetPr>
  <dimension ref="A1:M46"/>
  <sheetViews>
    <sheetView topLeftCell="A14" zoomScale="115" zoomScaleNormal="115" workbookViewId="0">
      <selection activeCell="H26" sqref="H26"/>
    </sheetView>
  </sheetViews>
  <sheetFormatPr defaultRowHeight="15.75" x14ac:dyDescent="0.25"/>
  <cols>
    <col min="1" max="1" width="7.625" customWidth="1"/>
    <col min="4" max="4" width="9.875" customWidth="1"/>
    <col min="5" max="5" width="6.75" customWidth="1"/>
    <col min="6" max="6" width="2" customWidth="1"/>
    <col min="7" max="7" width="7.75" customWidth="1"/>
    <col min="8" max="8" width="8.875" customWidth="1"/>
  </cols>
  <sheetData>
    <row r="1" spans="1:13" x14ac:dyDescent="0.25">
      <c r="A1" t="s">
        <v>1</v>
      </c>
    </row>
    <row r="2" spans="1:13" x14ac:dyDescent="0.25">
      <c r="A2" t="s">
        <v>2</v>
      </c>
    </row>
    <row r="4" spans="1:13" x14ac:dyDescent="0.25">
      <c r="A4" t="s">
        <v>24</v>
      </c>
    </row>
    <row r="5" spans="1:13" x14ac:dyDescent="0.25">
      <c r="B5" s="2" t="s">
        <v>3</v>
      </c>
      <c r="C5" s="2" t="s">
        <v>4</v>
      </c>
      <c r="D5" s="2" t="s">
        <v>0</v>
      </c>
      <c r="G5" s="5" t="s">
        <v>5</v>
      </c>
      <c r="K5" s="6" t="s">
        <v>6</v>
      </c>
    </row>
    <row r="6" spans="1:13" x14ac:dyDescent="0.25">
      <c r="B6" s="2" t="s">
        <v>7</v>
      </c>
      <c r="C6" s="1">
        <v>10</v>
      </c>
      <c r="D6">
        <v>5</v>
      </c>
      <c r="E6" s="1"/>
      <c r="G6" s="1"/>
      <c r="H6" s="8" t="s">
        <v>4</v>
      </c>
      <c r="I6" s="2" t="s">
        <v>0</v>
      </c>
      <c r="K6" s="7"/>
      <c r="L6" s="9" t="s">
        <v>4</v>
      </c>
      <c r="M6" s="10" t="s">
        <v>0</v>
      </c>
    </row>
    <row r="7" spans="1:13" x14ac:dyDescent="0.25">
      <c r="B7" s="2" t="s">
        <v>9</v>
      </c>
      <c r="C7" s="1">
        <v>20</v>
      </c>
      <c r="D7">
        <v>6</v>
      </c>
      <c r="E7" s="1"/>
      <c r="G7" s="1" t="s">
        <v>8</v>
      </c>
      <c r="H7" s="3">
        <f>_xlfn.XLOOKUP($G7, $B$6:$B$9, $C$6:$C$9)</f>
        <v>40</v>
      </c>
      <c r="I7" s="3">
        <f>_xlfn.XLOOKUP($G7, $B$6:$B$9, $D$6:$D$9)</f>
        <v>8</v>
      </c>
      <c r="K7" s="7" t="s">
        <v>8</v>
      </c>
      <c r="L7" s="6">
        <f>VLOOKUP($K7, $B$6:$D$9, 2,FALSE )</f>
        <v>40</v>
      </c>
      <c r="M7" s="6">
        <f>VLOOKUP($K7, $B$6:$D$9, 3,FALSE )</f>
        <v>8</v>
      </c>
    </row>
    <row r="8" spans="1:13" x14ac:dyDescent="0.25">
      <c r="B8" s="2" t="s">
        <v>10</v>
      </c>
      <c r="C8" s="1">
        <v>30</v>
      </c>
      <c r="D8">
        <v>7</v>
      </c>
      <c r="E8" s="1"/>
      <c r="G8" s="1" t="s">
        <v>10</v>
      </c>
      <c r="H8" s="3">
        <f>_xlfn.XLOOKUP($G8, $B$6:$B$9, $C$6:$C$9)</f>
        <v>30</v>
      </c>
      <c r="I8" s="3">
        <f>_xlfn.XLOOKUP($G8, $B$6:$B$9, $D$6:$D$9)</f>
        <v>7</v>
      </c>
      <c r="K8" s="7" t="s">
        <v>10</v>
      </c>
      <c r="L8" s="6">
        <f>VLOOKUP($K8, $B$6:$D$9, 2,FALSE )</f>
        <v>30</v>
      </c>
      <c r="M8" s="6">
        <f>VLOOKUP($K8, $B$6:$D$9, 3,FALSE )</f>
        <v>7</v>
      </c>
    </row>
    <row r="9" spans="1:13" x14ac:dyDescent="0.25">
      <c r="B9" s="2" t="s">
        <v>8</v>
      </c>
      <c r="C9" s="1">
        <v>40</v>
      </c>
      <c r="D9">
        <v>8</v>
      </c>
      <c r="E9" s="1"/>
    </row>
    <row r="10" spans="1:13" x14ac:dyDescent="0.25">
      <c r="B10" s="2"/>
      <c r="C10" s="1"/>
      <c r="E10" s="1"/>
    </row>
    <row r="11" spans="1:13" x14ac:dyDescent="0.25">
      <c r="G11" s="5" t="s">
        <v>11</v>
      </c>
      <c r="K11" s="6" t="s">
        <v>12</v>
      </c>
    </row>
    <row r="12" spans="1:13" x14ac:dyDescent="0.25">
      <c r="B12" t="s">
        <v>7</v>
      </c>
      <c r="C12" t="s">
        <v>9</v>
      </c>
      <c r="D12" t="s">
        <v>10</v>
      </c>
      <c r="E12" t="s">
        <v>8</v>
      </c>
      <c r="H12" s="8" t="s">
        <v>4</v>
      </c>
      <c r="I12" s="2" t="s">
        <v>0</v>
      </c>
      <c r="K12" s="7"/>
      <c r="L12" s="9" t="s">
        <v>4</v>
      </c>
      <c r="M12" s="10" t="s">
        <v>0</v>
      </c>
    </row>
    <row r="13" spans="1:13" x14ac:dyDescent="0.25">
      <c r="A13" s="2" t="s">
        <v>4</v>
      </c>
      <c r="B13">
        <v>10</v>
      </c>
      <c r="C13">
        <v>20</v>
      </c>
      <c r="D13">
        <v>30</v>
      </c>
      <c r="E13">
        <v>40</v>
      </c>
      <c r="G13" t="s">
        <v>8</v>
      </c>
      <c r="H13" s="4">
        <f>_xlfn.XLOOKUP($G13, $B$12:$E$12, $B$13:$E$13)</f>
        <v>40</v>
      </c>
      <c r="I13" s="4">
        <f>_xlfn.XLOOKUP($G13, $B$12:$E$12, $B$14:$E$14)</f>
        <v>8</v>
      </c>
      <c r="K13" s="7" t="s">
        <v>8</v>
      </c>
      <c r="L13" s="6">
        <f>HLOOKUP($K13, $B$12:$E$14, 2,FALSE)</f>
        <v>40</v>
      </c>
      <c r="M13" s="6">
        <f>HLOOKUP($K13, $B$12:$E$14, 3,FALSE)</f>
        <v>8</v>
      </c>
    </row>
    <row r="14" spans="1:13" x14ac:dyDescent="0.25">
      <c r="A14" s="2" t="s">
        <v>0</v>
      </c>
      <c r="B14">
        <v>5</v>
      </c>
      <c r="C14">
        <v>6</v>
      </c>
      <c r="D14">
        <v>7</v>
      </c>
      <c r="E14">
        <v>8</v>
      </c>
      <c r="G14" t="s">
        <v>10</v>
      </c>
      <c r="H14" s="4">
        <f>_xlfn.XLOOKUP($G14, $B$12:$E$12, $B$13:$E$13)</f>
        <v>30</v>
      </c>
      <c r="I14" s="4">
        <f>_xlfn.XLOOKUP($G14, $B$12:$E$12, $B$14:$E$14)</f>
        <v>7</v>
      </c>
      <c r="K14" s="7" t="s">
        <v>10</v>
      </c>
      <c r="L14" s="6">
        <f>HLOOKUP($K14, $B$12:$E$14, 2,FALSE)</f>
        <v>30</v>
      </c>
      <c r="M14" s="6">
        <f>HLOOKUP($K14, $B$12:$E$14, 3,FALSE)</f>
        <v>7</v>
      </c>
    </row>
    <row r="16" spans="1:13" x14ac:dyDescent="0.25">
      <c r="A16" t="s">
        <v>15</v>
      </c>
    </row>
    <row r="17" spans="1:11" x14ac:dyDescent="0.25">
      <c r="B17" s="2"/>
      <c r="C17" s="2" t="s">
        <v>4</v>
      </c>
      <c r="D17" s="2" t="s">
        <v>3</v>
      </c>
    </row>
    <row r="18" spans="1:11" x14ac:dyDescent="0.25">
      <c r="B18" s="2"/>
      <c r="C18" s="1">
        <v>10</v>
      </c>
      <c r="D18" s="2" t="s">
        <v>7</v>
      </c>
      <c r="G18" s="1" t="s">
        <v>8</v>
      </c>
      <c r="H18" s="3">
        <f>_xlfn.XLOOKUP(G18, $D$18:$D$21, $C$18:$C$21,"not found",0)</f>
        <v>40</v>
      </c>
      <c r="K18" s="6" t="s">
        <v>13</v>
      </c>
    </row>
    <row r="19" spans="1:11" x14ac:dyDescent="0.25">
      <c r="B19" s="2"/>
      <c r="C19" s="1">
        <v>20</v>
      </c>
      <c r="D19" s="2" t="s">
        <v>9</v>
      </c>
      <c r="G19" s="1" t="s">
        <v>10</v>
      </c>
      <c r="H19" s="3">
        <f>_xlfn.XLOOKUP(G19, $D$18:$D$21, $C$18:$C$21,"not found",0)</f>
        <v>30</v>
      </c>
    </row>
    <row r="20" spans="1:11" x14ac:dyDescent="0.25">
      <c r="B20" s="2"/>
      <c r="C20" s="1">
        <v>30</v>
      </c>
      <c r="D20" s="2" t="s">
        <v>10</v>
      </c>
    </row>
    <row r="21" spans="1:11" x14ac:dyDescent="0.25">
      <c r="B21" s="2"/>
      <c r="C21" s="1">
        <v>40</v>
      </c>
      <c r="D21" s="2" t="s">
        <v>8</v>
      </c>
    </row>
    <row r="22" spans="1:11" ht="27.75" customHeight="1" x14ac:dyDescent="0.25"/>
    <row r="23" spans="1:11" x14ac:dyDescent="0.25">
      <c r="A23" t="s">
        <v>16</v>
      </c>
    </row>
    <row r="24" spans="1:11" x14ac:dyDescent="0.25">
      <c r="B24" s="2" t="s">
        <v>3</v>
      </c>
      <c r="C24" s="2" t="s">
        <v>4</v>
      </c>
      <c r="D24" s="2" t="s">
        <v>0</v>
      </c>
      <c r="G24" s="5" t="s">
        <v>14</v>
      </c>
    </row>
    <row r="25" spans="1:11" x14ac:dyDescent="0.25">
      <c r="B25" s="2" t="s">
        <v>7</v>
      </c>
      <c r="C25" s="1">
        <v>10</v>
      </c>
      <c r="D25">
        <v>5</v>
      </c>
      <c r="G25" s="1"/>
      <c r="H25" s="8" t="s">
        <v>4</v>
      </c>
      <c r="I25" s="2" t="s">
        <v>0</v>
      </c>
    </row>
    <row r="26" spans="1:11" x14ac:dyDescent="0.25">
      <c r="B26" s="2" t="s">
        <v>9</v>
      </c>
      <c r="C26" s="1">
        <v>20</v>
      </c>
      <c r="D26">
        <v>6</v>
      </c>
      <c r="G26" s="1" t="s">
        <v>8</v>
      </c>
      <c r="H26" s="3">
        <f>_xlfn.XLOOKUP($G26, FruitTableFinal[Fruit], FruitTableFinal[Price])</f>
        <v>40</v>
      </c>
      <c r="I26" s="3">
        <f>_xlfn.XLOOKUP($G26, FruitTableFinal[Fruit], FruitTableFinal[Quantity])</f>
        <v>8</v>
      </c>
    </row>
    <row r="27" spans="1:11" x14ac:dyDescent="0.25">
      <c r="B27" s="2" t="s">
        <v>10</v>
      </c>
      <c r="C27" s="1">
        <v>30</v>
      </c>
      <c r="D27">
        <v>7</v>
      </c>
      <c r="G27" s="1" t="s">
        <v>10</v>
      </c>
      <c r="H27" s="3">
        <f>_xlfn.XLOOKUP($G27, FruitTableFinal[Fruit], FruitTableFinal[Price])</f>
        <v>30</v>
      </c>
      <c r="I27" s="3">
        <f>_xlfn.XLOOKUP($G27, FruitTableFinal[Fruit], FruitTableFinal[Quantity])</f>
        <v>7</v>
      </c>
    </row>
    <row r="28" spans="1:11" x14ac:dyDescent="0.25">
      <c r="B28" s="2" t="s">
        <v>8</v>
      </c>
      <c r="C28" s="1">
        <v>40</v>
      </c>
      <c r="D28">
        <v>8</v>
      </c>
    </row>
    <row r="29" spans="1:11" ht="58.5" customHeight="1" x14ac:dyDescent="0.25"/>
    <row r="30" spans="1:11" x14ac:dyDescent="0.25">
      <c r="A30" t="s">
        <v>19</v>
      </c>
    </row>
    <row r="31" spans="1:11" x14ac:dyDescent="0.25">
      <c r="A31" t="s">
        <v>20</v>
      </c>
    </row>
    <row r="32" spans="1:11" x14ac:dyDescent="0.25">
      <c r="B32" s="2" t="s">
        <v>3</v>
      </c>
      <c r="C32" s="2" t="s">
        <v>4</v>
      </c>
      <c r="D32" s="2" t="s">
        <v>0</v>
      </c>
      <c r="G32" s="5" t="s">
        <v>17</v>
      </c>
    </row>
    <row r="33" spans="1:9" x14ac:dyDescent="0.25">
      <c r="B33" s="2" t="s">
        <v>7</v>
      </c>
      <c r="C33" s="1">
        <v>10</v>
      </c>
      <c r="D33">
        <v>5</v>
      </c>
      <c r="E33" s="1"/>
      <c r="G33" s="1"/>
      <c r="H33" s="8" t="s">
        <v>4</v>
      </c>
      <c r="I33" s="2" t="s">
        <v>0</v>
      </c>
    </row>
    <row r="34" spans="1:9" x14ac:dyDescent="0.25">
      <c r="B34" s="2" t="s">
        <v>9</v>
      </c>
      <c r="C34" s="1">
        <v>20</v>
      </c>
      <c r="D34">
        <v>6</v>
      </c>
      <c r="E34" s="1"/>
      <c r="G34" s="1" t="s">
        <v>8</v>
      </c>
      <c r="H34" s="3">
        <f>_xlfn.XLOOKUP($G34, $B$33:$B$36,$C$33:$C$36, "lookup_value not found")</f>
        <v>40</v>
      </c>
      <c r="I34" s="3">
        <f>_xlfn.XLOOKUP($G34, $B$33:$B$36,$D$33:$D$36, "lookup_value not found")</f>
        <v>8</v>
      </c>
    </row>
    <row r="35" spans="1:9" x14ac:dyDescent="0.25">
      <c r="B35" s="2" t="s">
        <v>10</v>
      </c>
      <c r="C35" s="1">
        <v>30</v>
      </c>
      <c r="D35">
        <v>7</v>
      </c>
      <c r="E35" s="1"/>
      <c r="G35" s="1" t="s">
        <v>18</v>
      </c>
      <c r="H35" s="3" t="str">
        <f>_xlfn.XLOOKUP($G35, $B$33:$B$36,$C$33:$C$36, "lookup_value not found")</f>
        <v>lookup_value not found</v>
      </c>
      <c r="I35" s="3" t="str">
        <f>_xlfn.XLOOKUP($G35, $B$33:$B$36,$D$33:$D$36, "lookup_value not found")</f>
        <v>lookup_value not found</v>
      </c>
    </row>
    <row r="36" spans="1:9" x14ac:dyDescent="0.25">
      <c r="B36" s="2" t="s">
        <v>8</v>
      </c>
      <c r="C36" s="1">
        <v>40</v>
      </c>
      <c r="D36">
        <v>8</v>
      </c>
      <c r="E36" s="1"/>
      <c r="G36" s="1"/>
      <c r="H36" s="11"/>
      <c r="I36" s="11"/>
    </row>
    <row r="38" spans="1:9" x14ac:dyDescent="0.25">
      <c r="A38" t="s">
        <v>21</v>
      </c>
    </row>
    <row r="39" spans="1:9" x14ac:dyDescent="0.25">
      <c r="A39" t="s">
        <v>23</v>
      </c>
    </row>
    <row r="40" spans="1:9" x14ac:dyDescent="0.25">
      <c r="B40" s="2" t="s">
        <v>3</v>
      </c>
      <c r="C40" s="2" t="s">
        <v>4</v>
      </c>
      <c r="D40" s="2"/>
      <c r="G40" s="5" t="s">
        <v>17</v>
      </c>
    </row>
    <row r="41" spans="1:9" x14ac:dyDescent="0.25">
      <c r="B41" s="2" t="s">
        <v>7</v>
      </c>
      <c r="C41" s="1">
        <v>10</v>
      </c>
      <c r="E41" s="1"/>
      <c r="G41" s="1"/>
      <c r="H41" s="8" t="s">
        <v>4</v>
      </c>
      <c r="I41" s="2"/>
    </row>
    <row r="42" spans="1:9" x14ac:dyDescent="0.25">
      <c r="B42" s="2" t="s">
        <v>9</v>
      </c>
      <c r="C42" s="1">
        <v>20</v>
      </c>
      <c r="E42" s="1"/>
      <c r="G42" s="1" t="s">
        <v>8</v>
      </c>
      <c r="H42" s="3">
        <f>IF(
    ISBLANK(_xlfn.XLOOKUP($G42,$B$41:$B$44, $C$41:$C$44, "lookup_value not found")),
    "blank value in result array",
    _xlfn.XLOOKUP($G42,$B$41:$B$44, $C$41:$C$44, "lookup_value not found")
)</f>
        <v>40</v>
      </c>
      <c r="I42" s="11"/>
    </row>
    <row r="43" spans="1:9" x14ac:dyDescent="0.25">
      <c r="B43" s="2" t="s">
        <v>10</v>
      </c>
      <c r="C43" s="1"/>
      <c r="E43" s="1"/>
      <c r="G43" s="1" t="s">
        <v>10</v>
      </c>
      <c r="H43" s="3" t="str">
        <f>IF(
    ISBLANK(_xlfn.XLOOKUP($G43,$B$41:$B$44, $C$41:$C$44, "lookup_value not found")),
    "blank value in result array",
    _xlfn.XLOOKUP($G43,$B$41:$B$44, $C$41:$C$44, "lookup_value not found")
)</f>
        <v>blank value in result array</v>
      </c>
      <c r="I43" s="11"/>
    </row>
    <row r="44" spans="1:9" x14ac:dyDescent="0.25">
      <c r="B44" s="2" t="s">
        <v>8</v>
      </c>
      <c r="C44" s="1">
        <v>40</v>
      </c>
      <c r="E44" s="1"/>
      <c r="G44" s="1"/>
      <c r="H44" s="11"/>
      <c r="I44" s="11"/>
    </row>
    <row r="46" spans="1:9" x14ac:dyDescent="0.25">
      <c r="A46" t="s">
        <v>22</v>
      </c>
    </row>
  </sheetData>
  <conditionalFormatting sqref="C6:C1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{82AA3641-BF61-4162-B5F3-9B13AB4DFFB3}</x14:id>
        </ext>
      </extLst>
    </cfRule>
  </conditionalFormatting>
  <conditionalFormatting sqref="C18:C21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{6CB397A8-8DEC-4393-8866-C3F363C78BB7}</x14:id>
        </ext>
      </extLst>
    </cfRule>
  </conditionalFormatting>
  <conditionalFormatting sqref="D6:D10">
    <cfRule type="dataBar" priority="9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{97BC44D1-77CA-43C5-895F-17B7D5555F5E}</x14:id>
        </ext>
      </extLst>
    </cfRule>
  </conditionalFormatting>
  <conditionalFormatting sqref="B13:E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{A681DA7C-7778-465E-89A1-37E23C678D69}</x14:id>
        </ext>
      </extLst>
    </cfRule>
  </conditionalFormatting>
  <conditionalFormatting sqref="B14:E14">
    <cfRule type="dataBar" priority="7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{FC592CC8-C635-4F18-BB1B-484F1537F39B}</x14:id>
        </ext>
      </extLst>
    </cfRule>
  </conditionalFormatting>
  <conditionalFormatting sqref="C25:C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{C055B5A4-9138-4003-8264-24C53EED39C8}</x14:id>
        </ext>
      </extLst>
    </cfRule>
  </conditionalFormatting>
  <conditionalFormatting sqref="D25:D28">
    <cfRule type="dataBar" priority="5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{771FF9F2-7BFA-4BA0-BDE8-C72944ACAC50}</x14:id>
        </ext>
      </extLst>
    </cfRule>
  </conditionalFormatting>
  <conditionalFormatting sqref="C33:C3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{4FB487CB-A090-4F67-8706-FB80DE07A1E6}</x14:id>
        </ext>
      </extLst>
    </cfRule>
  </conditionalFormatting>
  <conditionalFormatting sqref="D33:D36">
    <cfRule type="dataBar" priority="3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{DAB014EE-F7D1-46F2-A094-DE69ED7B320E}</x14:id>
        </ext>
      </extLst>
    </cfRule>
  </conditionalFormatting>
  <conditionalFormatting sqref="C41:C4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{40263DD1-2168-49D3-B0C6-8CCD6F0E7C0B}</x14:id>
        </ext>
      </extLst>
    </cfRule>
  </conditionalFormatting>
  <conditionalFormatting sqref="D41:D44">
    <cfRule type="dataBar" priority="1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{74608151-15F2-447B-8CEB-C13F24B46A69}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AA3641-BF61-4162-B5F3-9B13AB4DFF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C6:C10</xm:sqref>
        </x14:conditionalFormatting>
        <x14:conditionalFormatting xmlns:xm="http://schemas.microsoft.com/office/excel/2006/main">
          <x14:cfRule type="dataBar" id="{6CB397A8-8DEC-4393-8866-C3F363C78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C18:C21</xm:sqref>
        </x14:conditionalFormatting>
        <x14:conditionalFormatting xmlns:xm="http://schemas.microsoft.com/office/excel/2006/main">
          <x14:cfRule type="dataBar" id="{97BC44D1-77CA-43C5-895F-17B7D5555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D6:D10</xm:sqref>
        </x14:conditionalFormatting>
        <x14:conditionalFormatting xmlns:xm="http://schemas.microsoft.com/office/excel/2006/main">
          <x14:cfRule type="dataBar" id="{A681DA7C-7778-465E-89A1-37E23C678D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B13:E13</xm:sqref>
        </x14:conditionalFormatting>
        <x14:conditionalFormatting xmlns:xm="http://schemas.microsoft.com/office/excel/2006/main">
          <x14:cfRule type="dataBar" id="{FC592CC8-C635-4F18-BB1B-484F1537F3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B14:E14</xm:sqref>
        </x14:conditionalFormatting>
        <x14:conditionalFormatting xmlns:xm="http://schemas.microsoft.com/office/excel/2006/main">
          <x14:cfRule type="dataBar" id="{C055B5A4-9138-4003-8264-24C53EED39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C25:C28</xm:sqref>
        </x14:conditionalFormatting>
        <x14:conditionalFormatting xmlns:xm="http://schemas.microsoft.com/office/excel/2006/main">
          <x14:cfRule type="dataBar" id="{771FF9F2-7BFA-4BA0-BDE8-C72944ACA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D25:D28</xm:sqref>
        </x14:conditionalFormatting>
        <x14:conditionalFormatting xmlns:xm="http://schemas.microsoft.com/office/excel/2006/main">
          <x14:cfRule type="dataBar" id="{4FB487CB-A090-4F67-8706-FB80DE07A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C33:C36</xm:sqref>
        </x14:conditionalFormatting>
        <x14:conditionalFormatting xmlns:xm="http://schemas.microsoft.com/office/excel/2006/main">
          <x14:cfRule type="dataBar" id="{DAB014EE-F7D1-46F2-A094-DE69ED7B3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D33:D36</xm:sqref>
        </x14:conditionalFormatting>
        <x14:conditionalFormatting xmlns:xm="http://schemas.microsoft.com/office/excel/2006/main">
          <x14:cfRule type="dataBar" id="{40263DD1-2168-49D3-B0C6-8CCD6F0E7C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C41:C44</xm:sqref>
        </x14:conditionalFormatting>
        <x14:conditionalFormatting xmlns:xm="http://schemas.microsoft.com/office/excel/2006/main">
          <x14:cfRule type="dataBar" id="{74608151-15F2-447B-8CEB-C13F24B46A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D41:D44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9CAD-96EC-4978-9D59-5A8CC799C334}">
  <sheetPr>
    <tabColor rgb="FF92D050"/>
  </sheetPr>
  <dimension ref="A1:K69"/>
  <sheetViews>
    <sheetView zoomScaleNormal="100" workbookViewId="0">
      <selection activeCell="E38" sqref="E38"/>
    </sheetView>
  </sheetViews>
  <sheetFormatPr defaultRowHeight="15.75" x14ac:dyDescent="0.25"/>
  <cols>
    <col min="2" max="2" width="16.5" bestFit="1" customWidth="1"/>
    <col min="3" max="3" width="9.875" bestFit="1" customWidth="1"/>
    <col min="5" max="5" width="20.5" customWidth="1"/>
    <col min="6" max="6" width="11.875" customWidth="1"/>
  </cols>
  <sheetData>
    <row r="1" spans="1:11" x14ac:dyDescent="0.25">
      <c r="A1" t="s">
        <v>61</v>
      </c>
    </row>
    <row r="2" spans="1:11" x14ac:dyDescent="0.25">
      <c r="A2" t="s">
        <v>62</v>
      </c>
    </row>
    <row r="3" spans="1:11" x14ac:dyDescent="0.25">
      <c r="A3" t="s">
        <v>63</v>
      </c>
    </row>
    <row r="4" spans="1:11" x14ac:dyDescent="0.25">
      <c r="A4" t="s">
        <v>64</v>
      </c>
    </row>
    <row r="5" spans="1:11" x14ac:dyDescent="0.25">
      <c r="A5" t="s">
        <v>65</v>
      </c>
    </row>
    <row r="6" spans="1:11" x14ac:dyDescent="0.25">
      <c r="A6" t="s">
        <v>66</v>
      </c>
    </row>
    <row r="7" spans="1:11" x14ac:dyDescent="0.25">
      <c r="A7" t="s">
        <v>67</v>
      </c>
    </row>
    <row r="8" spans="1:11" x14ac:dyDescent="0.25">
      <c r="A8" s="12"/>
    </row>
    <row r="9" spans="1:11" x14ac:dyDescent="0.25">
      <c r="A9" t="s">
        <v>68</v>
      </c>
    </row>
    <row r="11" spans="1:11" x14ac:dyDescent="0.25">
      <c r="B11" s="24" t="s">
        <v>69</v>
      </c>
      <c r="D11" s="24" t="s">
        <v>70</v>
      </c>
      <c r="F11" s="25" t="s">
        <v>71</v>
      </c>
      <c r="G11" s="26"/>
      <c r="H11" s="26"/>
      <c r="I11" s="26"/>
    </row>
    <row r="12" spans="1:11" x14ac:dyDescent="0.25">
      <c r="B12" s="4" t="str" cm="1">
        <f t="array" ref="B12:B17">_xlfn.UNIQUE(Store[Product])</f>
        <v>Montana</v>
      </c>
      <c r="D12" s="4" t="str" cm="1">
        <f t="array" ref="D12:D17">_xlfn._xlws.SORT(_xlfn.ANCHORARRAY(B12))</f>
        <v>Amarilla</v>
      </c>
      <c r="F12" s="4" t="str" cm="1">
        <f t="array" ref="F12:K12">TRANSPOSE(_xlfn.ANCHORARRAY(D12))</f>
        <v>Amarilla</v>
      </c>
      <c r="G12" s="27" t="str">
        <v>Carretera</v>
      </c>
      <c r="H12" s="27" t="str">
        <v>Montana</v>
      </c>
      <c r="I12" s="27" t="str">
        <v>Paseo</v>
      </c>
      <c r="J12" s="27" t="str">
        <v>Velo</v>
      </c>
      <c r="K12" s="27" t="str">
        <v>VTT</v>
      </c>
    </row>
    <row r="13" spans="1:11" x14ac:dyDescent="0.25">
      <c r="B13" s="27" t="str">
        <v>Paseo</v>
      </c>
      <c r="D13" s="27" t="str">
        <v>Carretera</v>
      </c>
    </row>
    <row r="14" spans="1:11" x14ac:dyDescent="0.25">
      <c r="B14" s="27" t="str">
        <v>Velo</v>
      </c>
      <c r="D14" s="27" t="str">
        <v>Montana</v>
      </c>
      <c r="F14" s="25" t="s">
        <v>72</v>
      </c>
      <c r="G14" s="26"/>
      <c r="H14" s="26"/>
      <c r="I14" s="26"/>
    </row>
    <row r="15" spans="1:11" x14ac:dyDescent="0.25">
      <c r="B15" s="27" t="str">
        <v>VTT</v>
      </c>
      <c r="D15" s="27" t="str">
        <v>Paseo</v>
      </c>
    </row>
    <row r="16" spans="1:11" x14ac:dyDescent="0.25">
      <c r="B16" s="27" t="str">
        <v>Carretera</v>
      </c>
      <c r="D16" s="27" t="str">
        <v>Velo</v>
      </c>
      <c r="F16" s="4" t="str" cm="1">
        <f t="array" ref="F16:K16">TRANSPOSE(_xlfn._xlws.SORT(_xlfn.UNIQUE(Store[Product])))</f>
        <v>Amarilla</v>
      </c>
      <c r="G16" s="27" t="str">
        <v>Carretera</v>
      </c>
      <c r="H16" s="27" t="str">
        <v>Montana</v>
      </c>
      <c r="I16" s="27" t="str">
        <v>Paseo</v>
      </c>
      <c r="J16" t="str">
        <v>Velo</v>
      </c>
      <c r="K16" t="str">
        <v>VTT</v>
      </c>
    </row>
    <row r="17" spans="1:8" x14ac:dyDescent="0.25">
      <c r="B17" s="27" t="str">
        <v>Amarilla</v>
      </c>
      <c r="D17" s="27" t="str">
        <v>VTT</v>
      </c>
    </row>
    <row r="19" spans="1:8" x14ac:dyDescent="0.25">
      <c r="A19" t="s">
        <v>73</v>
      </c>
    </row>
    <row r="21" spans="1:8" x14ac:dyDescent="0.25">
      <c r="B21" s="24" t="s">
        <v>69</v>
      </c>
      <c r="C21" s="28" t="s">
        <v>74</v>
      </c>
      <c r="E21" s="28" t="s">
        <v>75</v>
      </c>
      <c r="H21" s="28" t="s">
        <v>76</v>
      </c>
    </row>
    <row r="22" spans="1:8" x14ac:dyDescent="0.25">
      <c r="B22" s="4" t="str" cm="1">
        <f t="array" ref="B22:B27">_xlfn.UNIQUE(Store[Product])</f>
        <v>Montana</v>
      </c>
      <c r="C22" s="29" cm="1">
        <f t="array" ref="C22:C27">SUMIFS(Store[Sales], Store[Product],_xlfn.ANCHORARRAY( B22))</f>
        <v>15390801.880000003</v>
      </c>
      <c r="E22" s="4" t="str" cm="1">
        <f t="array" ref="E22:F27">_xlfn._xlws.SORT(B22:C27, 2,-1 )</f>
        <v>Paseo</v>
      </c>
      <c r="F22" s="1">
        <v>33011143.950000014</v>
      </c>
      <c r="H22" s="4" t="str" cm="1">
        <f t="array" ref="H22:H27">_xlfn.SORTBY(_xlfn.ANCHORARRAY(B22),_xlfn.ANCHORARRAY( C22),-1)</f>
        <v>Paseo</v>
      </c>
    </row>
    <row r="23" spans="1:8" x14ac:dyDescent="0.25">
      <c r="B23" s="27" t="str">
        <v>Paseo</v>
      </c>
      <c r="C23" s="1">
        <v>33011143.950000014</v>
      </c>
      <c r="E23" t="str">
        <v>VTT</v>
      </c>
      <c r="F23" s="1">
        <v>20511921.020000003</v>
      </c>
      <c r="H23" t="str">
        <v>VTT</v>
      </c>
    </row>
    <row r="24" spans="1:8" x14ac:dyDescent="0.25">
      <c r="B24" s="27" t="str">
        <v>Velo</v>
      </c>
      <c r="C24" s="1">
        <v>18250059.465000004</v>
      </c>
      <c r="E24" t="str">
        <v>Velo</v>
      </c>
      <c r="F24" s="1">
        <v>18250059.465000004</v>
      </c>
      <c r="H24" t="str">
        <v>Velo</v>
      </c>
    </row>
    <row r="25" spans="1:8" x14ac:dyDescent="0.25">
      <c r="B25" s="27" t="str">
        <v>VTT</v>
      </c>
      <c r="C25" s="1">
        <v>20511921.020000003</v>
      </c>
      <c r="E25" t="str">
        <v>Amarilla</v>
      </c>
      <c r="F25" s="1">
        <v>17747116.059999999</v>
      </c>
      <c r="H25" t="str">
        <v>Amarilla</v>
      </c>
    </row>
    <row r="26" spans="1:8" x14ac:dyDescent="0.25">
      <c r="B26" s="27" t="str">
        <v>Carretera</v>
      </c>
      <c r="C26" s="1">
        <v>13815307.885</v>
      </c>
      <c r="E26" t="str">
        <v>Montana</v>
      </c>
      <c r="F26" s="1">
        <v>15390801.880000003</v>
      </c>
      <c r="H26" t="str">
        <v>Montana</v>
      </c>
    </row>
    <row r="27" spans="1:8" x14ac:dyDescent="0.25">
      <c r="B27" s="27" t="str">
        <v>Amarilla</v>
      </c>
      <c r="C27" s="1">
        <v>17747116.059999999</v>
      </c>
      <c r="E27" t="str">
        <v>Carretera</v>
      </c>
      <c r="F27" s="1">
        <v>13815307.885</v>
      </c>
      <c r="H27" t="str">
        <v>Carretera</v>
      </c>
    </row>
    <row r="29" spans="1:8" x14ac:dyDescent="0.25">
      <c r="A29" t="s">
        <v>77</v>
      </c>
    </row>
    <row r="30" spans="1:8" x14ac:dyDescent="0.25">
      <c r="A30" t="s">
        <v>78</v>
      </c>
    </row>
    <row r="32" spans="1:8" x14ac:dyDescent="0.25">
      <c r="B32" t="s">
        <v>79</v>
      </c>
      <c r="E32" s="30">
        <f ca="1">TODAY()</f>
        <v>44970</v>
      </c>
    </row>
    <row r="33" spans="2:5" x14ac:dyDescent="0.25">
      <c r="B33" t="s">
        <v>80</v>
      </c>
      <c r="E33" s="30">
        <f ca="1">DATE(YEAR(E32), MONTH(E32), 1)</f>
        <v>44958</v>
      </c>
    </row>
    <row r="34" spans="2:5" x14ac:dyDescent="0.25">
      <c r="B34" t="s">
        <v>81</v>
      </c>
      <c r="E34" s="30">
        <f ca="1">EOMONTH(E33, 0)</f>
        <v>44985</v>
      </c>
    </row>
    <row r="35" spans="2:5" x14ac:dyDescent="0.25">
      <c r="B35" t="s">
        <v>82</v>
      </c>
      <c r="E35" s="31" t="str">
        <f ca="1">TEXT(E34, "DD")</f>
        <v>28</v>
      </c>
    </row>
    <row r="37" spans="2:5" x14ac:dyDescent="0.25">
      <c r="B37" s="28" t="s">
        <v>83</v>
      </c>
      <c r="E37" s="28" t="s">
        <v>84</v>
      </c>
    </row>
    <row r="38" spans="2:5" x14ac:dyDescent="0.25">
      <c r="B38" s="32" cm="1">
        <f t="array" aca="1" ref="B38:B65" ca="1">_xlfn.SEQUENCE(E35, 1, E33)</f>
        <v>44958</v>
      </c>
      <c r="E38" s="33" cm="1">
        <f t="array" aca="1" ref="E38:E65" ca="1">_xlfn.LET(
_xlpm.current_date, E32,
_xlpm.first_date_of_month, DATE(YEAR(_xlpm.current_date), MONTH(_xlpm.current_date), 1),
_xlpm.last_date_of_month, EOMONTH(_xlpm.current_date, 0),
_xlpm.days_in_month, TEXT(_xlpm.last_date_of_month, "dd"),
_xlfn.SEQUENCE(_xlpm.days_in_month, 1, _xlpm.first_date_of_month)
)</f>
        <v>44958</v>
      </c>
    </row>
    <row r="39" spans="2:5" x14ac:dyDescent="0.25">
      <c r="B39" s="47">
        <f ca="1"/>
        <v>44959</v>
      </c>
      <c r="E39" s="33">
        <f ca="1"/>
        <v>44959</v>
      </c>
    </row>
    <row r="40" spans="2:5" x14ac:dyDescent="0.25">
      <c r="B40" s="47">
        <f ca="1"/>
        <v>44960</v>
      </c>
      <c r="E40" s="33">
        <f ca="1"/>
        <v>44960</v>
      </c>
    </row>
    <row r="41" spans="2:5" x14ac:dyDescent="0.25">
      <c r="B41" s="47">
        <f ca="1"/>
        <v>44961</v>
      </c>
      <c r="E41" s="33">
        <f ca="1"/>
        <v>44961</v>
      </c>
    </row>
    <row r="42" spans="2:5" x14ac:dyDescent="0.25">
      <c r="B42" s="47">
        <f ca="1"/>
        <v>44962</v>
      </c>
      <c r="E42" s="33">
        <f ca="1"/>
        <v>44962</v>
      </c>
    </row>
    <row r="43" spans="2:5" x14ac:dyDescent="0.25">
      <c r="B43" s="47">
        <f ca="1"/>
        <v>44963</v>
      </c>
      <c r="E43" s="33">
        <f ca="1"/>
        <v>44963</v>
      </c>
    </row>
    <row r="44" spans="2:5" x14ac:dyDescent="0.25">
      <c r="B44" s="47">
        <f ca="1"/>
        <v>44964</v>
      </c>
      <c r="E44" s="33">
        <f ca="1"/>
        <v>44964</v>
      </c>
    </row>
    <row r="45" spans="2:5" x14ac:dyDescent="0.25">
      <c r="B45" s="47">
        <f ca="1"/>
        <v>44965</v>
      </c>
      <c r="E45" s="33">
        <f ca="1"/>
        <v>44965</v>
      </c>
    </row>
    <row r="46" spans="2:5" x14ac:dyDescent="0.25">
      <c r="B46" s="47">
        <f ca="1"/>
        <v>44966</v>
      </c>
      <c r="E46" s="33">
        <f ca="1"/>
        <v>44966</v>
      </c>
    </row>
    <row r="47" spans="2:5" x14ac:dyDescent="0.25">
      <c r="B47" s="47">
        <f ca="1"/>
        <v>44967</v>
      </c>
      <c r="E47" s="33">
        <f ca="1"/>
        <v>44967</v>
      </c>
    </row>
    <row r="48" spans="2:5" x14ac:dyDescent="0.25">
      <c r="B48" s="47">
        <f ca="1"/>
        <v>44968</v>
      </c>
      <c r="E48" s="33">
        <f ca="1"/>
        <v>44968</v>
      </c>
    </row>
    <row r="49" spans="2:5" x14ac:dyDescent="0.25">
      <c r="B49" s="47">
        <f ca="1"/>
        <v>44969</v>
      </c>
      <c r="E49" s="33">
        <f ca="1"/>
        <v>44969</v>
      </c>
    </row>
    <row r="50" spans="2:5" x14ac:dyDescent="0.25">
      <c r="B50" s="47">
        <f ca="1"/>
        <v>44970</v>
      </c>
      <c r="E50" s="33">
        <f ca="1"/>
        <v>44970</v>
      </c>
    </row>
    <row r="51" spans="2:5" x14ac:dyDescent="0.25">
      <c r="B51" s="47">
        <f ca="1"/>
        <v>44971</v>
      </c>
      <c r="E51" s="33">
        <f ca="1"/>
        <v>44971</v>
      </c>
    </row>
    <row r="52" spans="2:5" x14ac:dyDescent="0.25">
      <c r="B52" s="47">
        <f ca="1"/>
        <v>44972</v>
      </c>
      <c r="E52" s="33">
        <f ca="1"/>
        <v>44972</v>
      </c>
    </row>
    <row r="53" spans="2:5" x14ac:dyDescent="0.25">
      <c r="B53" s="47">
        <f ca="1"/>
        <v>44973</v>
      </c>
      <c r="E53" s="33">
        <f ca="1"/>
        <v>44973</v>
      </c>
    </row>
    <row r="54" spans="2:5" x14ac:dyDescent="0.25">
      <c r="B54" s="47">
        <f ca="1"/>
        <v>44974</v>
      </c>
      <c r="E54" s="33">
        <f ca="1"/>
        <v>44974</v>
      </c>
    </row>
    <row r="55" spans="2:5" x14ac:dyDescent="0.25">
      <c r="B55" s="47">
        <f ca="1"/>
        <v>44975</v>
      </c>
      <c r="E55" s="33">
        <f ca="1"/>
        <v>44975</v>
      </c>
    </row>
    <row r="56" spans="2:5" x14ac:dyDescent="0.25">
      <c r="B56" s="47">
        <f ca="1"/>
        <v>44976</v>
      </c>
      <c r="E56" s="33">
        <f ca="1"/>
        <v>44976</v>
      </c>
    </row>
    <row r="57" spans="2:5" x14ac:dyDescent="0.25">
      <c r="B57" s="47">
        <f ca="1"/>
        <v>44977</v>
      </c>
      <c r="E57" s="33">
        <f ca="1"/>
        <v>44977</v>
      </c>
    </row>
    <row r="58" spans="2:5" x14ac:dyDescent="0.25">
      <c r="B58" s="47">
        <f ca="1"/>
        <v>44978</v>
      </c>
      <c r="E58" s="33">
        <f ca="1"/>
        <v>44978</v>
      </c>
    </row>
    <row r="59" spans="2:5" x14ac:dyDescent="0.25">
      <c r="B59" s="47">
        <f ca="1"/>
        <v>44979</v>
      </c>
      <c r="E59" s="33">
        <f ca="1"/>
        <v>44979</v>
      </c>
    </row>
    <row r="60" spans="2:5" x14ac:dyDescent="0.25">
      <c r="B60" s="47">
        <f ca="1"/>
        <v>44980</v>
      </c>
      <c r="E60" s="33">
        <f ca="1"/>
        <v>44980</v>
      </c>
    </row>
    <row r="61" spans="2:5" x14ac:dyDescent="0.25">
      <c r="B61" s="47">
        <f ca="1"/>
        <v>44981</v>
      </c>
      <c r="E61" s="33">
        <f ca="1"/>
        <v>44981</v>
      </c>
    </row>
    <row r="62" spans="2:5" x14ac:dyDescent="0.25">
      <c r="B62" s="47">
        <f ca="1"/>
        <v>44982</v>
      </c>
      <c r="E62" s="33">
        <f ca="1"/>
        <v>44982</v>
      </c>
    </row>
    <row r="63" spans="2:5" x14ac:dyDescent="0.25">
      <c r="B63" s="47">
        <f ca="1"/>
        <v>44983</v>
      </c>
      <c r="E63" s="33">
        <f ca="1"/>
        <v>44983</v>
      </c>
    </row>
    <row r="64" spans="2:5" x14ac:dyDescent="0.25">
      <c r="B64" s="47">
        <f ca="1"/>
        <v>44984</v>
      </c>
      <c r="E64" s="33">
        <f ca="1"/>
        <v>44984</v>
      </c>
    </row>
    <row r="65" spans="2:5" x14ac:dyDescent="0.25">
      <c r="B65" s="47">
        <f ca="1"/>
        <v>44985</v>
      </c>
      <c r="E65" s="33">
        <f ca="1"/>
        <v>44985</v>
      </c>
    </row>
    <row r="66" spans="2:5" x14ac:dyDescent="0.25">
      <c r="B66" s="47"/>
      <c r="E66" s="33"/>
    </row>
    <row r="67" spans="2:5" x14ac:dyDescent="0.25">
      <c r="B67" s="47"/>
      <c r="E67" s="33"/>
    </row>
    <row r="68" spans="2:5" x14ac:dyDescent="0.25">
      <c r="B68" s="47"/>
      <c r="E68" s="33"/>
    </row>
    <row r="69" spans="2:5" x14ac:dyDescent="0.25">
      <c r="E69" s="37"/>
    </row>
  </sheetData>
  <conditionalFormatting sqref="C22:C27">
    <cfRule type="dataBar" priority="2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{93175A90-0767-4E47-BB5E-6F9000AE83AE}</x14:id>
        </ext>
      </extLst>
    </cfRule>
  </conditionalFormatting>
  <conditionalFormatting sqref="F22:F27">
    <cfRule type="dataBar" priority="1">
      <dataBar>
        <cfvo type="min"/>
        <cfvo type="max"/>
        <color theme="3" tint="0.79998168889431442"/>
      </dataBar>
      <extLst>
        <ext xmlns:x14="http://schemas.microsoft.com/office/spreadsheetml/2009/9/main" uri="{B025F937-C7B1-47D3-B67F-A62EFF666E3E}">
          <x14:id>{CDFFA8D0-1768-4155-9A0A-BE52E97DE374}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175A90-0767-4E47-BB5E-6F9000AE83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C22:C27</xm:sqref>
        </x14:conditionalFormatting>
        <x14:conditionalFormatting xmlns:xm="http://schemas.microsoft.com/office/excel/2006/main">
          <x14:cfRule type="dataBar" id="{CDFFA8D0-1768-4155-9A0A-BE52E97DE3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5C9-35ED-4005-B4D9-000E639F90BE}">
  <sheetPr>
    <tabColor rgb="FF92D050"/>
  </sheetPr>
  <dimension ref="A1:R41"/>
  <sheetViews>
    <sheetView topLeftCell="A14" zoomScaleNormal="100" workbookViewId="0">
      <selection activeCell="K11" sqref="K11"/>
    </sheetView>
  </sheetViews>
  <sheetFormatPr defaultRowHeight="15.75" x14ac:dyDescent="0.25"/>
  <cols>
    <col min="1" max="1" width="27.25" customWidth="1"/>
    <col min="2" max="3" width="15.5" customWidth="1"/>
    <col min="4" max="4" width="4.125" customWidth="1"/>
    <col min="5" max="5" width="14.25" customWidth="1"/>
    <col min="6" max="6" width="5.25" customWidth="1"/>
    <col min="7" max="7" width="17.75" customWidth="1"/>
    <col min="8" max="8" width="3.875" customWidth="1"/>
    <col min="9" max="9" width="23.375" customWidth="1"/>
    <col min="10" max="10" width="10.375" bestFit="1" customWidth="1"/>
    <col min="11" max="11" width="16.5" customWidth="1"/>
    <col min="12" max="18" width="10.375" bestFit="1" customWidth="1"/>
  </cols>
  <sheetData>
    <row r="1" spans="1:18" x14ac:dyDescent="0.25">
      <c r="A1" t="s">
        <v>85</v>
      </c>
    </row>
    <row r="3" spans="1:18" x14ac:dyDescent="0.25">
      <c r="A3" t="s">
        <v>86</v>
      </c>
      <c r="I3" s="34"/>
    </row>
    <row r="4" spans="1:18" x14ac:dyDescent="0.25">
      <c r="A4" t="s">
        <v>87</v>
      </c>
      <c r="D4" s="35"/>
      <c r="E4" s="35"/>
      <c r="F4" s="35"/>
    </row>
    <row r="5" spans="1:18" x14ac:dyDescent="0.25">
      <c r="D5" s="35"/>
      <c r="E5" s="35"/>
      <c r="F5" s="35"/>
    </row>
    <row r="6" spans="1:18" x14ac:dyDescent="0.25">
      <c r="A6" t="s">
        <v>88</v>
      </c>
      <c r="B6" s="36">
        <f ca="1">TODAY()</f>
        <v>44970</v>
      </c>
      <c r="C6" s="36"/>
      <c r="G6" s="37"/>
      <c r="H6" s="37"/>
    </row>
    <row r="7" spans="1:18" x14ac:dyDescent="0.25">
      <c r="A7" t="s">
        <v>89</v>
      </c>
      <c r="B7" s="36">
        <f ca="1">DATE(YEAR(B6), MONTH(B6), 1)</f>
        <v>44958</v>
      </c>
      <c r="C7" s="36"/>
      <c r="G7" s="37"/>
      <c r="H7" s="37"/>
    </row>
    <row r="8" spans="1:18" x14ac:dyDescent="0.25">
      <c r="A8" t="s">
        <v>90</v>
      </c>
      <c r="B8" s="38" t="str">
        <f ca="1">TEXT(EOMONTH(B6, 0), "DD")</f>
        <v>28</v>
      </c>
      <c r="C8" s="38"/>
    </row>
    <row r="9" spans="1:18" x14ac:dyDescent="0.25">
      <c r="I9" s="39" t="s">
        <v>91</v>
      </c>
    </row>
    <row r="10" spans="1:18" s="40" customFormat="1" ht="45" customHeight="1" x14ac:dyDescent="0.25">
      <c r="B10" s="41" t="s">
        <v>92</v>
      </c>
      <c r="C10" s="41" t="s">
        <v>93</v>
      </c>
      <c r="E10" s="40" t="s">
        <v>94</v>
      </c>
      <c r="G10" s="41" t="s">
        <v>95</v>
      </c>
      <c r="I10" s="41" t="s">
        <v>96</v>
      </c>
      <c r="K10" s="41" t="s">
        <v>97</v>
      </c>
    </row>
    <row r="11" spans="1:18" x14ac:dyDescent="0.25">
      <c r="B11" s="42" cm="1">
        <f t="array" aca="1" ref="B11:B38" ca="1">_xlfn.SEQUENCE(B8, 1, B7)</f>
        <v>44958</v>
      </c>
      <c r="C11" s="42" t="str" cm="1">
        <f t="array" aca="1" ref="C11:C38" ca="1">TEXT(_xlfn.ANCHORARRAY(B11), "ddd")</f>
        <v>Wed</v>
      </c>
      <c r="D11" s="37"/>
      <c r="E11" s="42" cm="1">
        <f t="array" aca="1" ref="E11:E14" ca="1">_xlfn._xlws.FILTER(_xlfn.ANCHORARRAY(B11),_xlfn.ANCHORARRAY( C11) = "Fri")</f>
        <v>44960</v>
      </c>
      <c r="F11" s="37"/>
      <c r="G11" s="43" cm="1">
        <f t="array" aca="1" ref="G11:G30" ca="1">_xlfn._xlws.FILTER(_xlfn.ANCHORARRAY(B11),(_xlfn.ANCHORARRAY(C11) &lt;&gt; "Sat") * (_xlfn.ANCHORARRAY(C11) &lt;&gt; "Sun") )</f>
        <v>44958</v>
      </c>
      <c r="H11" s="37"/>
      <c r="I11" s="42" cm="1">
        <f t="array" aca="1" ref="I11:I38" ca="1">_xlfn.LET(
    _xlpm.month_end_date, EOMONTH(B6,0),
    _xlpm.days_in_month, DAY(_xlpm.month_end_date),
    _xlpm.month_start_date, DATE(YEAR(B6),MONTH(B6),1),
_xlfn.SEQUENCE(_xlpm.days_in_month,1,_xlpm.month_start_date,1)
)</f>
        <v>44958</v>
      </c>
      <c r="J11" s="37"/>
      <c r="K11" s="42" cm="1">
        <f t="array" aca="1" ref="K11:K30" ca="1">_xlfn.LET(
_xlpm.month_end_date, EOMONTH(B6,0),
_xlpm.days_in_month, DAY(_xlpm.month_end_date),
_xlpm.month_start_date, DATE(YEAR(B6),MONTH(B6),1),
_xlpm.month_seq, _xlfn.SEQUENCE(_xlpm.days_in_month,1,_xlpm.month_start_date,1),
_xlpm.day_of_week_seq, TEXT(_xlpm.month_seq, "ddd"),
_xlfn._xlws.FILTER(_xlpm.month_seq, (_xlpm.day_of_week_seq &lt;&gt;"Sat") * (_xlpm.day_of_week_seq &lt;&gt;"Sun"))
)</f>
        <v>44958</v>
      </c>
      <c r="L11" s="37"/>
      <c r="M11" s="37"/>
      <c r="N11" s="37"/>
      <c r="O11" s="37"/>
      <c r="P11" s="37"/>
      <c r="Q11" s="37"/>
      <c r="R11" s="37"/>
    </row>
    <row r="12" spans="1:18" x14ac:dyDescent="0.25">
      <c r="B12" s="44">
        <f ca="1"/>
        <v>44959</v>
      </c>
      <c r="C12" s="44" t="str">
        <f ca="1"/>
        <v>Thu</v>
      </c>
      <c r="E12" s="44">
        <f ca="1"/>
        <v>44967</v>
      </c>
      <c r="G12" s="45">
        <f ca="1"/>
        <v>44959</v>
      </c>
      <c r="I12" s="44">
        <f ca="1"/>
        <v>44959</v>
      </c>
      <c r="K12" s="44">
        <f ca="1"/>
        <v>44959</v>
      </c>
    </row>
    <row r="13" spans="1:18" x14ac:dyDescent="0.25">
      <c r="B13" s="44">
        <f ca="1"/>
        <v>44960</v>
      </c>
      <c r="C13" s="44" t="str">
        <f ca="1"/>
        <v>Fri</v>
      </c>
      <c r="E13" s="44">
        <f ca="1"/>
        <v>44974</v>
      </c>
      <c r="G13" s="45">
        <f ca="1"/>
        <v>44960</v>
      </c>
      <c r="I13" s="44">
        <f ca="1"/>
        <v>44960</v>
      </c>
      <c r="K13" s="44">
        <f ca="1"/>
        <v>44960</v>
      </c>
    </row>
    <row r="14" spans="1:18" x14ac:dyDescent="0.25">
      <c r="B14" s="44">
        <f ca="1"/>
        <v>44961</v>
      </c>
      <c r="C14" s="44" t="str">
        <f ca="1"/>
        <v>Sat</v>
      </c>
      <c r="E14" s="44">
        <f ca="1"/>
        <v>44981</v>
      </c>
      <c r="G14" s="45">
        <f ca="1"/>
        <v>44963</v>
      </c>
      <c r="I14" s="44">
        <f ca="1"/>
        <v>44961</v>
      </c>
      <c r="K14" s="44">
        <f ca="1"/>
        <v>44963</v>
      </c>
    </row>
    <row r="15" spans="1:18" x14ac:dyDescent="0.25">
      <c r="B15" s="44">
        <f ca="1"/>
        <v>44962</v>
      </c>
      <c r="C15" s="44" t="str">
        <f ca="1"/>
        <v>Sun</v>
      </c>
      <c r="E15" s="44"/>
      <c r="G15" s="45">
        <f ca="1"/>
        <v>44964</v>
      </c>
      <c r="I15" s="44">
        <f ca="1"/>
        <v>44962</v>
      </c>
      <c r="K15" s="44">
        <f ca="1"/>
        <v>44964</v>
      </c>
    </row>
    <row r="16" spans="1:18" x14ac:dyDescent="0.25">
      <c r="B16" s="44">
        <f ca="1"/>
        <v>44963</v>
      </c>
      <c r="C16" s="44" t="str">
        <f ca="1"/>
        <v>Mon</v>
      </c>
      <c r="E16" s="44"/>
      <c r="G16" s="45">
        <f ca="1"/>
        <v>44965</v>
      </c>
      <c r="I16" s="44">
        <f ca="1"/>
        <v>44963</v>
      </c>
      <c r="K16" s="44">
        <f ca="1"/>
        <v>44965</v>
      </c>
    </row>
    <row r="17" spans="2:11" x14ac:dyDescent="0.25">
      <c r="B17" s="44">
        <f ca="1"/>
        <v>44964</v>
      </c>
      <c r="C17" s="44" t="str">
        <f ca="1"/>
        <v>Tue</v>
      </c>
      <c r="G17" s="45">
        <f ca="1"/>
        <v>44966</v>
      </c>
      <c r="I17" s="44">
        <f ca="1"/>
        <v>44964</v>
      </c>
      <c r="K17" s="44">
        <f ca="1"/>
        <v>44966</v>
      </c>
    </row>
    <row r="18" spans="2:11" x14ac:dyDescent="0.25">
      <c r="B18" s="44">
        <f ca="1"/>
        <v>44965</v>
      </c>
      <c r="C18" s="44" t="str">
        <f ca="1"/>
        <v>Wed</v>
      </c>
      <c r="G18" s="45">
        <f ca="1"/>
        <v>44967</v>
      </c>
      <c r="I18" s="44">
        <f ca="1"/>
        <v>44965</v>
      </c>
      <c r="K18" s="44">
        <f ca="1"/>
        <v>44967</v>
      </c>
    </row>
    <row r="19" spans="2:11" x14ac:dyDescent="0.25">
      <c r="B19" s="44">
        <f ca="1"/>
        <v>44966</v>
      </c>
      <c r="C19" s="44" t="str">
        <f ca="1"/>
        <v>Thu</v>
      </c>
      <c r="G19" s="45">
        <f ca="1"/>
        <v>44970</v>
      </c>
      <c r="I19" s="44">
        <f ca="1"/>
        <v>44966</v>
      </c>
      <c r="K19" s="44">
        <f ca="1"/>
        <v>44970</v>
      </c>
    </row>
    <row r="20" spans="2:11" x14ac:dyDescent="0.25">
      <c r="B20" s="44">
        <f ca="1"/>
        <v>44967</v>
      </c>
      <c r="C20" s="44" t="str">
        <f ca="1"/>
        <v>Fri</v>
      </c>
      <c r="G20" s="45">
        <f ca="1"/>
        <v>44971</v>
      </c>
      <c r="I20" s="44">
        <f ca="1"/>
        <v>44967</v>
      </c>
      <c r="K20" s="44">
        <f ca="1"/>
        <v>44971</v>
      </c>
    </row>
    <row r="21" spans="2:11" x14ac:dyDescent="0.25">
      <c r="B21" s="44">
        <f ca="1"/>
        <v>44968</v>
      </c>
      <c r="C21" s="44" t="str">
        <f ca="1"/>
        <v>Sat</v>
      </c>
      <c r="G21" s="45">
        <f ca="1"/>
        <v>44972</v>
      </c>
      <c r="I21" s="44">
        <f ca="1"/>
        <v>44968</v>
      </c>
      <c r="K21" s="44">
        <f ca="1"/>
        <v>44972</v>
      </c>
    </row>
    <row r="22" spans="2:11" x14ac:dyDescent="0.25">
      <c r="B22" s="44">
        <f ca="1"/>
        <v>44969</v>
      </c>
      <c r="C22" s="44" t="str">
        <f ca="1"/>
        <v>Sun</v>
      </c>
      <c r="G22" s="45">
        <f ca="1"/>
        <v>44973</v>
      </c>
      <c r="I22" s="44">
        <f ca="1"/>
        <v>44969</v>
      </c>
      <c r="K22" s="44">
        <f ca="1"/>
        <v>44973</v>
      </c>
    </row>
    <row r="23" spans="2:11" x14ac:dyDescent="0.25">
      <c r="B23" s="44">
        <f ca="1"/>
        <v>44970</v>
      </c>
      <c r="C23" s="44" t="str">
        <f ca="1"/>
        <v>Mon</v>
      </c>
      <c r="G23" s="45">
        <f ca="1"/>
        <v>44974</v>
      </c>
      <c r="I23" s="44">
        <f ca="1"/>
        <v>44970</v>
      </c>
      <c r="K23" s="44">
        <f ca="1"/>
        <v>44974</v>
      </c>
    </row>
    <row r="24" spans="2:11" x14ac:dyDescent="0.25">
      <c r="B24" s="44">
        <f ca="1"/>
        <v>44971</v>
      </c>
      <c r="C24" s="44" t="str">
        <f ca="1"/>
        <v>Tue</v>
      </c>
      <c r="G24" s="45">
        <f ca="1"/>
        <v>44977</v>
      </c>
      <c r="I24" s="44">
        <f ca="1"/>
        <v>44971</v>
      </c>
      <c r="K24" s="44">
        <f ca="1"/>
        <v>44977</v>
      </c>
    </row>
    <row r="25" spans="2:11" x14ac:dyDescent="0.25">
      <c r="B25" s="44">
        <f ca="1"/>
        <v>44972</v>
      </c>
      <c r="C25" s="44" t="str">
        <f ca="1"/>
        <v>Wed</v>
      </c>
      <c r="G25" s="45">
        <f ca="1"/>
        <v>44978</v>
      </c>
      <c r="I25" s="44">
        <f ca="1"/>
        <v>44972</v>
      </c>
      <c r="K25" s="44">
        <f ca="1"/>
        <v>44978</v>
      </c>
    </row>
    <row r="26" spans="2:11" x14ac:dyDescent="0.25">
      <c r="B26" s="44">
        <f ca="1"/>
        <v>44973</v>
      </c>
      <c r="C26" s="44" t="str">
        <f ca="1"/>
        <v>Thu</v>
      </c>
      <c r="G26" s="45">
        <f ca="1"/>
        <v>44979</v>
      </c>
      <c r="I26" s="44">
        <f ca="1"/>
        <v>44973</v>
      </c>
      <c r="K26" s="44">
        <f ca="1"/>
        <v>44979</v>
      </c>
    </row>
    <row r="27" spans="2:11" x14ac:dyDescent="0.25">
      <c r="B27" s="44">
        <f ca="1"/>
        <v>44974</v>
      </c>
      <c r="C27" s="44" t="str">
        <f ca="1"/>
        <v>Fri</v>
      </c>
      <c r="G27" s="45">
        <f ca="1"/>
        <v>44980</v>
      </c>
      <c r="I27" s="44">
        <f ca="1"/>
        <v>44974</v>
      </c>
      <c r="K27" s="44">
        <f ca="1"/>
        <v>44980</v>
      </c>
    </row>
    <row r="28" spans="2:11" x14ac:dyDescent="0.25">
      <c r="B28" s="44">
        <f ca="1"/>
        <v>44975</v>
      </c>
      <c r="C28" s="44" t="str">
        <f ca="1"/>
        <v>Sat</v>
      </c>
      <c r="G28" s="45">
        <f ca="1"/>
        <v>44981</v>
      </c>
      <c r="I28" s="44">
        <f ca="1"/>
        <v>44975</v>
      </c>
      <c r="K28" s="44">
        <f ca="1"/>
        <v>44981</v>
      </c>
    </row>
    <row r="29" spans="2:11" x14ac:dyDescent="0.25">
      <c r="B29" s="44">
        <f ca="1"/>
        <v>44976</v>
      </c>
      <c r="C29" s="44" t="str">
        <f ca="1"/>
        <v>Sun</v>
      </c>
      <c r="G29" s="45">
        <f ca="1"/>
        <v>44984</v>
      </c>
      <c r="I29" s="44">
        <f ca="1"/>
        <v>44976</v>
      </c>
      <c r="K29" s="44">
        <f ca="1"/>
        <v>44984</v>
      </c>
    </row>
    <row r="30" spans="2:11" x14ac:dyDescent="0.25">
      <c r="B30" s="44">
        <f ca="1"/>
        <v>44977</v>
      </c>
      <c r="C30" s="44" t="str">
        <f ca="1"/>
        <v>Mon</v>
      </c>
      <c r="G30" s="45">
        <f ca="1"/>
        <v>44985</v>
      </c>
      <c r="I30" s="44">
        <f ca="1"/>
        <v>44977</v>
      </c>
      <c r="K30" s="44">
        <f ca="1"/>
        <v>44985</v>
      </c>
    </row>
    <row r="31" spans="2:11" x14ac:dyDescent="0.25">
      <c r="B31" s="44">
        <f ca="1"/>
        <v>44978</v>
      </c>
      <c r="C31" s="44" t="str">
        <f ca="1"/>
        <v>Tue</v>
      </c>
      <c r="G31" s="45"/>
      <c r="I31" s="44">
        <f ca="1"/>
        <v>44978</v>
      </c>
      <c r="K31" s="44"/>
    </row>
    <row r="32" spans="2:11" x14ac:dyDescent="0.25">
      <c r="B32" s="44">
        <f ca="1"/>
        <v>44979</v>
      </c>
      <c r="C32" s="44" t="str">
        <f ca="1"/>
        <v>Wed</v>
      </c>
      <c r="G32" s="45"/>
      <c r="I32" s="44">
        <f ca="1"/>
        <v>44979</v>
      </c>
      <c r="K32" s="44"/>
    </row>
    <row r="33" spans="2:11" x14ac:dyDescent="0.25">
      <c r="B33" s="44">
        <f ca="1"/>
        <v>44980</v>
      </c>
      <c r="C33" s="44" t="str">
        <f ca="1"/>
        <v>Thu</v>
      </c>
      <c r="G33" s="45"/>
      <c r="I33" s="44">
        <f ca="1"/>
        <v>44980</v>
      </c>
      <c r="K33" s="44"/>
    </row>
    <row r="34" spans="2:11" x14ac:dyDescent="0.25">
      <c r="B34" s="44">
        <f ca="1"/>
        <v>44981</v>
      </c>
      <c r="C34" s="44" t="str">
        <f ca="1"/>
        <v>Fri</v>
      </c>
      <c r="G34" s="45"/>
      <c r="I34" s="44">
        <f ca="1"/>
        <v>44981</v>
      </c>
      <c r="K34" s="44"/>
    </row>
    <row r="35" spans="2:11" x14ac:dyDescent="0.25">
      <c r="B35" s="44">
        <f ca="1"/>
        <v>44982</v>
      </c>
      <c r="C35" s="44" t="str">
        <f ca="1"/>
        <v>Sat</v>
      </c>
      <c r="G35" s="45"/>
      <c r="I35" s="44">
        <f ca="1"/>
        <v>44982</v>
      </c>
      <c r="K35" s="44"/>
    </row>
    <row r="36" spans="2:11" x14ac:dyDescent="0.25">
      <c r="B36" s="44">
        <f ca="1"/>
        <v>44983</v>
      </c>
      <c r="C36" s="44" t="str">
        <f ca="1"/>
        <v>Sun</v>
      </c>
      <c r="I36" s="44">
        <f ca="1"/>
        <v>44983</v>
      </c>
      <c r="K36" s="44"/>
    </row>
    <row r="37" spans="2:11" x14ac:dyDescent="0.25">
      <c r="B37" s="44">
        <f ca="1"/>
        <v>44984</v>
      </c>
      <c r="C37" s="44" t="str">
        <f ca="1"/>
        <v>Mon</v>
      </c>
      <c r="I37" s="44">
        <f ca="1"/>
        <v>44984</v>
      </c>
      <c r="K37" s="44"/>
    </row>
    <row r="38" spans="2:11" x14ac:dyDescent="0.25">
      <c r="B38" s="44">
        <f ca="1"/>
        <v>44985</v>
      </c>
      <c r="C38" s="44" t="str">
        <f ca="1"/>
        <v>Tue</v>
      </c>
      <c r="I38" s="44">
        <f ca="1"/>
        <v>44985</v>
      </c>
      <c r="K38" s="44"/>
    </row>
    <row r="39" spans="2:11" x14ac:dyDescent="0.25">
      <c r="B39" s="44"/>
      <c r="C39" s="44"/>
      <c r="I39" s="44"/>
      <c r="K39" s="44"/>
    </row>
    <row r="40" spans="2:11" x14ac:dyDescent="0.25">
      <c r="B40" s="44"/>
      <c r="C40" s="44"/>
      <c r="I40" s="44"/>
      <c r="K40" s="44"/>
    </row>
    <row r="41" spans="2:11" x14ac:dyDescent="0.25">
      <c r="B41" s="44"/>
      <c r="C41" s="44"/>
      <c r="I41" s="44"/>
      <c r="K41" s="4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2CC0-7146-408F-8658-51C32E642549}">
  <sheetPr>
    <tabColor rgb="FF92D050"/>
  </sheetPr>
  <dimension ref="A1:H25"/>
  <sheetViews>
    <sheetView topLeftCell="A9" zoomScale="115" zoomScaleNormal="115" workbookViewId="0">
      <selection activeCell="B5" sqref="B5:D16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9.25" customWidth="1"/>
  </cols>
  <sheetData>
    <row r="1" spans="1:8" x14ac:dyDescent="0.25">
      <c r="A1" s="12" t="s">
        <v>98</v>
      </c>
    </row>
    <row r="3" spans="1:8" x14ac:dyDescent="0.25">
      <c r="F3" s="2" t="s">
        <v>99</v>
      </c>
    </row>
    <row r="4" spans="1:8" x14ac:dyDescent="0.25">
      <c r="B4" t="s">
        <v>100</v>
      </c>
      <c r="C4" t="s">
        <v>101</v>
      </c>
      <c r="D4" s="1" t="s">
        <v>40</v>
      </c>
      <c r="F4" t="s">
        <v>100</v>
      </c>
      <c r="G4" s="46" t="s">
        <v>109</v>
      </c>
    </row>
    <row r="5" spans="1:8" x14ac:dyDescent="0.25">
      <c r="B5" t="s">
        <v>102</v>
      </c>
      <c r="C5" t="s">
        <v>103</v>
      </c>
      <c r="D5" s="1">
        <v>-2871.049400000004</v>
      </c>
      <c r="F5" s="2"/>
    </row>
    <row r="6" spans="1:8" x14ac:dyDescent="0.25">
      <c r="B6" t="s">
        <v>102</v>
      </c>
      <c r="C6" t="s">
        <v>104</v>
      </c>
      <c r="D6" s="1">
        <v>8879.9798999999857</v>
      </c>
      <c r="F6" s="4" t="str" cm="1">
        <f t="array" ref="F6:H8">_xlfn._xlws.FILTER(StoreSummaryFinal[], StoreSummaryFinal[Region]=$G$4, "No results")</f>
        <v>South</v>
      </c>
      <c r="G6" t="str">
        <v>Furniture</v>
      </c>
      <c r="H6" s="1">
        <v>6771.2060999999949</v>
      </c>
    </row>
    <row r="7" spans="1:8" x14ac:dyDescent="0.25">
      <c r="B7" t="s">
        <v>102</v>
      </c>
      <c r="C7" t="s">
        <v>106</v>
      </c>
      <c r="D7" s="1">
        <v>33697.431999999979</v>
      </c>
      <c r="F7" t="str">
        <v>South</v>
      </c>
      <c r="G7" t="str">
        <v>Office Supplies</v>
      </c>
      <c r="H7" s="1">
        <v>19986.392799999972</v>
      </c>
    </row>
    <row r="8" spans="1:8" x14ac:dyDescent="0.25">
      <c r="B8" t="s">
        <v>107</v>
      </c>
      <c r="C8" t="s">
        <v>103</v>
      </c>
      <c r="D8" s="1">
        <v>3046.1657999999993</v>
      </c>
      <c r="F8" t="str">
        <v>South</v>
      </c>
      <c r="G8" t="str">
        <v>Technology</v>
      </c>
      <c r="H8" s="1">
        <v>19991.831399999999</v>
      </c>
    </row>
    <row r="9" spans="1:8" x14ac:dyDescent="0.25">
      <c r="B9" t="s">
        <v>107</v>
      </c>
      <c r="C9" t="s">
        <v>104</v>
      </c>
      <c r="D9" s="1">
        <v>41014.579099999966</v>
      </c>
    </row>
    <row r="10" spans="1:8" x14ac:dyDescent="0.25">
      <c r="B10" t="s">
        <v>107</v>
      </c>
      <c r="C10" t="s">
        <v>106</v>
      </c>
      <c r="D10" s="1">
        <v>47462.035099999921</v>
      </c>
      <c r="F10" s="2" t="s">
        <v>108</v>
      </c>
    </row>
    <row r="11" spans="1:8" x14ac:dyDescent="0.25">
      <c r="B11" t="s">
        <v>109</v>
      </c>
      <c r="C11" t="s">
        <v>103</v>
      </c>
      <c r="D11" s="1">
        <v>6771.2060999999949</v>
      </c>
      <c r="F11" t="s">
        <v>110</v>
      </c>
      <c r="G11" s="28">
        <v>30000</v>
      </c>
    </row>
    <row r="12" spans="1:8" x14ac:dyDescent="0.25">
      <c r="B12" t="s">
        <v>109</v>
      </c>
      <c r="C12" t="s">
        <v>104</v>
      </c>
      <c r="D12" s="1">
        <v>19986.392799999972</v>
      </c>
    </row>
    <row r="13" spans="1:8" x14ac:dyDescent="0.25">
      <c r="B13" t="s">
        <v>109</v>
      </c>
      <c r="C13" t="s">
        <v>106</v>
      </c>
      <c r="D13" s="1">
        <v>19991.831399999999</v>
      </c>
      <c r="F13" s="4" t="str" cm="1">
        <f t="array" ref="F13:H17">_xlfn._xlws.FILTER(StoreSummaryFinal[], StoreSummaryFinal[Profit] &gt; $G$11, "No results")</f>
        <v>Central</v>
      </c>
      <c r="G13" t="str">
        <v>Technology</v>
      </c>
      <c r="H13" s="1">
        <v>33697.431999999979</v>
      </c>
    </row>
    <row r="14" spans="1:8" x14ac:dyDescent="0.25">
      <c r="B14" t="s">
        <v>111</v>
      </c>
      <c r="C14" t="s">
        <v>103</v>
      </c>
      <c r="D14" s="1">
        <v>11504.950299999995</v>
      </c>
      <c r="F14" t="str">
        <v>East</v>
      </c>
      <c r="G14" t="str">
        <v>Office Supplies</v>
      </c>
      <c r="H14" s="1">
        <v>41014.579099999966</v>
      </c>
    </row>
    <row r="15" spans="1:8" x14ac:dyDescent="0.25">
      <c r="B15" t="s">
        <v>111</v>
      </c>
      <c r="C15" t="s">
        <v>104</v>
      </c>
      <c r="D15" s="1">
        <v>52609.849000000155</v>
      </c>
      <c r="F15" t="str">
        <v>East</v>
      </c>
      <c r="G15" t="str">
        <v>Technology</v>
      </c>
      <c r="H15" s="1">
        <v>47462.035099999921</v>
      </c>
    </row>
    <row r="16" spans="1:8" x14ac:dyDescent="0.25">
      <c r="B16" t="s">
        <v>111</v>
      </c>
      <c r="C16" t="s">
        <v>106</v>
      </c>
      <c r="D16" s="1">
        <v>44303.649599999953</v>
      </c>
      <c r="F16" t="str">
        <v>West</v>
      </c>
      <c r="G16" t="str">
        <v>Office Supplies</v>
      </c>
      <c r="H16" s="1">
        <v>52609.849000000155</v>
      </c>
    </row>
    <row r="17" spans="2:8" x14ac:dyDescent="0.25">
      <c r="F17" t="str">
        <v>West</v>
      </c>
      <c r="G17" t="str">
        <v>Technology</v>
      </c>
      <c r="H17" s="1">
        <v>44303.649599999953</v>
      </c>
    </row>
    <row r="18" spans="2:8" x14ac:dyDescent="0.25">
      <c r="B18" t="str" cm="1">
        <f t="array" ref="B18:B21">_xlfn._xlws.SORT(_xlfn.UNIQUE(StoreSummaryFinal[Region]))</f>
        <v>Central</v>
      </c>
      <c r="C18" t="str" cm="1">
        <f t="array" ref="C18:C20">_xlfn._xlws.SORT(_xlfn.UNIQUE(StoreSummaryFinal[Category]))</f>
        <v>Furniture</v>
      </c>
    </row>
    <row r="19" spans="2:8" x14ac:dyDescent="0.25">
      <c r="B19" t="str">
        <v>East</v>
      </c>
      <c r="C19" t="str">
        <v>Office Supplies</v>
      </c>
      <c r="F19" s="2" t="s">
        <v>112</v>
      </c>
    </row>
    <row r="20" spans="2:8" x14ac:dyDescent="0.25">
      <c r="B20" t="str">
        <v>South</v>
      </c>
      <c r="C20" t="str">
        <v>Technology</v>
      </c>
      <c r="F20" s="2" t="s">
        <v>113</v>
      </c>
    </row>
    <row r="21" spans="2:8" x14ac:dyDescent="0.25">
      <c r="B21" t="str">
        <v>West</v>
      </c>
      <c r="F21" t="s">
        <v>100</v>
      </c>
      <c r="G21" s="46" t="s">
        <v>107</v>
      </c>
    </row>
    <row r="22" spans="2:8" x14ac:dyDescent="0.25">
      <c r="F22" t="s">
        <v>110</v>
      </c>
      <c r="G22" s="28">
        <v>30000</v>
      </c>
    </row>
    <row r="24" spans="2:8" x14ac:dyDescent="0.25">
      <c r="F24" s="4" t="str" cm="1">
        <f t="array" ref="F24:H25">_xlfn._xlws.FILTER(StoreSummaryFinal[], (StoreSummaryFinal[Region] = $G$21) * (StoreSummaryFinal[Profit] &gt; $G$22))</f>
        <v>East</v>
      </c>
      <c r="G24" t="str">
        <v>Office Supplies</v>
      </c>
      <c r="H24">
        <v>41014.579099999966</v>
      </c>
    </row>
    <row r="25" spans="2:8" x14ac:dyDescent="0.25">
      <c r="F25" t="str">
        <v>East</v>
      </c>
      <c r="G25" t="str">
        <v>Technology</v>
      </c>
      <c r="H25">
        <v>47462.035099999921</v>
      </c>
    </row>
  </sheetData>
  <dataValidations count="2">
    <dataValidation type="list" allowBlank="1" showInputMessage="1" showErrorMessage="1" promptTitle="Select a region" sqref="G21" xr:uid="{9DE3B3D7-CAC7-4753-BF9E-6D57ADE92C56}">
      <formula1>_xlfn.ANCHORARRAY($B$18)</formula1>
    </dataValidation>
    <dataValidation type="list" allowBlank="1" showInputMessage="1" showErrorMessage="1" promptTitle="Select a region" prompt="to see all the rows for that region" sqref="G4" xr:uid="{064FFA93-A8EE-4472-B110-8B7724F9C031}">
      <formula1>_xlfn.ANCHORARRAY($B$18)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6EBE-4CC4-4D62-B548-BC6EFCD70253}">
  <sheetPr>
    <tabColor rgb="FF92D050"/>
  </sheetPr>
  <dimension ref="A1:O115"/>
  <sheetViews>
    <sheetView topLeftCell="A87" workbookViewId="0">
      <selection activeCell="G110" sqref="G110"/>
    </sheetView>
  </sheetViews>
  <sheetFormatPr defaultRowHeight="15" x14ac:dyDescent="0.25"/>
  <cols>
    <col min="1" max="1" width="17" style="13" customWidth="1"/>
    <col min="2" max="2" width="17.875" style="13" customWidth="1"/>
    <col min="3" max="3" width="12.125" style="13" customWidth="1"/>
    <col min="4" max="4" width="13.625" style="13" customWidth="1"/>
    <col min="5" max="5" width="9" style="13"/>
    <col min="6" max="6" width="12.375" style="13" customWidth="1"/>
    <col min="7" max="13" width="9" style="13"/>
    <col min="14" max="14" width="14" style="13" customWidth="1"/>
    <col min="15" max="16384" width="9" style="13"/>
  </cols>
  <sheetData>
    <row r="1" spans="1:4" x14ac:dyDescent="0.25">
      <c r="A1" s="50" t="s">
        <v>132</v>
      </c>
    </row>
    <row r="3" spans="1:4" x14ac:dyDescent="0.25">
      <c r="A3" s="13" t="s">
        <v>133</v>
      </c>
    </row>
    <row r="4" spans="1:4" x14ac:dyDescent="0.25">
      <c r="A4" s="13" t="s">
        <v>134</v>
      </c>
    </row>
    <row r="5" spans="1:4" x14ac:dyDescent="0.25">
      <c r="A5" s="13" t="s">
        <v>135</v>
      </c>
    </row>
    <row r="6" spans="1:4" x14ac:dyDescent="0.25">
      <c r="A6" s="13" t="s">
        <v>136</v>
      </c>
    </row>
    <row r="7" spans="1:4" x14ac:dyDescent="0.25">
      <c r="A7" s="13" t="s">
        <v>137</v>
      </c>
    </row>
    <row r="8" spans="1:4" x14ac:dyDescent="0.25">
      <c r="A8" s="13" t="s">
        <v>138</v>
      </c>
    </row>
    <row r="9" spans="1:4" x14ac:dyDescent="0.25">
      <c r="A9" s="13" t="s">
        <v>139</v>
      </c>
    </row>
    <row r="11" spans="1:4" x14ac:dyDescent="0.25">
      <c r="A11" s="50" t="s">
        <v>140</v>
      </c>
    </row>
    <row r="12" spans="1:4" x14ac:dyDescent="0.25">
      <c r="C12" s="13" t="s">
        <v>141</v>
      </c>
      <c r="D12" s="51" t="s">
        <v>142</v>
      </c>
    </row>
    <row r="13" spans="1:4" x14ac:dyDescent="0.25">
      <c r="A13" s="52" t="s">
        <v>143</v>
      </c>
      <c r="B13" s="52" t="s">
        <v>144</v>
      </c>
      <c r="C13" s="52" t="s">
        <v>145</v>
      </c>
      <c r="D13" s="53" t="s">
        <v>145</v>
      </c>
    </row>
    <row r="14" spans="1:4" x14ac:dyDescent="0.25">
      <c r="A14" s="54">
        <v>4</v>
      </c>
      <c r="B14" s="54">
        <v>4</v>
      </c>
      <c r="C14" s="55" cm="1">
        <f t="array" ref="C14:C17">A14:A17+B14:B17</f>
        <v>8</v>
      </c>
      <c r="D14" s="56">
        <f>A14+B14</f>
        <v>8</v>
      </c>
    </row>
    <row r="15" spans="1:4" x14ac:dyDescent="0.25">
      <c r="A15" s="54">
        <v>7</v>
      </c>
      <c r="B15" s="54">
        <v>2</v>
      </c>
      <c r="C15" s="13">
        <v>9</v>
      </c>
      <c r="D15" s="56">
        <f t="shared" ref="D15:D17" si="0">A15+B15</f>
        <v>9</v>
      </c>
    </row>
    <row r="16" spans="1:4" x14ac:dyDescent="0.25">
      <c r="A16" s="54">
        <v>3</v>
      </c>
      <c r="B16" s="54">
        <v>9</v>
      </c>
      <c r="C16" s="13">
        <v>12</v>
      </c>
      <c r="D16" s="56">
        <f t="shared" si="0"/>
        <v>12</v>
      </c>
    </row>
    <row r="17" spans="1:4" x14ac:dyDescent="0.25">
      <c r="A17" s="54">
        <v>6</v>
      </c>
      <c r="B17" s="54">
        <v>1</v>
      </c>
      <c r="C17" s="13">
        <v>7</v>
      </c>
      <c r="D17" s="56">
        <f t="shared" si="0"/>
        <v>7</v>
      </c>
    </row>
    <row r="19" spans="1:4" x14ac:dyDescent="0.25">
      <c r="A19" s="13" t="s">
        <v>146</v>
      </c>
    </row>
    <row r="20" spans="1:4" x14ac:dyDescent="0.25">
      <c r="B20" s="13" t="s">
        <v>147</v>
      </c>
      <c r="C20" s="51" t="s">
        <v>148</v>
      </c>
    </row>
    <row r="21" spans="1:4" x14ac:dyDescent="0.25">
      <c r="B21" s="13" t="s">
        <v>141</v>
      </c>
      <c r="C21" s="51" t="s">
        <v>142</v>
      </c>
    </row>
    <row r="22" spans="1:4" x14ac:dyDescent="0.25">
      <c r="A22" s="52" t="s">
        <v>149</v>
      </c>
      <c r="B22" s="52" t="s">
        <v>150</v>
      </c>
      <c r="C22" s="53" t="s">
        <v>150</v>
      </c>
    </row>
    <row r="23" spans="1:4" x14ac:dyDescent="0.25">
      <c r="A23" s="54">
        <v>0</v>
      </c>
      <c r="B23" s="55" cm="1">
        <f t="array" ref="B23:B26">(A23:A26 * 9 / 5) + 32</f>
        <v>32</v>
      </c>
      <c r="C23" s="56">
        <f>(A23 * 9/5) +32</f>
        <v>32</v>
      </c>
    </row>
    <row r="24" spans="1:4" x14ac:dyDescent="0.25">
      <c r="A24" s="54">
        <v>20</v>
      </c>
      <c r="B24" s="13">
        <v>68</v>
      </c>
      <c r="C24" s="56">
        <f>(A24 * 9/5) +32</f>
        <v>68</v>
      </c>
    </row>
    <row r="25" spans="1:4" x14ac:dyDescent="0.25">
      <c r="A25" s="54">
        <v>60</v>
      </c>
      <c r="B25" s="13">
        <v>140</v>
      </c>
      <c r="C25" s="56">
        <f>(A25 * 9/5) +32</f>
        <v>140</v>
      </c>
    </row>
    <row r="26" spans="1:4" x14ac:dyDescent="0.25">
      <c r="A26" s="54">
        <v>100</v>
      </c>
      <c r="B26" s="13">
        <v>212</v>
      </c>
      <c r="C26" s="56">
        <f>(A26 * 9/5) +32</f>
        <v>212</v>
      </c>
    </row>
    <row r="28" spans="1:4" x14ac:dyDescent="0.25">
      <c r="A28" s="50" t="s">
        <v>151</v>
      </c>
    </row>
    <row r="29" spans="1:4" x14ac:dyDescent="0.25">
      <c r="B29" s="13" t="s">
        <v>141</v>
      </c>
    </row>
    <row r="30" spans="1:4" x14ac:dyDescent="0.25">
      <c r="A30" s="52" t="s">
        <v>149</v>
      </c>
      <c r="B30" s="52" t="s">
        <v>150</v>
      </c>
      <c r="C30" s="52"/>
    </row>
    <row r="31" spans="1:4" x14ac:dyDescent="0.25">
      <c r="A31" s="13" cm="1">
        <f t="array" ref="A31:A36">_xlfn.SEQUENCE(6,1, 0, 20)</f>
        <v>0</v>
      </c>
      <c r="B31" s="55" cm="1">
        <f t="array" ref="B31:B36">(_xlfn.ANCHORARRAY(A31) * 9 / 5) + 32</f>
        <v>32</v>
      </c>
    </row>
    <row r="32" spans="1:4" x14ac:dyDescent="0.25">
      <c r="A32" s="13">
        <v>20</v>
      </c>
      <c r="B32" s="13">
        <v>68</v>
      </c>
    </row>
    <row r="33" spans="1:8" x14ac:dyDescent="0.25">
      <c r="A33" s="13">
        <v>40</v>
      </c>
      <c r="B33" s="13">
        <v>104</v>
      </c>
    </row>
    <row r="34" spans="1:8" x14ac:dyDescent="0.25">
      <c r="A34" s="13">
        <v>60</v>
      </c>
      <c r="B34" s="13">
        <v>140</v>
      </c>
    </row>
    <row r="35" spans="1:8" x14ac:dyDescent="0.25">
      <c r="A35" s="13">
        <v>80</v>
      </c>
      <c r="B35" s="13">
        <v>176</v>
      </c>
    </row>
    <row r="36" spans="1:8" x14ac:dyDescent="0.25">
      <c r="A36" s="13">
        <v>100</v>
      </c>
      <c r="B36" s="13">
        <v>212</v>
      </c>
    </row>
    <row r="38" spans="1:8" x14ac:dyDescent="0.25">
      <c r="A38" s="50" t="s">
        <v>152</v>
      </c>
    </row>
    <row r="39" spans="1:8" x14ac:dyDescent="0.25">
      <c r="B39" s="13" t="s">
        <v>141</v>
      </c>
      <c r="F39" s="51" t="s">
        <v>153</v>
      </c>
      <c r="G39" s="51"/>
      <c r="H39" s="51"/>
    </row>
    <row r="40" spans="1:8" x14ac:dyDescent="0.25">
      <c r="C40" s="54">
        <v>4</v>
      </c>
      <c r="D40" s="54">
        <v>6</v>
      </c>
      <c r="F40" s="51"/>
      <c r="G40" s="57">
        <v>4</v>
      </c>
      <c r="H40" s="57">
        <v>6</v>
      </c>
    </row>
    <row r="41" spans="1:8" x14ac:dyDescent="0.25">
      <c r="B41" s="54">
        <v>3</v>
      </c>
      <c r="C41" s="55" cm="1">
        <f t="array" ref="C41:D42">B41:B42 + C40:D40</f>
        <v>7</v>
      </c>
      <c r="D41" s="13">
        <v>9</v>
      </c>
      <c r="F41" s="57">
        <v>3</v>
      </c>
      <c r="G41" s="56">
        <f>$F41+G$40</f>
        <v>7</v>
      </c>
      <c r="H41" s="56">
        <f t="shared" ref="H41:H42" si="1">$F41+H$40</f>
        <v>9</v>
      </c>
    </row>
    <row r="42" spans="1:8" x14ac:dyDescent="0.25">
      <c r="B42" s="54">
        <v>5</v>
      </c>
      <c r="C42" s="13">
        <v>9</v>
      </c>
      <c r="D42" s="13">
        <v>11</v>
      </c>
      <c r="F42" s="57">
        <v>5</v>
      </c>
      <c r="G42" s="56">
        <f t="shared" ref="G42" si="2">$F42+G$40</f>
        <v>9</v>
      </c>
      <c r="H42" s="56">
        <f t="shared" si="1"/>
        <v>11</v>
      </c>
    </row>
    <row r="44" spans="1:8" x14ac:dyDescent="0.25">
      <c r="A44" s="50" t="s">
        <v>154</v>
      </c>
    </row>
    <row r="45" spans="1:8" x14ac:dyDescent="0.25">
      <c r="B45" s="13" t="s">
        <v>155</v>
      </c>
      <c r="F45" s="13" t="s">
        <v>156</v>
      </c>
    </row>
    <row r="46" spans="1:8" x14ac:dyDescent="0.25">
      <c r="B46" s="55" t="str" cm="1">
        <f t="array" ref="B46:D46">{"North","South","East"}</f>
        <v>North</v>
      </c>
      <c r="C46" s="13" t="str">
        <v>South</v>
      </c>
      <c r="D46" s="13" t="str">
        <v>East</v>
      </c>
      <c r="F46" s="55" t="str" cm="1">
        <f t="array" ref="F46:F48">{"North";"South";"East"}</f>
        <v>North</v>
      </c>
    </row>
    <row r="47" spans="1:8" x14ac:dyDescent="0.25">
      <c r="F47" s="13" t="str">
        <v>South</v>
      </c>
    </row>
    <row r="48" spans="1:8" x14ac:dyDescent="0.25">
      <c r="F48" s="13" t="str">
        <v>East</v>
      </c>
    </row>
    <row r="49" spans="1:15" x14ac:dyDescent="0.25">
      <c r="A49" s="50" t="s">
        <v>157</v>
      </c>
    </row>
    <row r="50" spans="1:15" x14ac:dyDescent="0.25">
      <c r="K50" s="50" t="s">
        <v>158</v>
      </c>
      <c r="N50" s="50" t="s">
        <v>159</v>
      </c>
    </row>
    <row r="51" spans="1:15" x14ac:dyDescent="0.25">
      <c r="B51" s="52" t="s">
        <v>160</v>
      </c>
      <c r="C51" s="52"/>
      <c r="D51" s="52" t="s">
        <v>161</v>
      </c>
      <c r="E51" s="52"/>
      <c r="F51" s="52" t="s">
        <v>162</v>
      </c>
      <c r="G51" s="52"/>
      <c r="H51" s="52" t="s">
        <v>163</v>
      </c>
      <c r="K51" s="55" t="str" cm="1">
        <f t="array" ref="K51:K61">_xlfn.VSTACK(B52:B56, D52:D57)</f>
        <v>Luke Skywalker</v>
      </c>
      <c r="N51" s="55" t="str" cm="1">
        <f t="array" ref="N51:O55">_xlfn.HSTACK(B52:B56, H52:H56)</f>
        <v>Luke Skywalker</v>
      </c>
      <c r="O51" s="13">
        <v>172</v>
      </c>
    </row>
    <row r="52" spans="1:15" x14ac:dyDescent="0.25">
      <c r="B52" s="54" t="s">
        <v>118</v>
      </c>
      <c r="D52" s="54" t="s">
        <v>123</v>
      </c>
      <c r="F52" s="54" t="s">
        <v>129</v>
      </c>
      <c r="H52" s="54">
        <v>172</v>
      </c>
      <c r="K52" s="13" t="str">
        <v>C-3PO</v>
      </c>
      <c r="N52" s="13" t="str">
        <v>C-3PO</v>
      </c>
      <c r="O52" s="13">
        <v>167</v>
      </c>
    </row>
    <row r="53" spans="1:15" x14ac:dyDescent="0.25">
      <c r="B53" s="54" t="s">
        <v>119</v>
      </c>
      <c r="D53" s="54" t="s">
        <v>124</v>
      </c>
      <c r="F53" s="54" t="s">
        <v>130</v>
      </c>
      <c r="H53" s="54">
        <v>167</v>
      </c>
      <c r="K53" s="13" t="str">
        <v>R2-D2</v>
      </c>
      <c r="N53" s="13" t="str">
        <v>R2-D2</v>
      </c>
      <c r="O53" s="13">
        <v>96</v>
      </c>
    </row>
    <row r="54" spans="1:15" x14ac:dyDescent="0.25">
      <c r="B54" s="54" t="s">
        <v>120</v>
      </c>
      <c r="D54" s="54" t="s">
        <v>125</v>
      </c>
      <c r="F54" s="54" t="s">
        <v>131</v>
      </c>
      <c r="H54" s="54">
        <v>96</v>
      </c>
      <c r="K54" s="13" t="str">
        <v>Darth Vader</v>
      </c>
      <c r="N54" s="13" t="str">
        <v>Darth Vader</v>
      </c>
      <c r="O54" s="13">
        <v>202</v>
      </c>
    </row>
    <row r="55" spans="1:15" x14ac:dyDescent="0.25">
      <c r="B55" s="54" t="s">
        <v>121</v>
      </c>
      <c r="D55" s="54" t="s">
        <v>126</v>
      </c>
      <c r="H55" s="54">
        <v>202</v>
      </c>
      <c r="K55" s="13" t="str">
        <v>Leia Organa</v>
      </c>
      <c r="N55" s="13" t="str">
        <v>Leia Organa</v>
      </c>
      <c r="O55" s="13">
        <v>150</v>
      </c>
    </row>
    <row r="56" spans="1:15" x14ac:dyDescent="0.25">
      <c r="B56" s="54" t="s">
        <v>122</v>
      </c>
      <c r="D56" s="54" t="s">
        <v>127</v>
      </c>
      <c r="H56" s="54">
        <v>150</v>
      </c>
      <c r="K56" s="13" t="str">
        <v>Owen Lars</v>
      </c>
    </row>
    <row r="57" spans="1:15" x14ac:dyDescent="0.25">
      <c r="D57" s="54" t="s">
        <v>128</v>
      </c>
      <c r="K57" s="13" t="str">
        <v>Beru Whitesun lars</v>
      </c>
    </row>
    <row r="58" spans="1:15" x14ac:dyDescent="0.25">
      <c r="K58" s="13" t="str">
        <v>R5-D4</v>
      </c>
    </row>
    <row r="59" spans="1:15" x14ac:dyDescent="0.25">
      <c r="K59" s="13" t="str">
        <v>Biggs Darklighter</v>
      </c>
    </row>
    <row r="60" spans="1:15" x14ac:dyDescent="0.25">
      <c r="K60" s="13" t="str">
        <v>Obi-Wan Kenobi</v>
      </c>
    </row>
    <row r="61" spans="1:15" x14ac:dyDescent="0.25">
      <c r="A61" s="50" t="s">
        <v>164</v>
      </c>
      <c r="K61" s="13" t="str">
        <v>Anakin Skywalker</v>
      </c>
    </row>
    <row r="62" spans="1:15" x14ac:dyDescent="0.25">
      <c r="C62" s="52" t="s">
        <v>147</v>
      </c>
      <c r="D62" s="53" t="s">
        <v>148</v>
      </c>
    </row>
    <row r="63" spans="1:15" x14ac:dyDescent="0.25">
      <c r="A63" s="58" t="s">
        <v>165</v>
      </c>
      <c r="C63" s="52" t="s">
        <v>141</v>
      </c>
      <c r="D63" s="53" t="s">
        <v>142</v>
      </c>
    </row>
    <row r="64" spans="1:15" x14ac:dyDescent="0.25">
      <c r="B64" s="52" t="s">
        <v>116</v>
      </c>
      <c r="C64" s="52" t="s">
        <v>166</v>
      </c>
      <c r="D64" s="53" t="s">
        <v>166</v>
      </c>
    </row>
    <row r="65" spans="1:10" x14ac:dyDescent="0.25">
      <c r="B65" s="54" t="s">
        <v>118</v>
      </c>
      <c r="C65" s="55" cm="1">
        <f t="array" ref="C65:C71">LEN(B65:B71)</f>
        <v>14</v>
      </c>
      <c r="D65" s="56">
        <f>LEN(B65)</f>
        <v>14</v>
      </c>
    </row>
    <row r="66" spans="1:10" x14ac:dyDescent="0.25">
      <c r="B66" s="54" t="s">
        <v>119</v>
      </c>
      <c r="C66" s="13">
        <v>5</v>
      </c>
      <c r="D66" s="56">
        <f t="shared" ref="D66:D71" si="3">LEN(B66)</f>
        <v>5</v>
      </c>
    </row>
    <row r="67" spans="1:10" x14ac:dyDescent="0.25">
      <c r="B67" s="54" t="s">
        <v>120</v>
      </c>
      <c r="C67" s="13">
        <v>5</v>
      </c>
      <c r="D67" s="56">
        <f t="shared" si="3"/>
        <v>5</v>
      </c>
    </row>
    <row r="68" spans="1:10" x14ac:dyDescent="0.25">
      <c r="B68" s="54" t="s">
        <v>121</v>
      </c>
      <c r="C68" s="13">
        <v>11</v>
      </c>
      <c r="D68" s="56">
        <f t="shared" si="3"/>
        <v>11</v>
      </c>
    </row>
    <row r="69" spans="1:10" x14ac:dyDescent="0.25">
      <c r="B69" s="54" t="s">
        <v>122</v>
      </c>
      <c r="C69" s="13">
        <v>11</v>
      </c>
      <c r="D69" s="56">
        <f t="shared" si="3"/>
        <v>11</v>
      </c>
    </row>
    <row r="70" spans="1:10" x14ac:dyDescent="0.25">
      <c r="B70" s="54" t="s">
        <v>123</v>
      </c>
      <c r="C70" s="13">
        <v>9</v>
      </c>
      <c r="D70" s="56">
        <f t="shared" si="3"/>
        <v>9</v>
      </c>
    </row>
    <row r="71" spans="1:10" x14ac:dyDescent="0.25">
      <c r="B71" s="54" t="s">
        <v>124</v>
      </c>
      <c r="C71" s="13">
        <v>18</v>
      </c>
      <c r="D71" s="56">
        <f t="shared" si="3"/>
        <v>18</v>
      </c>
    </row>
    <row r="74" spans="1:10" x14ac:dyDescent="0.25">
      <c r="A74" s="58" t="s">
        <v>167</v>
      </c>
    </row>
    <row r="75" spans="1:10" x14ac:dyDescent="0.25">
      <c r="C75" s="52" t="s">
        <v>147</v>
      </c>
      <c r="D75" s="53"/>
      <c r="H75" s="53" t="s">
        <v>148</v>
      </c>
    </row>
    <row r="76" spans="1:10" x14ac:dyDescent="0.25">
      <c r="C76" s="52" t="s">
        <v>141</v>
      </c>
      <c r="D76" s="53"/>
      <c r="H76" s="53" t="s">
        <v>142</v>
      </c>
    </row>
    <row r="77" spans="1:10" x14ac:dyDescent="0.25">
      <c r="B77" s="52" t="s">
        <v>116</v>
      </c>
      <c r="C77" s="52" t="s">
        <v>168</v>
      </c>
      <c r="H77" s="53" t="s">
        <v>117</v>
      </c>
    </row>
    <row r="78" spans="1:10" x14ac:dyDescent="0.25">
      <c r="B78" s="54" t="s">
        <v>118</v>
      </c>
      <c r="C78" s="55" cm="1">
        <f t="array" ref="C78:E78">VLOOKUP(B78, StarWars[], {2,3,5}, FALSE)</f>
        <v>172</v>
      </c>
      <c r="D78" s="13">
        <v>77</v>
      </c>
      <c r="E78" s="13" t="str">
        <v>fair</v>
      </c>
      <c r="H78" s="55">
        <f>VLOOKUP($B78, StarWars[], 2, FALSE)</f>
        <v>172</v>
      </c>
      <c r="I78" s="55">
        <f>VLOOKUP($B78, StarWars[], 3, FALSE)</f>
        <v>77</v>
      </c>
      <c r="J78" s="55" t="str">
        <f>VLOOKUP($B78, StarWars[], 5, FALSE)</f>
        <v>fair</v>
      </c>
    </row>
    <row r="79" spans="1:10" x14ac:dyDescent="0.25">
      <c r="B79" s="54" t="s">
        <v>119</v>
      </c>
      <c r="C79" s="55" cm="1">
        <f t="array" ref="C79:E79">VLOOKUP(B79, StarWars[], {2,3,5}, FALSE)</f>
        <v>167</v>
      </c>
      <c r="D79" s="13">
        <v>75</v>
      </c>
      <c r="E79" s="13" t="str">
        <v>gold</v>
      </c>
      <c r="H79" s="55">
        <f>VLOOKUP($B79, StarWars[], 2, FALSE)</f>
        <v>167</v>
      </c>
      <c r="I79" s="55">
        <f>VLOOKUP($B79, StarWars[], 3, FALSE)</f>
        <v>75</v>
      </c>
      <c r="J79" s="55" t="str">
        <f>VLOOKUP($B79, StarWars[], 5, FALSE)</f>
        <v>gold</v>
      </c>
    </row>
    <row r="80" spans="1:10" x14ac:dyDescent="0.25">
      <c r="B80" s="54" t="s">
        <v>120</v>
      </c>
      <c r="C80" s="55" cm="1">
        <f t="array" ref="C80:E80">VLOOKUP(B80, StarWars[], {2,3,5}, FALSE)</f>
        <v>96</v>
      </c>
      <c r="D80" s="13">
        <v>32</v>
      </c>
      <c r="E80" s="13" t="str">
        <v>white, blue</v>
      </c>
      <c r="H80" s="55">
        <f>VLOOKUP($B80, StarWars[], 2, FALSE)</f>
        <v>96</v>
      </c>
      <c r="I80" s="55">
        <f>VLOOKUP($B80, StarWars[], 3, FALSE)</f>
        <v>32</v>
      </c>
      <c r="J80" s="55" t="str">
        <f>VLOOKUP($B80, StarWars[], 5, FALSE)</f>
        <v>white, blue</v>
      </c>
    </row>
    <row r="81" spans="1:10" x14ac:dyDescent="0.25">
      <c r="B81" s="54" t="s">
        <v>121</v>
      </c>
      <c r="C81" s="55" cm="1">
        <f t="array" ref="C81:E81">VLOOKUP(B81, StarWars[], {2,3,5}, FALSE)</f>
        <v>202</v>
      </c>
      <c r="D81" s="13">
        <v>136</v>
      </c>
      <c r="E81" s="13" t="str">
        <v>white</v>
      </c>
      <c r="H81" s="55">
        <f>VLOOKUP($B81, StarWars[], 2, FALSE)</f>
        <v>202</v>
      </c>
      <c r="I81" s="55">
        <f>VLOOKUP($B81, StarWars[], 3, FALSE)</f>
        <v>136</v>
      </c>
      <c r="J81" s="55" t="str">
        <f>VLOOKUP($B81, StarWars[], 5, FALSE)</f>
        <v>white</v>
      </c>
    </row>
    <row r="82" spans="1:10" x14ac:dyDescent="0.25">
      <c r="B82" s="54" t="s">
        <v>122</v>
      </c>
      <c r="C82" s="55" cm="1">
        <f t="array" ref="C82:E82">VLOOKUP(B82, StarWars[], {2,3,5}, FALSE)</f>
        <v>150</v>
      </c>
      <c r="D82" s="13">
        <v>49</v>
      </c>
      <c r="E82" s="13" t="str">
        <v>light</v>
      </c>
      <c r="H82" s="55">
        <f>VLOOKUP($B82, StarWars[], 2, FALSE)</f>
        <v>150</v>
      </c>
      <c r="I82" s="55">
        <f>VLOOKUP($B82, StarWars[], 3, FALSE)</f>
        <v>49</v>
      </c>
      <c r="J82" s="55" t="str">
        <f>VLOOKUP($B82, StarWars[], 5, FALSE)</f>
        <v>light</v>
      </c>
    </row>
    <row r="83" spans="1:10" x14ac:dyDescent="0.25">
      <c r="B83" s="54" t="s">
        <v>123</v>
      </c>
      <c r="C83" s="55" cm="1">
        <f t="array" ref="C83:E83">VLOOKUP(B83, StarWars[], {2,3,5}, FALSE)</f>
        <v>178</v>
      </c>
      <c r="D83" s="13">
        <v>120</v>
      </c>
      <c r="E83" s="13" t="str">
        <v>light</v>
      </c>
      <c r="H83" s="55">
        <f>VLOOKUP($B83, StarWars[], 2, FALSE)</f>
        <v>178</v>
      </c>
      <c r="I83" s="55">
        <f>VLOOKUP($B83, StarWars[], 3, FALSE)</f>
        <v>120</v>
      </c>
      <c r="J83" s="55" t="str">
        <f>VLOOKUP($B83, StarWars[], 5, FALSE)</f>
        <v>light</v>
      </c>
    </row>
    <row r="84" spans="1:10" x14ac:dyDescent="0.25">
      <c r="B84" s="54" t="s">
        <v>124</v>
      </c>
      <c r="C84" s="55" cm="1">
        <f t="array" ref="C84:E84">VLOOKUP(B84, StarWars[], {2,3,5}, FALSE)</f>
        <v>165</v>
      </c>
      <c r="D84" s="13">
        <v>75</v>
      </c>
      <c r="E84" s="13" t="str">
        <v>light</v>
      </c>
      <c r="H84" s="55">
        <f>VLOOKUP($B84, StarWars[], 2, FALSE)</f>
        <v>165</v>
      </c>
      <c r="I84" s="55">
        <f>VLOOKUP($B84, StarWars[], 3, FALSE)</f>
        <v>75</v>
      </c>
      <c r="J84" s="55" t="str">
        <f>VLOOKUP($B84, StarWars[], 5, FALSE)</f>
        <v>light</v>
      </c>
    </row>
    <row r="87" spans="1:10" x14ac:dyDescent="0.25">
      <c r="A87" s="13" t="s">
        <v>169</v>
      </c>
    </row>
    <row r="88" spans="1:10" x14ac:dyDescent="0.25">
      <c r="B88" s="52" t="s">
        <v>116</v>
      </c>
    </row>
    <row r="89" spans="1:10" x14ac:dyDescent="0.25">
      <c r="B89" s="54" t="s">
        <v>118</v>
      </c>
      <c r="C89" s="55" cm="1">
        <f t="array" ref="C89:E89">_xlfn.XLOOKUP(B89, StarWars[name], _xlfn.HSTACK(StarWars[height], StarWars[mass], StarWars[eye_color]), "not found")</f>
        <v>172</v>
      </c>
      <c r="D89" s="13">
        <v>77</v>
      </c>
      <c r="E89" s="13" t="str">
        <v>blue</v>
      </c>
    </row>
    <row r="90" spans="1:10" x14ac:dyDescent="0.25">
      <c r="B90" s="54" t="s">
        <v>119</v>
      </c>
      <c r="C90" s="55" cm="1">
        <f t="array" ref="C90:E90">_xlfn.XLOOKUP(B90, StarWars[name], _xlfn.HSTACK(StarWars[height], StarWars[mass], StarWars[eye_color]), "not found")</f>
        <v>167</v>
      </c>
      <c r="D90" s="13">
        <v>75</v>
      </c>
      <c r="E90" s="13" t="str">
        <v>yellow</v>
      </c>
    </row>
    <row r="91" spans="1:10" x14ac:dyDescent="0.25">
      <c r="B91" s="54" t="s">
        <v>120</v>
      </c>
      <c r="C91" s="55" cm="1">
        <f t="array" ref="C91:E91">_xlfn.XLOOKUP(B91, StarWars[name], _xlfn.HSTACK(StarWars[height], StarWars[mass], StarWars[eye_color]), "not found")</f>
        <v>96</v>
      </c>
      <c r="D91" s="13">
        <v>32</v>
      </c>
      <c r="E91" s="13" t="str">
        <v>red</v>
      </c>
    </row>
    <row r="92" spans="1:10" x14ac:dyDescent="0.25">
      <c r="B92" s="54" t="s">
        <v>121</v>
      </c>
      <c r="C92" s="55" cm="1">
        <f t="array" ref="C92:E92">_xlfn.XLOOKUP(B92, StarWars[name], _xlfn.HSTACK(StarWars[height], StarWars[mass], StarWars[eye_color]), "not found")</f>
        <v>202</v>
      </c>
      <c r="D92" s="13">
        <v>136</v>
      </c>
      <c r="E92" s="13" t="str">
        <v>yellow</v>
      </c>
    </row>
    <row r="93" spans="1:10" x14ac:dyDescent="0.25">
      <c r="B93" s="54" t="s">
        <v>122</v>
      </c>
      <c r="C93" s="55" cm="1">
        <f t="array" ref="C93:E93">_xlfn.XLOOKUP(B93, StarWars[name], _xlfn.HSTACK(StarWars[height], StarWars[mass], StarWars[eye_color]), "not found")</f>
        <v>150</v>
      </c>
      <c r="D93" s="13">
        <v>49</v>
      </c>
      <c r="E93" s="13" t="str">
        <v>brown</v>
      </c>
    </row>
    <row r="94" spans="1:10" x14ac:dyDescent="0.25">
      <c r="B94" s="54" t="s">
        <v>123</v>
      </c>
      <c r="C94" s="55" cm="1">
        <f t="array" ref="C94:E94">_xlfn.XLOOKUP(B94, StarWars[name], _xlfn.HSTACK(StarWars[height], StarWars[mass], StarWars[eye_color]), "not found")</f>
        <v>178</v>
      </c>
      <c r="D94" s="13">
        <v>120</v>
      </c>
      <c r="E94" s="13" t="str">
        <v>blue</v>
      </c>
    </row>
    <row r="95" spans="1:10" x14ac:dyDescent="0.25">
      <c r="B95" s="54" t="s">
        <v>124</v>
      </c>
      <c r="C95" s="55" cm="1">
        <f t="array" ref="C95:E95">_xlfn.XLOOKUP(B95, StarWars[name], _xlfn.HSTACK(StarWars[height], StarWars[mass], StarWars[eye_color]), "not found")</f>
        <v>165</v>
      </c>
      <c r="D95" s="13">
        <v>75</v>
      </c>
      <c r="E95" s="13" t="str">
        <v>blue</v>
      </c>
    </row>
    <row r="98" spans="1:10" x14ac:dyDescent="0.25">
      <c r="A98" s="13" t="s">
        <v>170</v>
      </c>
    </row>
    <row r="99" spans="1:10" x14ac:dyDescent="0.25">
      <c r="B99" s="52" t="s">
        <v>116</v>
      </c>
      <c r="C99" s="52" t="s">
        <v>171</v>
      </c>
      <c r="D99" s="52" t="s">
        <v>172</v>
      </c>
      <c r="E99" s="52" t="s">
        <v>173</v>
      </c>
      <c r="I99" s="52" t="s">
        <v>174</v>
      </c>
    </row>
    <row r="100" spans="1:10" x14ac:dyDescent="0.25">
      <c r="B100" s="54" t="s">
        <v>118</v>
      </c>
      <c r="C100" s="55" t="str" cm="1">
        <f t="array" ref="C100:C104">_xlfn.TEXTBEFORE(B100:B104, " ")</f>
        <v>Luke</v>
      </c>
      <c r="D100" s="55" t="str" cm="1">
        <f t="array" ref="D100:D104">_xlfn.TEXTAFTER(B100:B104, " ",1)</f>
        <v>Skywalker</v>
      </c>
      <c r="E100" s="55" t="str" cm="1">
        <f t="array" ref="E100:F100">_xlfn.TEXTSPLIT(B100, " ")</f>
        <v>Luke</v>
      </c>
      <c r="F100" s="13" t="str">
        <v>Skywalker</v>
      </c>
      <c r="I100" s="55" t="str">
        <f>_xlfn.TEXTJOIN(" ",TRUE,_xlfn.ANCHORARRAY(E100))</f>
        <v>Luke Skywalker</v>
      </c>
    </row>
    <row r="101" spans="1:10" x14ac:dyDescent="0.25">
      <c r="B101" s="54" t="s">
        <v>121</v>
      </c>
      <c r="C101" s="13" t="str">
        <v>Darth</v>
      </c>
      <c r="D101" s="13" t="str">
        <v>Vader</v>
      </c>
      <c r="E101" s="55" t="str" cm="1">
        <f t="array" ref="E101:F101">_xlfn.TEXTSPLIT(B101, " ")</f>
        <v>Darth</v>
      </c>
      <c r="F101" s="13" t="str">
        <v>Vader</v>
      </c>
      <c r="I101" s="55" t="str">
        <f t="shared" ref="I101:I104" si="4">_xlfn.TEXTJOIN(" ",TRUE,_xlfn.ANCHORARRAY(E101))</f>
        <v>Darth Vader</v>
      </c>
    </row>
    <row r="102" spans="1:10" x14ac:dyDescent="0.25">
      <c r="B102" s="54" t="s">
        <v>122</v>
      </c>
      <c r="C102" s="13" t="str">
        <v>Leia</v>
      </c>
      <c r="D102" s="13" t="str">
        <v>Organa</v>
      </c>
      <c r="E102" s="55" t="str" cm="1">
        <f t="array" ref="E102:F102">_xlfn.TEXTSPLIT(B102, " ")</f>
        <v>Leia</v>
      </c>
      <c r="F102" s="13" t="str">
        <v>Organa</v>
      </c>
      <c r="I102" s="55" t="str">
        <f t="shared" si="4"/>
        <v>Leia Organa</v>
      </c>
    </row>
    <row r="103" spans="1:10" x14ac:dyDescent="0.25">
      <c r="B103" s="54" t="s">
        <v>123</v>
      </c>
      <c r="C103" s="13" t="str">
        <v>Owen</v>
      </c>
      <c r="D103" s="13" t="str">
        <v>Lars</v>
      </c>
      <c r="E103" s="55" t="str" cm="1">
        <f t="array" ref="E103:F103">_xlfn.TEXTSPLIT(B103, " ")</f>
        <v>Owen</v>
      </c>
      <c r="F103" s="13" t="str">
        <v>Lars</v>
      </c>
      <c r="I103" s="55" t="str">
        <f t="shared" si="4"/>
        <v>Owen Lars</v>
      </c>
    </row>
    <row r="104" spans="1:10" x14ac:dyDescent="0.25">
      <c r="B104" s="54" t="s">
        <v>124</v>
      </c>
      <c r="C104" s="13" t="str">
        <v>Beru</v>
      </c>
      <c r="D104" s="13" t="str">
        <v>Whitesun lars</v>
      </c>
      <c r="E104" s="55" t="str" cm="1">
        <f t="array" ref="E104:G104">_xlfn.TEXTSPLIT(B104, " ")</f>
        <v>Beru</v>
      </c>
      <c r="F104" s="13" t="str">
        <v>Whitesun</v>
      </c>
      <c r="G104" s="13" t="str">
        <v>lars</v>
      </c>
      <c r="I104" s="55" t="str">
        <f t="shared" si="4"/>
        <v>Beru Whitesun lars</v>
      </c>
    </row>
    <row r="106" spans="1:10" x14ac:dyDescent="0.25">
      <c r="A106" s="13" t="s">
        <v>175</v>
      </c>
    </row>
    <row r="107" spans="1:10" x14ac:dyDescent="0.25">
      <c r="A107" s="54" t="s">
        <v>176</v>
      </c>
      <c r="B107" s="49"/>
    </row>
    <row r="108" spans="1:10" x14ac:dyDescent="0.25">
      <c r="B108" s="52" t="s">
        <v>177</v>
      </c>
      <c r="D108" s="52" t="s">
        <v>178</v>
      </c>
      <c r="G108" s="13" t="s">
        <v>179</v>
      </c>
    </row>
    <row r="109" spans="1:10" x14ac:dyDescent="0.25">
      <c r="B109" s="55" t="str" cm="1">
        <f t="array" ref="B109:B115">_xlfn.TEXTSPLIT(A107,," ")</f>
        <v>It</v>
      </c>
      <c r="D109" s="55" t="str" cm="1">
        <f t="array" ref="D109:E112">_xlfn.WRAPROWS(_xlfn.ANCHORARRAY(B109), 2)</f>
        <v>It</v>
      </c>
      <c r="E109" s="13" t="str">
        <v>was</v>
      </c>
      <c r="G109" s="55" t="str" cm="1">
        <f t="array" ref="G109:J110">_xlfn.WRAPCOLS(_xlfn.ANCHORARRAY(B109), 2,"")</f>
        <v>It</v>
      </c>
      <c r="H109" s="13" t="str">
        <v>a</v>
      </c>
      <c r="I109" s="13" t="str">
        <v>and</v>
      </c>
      <c r="J109" s="13" t="str">
        <v>night.</v>
      </c>
    </row>
    <row r="110" spans="1:10" x14ac:dyDescent="0.25">
      <c r="B110" s="13" t="str">
        <v>was</v>
      </c>
      <c r="D110" s="13" t="str">
        <v>a</v>
      </c>
      <c r="E110" s="13" t="str">
        <v>dark</v>
      </c>
      <c r="G110" s="13" t="str">
        <v>was</v>
      </c>
      <c r="H110" s="13" t="str">
        <v>dark</v>
      </c>
      <c r="I110" s="13" t="str">
        <v>stormy</v>
      </c>
      <c r="J110" s="13" t="str">
        <v/>
      </c>
    </row>
    <row r="111" spans="1:10" x14ac:dyDescent="0.25">
      <c r="B111" s="13" t="str">
        <v>a</v>
      </c>
      <c r="D111" s="13" t="str">
        <v>and</v>
      </c>
      <c r="E111" s="13" t="str">
        <v>stormy</v>
      </c>
    </row>
    <row r="112" spans="1:10" x14ac:dyDescent="0.25">
      <c r="B112" s="13" t="str">
        <v>dark</v>
      </c>
      <c r="D112" s="13" t="str">
        <v>night.</v>
      </c>
      <c r="E112" s="13" t="e">
        <v>#N/A</v>
      </c>
    </row>
    <row r="113" spans="2:2" x14ac:dyDescent="0.25">
      <c r="B113" s="13" t="str">
        <v>and</v>
      </c>
    </row>
    <row r="114" spans="2:2" x14ac:dyDescent="0.25">
      <c r="B114" s="13" t="str">
        <v>stormy</v>
      </c>
    </row>
    <row r="115" spans="2:2" x14ac:dyDescent="0.25">
      <c r="B115" s="13" t="str">
        <v>night.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3DA-1CED-4669-86BA-70019BAEA223}">
  <sheetPr>
    <tabColor rgb="FF92D050"/>
  </sheetPr>
  <dimension ref="A1:S47"/>
  <sheetViews>
    <sheetView tabSelected="1" workbookViewId="0">
      <selection activeCell="P30" sqref="P30"/>
    </sheetView>
  </sheetViews>
  <sheetFormatPr defaultRowHeight="15" x14ac:dyDescent="0.25"/>
  <cols>
    <col min="1" max="1" width="10.5" style="13" customWidth="1"/>
    <col min="2" max="2" width="10" style="13" bestFit="1" customWidth="1"/>
    <col min="3" max="3" width="9.625" style="13" customWidth="1"/>
    <col min="4" max="4" width="9" style="13" customWidth="1"/>
    <col min="5" max="5" width="4.375" style="13" customWidth="1"/>
    <col min="6" max="6" width="9.75" style="13" bestFit="1" customWidth="1"/>
    <col min="7" max="7" width="9.625" style="13" customWidth="1"/>
    <col min="8" max="8" width="9" style="13" customWidth="1"/>
    <col min="9" max="9" width="9" style="13"/>
    <col min="10" max="10" width="11" style="13" customWidth="1"/>
    <col min="11" max="12" width="9.625" style="13" customWidth="1"/>
    <col min="13" max="13" width="9" style="13"/>
    <col min="14" max="14" width="9.375" style="13" bestFit="1" customWidth="1"/>
    <col min="15" max="16" width="9" style="13"/>
    <col min="17" max="17" width="9.375" style="13" bestFit="1" customWidth="1"/>
    <col min="18" max="16384" width="9" style="13"/>
  </cols>
  <sheetData>
    <row r="1" spans="1:19" x14ac:dyDescent="0.25">
      <c r="A1" s="50" t="s">
        <v>180</v>
      </c>
    </row>
    <row r="2" spans="1:19" x14ac:dyDescent="0.25">
      <c r="A2" s="50" t="s">
        <v>181</v>
      </c>
      <c r="N2" s="50" t="s">
        <v>182</v>
      </c>
    </row>
    <row r="3" spans="1:19" x14ac:dyDescent="0.25">
      <c r="B3" s="13" t="s">
        <v>183</v>
      </c>
      <c r="F3" s="13" t="s">
        <v>184</v>
      </c>
      <c r="J3" s="13" t="s">
        <v>185</v>
      </c>
      <c r="N3" s="52" t="s">
        <v>186</v>
      </c>
    </row>
    <row r="4" spans="1:19" x14ac:dyDescent="0.25">
      <c r="A4" s="13" t="s">
        <v>187</v>
      </c>
    </row>
    <row r="5" spans="1:19" x14ac:dyDescent="0.25">
      <c r="B5" s="54" t="s">
        <v>32</v>
      </c>
      <c r="C5" s="54" t="s">
        <v>101</v>
      </c>
      <c r="D5" s="54" t="s">
        <v>188</v>
      </c>
      <c r="F5" s="54" t="s">
        <v>32</v>
      </c>
      <c r="G5" s="54" t="s">
        <v>101</v>
      </c>
      <c r="H5" s="54" t="s">
        <v>188</v>
      </c>
      <c r="J5" s="54" t="s">
        <v>32</v>
      </c>
      <c r="K5" s="54" t="s">
        <v>101</v>
      </c>
      <c r="L5" s="54" t="s">
        <v>188</v>
      </c>
      <c r="N5" s="55" t="str" cm="1">
        <f t="array" ref="N5:S7">_xlfn.HSTACK($B$5:$D$7, $F$5:$H$7)</f>
        <v>Date</v>
      </c>
      <c r="O5" s="13" t="str">
        <v>Category</v>
      </c>
      <c r="P5" s="13" t="str">
        <v>Amount</v>
      </c>
      <c r="Q5" s="13" t="str">
        <v>Date</v>
      </c>
      <c r="R5" s="13" t="str">
        <v>Category</v>
      </c>
      <c r="S5" s="13" t="str">
        <v>Amount</v>
      </c>
    </row>
    <row r="6" spans="1:19" x14ac:dyDescent="0.25">
      <c r="B6" s="59">
        <v>44574</v>
      </c>
      <c r="C6" s="54" t="s">
        <v>189</v>
      </c>
      <c r="D6" s="54">
        <v>10</v>
      </c>
      <c r="F6" s="59">
        <v>44593</v>
      </c>
      <c r="G6" s="54" t="s">
        <v>189</v>
      </c>
      <c r="H6" s="54">
        <v>30</v>
      </c>
      <c r="J6" s="59">
        <v>44632</v>
      </c>
      <c r="K6" s="54" t="s">
        <v>189</v>
      </c>
      <c r="L6" s="54">
        <v>12</v>
      </c>
      <c r="N6" s="60">
        <v>44574</v>
      </c>
      <c r="O6" s="13" t="str">
        <v>Alpha</v>
      </c>
      <c r="P6" s="13">
        <v>10</v>
      </c>
      <c r="Q6" s="60">
        <v>44593</v>
      </c>
      <c r="R6" s="13" t="str">
        <v>Alpha</v>
      </c>
      <c r="S6" s="13">
        <v>30</v>
      </c>
    </row>
    <row r="7" spans="1:19" x14ac:dyDescent="0.25">
      <c r="B7" s="59">
        <v>44587</v>
      </c>
      <c r="C7" s="54" t="s">
        <v>190</v>
      </c>
      <c r="D7" s="54">
        <v>20</v>
      </c>
      <c r="F7" s="59">
        <v>44602</v>
      </c>
      <c r="G7" s="54" t="s">
        <v>190</v>
      </c>
      <c r="H7" s="54">
        <v>35</v>
      </c>
      <c r="J7" s="59">
        <v>44635</v>
      </c>
      <c r="K7" s="54" t="s">
        <v>190</v>
      </c>
      <c r="L7" s="54">
        <v>24</v>
      </c>
      <c r="N7" s="60">
        <v>44587</v>
      </c>
      <c r="O7" s="13" t="str">
        <v>Beta</v>
      </c>
      <c r="P7" s="13">
        <v>20</v>
      </c>
      <c r="Q7" s="60">
        <v>44602</v>
      </c>
      <c r="R7" s="13" t="str">
        <v>Beta</v>
      </c>
      <c r="S7" s="13">
        <v>35</v>
      </c>
    </row>
    <row r="8" spans="1:19" x14ac:dyDescent="0.25">
      <c r="B8" s="60"/>
      <c r="F8" s="60"/>
    </row>
    <row r="9" spans="1:19" x14ac:dyDescent="0.25">
      <c r="A9" s="50" t="s">
        <v>191</v>
      </c>
    </row>
    <row r="10" spans="1:19" x14ac:dyDescent="0.25">
      <c r="A10" s="52" t="s">
        <v>192</v>
      </c>
    </row>
    <row r="11" spans="1:19" x14ac:dyDescent="0.25">
      <c r="B11" s="61" cm="1">
        <f t="array" ref="B11:D14">_xlfn.VSTACK($B$6:$D$7, F6:H7)</f>
        <v>44574</v>
      </c>
      <c r="C11" s="13" t="str">
        <v>Alpha</v>
      </c>
      <c r="D11" s="13">
        <v>10</v>
      </c>
    </row>
    <row r="12" spans="1:19" x14ac:dyDescent="0.25">
      <c r="B12" s="60">
        <v>44587</v>
      </c>
      <c r="C12" s="13" t="str">
        <v>Beta</v>
      </c>
      <c r="D12" s="13">
        <v>20</v>
      </c>
    </row>
    <row r="13" spans="1:19" x14ac:dyDescent="0.25">
      <c r="B13" s="60">
        <v>44593</v>
      </c>
      <c r="C13" s="13" t="str">
        <v>Alpha</v>
      </c>
      <c r="D13" s="13">
        <v>30</v>
      </c>
    </row>
    <row r="14" spans="1:19" x14ac:dyDescent="0.25">
      <c r="B14" s="60">
        <v>44602</v>
      </c>
      <c r="C14" s="13" t="str">
        <v>Beta</v>
      </c>
      <c r="D14" s="13">
        <v>35</v>
      </c>
    </row>
    <row r="15" spans="1:19" x14ac:dyDescent="0.25">
      <c r="B15" s="60"/>
    </row>
    <row r="16" spans="1:19" x14ac:dyDescent="0.25">
      <c r="B16" s="60"/>
    </row>
    <row r="17" spans="1:12" x14ac:dyDescent="0.25">
      <c r="A17" s="50" t="s">
        <v>193</v>
      </c>
    </row>
    <row r="18" spans="1:12" x14ac:dyDescent="0.25">
      <c r="B18" s="13" t="s">
        <v>194</v>
      </c>
      <c r="F18" s="13" t="s">
        <v>195</v>
      </c>
      <c r="J18" s="49" t="s">
        <v>196</v>
      </c>
      <c r="K18" s="71"/>
      <c r="L18" s="71"/>
    </row>
    <row r="19" spans="1:12" x14ac:dyDescent="0.25">
      <c r="B19" s="62" t="s">
        <v>32</v>
      </c>
      <c r="C19" s="63" t="s">
        <v>101</v>
      </c>
      <c r="D19" s="64" t="s">
        <v>188</v>
      </c>
      <c r="F19" s="62" t="s">
        <v>32</v>
      </c>
      <c r="G19" s="63" t="s">
        <v>101</v>
      </c>
      <c r="H19" s="64" t="s">
        <v>188</v>
      </c>
      <c r="J19" s="65" t="s">
        <v>32</v>
      </c>
      <c r="K19" s="66" t="s">
        <v>101</v>
      </c>
      <c r="L19" s="66" t="s">
        <v>188</v>
      </c>
    </row>
    <row r="20" spans="1:12" x14ac:dyDescent="0.25">
      <c r="B20" s="59">
        <v>44574</v>
      </c>
      <c r="C20" s="54" t="s">
        <v>189</v>
      </c>
      <c r="D20" s="67">
        <v>10</v>
      </c>
      <c r="F20" s="59">
        <v>44593</v>
      </c>
      <c r="G20" s="54" t="s">
        <v>189</v>
      </c>
      <c r="H20" s="67">
        <v>10</v>
      </c>
      <c r="J20" s="68">
        <v>44632</v>
      </c>
      <c r="K20" s="69" t="s">
        <v>189</v>
      </c>
      <c r="L20" s="69">
        <v>12</v>
      </c>
    </row>
    <row r="21" spans="1:12" x14ac:dyDescent="0.25">
      <c r="B21" s="59">
        <v>44587</v>
      </c>
      <c r="C21" s="70" t="s">
        <v>190</v>
      </c>
      <c r="D21" s="69">
        <v>20</v>
      </c>
      <c r="F21" s="59">
        <v>44602</v>
      </c>
      <c r="G21" s="70" t="s">
        <v>190</v>
      </c>
      <c r="H21" s="69">
        <v>20</v>
      </c>
      <c r="J21" s="68">
        <v>44635</v>
      </c>
      <c r="K21" s="69" t="s">
        <v>190</v>
      </c>
      <c r="L21" s="69">
        <v>24</v>
      </c>
    </row>
    <row r="24" spans="1:12" x14ac:dyDescent="0.25">
      <c r="A24" s="52" t="s">
        <v>197</v>
      </c>
    </row>
    <row r="25" spans="1:12" x14ac:dyDescent="0.25">
      <c r="B25" s="61" cm="1">
        <f t="array" ref="B25:D28">_xlfn.VSTACK(JanTableFinal[], FebTableFinal[])</f>
        <v>44574</v>
      </c>
      <c r="C25" s="13" t="str">
        <v>Alpha</v>
      </c>
      <c r="D25" s="13">
        <v>10</v>
      </c>
    </row>
    <row r="26" spans="1:12" x14ac:dyDescent="0.25">
      <c r="B26" s="60">
        <v>44587</v>
      </c>
      <c r="C26" s="13" t="str">
        <v>Beta</v>
      </c>
      <c r="D26" s="13">
        <v>20</v>
      </c>
    </row>
    <row r="27" spans="1:12" x14ac:dyDescent="0.25">
      <c r="B27" s="60">
        <v>44593</v>
      </c>
      <c r="C27" s="13" t="str">
        <v>Alpha</v>
      </c>
      <c r="D27" s="13">
        <v>10</v>
      </c>
    </row>
    <row r="28" spans="1:12" x14ac:dyDescent="0.25">
      <c r="B28" s="60">
        <v>44602</v>
      </c>
      <c r="C28" s="13" t="str">
        <v>Beta</v>
      </c>
      <c r="D28" s="13">
        <v>20</v>
      </c>
    </row>
    <row r="33" spans="1:4" x14ac:dyDescent="0.25">
      <c r="A33" s="52" t="s">
        <v>198</v>
      </c>
    </row>
    <row r="34" spans="1:4" x14ac:dyDescent="0.25">
      <c r="B34" s="55" t="str" cm="1">
        <f t="array" ref="B34:D38">_xlfn.VSTACK(JanTableFinal[#All], FebTableFinal[])</f>
        <v>Date</v>
      </c>
      <c r="C34" s="13" t="str">
        <v>Category</v>
      </c>
      <c r="D34" s="13" t="str">
        <v>Amount</v>
      </c>
    </row>
    <row r="35" spans="1:4" x14ac:dyDescent="0.25">
      <c r="B35" s="60">
        <v>44574</v>
      </c>
      <c r="C35" s="13" t="str">
        <v>Alpha</v>
      </c>
      <c r="D35" s="13">
        <v>10</v>
      </c>
    </row>
    <row r="36" spans="1:4" x14ac:dyDescent="0.25">
      <c r="B36" s="60">
        <v>44587</v>
      </c>
      <c r="C36" s="13" t="str">
        <v>Beta</v>
      </c>
      <c r="D36" s="13">
        <v>20</v>
      </c>
    </row>
    <row r="37" spans="1:4" x14ac:dyDescent="0.25">
      <c r="B37" s="60">
        <v>44593</v>
      </c>
      <c r="C37" s="13" t="str">
        <v>Alpha</v>
      </c>
      <c r="D37" s="13">
        <v>10</v>
      </c>
    </row>
    <row r="38" spans="1:4" x14ac:dyDescent="0.25">
      <c r="B38" s="60">
        <v>44602</v>
      </c>
      <c r="C38" s="13" t="str">
        <v>Beta</v>
      </c>
      <c r="D38" s="13">
        <v>20</v>
      </c>
    </row>
    <row r="42" spans="1:4" x14ac:dyDescent="0.25">
      <c r="A42" s="52" t="s">
        <v>199</v>
      </c>
    </row>
    <row r="43" spans="1:4" x14ac:dyDescent="0.25">
      <c r="B43" s="55" t="str" cm="1">
        <f t="array" ref="B43:D47">_xlfn.VSTACK({"Date","Category","Amount"}, JanTableFinal[], FebTableFinal[])</f>
        <v>Date</v>
      </c>
      <c r="C43" s="13" t="str">
        <v>Category</v>
      </c>
      <c r="D43" s="13" t="str">
        <v>Amount</v>
      </c>
    </row>
    <row r="44" spans="1:4" x14ac:dyDescent="0.25">
      <c r="B44" s="60">
        <v>44574</v>
      </c>
      <c r="C44" s="13" t="str">
        <v>Alpha</v>
      </c>
      <c r="D44" s="13">
        <v>10</v>
      </c>
    </row>
    <row r="45" spans="1:4" x14ac:dyDescent="0.25">
      <c r="B45" s="60">
        <v>44587</v>
      </c>
      <c r="C45" s="13" t="str">
        <v>Beta</v>
      </c>
      <c r="D45" s="13">
        <v>20</v>
      </c>
    </row>
    <row r="46" spans="1:4" x14ac:dyDescent="0.25">
      <c r="B46" s="60">
        <v>44593</v>
      </c>
      <c r="C46" s="13" t="str">
        <v>Alpha</v>
      </c>
      <c r="D46" s="13">
        <v>10</v>
      </c>
    </row>
    <row r="47" spans="1:4" x14ac:dyDescent="0.25">
      <c r="B47" s="60">
        <v>44602</v>
      </c>
      <c r="C47" s="13" t="str">
        <v>Beta</v>
      </c>
      <c r="D47" s="13">
        <v>20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Introduction</vt:lpstr>
      <vt:lpstr>Store Data</vt:lpstr>
      <vt:lpstr>StarWars Data</vt:lpstr>
      <vt:lpstr>XLOOKUP</vt:lpstr>
      <vt:lpstr>Spill Functions</vt:lpstr>
      <vt:lpstr>FILTER</vt:lpstr>
      <vt:lpstr>FILTER Tables</vt:lpstr>
      <vt:lpstr>Dynamic Arrays</vt:lpstr>
      <vt:lpstr>VSTACK HSTACK</vt:lpstr>
      <vt:lpstr>XLOOKUP Final</vt:lpstr>
      <vt:lpstr>Spill Functions Final</vt:lpstr>
      <vt:lpstr>FILTER final</vt:lpstr>
      <vt:lpstr>FILTER Tables Final</vt:lpstr>
      <vt:lpstr>Dynamic Arrays Final</vt:lpstr>
      <vt:lpstr>VSTACK HSTACK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2023-01-24T11:05:54Z</dcterms:created>
  <dcterms:modified xsi:type="dcterms:W3CDTF">2023-02-13T10:17:45Z</dcterms:modified>
  <cp:category/>
  <cp:contentStatus/>
</cp:coreProperties>
</file>